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Pregões Eletrônicos\2026\PE 014-2026 - Transporte Escolar\"/>
    </mc:Choice>
  </mc:AlternateContent>
  <xr:revisionPtr revIDLastSave="0" documentId="8_{A801FF74-1271-4EE7-920E-3941A8F6B595}" xr6:coauthVersionLast="47" xr6:coauthVersionMax="47" xr10:uidLastSave="{00000000-0000-0000-0000-000000000000}"/>
  <bookViews>
    <workbookView xWindow="-120" yWindow="-120" windowWidth="29040" windowHeight="15720" tabRatio="802" firstSheet="5" activeTab="14" xr2:uid="{00000000-000D-0000-FFFF-FFFF00000000}"/>
  </bookViews>
  <sheets>
    <sheet name=" lote 1.1" sheetId="72" r:id="rId1"/>
    <sheet name=" lote 1.2" sheetId="82" r:id="rId2"/>
    <sheet name=" lote 2.1" sheetId="81" r:id="rId3"/>
    <sheet name=" lote 2.2" sheetId="73" r:id="rId4"/>
    <sheet name="lote 3.1" sheetId="46" r:id="rId5"/>
    <sheet name=" lote 3.2" sheetId="47" r:id="rId6"/>
    <sheet name=" lote 4,1" sheetId="74" r:id="rId7"/>
    <sheet name=" lote 6.1" sheetId="78" r:id="rId8"/>
    <sheet name=" lote 7.1 " sheetId="83" r:id="rId9"/>
    <sheet name=" lote 14.1" sheetId="79" r:id="rId10"/>
    <sheet name="lote 16.1" sheetId="27" r:id="rId11"/>
    <sheet name="lote 16.2" sheetId="30" r:id="rId12"/>
    <sheet name="lote 16.3" sheetId="61" r:id="rId13"/>
    <sheet name="LOTE 17,01" sheetId="57" r:id="rId14"/>
    <sheet name="LOTE20.1" sheetId="55" r:id="rId15"/>
    <sheet name="lote 21.1" sheetId="75" r:id="rId16"/>
    <sheet name="lote 22.2" sheetId="80" r:id="rId17"/>
    <sheet name="Enc. Soc. - LR-LP e SN" sheetId="8" r:id="rId18"/>
    <sheet name="Depreciação TCE-RS" sheetId="68" r:id="rId19"/>
    <sheet name="BDI" sheetId="4" r:id="rId20"/>
  </sheets>
  <definedNames>
    <definedName name="AbaDeprec" localSheetId="0">#REF!</definedName>
    <definedName name="AbaDeprec" localSheetId="1">#REF!</definedName>
    <definedName name="AbaDeprec" localSheetId="9">#REF!</definedName>
    <definedName name="AbaDeprec" localSheetId="2">#REF!</definedName>
    <definedName name="AbaDeprec" localSheetId="3">#REF!</definedName>
    <definedName name="AbaDeprec" localSheetId="5">#REF!</definedName>
    <definedName name="AbaDeprec" localSheetId="6">#REF!</definedName>
    <definedName name="AbaDeprec" localSheetId="7">#REF!</definedName>
    <definedName name="AbaDeprec" localSheetId="8">#REF!</definedName>
    <definedName name="AbaDeprec" localSheetId="10">#REF!</definedName>
    <definedName name="AbaDeprec" localSheetId="11">#REF!</definedName>
    <definedName name="AbaDeprec" localSheetId="12">#REF!</definedName>
    <definedName name="AbaDeprec" localSheetId="13">#REF!</definedName>
    <definedName name="AbaDeprec" localSheetId="15">#REF!</definedName>
    <definedName name="AbaDeprec" localSheetId="16">#REF!</definedName>
    <definedName name="AbaDeprec" localSheetId="4">#REF!</definedName>
    <definedName name="AbaDeprec" localSheetId="14">#REF!</definedName>
    <definedName name="AbaDeprec">#REF!</definedName>
    <definedName name="AbaRemun" localSheetId="0">#REF!</definedName>
    <definedName name="AbaRemun" localSheetId="1">#REF!</definedName>
    <definedName name="AbaRemun" localSheetId="9">#REF!</definedName>
    <definedName name="AbaRemun" localSheetId="2">#REF!</definedName>
    <definedName name="AbaRemun" localSheetId="3">#REF!</definedName>
    <definedName name="AbaRemun" localSheetId="5">#REF!</definedName>
    <definedName name="AbaRemun" localSheetId="6">#REF!</definedName>
    <definedName name="AbaRemun" localSheetId="7">#REF!</definedName>
    <definedName name="AbaRemun" localSheetId="8">#REF!</definedName>
    <definedName name="AbaRemun" localSheetId="11">#REF!</definedName>
    <definedName name="AbaRemun" localSheetId="12">#REF!</definedName>
    <definedName name="AbaRemun" localSheetId="13">#REF!</definedName>
    <definedName name="AbaRemun" localSheetId="15">#REF!</definedName>
    <definedName name="AbaRemun" localSheetId="16">#REF!</definedName>
    <definedName name="AbaRemun" localSheetId="4">#REF!</definedName>
    <definedName name="AbaRemun" localSheetId="14">#REF!</definedName>
    <definedName name="AbaRemun">#REF!</definedName>
    <definedName name="_xlnm.Print_Area" localSheetId="0">' lote 1.1'!$A$1:$H$250</definedName>
    <definedName name="_xlnm.Print_Area" localSheetId="1">' lote 1.2'!$A$1:$H$250</definedName>
    <definedName name="_xlnm.Print_Area" localSheetId="9">' lote 14.1'!$A$1:$H$250</definedName>
    <definedName name="_xlnm.Print_Area" localSheetId="2">' lote 2.1'!$A$1:$H$250</definedName>
    <definedName name="_xlnm.Print_Area" localSheetId="3">' lote 2.2'!$A$1:$H$250</definedName>
    <definedName name="_xlnm.Print_Area" localSheetId="5">' lote 3.2'!$A$1:$H$250</definedName>
    <definedName name="_xlnm.Print_Area" localSheetId="6">' lote 4,1'!$A$1:$H$250</definedName>
    <definedName name="_xlnm.Print_Area" localSheetId="7">' lote 6.1'!$A$1:$H$250</definedName>
    <definedName name="_xlnm.Print_Area" localSheetId="8">' lote 7.1 '!$A$1:$H$250</definedName>
    <definedName name="_xlnm.Print_Area" localSheetId="17">'Enc. Soc. - LR-LP e SN'!$A$1:$C$29</definedName>
    <definedName name="_xlnm.Print_Area" localSheetId="10">'lote 16.1'!$A$1:$H$253</definedName>
    <definedName name="_xlnm.Print_Area" localSheetId="11">'lote 16.2'!$A$1:$H$254</definedName>
    <definedName name="_xlnm.Print_Area" localSheetId="12">'lote 16.3'!$A$1:$H$253</definedName>
    <definedName name="_xlnm.Print_Area" localSheetId="13">'LOTE 17,01'!$A$1:$H$252</definedName>
    <definedName name="_xlnm.Print_Area" localSheetId="15">'lote 21.1'!$A$1:$H$253</definedName>
    <definedName name="_xlnm.Print_Area" localSheetId="16">'lote 22.2'!$A$1:$H$253</definedName>
    <definedName name="_xlnm.Print_Area" localSheetId="4">'lote 3.1'!$A$1:$H$251</definedName>
    <definedName name="_xlnm.Print_Area" localSheetId="14">LOTE20.1!$A$1:$H$255</definedName>
    <definedName name="número" localSheetId="0">#REF!</definedName>
    <definedName name="número" localSheetId="1">#REF!</definedName>
    <definedName name="número" localSheetId="9">#REF!</definedName>
    <definedName name="número" localSheetId="2">#REF!</definedName>
    <definedName name="número" localSheetId="3">#REF!</definedName>
    <definedName name="número" localSheetId="5">#REF!</definedName>
    <definedName name="número" localSheetId="6">#REF!</definedName>
    <definedName name="número" localSheetId="7">#REF!</definedName>
    <definedName name="número" localSheetId="8">#REF!</definedName>
    <definedName name="número" localSheetId="10">#REF!</definedName>
    <definedName name="número" localSheetId="11">#REF!</definedName>
    <definedName name="número" localSheetId="12">#REF!</definedName>
    <definedName name="número" localSheetId="13">#REF!</definedName>
    <definedName name="número" localSheetId="15">#REF!</definedName>
    <definedName name="número" localSheetId="16">#REF!</definedName>
    <definedName name="número" localSheetId="4">#REF!</definedName>
    <definedName name="número" localSheetId="14">#REF!</definedName>
    <definedName name="número">#REF!</definedName>
    <definedName name="_xlnm.Print_Titles" localSheetId="0">' lote 1.1'!$4:$4</definedName>
    <definedName name="_xlnm.Print_Titles" localSheetId="1">' lote 1.2'!$4:$4</definedName>
    <definedName name="_xlnm.Print_Titles" localSheetId="9">' lote 14.1'!$4:$4</definedName>
    <definedName name="_xlnm.Print_Titles" localSheetId="2">' lote 2.1'!$4:$4</definedName>
    <definedName name="_xlnm.Print_Titles" localSheetId="3">' lote 2.2'!$4:$4</definedName>
    <definedName name="_xlnm.Print_Titles" localSheetId="5">' lote 3.2'!$4:$4</definedName>
    <definedName name="_xlnm.Print_Titles" localSheetId="6">' lote 4,1'!$4:$4</definedName>
    <definedName name="_xlnm.Print_Titles" localSheetId="7">' lote 6.1'!$4:$4</definedName>
    <definedName name="_xlnm.Print_Titles" localSheetId="8">' lote 7.1 '!$4:$4</definedName>
    <definedName name="_xlnm.Print_Titles" localSheetId="10">'lote 16.1'!$4:$4</definedName>
    <definedName name="_xlnm.Print_Titles" localSheetId="11">'lote 16.2'!$4:$4</definedName>
    <definedName name="_xlnm.Print_Titles" localSheetId="12">'lote 16.3'!$4:$4</definedName>
    <definedName name="_xlnm.Print_Titles" localSheetId="13">'LOTE 17,01'!$4:$4</definedName>
    <definedName name="_xlnm.Print_Titles" localSheetId="15">'lote 21.1'!$4:$4</definedName>
    <definedName name="_xlnm.Print_Titles" localSheetId="16">'lote 22.2'!$4:$4</definedName>
    <definedName name="_xlnm.Print_Titles" localSheetId="4">'lote 3.1'!$4:$4</definedName>
    <definedName name="_xlnm.Print_Titles" localSheetId="14">LOTE20.1!$4:$4</definedName>
    <definedName name="x" localSheetId="0">#REF!</definedName>
    <definedName name="x" localSheetId="1">#REF!</definedName>
    <definedName name="x" localSheetId="9">#REF!</definedName>
    <definedName name="x" localSheetId="2">#REF!</definedName>
    <definedName name="x" localSheetId="3">#REF!</definedName>
    <definedName name="x" localSheetId="5">#REF!</definedName>
    <definedName name="x" localSheetId="6">#REF!</definedName>
    <definedName name="x" localSheetId="7">#REF!</definedName>
    <definedName name="x" localSheetId="8">#REF!</definedName>
    <definedName name="x" localSheetId="10">#REF!</definedName>
    <definedName name="x" localSheetId="11">#REF!</definedName>
    <definedName name="x" localSheetId="12">#REF!</definedName>
    <definedName name="x" localSheetId="13">#REF!</definedName>
    <definedName name="x" localSheetId="15">#REF!</definedName>
    <definedName name="x" localSheetId="16">#REF!</definedName>
    <definedName name="x" localSheetId="4">#REF!</definedName>
    <definedName name="x" localSheetId="14">#REF!</definedName>
    <definedName name="x">#REF!</definedName>
  </definedNames>
  <calcPr calcId="191029" iterateDelta="1E-4"/>
</workbook>
</file>

<file path=xl/calcChain.xml><?xml version="1.0" encoding="utf-8"?>
<calcChain xmlns="http://schemas.openxmlformats.org/spreadsheetml/2006/main">
  <c r="I42" i="75" l="1"/>
  <c r="I43" i="75" s="1"/>
  <c r="I42" i="57"/>
  <c r="I42" i="30"/>
  <c r="I42" i="27"/>
  <c r="I43" i="27" s="1"/>
  <c r="I42" i="79" l="1"/>
  <c r="I42" i="83" l="1"/>
  <c r="F180" i="83" l="1"/>
  <c r="D179" i="83"/>
  <c r="F179" i="83" s="1"/>
  <c r="D178" i="83"/>
  <c r="F178" i="83" s="1"/>
  <c r="D177" i="83"/>
  <c r="F177" i="83" s="1"/>
  <c r="D176" i="83"/>
  <c r="F176" i="83" s="1"/>
  <c r="G181" i="83" s="1"/>
  <c r="G183" i="83" s="1"/>
  <c r="F169" i="83"/>
  <c r="F165" i="83"/>
  <c r="E167" i="83" s="1"/>
  <c r="F167" i="83" s="1"/>
  <c r="E168" i="83" s="1"/>
  <c r="F161" i="83"/>
  <c r="F159" i="83"/>
  <c r="E159" i="83"/>
  <c r="E158" i="83"/>
  <c r="F154" i="83"/>
  <c r="E152" i="83"/>
  <c r="E150" i="83"/>
  <c r="E148" i="83"/>
  <c r="E146" i="83"/>
  <c r="D143" i="83"/>
  <c r="F137" i="83"/>
  <c r="F136" i="83"/>
  <c r="F135" i="83"/>
  <c r="D132" i="83"/>
  <c r="I126" i="83"/>
  <c r="D126" i="83"/>
  <c r="D120" i="83"/>
  <c r="D115" i="83"/>
  <c r="D134" i="83" s="1"/>
  <c r="F134" i="83" s="1"/>
  <c r="D114" i="83"/>
  <c r="D113" i="83"/>
  <c r="D112" i="83"/>
  <c r="E111" i="83"/>
  <c r="F102" i="83"/>
  <c r="E102" i="83"/>
  <c r="E103" i="83" s="1"/>
  <c r="F103" i="83" s="1"/>
  <c r="D96" i="83"/>
  <c r="D89" i="83"/>
  <c r="E88" i="83"/>
  <c r="D83" i="83"/>
  <c r="F81" i="83"/>
  <c r="F74" i="83"/>
  <c r="F64" i="83"/>
  <c r="A64" i="83"/>
  <c r="A74" i="83" s="1"/>
  <c r="A81" i="83" s="1"/>
  <c r="D59" i="83"/>
  <c r="D66" i="83" s="1"/>
  <c r="F57" i="83"/>
  <c r="E54" i="83"/>
  <c r="F54" i="83" s="1"/>
  <c r="I43" i="83"/>
  <c r="G42" i="83"/>
  <c r="C141" i="83" s="1"/>
  <c r="F42" i="83"/>
  <c r="C46" i="83" s="1"/>
  <c r="D36" i="83"/>
  <c r="F33" i="83"/>
  <c r="G32" i="83"/>
  <c r="G31" i="83"/>
  <c r="E71" i="83" s="1"/>
  <c r="F71" i="83" s="1"/>
  <c r="F72" i="83" s="1"/>
  <c r="A25" i="83"/>
  <c r="A24" i="83"/>
  <c r="A23" i="83"/>
  <c r="C22" i="83"/>
  <c r="A22" i="83"/>
  <c r="A21" i="83"/>
  <c r="A20" i="83"/>
  <c r="A19" i="83"/>
  <c r="A18" i="83"/>
  <c r="A17" i="83"/>
  <c r="A16" i="83"/>
  <c r="A15" i="83"/>
  <c r="A13" i="83"/>
  <c r="A12" i="83"/>
  <c r="A9" i="83"/>
  <c r="I42" i="74"/>
  <c r="D232" i="73"/>
  <c r="I42" i="81"/>
  <c r="D232" i="82"/>
  <c r="I42" i="82"/>
  <c r="F180" i="82"/>
  <c r="F179" i="82"/>
  <c r="D179" i="82"/>
  <c r="F178" i="82"/>
  <c r="D178" i="82"/>
  <c r="F177" i="82"/>
  <c r="D177" i="82"/>
  <c r="F176" i="82"/>
  <c r="G181" i="82" s="1"/>
  <c r="D176" i="82"/>
  <c r="F169" i="82"/>
  <c r="F165" i="82"/>
  <c r="E167" i="82" s="1"/>
  <c r="F167" i="82" s="1"/>
  <c r="E168" i="82" s="1"/>
  <c r="F161" i="82"/>
  <c r="E159" i="82"/>
  <c r="F159" i="82" s="1"/>
  <c r="E158" i="82"/>
  <c r="F154" i="82"/>
  <c r="E152" i="82"/>
  <c r="E150" i="82"/>
  <c r="E148" i="82"/>
  <c r="E146" i="82"/>
  <c r="E143" i="82"/>
  <c r="D143" i="82"/>
  <c r="F137" i="82"/>
  <c r="F136" i="82"/>
  <c r="F135" i="82"/>
  <c r="I126" i="82"/>
  <c r="E119" i="82"/>
  <c r="F119" i="82" s="1"/>
  <c r="D121" i="82" s="1"/>
  <c r="D115" i="82"/>
  <c r="D132" i="82" s="1"/>
  <c r="D113" i="82"/>
  <c r="D112" i="82"/>
  <c r="D114" i="82" s="1"/>
  <c r="F111" i="82"/>
  <c r="E132" i="82" s="1"/>
  <c r="E111" i="82"/>
  <c r="E102" i="82"/>
  <c r="F102" i="82" s="1"/>
  <c r="D89" i="82"/>
  <c r="D96" i="82" s="1"/>
  <c r="E88" i="82"/>
  <c r="D83" i="82"/>
  <c r="F81" i="82"/>
  <c r="F74" i="82"/>
  <c r="F64" i="82"/>
  <c r="A64" i="82"/>
  <c r="A74" i="82" s="1"/>
  <c r="A81" i="82" s="1"/>
  <c r="D59" i="82"/>
  <c r="D66" i="82" s="1"/>
  <c r="F57" i="82"/>
  <c r="I43" i="82"/>
  <c r="G42" i="82"/>
  <c r="C141" i="82" s="1"/>
  <c r="D144" i="82" s="1"/>
  <c r="F42" i="82"/>
  <c r="C46" i="82" s="1"/>
  <c r="D36" i="82"/>
  <c r="F33" i="82"/>
  <c r="G32" i="82"/>
  <c r="E54" i="82" s="1"/>
  <c r="F54" i="82" s="1"/>
  <c r="F55" i="82" s="1"/>
  <c r="G31" i="82"/>
  <c r="E71" i="82" s="1"/>
  <c r="F71" i="82" s="1"/>
  <c r="F72" i="82" s="1"/>
  <c r="A25" i="82"/>
  <c r="A24" i="82"/>
  <c r="A23" i="82"/>
  <c r="A22" i="82"/>
  <c r="A21" i="82"/>
  <c r="A20" i="82"/>
  <c r="A19" i="82"/>
  <c r="A18" i="82"/>
  <c r="A17" i="82"/>
  <c r="A16" i="82"/>
  <c r="A15" i="82"/>
  <c r="A13" i="82"/>
  <c r="A12" i="82"/>
  <c r="A9" i="82"/>
  <c r="I42" i="72"/>
  <c r="B3" i="73"/>
  <c r="B3" i="46" s="1"/>
  <c r="B3" i="83" s="1"/>
  <c r="B3" i="81"/>
  <c r="F180" i="81"/>
  <c r="D179" i="81"/>
  <c r="F179" i="81" s="1"/>
  <c r="D178" i="81"/>
  <c r="F178" i="81" s="1"/>
  <c r="D177" i="81"/>
  <c r="F177" i="81" s="1"/>
  <c r="D176" i="81"/>
  <c r="F176" i="81" s="1"/>
  <c r="F169" i="81"/>
  <c r="F165" i="81"/>
  <c r="E167" i="81" s="1"/>
  <c r="F167" i="81" s="1"/>
  <c r="E168" i="81" s="1"/>
  <c r="F161" i="81"/>
  <c r="F159" i="81"/>
  <c r="E159" i="81"/>
  <c r="E158" i="81"/>
  <c r="F154" i="81"/>
  <c r="E152" i="81"/>
  <c r="E150" i="81"/>
  <c r="E148" i="81"/>
  <c r="E146" i="81"/>
  <c r="E143" i="81"/>
  <c r="E144" i="81" s="1"/>
  <c r="E153" i="81" s="1"/>
  <c r="D143" i="81"/>
  <c r="F137" i="81"/>
  <c r="F136" i="81"/>
  <c r="F135" i="81"/>
  <c r="I126" i="81"/>
  <c r="D115" i="81"/>
  <c r="D134" i="81" s="1"/>
  <c r="F134" i="81" s="1"/>
  <c r="D114" i="81"/>
  <c r="D113" i="81"/>
  <c r="D112" i="81"/>
  <c r="E111" i="81"/>
  <c r="F102" i="81"/>
  <c r="E102" i="81"/>
  <c r="E103" i="81" s="1"/>
  <c r="F103" i="81" s="1"/>
  <c r="D96" i="81"/>
  <c r="D89" i="81"/>
  <c r="E88" i="81"/>
  <c r="D83" i="81"/>
  <c r="F81" i="81"/>
  <c r="F74" i="81"/>
  <c r="F71" i="81"/>
  <c r="F72" i="81" s="1"/>
  <c r="F64" i="81"/>
  <c r="A64" i="81"/>
  <c r="A74" i="81" s="1"/>
  <c r="A81" i="81" s="1"/>
  <c r="D59" i="81"/>
  <c r="D66" i="81" s="1"/>
  <c r="F57" i="81"/>
  <c r="I43" i="81"/>
  <c r="G42" i="81"/>
  <c r="C141" i="81" s="1"/>
  <c r="F42" i="81"/>
  <c r="C46" i="81" s="1"/>
  <c r="D36" i="81"/>
  <c r="F33" i="81"/>
  <c r="G32" i="81"/>
  <c r="E54" i="81" s="1"/>
  <c r="F54" i="81" s="1"/>
  <c r="G31" i="81"/>
  <c r="E71" i="81" s="1"/>
  <c r="A25" i="81"/>
  <c r="A24" i="81"/>
  <c r="A23" i="81"/>
  <c r="A22" i="81"/>
  <c r="A21" i="81"/>
  <c r="A20" i="81"/>
  <c r="A19" i="81"/>
  <c r="A18" i="81"/>
  <c r="A17" i="81"/>
  <c r="A16" i="81"/>
  <c r="A15" i="81"/>
  <c r="A13" i="81"/>
  <c r="A12" i="81"/>
  <c r="A9" i="81"/>
  <c r="D132" i="81" l="1"/>
  <c r="D90" i="82"/>
  <c r="F132" i="82"/>
  <c r="G181" i="81"/>
  <c r="G183" i="81" s="1"/>
  <c r="C22" i="81" s="1"/>
  <c r="D97" i="82"/>
  <c r="H183" i="83"/>
  <c r="F104" i="83"/>
  <c r="G104" i="83" s="1"/>
  <c r="F92" i="83"/>
  <c r="F77" i="83"/>
  <c r="F60" i="83"/>
  <c r="F127" i="83"/>
  <c r="F116" i="83"/>
  <c r="F98" i="83"/>
  <c r="F84" i="83"/>
  <c r="F67" i="83"/>
  <c r="E90" i="83"/>
  <c r="F55" i="83"/>
  <c r="E73" i="83"/>
  <c r="E80" i="83"/>
  <c r="D144" i="83"/>
  <c r="D168" i="83"/>
  <c r="F168" i="83" s="1"/>
  <c r="G169" i="83" s="1"/>
  <c r="E198" i="83"/>
  <c r="E22" i="83"/>
  <c r="E91" i="83"/>
  <c r="E119" i="83"/>
  <c r="F119" i="83" s="1"/>
  <c r="D121" i="83" s="1"/>
  <c r="F111" i="83"/>
  <c r="D97" i="83"/>
  <c r="D90" i="83"/>
  <c r="F90" i="83" s="1"/>
  <c r="D91" i="83"/>
  <c r="H181" i="83"/>
  <c r="D133" i="83"/>
  <c r="F133" i="83" s="1"/>
  <c r="E56" i="82"/>
  <c r="E63" i="82"/>
  <c r="E80" i="82"/>
  <c r="E73" i="82"/>
  <c r="F116" i="82"/>
  <c r="F98" i="82"/>
  <c r="F84" i="82"/>
  <c r="F77" i="82"/>
  <c r="F67" i="82"/>
  <c r="F127" i="82"/>
  <c r="F104" i="82"/>
  <c r="F92" i="82"/>
  <c r="F60" i="82"/>
  <c r="H181" i="82"/>
  <c r="G183" i="82"/>
  <c r="D134" i="82"/>
  <c r="F134" i="82" s="1"/>
  <c r="D150" i="82"/>
  <c r="F150" i="82" s="1"/>
  <c r="D146" i="82"/>
  <c r="F146" i="82" s="1"/>
  <c r="E198" i="82"/>
  <c r="D168" i="82"/>
  <c r="F168" i="82" s="1"/>
  <c r="G169" i="82" s="1"/>
  <c r="E90" i="82"/>
  <c r="F90" i="82" s="1"/>
  <c r="E91" i="82"/>
  <c r="E103" i="82"/>
  <c r="F103" i="82" s="1"/>
  <c r="E113" i="82"/>
  <c r="F113" i="82" s="1"/>
  <c r="E114" i="82" s="1"/>
  <c r="F114" i="82" s="1"/>
  <c r="E115" i="82" s="1"/>
  <c r="F115" i="82" s="1"/>
  <c r="G116" i="82" s="1"/>
  <c r="D126" i="82"/>
  <c r="D133" i="82"/>
  <c r="F133" i="82" s="1"/>
  <c r="E138" i="82" s="1"/>
  <c r="F138" i="82" s="1"/>
  <c r="G139" i="82" s="1"/>
  <c r="E144" i="82"/>
  <c r="E153" i="82" s="1"/>
  <c r="D148" i="82"/>
  <c r="F148" i="82" s="1"/>
  <c r="D152" i="82"/>
  <c r="F152" i="82" s="1"/>
  <c r="D158" i="82"/>
  <c r="F158" i="82" s="1"/>
  <c r="D91" i="82"/>
  <c r="F127" i="81"/>
  <c r="F104" i="81"/>
  <c r="G104" i="81" s="1"/>
  <c r="F92" i="81"/>
  <c r="F116" i="81"/>
  <c r="F98" i="81"/>
  <c r="F67" i="81"/>
  <c r="F77" i="81"/>
  <c r="F60" i="81"/>
  <c r="F84" i="81"/>
  <c r="E90" i="81"/>
  <c r="F55" i="81"/>
  <c r="D144" i="81"/>
  <c r="E198" i="81"/>
  <c r="D168" i="81"/>
  <c r="F168" i="81" s="1"/>
  <c r="G169" i="81" s="1"/>
  <c r="E22" i="81"/>
  <c r="E73" i="81"/>
  <c r="E80" i="81"/>
  <c r="E91" i="81"/>
  <c r="H183" i="81"/>
  <c r="D97" i="81"/>
  <c r="D90" i="81"/>
  <c r="D91" i="81"/>
  <c r="F91" i="81" s="1"/>
  <c r="H181" i="81"/>
  <c r="E119" i="81"/>
  <c r="F119" i="81" s="1"/>
  <c r="D121" i="81" s="1"/>
  <c r="F111" i="81"/>
  <c r="D126" i="81"/>
  <c r="D133" i="81"/>
  <c r="F133" i="81" s="1"/>
  <c r="G38" i="73"/>
  <c r="G38" i="46" s="1"/>
  <c r="G38" i="83" s="1"/>
  <c r="E143" i="83" s="1"/>
  <c r="E144" i="83" s="1"/>
  <c r="E153" i="83" s="1"/>
  <c r="F91" i="82" l="1"/>
  <c r="G92" i="82" s="1"/>
  <c r="F91" i="83"/>
  <c r="E132" i="83"/>
  <c r="F132" i="83" s="1"/>
  <c r="E138" i="83" s="1"/>
  <c r="F138" i="83" s="1"/>
  <c r="G139" i="83" s="1"/>
  <c r="E113" i="83"/>
  <c r="F113" i="83" s="1"/>
  <c r="E114" i="83" s="1"/>
  <c r="F114" i="83" s="1"/>
  <c r="E115" i="83" s="1"/>
  <c r="F115" i="83" s="1"/>
  <c r="G116" i="83" s="1"/>
  <c r="G22" i="83"/>
  <c r="H169" i="83"/>
  <c r="C21" i="83"/>
  <c r="E63" i="83"/>
  <c r="E56" i="83"/>
  <c r="H104" i="83"/>
  <c r="C14" i="83"/>
  <c r="E237" i="83"/>
  <c r="E212" i="83"/>
  <c r="D158" i="83"/>
  <c r="F158" i="83" s="1"/>
  <c r="D152" i="83"/>
  <c r="F152" i="83" s="1"/>
  <c r="D148" i="83"/>
  <c r="F148" i="83" s="1"/>
  <c r="F144" i="83"/>
  <c r="D150" i="83"/>
  <c r="F150" i="83" s="1"/>
  <c r="D146" i="83"/>
  <c r="F146" i="83" s="1"/>
  <c r="G92" i="83"/>
  <c r="H139" i="82"/>
  <c r="C18" i="82"/>
  <c r="H116" i="82"/>
  <c r="C16" i="82"/>
  <c r="I158" i="82"/>
  <c r="F160" i="82"/>
  <c r="G161" i="82" s="1"/>
  <c r="C21" i="82"/>
  <c r="H169" i="82"/>
  <c r="H183" i="82"/>
  <c r="C22" i="82"/>
  <c r="F144" i="82"/>
  <c r="F153" i="82" s="1"/>
  <c r="G154" i="82" s="1"/>
  <c r="D122" i="82"/>
  <c r="D123" i="82" s="1"/>
  <c r="E124" i="82" s="1"/>
  <c r="F124" i="82" s="1"/>
  <c r="F125" i="82" s="1"/>
  <c r="E126" i="82" s="1"/>
  <c r="F126" i="82" s="1"/>
  <c r="G127" i="82" s="1"/>
  <c r="E237" i="82"/>
  <c r="E212" i="82"/>
  <c r="G104" i="82"/>
  <c r="H169" i="81"/>
  <c r="C21" i="81"/>
  <c r="D158" i="81"/>
  <c r="F158" i="81" s="1"/>
  <c r="D152" i="81"/>
  <c r="F152" i="81" s="1"/>
  <c r="D148" i="81"/>
  <c r="F148" i="81" s="1"/>
  <c r="F144" i="81"/>
  <c r="D150" i="81"/>
  <c r="F150" i="81" s="1"/>
  <c r="D146" i="81"/>
  <c r="F146" i="81" s="1"/>
  <c r="E132" i="81"/>
  <c r="F132" i="81" s="1"/>
  <c r="E138" i="81" s="1"/>
  <c r="F138" i="81" s="1"/>
  <c r="G139" i="81" s="1"/>
  <c r="E113" i="81"/>
  <c r="F113" i="81" s="1"/>
  <c r="E114" i="81" s="1"/>
  <c r="F114" i="81" s="1"/>
  <c r="E115" i="81" s="1"/>
  <c r="F115" i="81" s="1"/>
  <c r="G116" i="81" s="1"/>
  <c r="F90" i="81"/>
  <c r="G92" i="81" s="1"/>
  <c r="G22" i="81"/>
  <c r="E237" i="81"/>
  <c r="E212" i="81"/>
  <c r="E63" i="81"/>
  <c r="E56" i="81"/>
  <c r="H104" i="81"/>
  <c r="C14" i="81"/>
  <c r="A130" i="73"/>
  <c r="A130" i="46" s="1"/>
  <c r="A130" i="47" s="1"/>
  <c r="A130" i="74" s="1"/>
  <c r="I42" i="80"/>
  <c r="I43" i="80" s="1"/>
  <c r="F182" i="80"/>
  <c r="D181" i="80"/>
  <c r="F181" i="80" s="1"/>
  <c r="D180" i="80"/>
  <c r="F180" i="80" s="1"/>
  <c r="D179" i="80"/>
  <c r="F179" i="80" s="1"/>
  <c r="D178" i="80"/>
  <c r="F178" i="80" s="1"/>
  <c r="F171" i="80"/>
  <c r="F167" i="80"/>
  <c r="E169" i="80" s="1"/>
  <c r="F169" i="80" s="1"/>
  <c r="E170" i="80" s="1"/>
  <c r="F163" i="80"/>
  <c r="F161" i="80"/>
  <c r="F156" i="80"/>
  <c r="E154" i="80"/>
  <c r="E152" i="80"/>
  <c r="E150" i="80"/>
  <c r="E148" i="80"/>
  <c r="D145" i="80"/>
  <c r="F139" i="80"/>
  <c r="F138" i="80"/>
  <c r="F137" i="80"/>
  <c r="D134" i="80"/>
  <c r="I128" i="80"/>
  <c r="D117" i="80"/>
  <c r="D136" i="80" s="1"/>
  <c r="F136" i="80" s="1"/>
  <c r="D116" i="80"/>
  <c r="E113" i="80"/>
  <c r="E102" i="80"/>
  <c r="E103" i="80" s="1"/>
  <c r="F103" i="80" s="1"/>
  <c r="D89" i="80"/>
  <c r="D91" i="80" s="1"/>
  <c r="E88" i="80"/>
  <c r="D83" i="80"/>
  <c r="F81" i="80"/>
  <c r="A81" i="80"/>
  <c r="F74" i="80"/>
  <c r="A74" i="80"/>
  <c r="F64" i="80"/>
  <c r="A64" i="80"/>
  <c r="D59" i="80"/>
  <c r="D66" i="80" s="1"/>
  <c r="F57" i="80"/>
  <c r="G42" i="80"/>
  <c r="C143" i="80" s="1"/>
  <c r="F42" i="80"/>
  <c r="C46" i="80" s="1"/>
  <c r="G38" i="80"/>
  <c r="E145" i="80" s="1"/>
  <c r="D36" i="80"/>
  <c r="F33" i="80"/>
  <c r="G32" i="80"/>
  <c r="E54" i="80" s="1"/>
  <c r="F54" i="80" s="1"/>
  <c r="F55" i="80" s="1"/>
  <c r="G31" i="80"/>
  <c r="E71" i="80" s="1"/>
  <c r="F71" i="80" s="1"/>
  <c r="F72" i="80" s="1"/>
  <c r="A25" i="80"/>
  <c r="A24" i="80"/>
  <c r="A23" i="80"/>
  <c r="A22" i="80"/>
  <c r="A21" i="80"/>
  <c r="A20" i="80"/>
  <c r="A19" i="80"/>
  <c r="A18" i="80"/>
  <c r="A17" i="80"/>
  <c r="A16" i="80"/>
  <c r="A15" i="80"/>
  <c r="A13" i="80"/>
  <c r="A12" i="80"/>
  <c r="A9" i="80"/>
  <c r="A130" i="83" l="1"/>
  <c r="A130" i="78"/>
  <c r="A130" i="79" s="1"/>
  <c r="A131" i="27" s="1"/>
  <c r="A132" i="30" s="1"/>
  <c r="A132" i="61" s="1"/>
  <c r="A132" i="57" s="1"/>
  <c r="A133" i="55" s="1"/>
  <c r="A132" i="75" s="1"/>
  <c r="A132" i="80" s="1"/>
  <c r="E146" i="80"/>
  <c r="E155" i="80" s="1"/>
  <c r="H92" i="83"/>
  <c r="C12" i="83"/>
  <c r="F160" i="83"/>
  <c r="G161" i="83" s="1"/>
  <c r="I158" i="83"/>
  <c r="E14" i="83"/>
  <c r="E21" i="83"/>
  <c r="H116" i="83"/>
  <c r="C16" i="83"/>
  <c r="H139" i="83"/>
  <c r="C18" i="83"/>
  <c r="F153" i="83"/>
  <c r="G154" i="83" s="1"/>
  <c r="D122" i="83"/>
  <c r="D123" i="83" s="1"/>
  <c r="E124" i="83" s="1"/>
  <c r="F124" i="83" s="1"/>
  <c r="F125" i="83" s="1"/>
  <c r="E126" i="83" s="1"/>
  <c r="F126" i="83" s="1"/>
  <c r="G127" i="83" s="1"/>
  <c r="H127" i="82"/>
  <c r="C17" i="82"/>
  <c r="G171" i="82"/>
  <c r="H104" i="82"/>
  <c r="C14" i="82"/>
  <c r="E22" i="82"/>
  <c r="E18" i="82"/>
  <c r="H154" i="82"/>
  <c r="C19" i="82"/>
  <c r="H92" i="82"/>
  <c r="C12" i="82"/>
  <c r="E21" i="82"/>
  <c r="H161" i="82"/>
  <c r="C20" i="82"/>
  <c r="E16" i="82"/>
  <c r="H92" i="81"/>
  <c r="C12" i="81"/>
  <c r="E14" i="81"/>
  <c r="H116" i="81"/>
  <c r="C16" i="81"/>
  <c r="D122" i="81"/>
  <c r="D123" i="81" s="1"/>
  <c r="E124" i="81" s="1"/>
  <c r="F124" i="81" s="1"/>
  <c r="F125" i="81" s="1"/>
  <c r="E126" i="81" s="1"/>
  <c r="F126" i="81" s="1"/>
  <c r="G127" i="81" s="1"/>
  <c r="F153" i="81"/>
  <c r="G154" i="81" s="1"/>
  <c r="E21" i="81"/>
  <c r="H139" i="81"/>
  <c r="C18" i="81"/>
  <c r="F160" i="81"/>
  <c r="G161" i="81" s="1"/>
  <c r="I158" i="81"/>
  <c r="F102" i="80"/>
  <c r="E73" i="80"/>
  <c r="E80" i="80"/>
  <c r="E56" i="80"/>
  <c r="E63" i="80"/>
  <c r="F129" i="80"/>
  <c r="F104" i="80"/>
  <c r="F92" i="80"/>
  <c r="F118" i="80"/>
  <c r="F98" i="80"/>
  <c r="F84" i="80"/>
  <c r="F67" i="80"/>
  <c r="F60" i="80"/>
  <c r="F77" i="80"/>
  <c r="D146" i="80"/>
  <c r="E200" i="80"/>
  <c r="D97" i="80"/>
  <c r="D90" i="80"/>
  <c r="D96" i="80"/>
  <c r="E90" i="80"/>
  <c r="D170" i="80"/>
  <c r="F170" i="80" s="1"/>
  <c r="G171" i="80" s="1"/>
  <c r="E91" i="80"/>
  <c r="F91" i="80" s="1"/>
  <c r="E121" i="80"/>
  <c r="F121" i="80" s="1"/>
  <c r="D123" i="80" s="1"/>
  <c r="F113" i="80"/>
  <c r="G183" i="80"/>
  <c r="D128" i="80"/>
  <c r="D135" i="80"/>
  <c r="F135" i="80" s="1"/>
  <c r="A231" i="61"/>
  <c r="I42" i="61"/>
  <c r="I43" i="61" s="1"/>
  <c r="I43" i="30"/>
  <c r="I42" i="47"/>
  <c r="I43" i="47" s="1"/>
  <c r="I42" i="46"/>
  <c r="I43" i="46" s="1"/>
  <c r="G104" i="80" l="1"/>
  <c r="H127" i="83"/>
  <c r="C17" i="83"/>
  <c r="E18" i="83"/>
  <c r="E16" i="83"/>
  <c r="G171" i="83"/>
  <c r="H161" i="83"/>
  <c r="C20" i="83"/>
  <c r="C19" i="83"/>
  <c r="H154" i="83"/>
  <c r="G21" i="83"/>
  <c r="G14" i="83"/>
  <c r="E12" i="83"/>
  <c r="G21" i="82"/>
  <c r="G18" i="82"/>
  <c r="G22" i="82"/>
  <c r="E17" i="82"/>
  <c r="G16" i="82"/>
  <c r="E20" i="82"/>
  <c r="E12" i="82"/>
  <c r="E19" i="82"/>
  <c r="E14" i="82"/>
  <c r="H171" i="82"/>
  <c r="C15" i="82"/>
  <c r="E18" i="81"/>
  <c r="H154" i="81"/>
  <c r="C19" i="81"/>
  <c r="E16" i="81"/>
  <c r="G171" i="81"/>
  <c r="H161" i="81"/>
  <c r="C20" i="81"/>
  <c r="G21" i="81"/>
  <c r="H127" i="81"/>
  <c r="C17" i="81"/>
  <c r="G14" i="81"/>
  <c r="E12" i="81"/>
  <c r="E134" i="80"/>
  <c r="F134" i="80" s="1"/>
  <c r="E140" i="80" s="1"/>
  <c r="F140" i="80" s="1"/>
  <c r="G141" i="80" s="1"/>
  <c r="E115" i="80"/>
  <c r="F115" i="80" s="1"/>
  <c r="E116" i="80" s="1"/>
  <c r="F116" i="80" s="1"/>
  <c r="E117" i="80" s="1"/>
  <c r="F117" i="80" s="1"/>
  <c r="G118" i="80" s="1"/>
  <c r="E214" i="80"/>
  <c r="E239" i="80"/>
  <c r="G185" i="80"/>
  <c r="H183" i="80"/>
  <c r="H171" i="80"/>
  <c r="C21" i="80"/>
  <c r="F90" i="80"/>
  <c r="G92" i="80" s="1"/>
  <c r="D160" i="80"/>
  <c r="F160" i="80" s="1"/>
  <c r="D154" i="80"/>
  <c r="F154" i="80" s="1"/>
  <c r="D150" i="80"/>
  <c r="F150" i="80" s="1"/>
  <c r="F146" i="80"/>
  <c r="D152" i="80"/>
  <c r="F152" i="80" s="1"/>
  <c r="D148" i="80"/>
  <c r="F148" i="80" s="1"/>
  <c r="H104" i="80"/>
  <c r="C14" i="80"/>
  <c r="E102" i="75"/>
  <c r="E88" i="75"/>
  <c r="G38" i="75"/>
  <c r="G32" i="75"/>
  <c r="G31" i="75"/>
  <c r="F180" i="79"/>
  <c r="D179" i="79"/>
  <c r="F179" i="79" s="1"/>
  <c r="F178" i="79"/>
  <c r="D178" i="79"/>
  <c r="D177" i="79"/>
  <c r="F177" i="79" s="1"/>
  <c r="F176" i="79"/>
  <c r="D176" i="79"/>
  <c r="F169" i="79"/>
  <c r="F165" i="79"/>
  <c r="E167" i="79" s="1"/>
  <c r="F167" i="79" s="1"/>
  <c r="E168" i="79" s="1"/>
  <c r="F161" i="79"/>
  <c r="E159" i="79"/>
  <c r="F159" i="79" s="1"/>
  <c r="E158" i="79"/>
  <c r="F154" i="79"/>
  <c r="E152" i="79"/>
  <c r="E150" i="79"/>
  <c r="E148" i="79"/>
  <c r="E146" i="79"/>
  <c r="D143" i="79"/>
  <c r="F137" i="79"/>
  <c r="F136" i="79"/>
  <c r="F135" i="79"/>
  <c r="D134" i="79"/>
  <c r="F134" i="79" s="1"/>
  <c r="I126" i="79"/>
  <c r="D126" i="79"/>
  <c r="D120" i="79"/>
  <c r="D121" i="27" s="1"/>
  <c r="D115" i="79"/>
  <c r="D132" i="79" s="1"/>
  <c r="D113" i="79"/>
  <c r="D112" i="79"/>
  <c r="D114" i="79" s="1"/>
  <c r="E111" i="79"/>
  <c r="E102" i="79"/>
  <c r="E103" i="79" s="1"/>
  <c r="F103" i="79" s="1"/>
  <c r="D89" i="79"/>
  <c r="E88" i="79"/>
  <c r="D83" i="79"/>
  <c r="F81" i="79"/>
  <c r="F74" i="79"/>
  <c r="F64" i="79"/>
  <c r="A64" i="79"/>
  <c r="A74" i="79" s="1"/>
  <c r="A81" i="79" s="1"/>
  <c r="D59" i="79"/>
  <c r="D66" i="79" s="1"/>
  <c r="F57" i="79"/>
  <c r="I43" i="79"/>
  <c r="G42" i="79"/>
  <c r="C141" i="79" s="1"/>
  <c r="F42" i="79"/>
  <c r="C46" i="79" s="1"/>
  <c r="G38" i="79"/>
  <c r="E143" i="79" s="1"/>
  <c r="E144" i="79" s="1"/>
  <c r="E153" i="79" s="1"/>
  <c r="D36" i="79"/>
  <c r="F33" i="79"/>
  <c r="G32" i="79"/>
  <c r="E54" i="79" s="1"/>
  <c r="F54" i="79" s="1"/>
  <c r="F55" i="79" s="1"/>
  <c r="G31" i="79"/>
  <c r="E71" i="79" s="1"/>
  <c r="F71" i="79" s="1"/>
  <c r="F72" i="79" s="1"/>
  <c r="A25" i="79"/>
  <c r="A24" i="79"/>
  <c r="A23" i="79"/>
  <c r="A22" i="79"/>
  <c r="A21" i="79"/>
  <c r="A20" i="79"/>
  <c r="A19" i="79"/>
  <c r="A18" i="79"/>
  <c r="A17" i="79"/>
  <c r="A16" i="79"/>
  <c r="A15" i="79"/>
  <c r="A13" i="79"/>
  <c r="A12" i="79"/>
  <c r="A9" i="79"/>
  <c r="B3" i="79"/>
  <c r="B3" i="27" s="1"/>
  <c r="F180" i="78"/>
  <c r="F179" i="78"/>
  <c r="D179" i="78"/>
  <c r="D178" i="78"/>
  <c r="F178" i="78" s="1"/>
  <c r="F177" i="78"/>
  <c r="D177" i="78"/>
  <c r="D176" i="78"/>
  <c r="F176" i="78" s="1"/>
  <c r="F169" i="78"/>
  <c r="F165" i="78"/>
  <c r="E167" i="78" s="1"/>
  <c r="F167" i="78" s="1"/>
  <c r="E168" i="78" s="1"/>
  <c r="F161" i="78"/>
  <c r="E159" i="78"/>
  <c r="F159" i="78" s="1"/>
  <c r="E158" i="78"/>
  <c r="F154" i="78"/>
  <c r="E152" i="78"/>
  <c r="E150" i="78"/>
  <c r="E148" i="78"/>
  <c r="E146" i="78"/>
  <c r="D143" i="78"/>
  <c r="F137" i="78"/>
  <c r="F136" i="78"/>
  <c r="F135" i="78"/>
  <c r="I126" i="78"/>
  <c r="D120" i="78"/>
  <c r="D115" i="78"/>
  <c r="D132" i="78" s="1"/>
  <c r="D113" i="78"/>
  <c r="D112" i="78"/>
  <c r="D114" i="78" s="1"/>
  <c r="E111" i="78"/>
  <c r="E102" i="78"/>
  <c r="E103" i="78" s="1"/>
  <c r="F103" i="78" s="1"/>
  <c r="D89" i="78"/>
  <c r="E88" i="78"/>
  <c r="D83" i="78"/>
  <c r="F81" i="78"/>
  <c r="F74" i="78"/>
  <c r="F64" i="78"/>
  <c r="A64" i="78"/>
  <c r="A74" i="78" s="1"/>
  <c r="A81" i="78" s="1"/>
  <c r="D59" i="78"/>
  <c r="D66" i="78" s="1"/>
  <c r="F57" i="78"/>
  <c r="I43" i="78"/>
  <c r="G42" i="78"/>
  <c r="C141" i="78" s="1"/>
  <c r="F42" i="78"/>
  <c r="C46" i="78" s="1"/>
  <c r="G38" i="78"/>
  <c r="E143" i="78" s="1"/>
  <c r="E144" i="78" s="1"/>
  <c r="D36" i="78"/>
  <c r="F33" i="78"/>
  <c r="G32" i="78"/>
  <c r="E54" i="78" s="1"/>
  <c r="F54" i="78" s="1"/>
  <c r="F55" i="78" s="1"/>
  <c r="G31" i="78"/>
  <c r="E71" i="78" s="1"/>
  <c r="F71" i="78" s="1"/>
  <c r="F72" i="78" s="1"/>
  <c r="A25" i="78"/>
  <c r="A24" i="78"/>
  <c r="A23" i="78"/>
  <c r="A22" i="78"/>
  <c r="A21" i="78"/>
  <c r="A20" i="78"/>
  <c r="A19" i="78"/>
  <c r="A18" i="78"/>
  <c r="A17" i="78"/>
  <c r="A16" i="78"/>
  <c r="A15" i="78"/>
  <c r="A13" i="78"/>
  <c r="A12" i="78"/>
  <c r="A9" i="78"/>
  <c r="B3" i="78"/>
  <c r="E102" i="27"/>
  <c r="E88" i="27"/>
  <c r="G38" i="27"/>
  <c r="G32" i="27"/>
  <c r="G31" i="27"/>
  <c r="E137" i="46"/>
  <c r="G181" i="78" l="1"/>
  <c r="G181" i="79"/>
  <c r="D133" i="78"/>
  <c r="F133" i="78" s="1"/>
  <c r="E153" i="78"/>
  <c r="D134" i="78"/>
  <c r="F134" i="78" s="1"/>
  <c r="D126" i="78"/>
  <c r="D133" i="79"/>
  <c r="F133" i="79" s="1"/>
  <c r="E20" i="83"/>
  <c r="H171" i="83"/>
  <c r="C15" i="83"/>
  <c r="G12" i="83"/>
  <c r="E19" i="83"/>
  <c r="G16" i="83"/>
  <c r="G18" i="83"/>
  <c r="E17" i="83"/>
  <c r="E15" i="82"/>
  <c r="G20" i="82"/>
  <c r="G14" i="82"/>
  <c r="G19" i="82"/>
  <c r="G12" i="82"/>
  <c r="G17" i="82"/>
  <c r="E17" i="81"/>
  <c r="H171" i="81"/>
  <c r="C15" i="81"/>
  <c r="G12" i="81"/>
  <c r="G16" i="81"/>
  <c r="E19" i="81"/>
  <c r="E20" i="81"/>
  <c r="G18" i="81"/>
  <c r="F102" i="78"/>
  <c r="F102" i="79"/>
  <c r="H92" i="80"/>
  <c r="C12" i="80"/>
  <c r="E14" i="80"/>
  <c r="F162" i="80"/>
  <c r="G163" i="80" s="1"/>
  <c r="I160" i="80"/>
  <c r="E21" i="80"/>
  <c r="H185" i="80"/>
  <c r="C22" i="80"/>
  <c r="D124" i="80"/>
  <c r="D125" i="80" s="1"/>
  <c r="F155" i="80"/>
  <c r="G156" i="80" s="1"/>
  <c r="C16" i="80"/>
  <c r="H118" i="80"/>
  <c r="H141" i="80"/>
  <c r="C18" i="80"/>
  <c r="F104" i="79"/>
  <c r="F92" i="79"/>
  <c r="F127" i="79"/>
  <c r="F116" i="79"/>
  <c r="F98" i="79"/>
  <c r="F84" i="79"/>
  <c r="F67" i="79"/>
  <c r="F60" i="79"/>
  <c r="F77" i="79"/>
  <c r="E63" i="79"/>
  <c r="E56" i="79"/>
  <c r="E73" i="79"/>
  <c r="E80" i="79"/>
  <c r="H181" i="79"/>
  <c r="G183" i="79"/>
  <c r="E198" i="79"/>
  <c r="D168" i="79"/>
  <c r="F168" i="79" s="1"/>
  <c r="G169" i="79" s="1"/>
  <c r="D97" i="79"/>
  <c r="D90" i="79"/>
  <c r="D91" i="79"/>
  <c r="D144" i="79"/>
  <c r="E91" i="79"/>
  <c r="E90" i="79"/>
  <c r="D96" i="79"/>
  <c r="E119" i="79"/>
  <c r="F119" i="79" s="1"/>
  <c r="D121" i="79" s="1"/>
  <c r="F111" i="79"/>
  <c r="F104" i="78"/>
  <c r="F92" i="78"/>
  <c r="F127" i="78"/>
  <c r="F116" i="78"/>
  <c r="F98" i="78"/>
  <c r="F84" i="78"/>
  <c r="F67" i="78"/>
  <c r="F60" i="78"/>
  <c r="F77" i="78"/>
  <c r="E63" i="78"/>
  <c r="E56" i="78"/>
  <c r="E73" i="78"/>
  <c r="E80" i="78"/>
  <c r="H181" i="78"/>
  <c r="G183" i="78"/>
  <c r="E198" i="78"/>
  <c r="D168" i="78"/>
  <c r="F168" i="78" s="1"/>
  <c r="G169" i="78" s="1"/>
  <c r="D97" i="78"/>
  <c r="D90" i="78"/>
  <c r="D91" i="78"/>
  <c r="D144" i="78"/>
  <c r="E91" i="78"/>
  <c r="E90" i="78"/>
  <c r="D96" i="78"/>
  <c r="E119" i="78"/>
  <c r="F119" i="78" s="1"/>
  <c r="D121" i="78" s="1"/>
  <c r="F111" i="78"/>
  <c r="G17" i="83" l="1"/>
  <c r="G19" i="83"/>
  <c r="G20" i="83"/>
  <c r="E15" i="83"/>
  <c r="G15" i="82"/>
  <c r="G20" i="81"/>
  <c r="G17" i="81"/>
  <c r="G19" i="81"/>
  <c r="E15" i="81"/>
  <c r="G104" i="79"/>
  <c r="G104" i="78"/>
  <c r="C14" i="78" s="1"/>
  <c r="E18" i="80"/>
  <c r="E16" i="80"/>
  <c r="H156" i="80"/>
  <c r="C19" i="80"/>
  <c r="E22" i="80"/>
  <c r="G21" i="80"/>
  <c r="E12" i="80"/>
  <c r="H163" i="80"/>
  <c r="C20" i="80"/>
  <c r="G14" i="80"/>
  <c r="F90" i="79"/>
  <c r="C21" i="79"/>
  <c r="H169" i="79"/>
  <c r="H183" i="79"/>
  <c r="C22" i="79"/>
  <c r="E132" i="79"/>
  <c r="F132" i="79" s="1"/>
  <c r="E138" i="79" s="1"/>
  <c r="F138" i="79" s="1"/>
  <c r="G139" i="79" s="1"/>
  <c r="E113" i="79"/>
  <c r="F113" i="79" s="1"/>
  <c r="E114" i="79" s="1"/>
  <c r="F114" i="79" s="1"/>
  <c r="E115" i="79" s="1"/>
  <c r="F115" i="79" s="1"/>
  <c r="G116" i="79" s="1"/>
  <c r="D150" i="79"/>
  <c r="F150" i="79" s="1"/>
  <c r="D146" i="79"/>
  <c r="F146" i="79" s="1"/>
  <c r="D158" i="79"/>
  <c r="F158" i="79" s="1"/>
  <c r="D152" i="79"/>
  <c r="F152" i="79" s="1"/>
  <c r="D148" i="79"/>
  <c r="F148" i="79" s="1"/>
  <c r="F144" i="79"/>
  <c r="F91" i="79"/>
  <c r="G92" i="79" s="1"/>
  <c r="E237" i="79"/>
  <c r="E212" i="79"/>
  <c r="H104" i="79"/>
  <c r="C14" i="79"/>
  <c r="F90" i="78"/>
  <c r="C21" i="78"/>
  <c r="H169" i="78"/>
  <c r="H183" i="78"/>
  <c r="C22" i="78"/>
  <c r="E132" i="78"/>
  <c r="F132" i="78" s="1"/>
  <c r="E138" i="78" s="1"/>
  <c r="F138" i="78" s="1"/>
  <c r="G139" i="78" s="1"/>
  <c r="E113" i="78"/>
  <c r="F113" i="78" s="1"/>
  <c r="E114" i="78" s="1"/>
  <c r="F114" i="78" s="1"/>
  <c r="E115" i="78" s="1"/>
  <c r="F115" i="78" s="1"/>
  <c r="G116" i="78" s="1"/>
  <c r="D150" i="78"/>
  <c r="F150" i="78" s="1"/>
  <c r="D146" i="78"/>
  <c r="F146" i="78" s="1"/>
  <c r="D158" i="78"/>
  <c r="F158" i="78" s="1"/>
  <c r="D152" i="78"/>
  <c r="F152" i="78" s="1"/>
  <c r="D148" i="78"/>
  <c r="F148" i="78" s="1"/>
  <c r="F144" i="78"/>
  <c r="F91" i="78"/>
  <c r="G92" i="78" s="1"/>
  <c r="E237" i="78"/>
  <c r="E212" i="78"/>
  <c r="H104" i="78"/>
  <c r="A229" i="73"/>
  <c r="F182" i="75"/>
  <c r="D181" i="75"/>
  <c r="F181" i="75" s="1"/>
  <c r="D180" i="75"/>
  <c r="F180" i="75" s="1"/>
  <c r="D179" i="75"/>
  <c r="F179" i="75" s="1"/>
  <c r="D178" i="75"/>
  <c r="F178" i="75" s="1"/>
  <c r="F171" i="75"/>
  <c r="F167" i="75"/>
  <c r="E169" i="75" s="1"/>
  <c r="F169" i="75" s="1"/>
  <c r="E170" i="75" s="1"/>
  <c r="F163" i="75"/>
  <c r="F161" i="75"/>
  <c r="F156" i="75"/>
  <c r="E154" i="75"/>
  <c r="E152" i="75"/>
  <c r="E150" i="75"/>
  <c r="E148" i="75"/>
  <c r="D145" i="75"/>
  <c r="F139" i="75"/>
  <c r="F138" i="75"/>
  <c r="F137" i="75"/>
  <c r="I128" i="75"/>
  <c r="D117" i="75"/>
  <c r="D134" i="75" s="1"/>
  <c r="D116" i="75"/>
  <c r="E113" i="75"/>
  <c r="E121" i="75" s="1"/>
  <c r="F121" i="75" s="1"/>
  <c r="D123" i="75" s="1"/>
  <c r="D89" i="75"/>
  <c r="D96" i="75" s="1"/>
  <c r="D83" i="75"/>
  <c r="F81" i="75"/>
  <c r="A81" i="75"/>
  <c r="F74" i="75"/>
  <c r="A74" i="75"/>
  <c r="F64" i="75"/>
  <c r="A64" i="75"/>
  <c r="D59" i="75"/>
  <c r="D66" i="75" s="1"/>
  <c r="F57" i="75"/>
  <c r="G42" i="75"/>
  <c r="C143" i="75" s="1"/>
  <c r="F42" i="75"/>
  <c r="C46" i="75" s="1"/>
  <c r="D36" i="75"/>
  <c r="F33" i="75"/>
  <c r="A25" i="75"/>
  <c r="A24" i="75"/>
  <c r="A23" i="75"/>
  <c r="A22" i="75"/>
  <c r="A21" i="75"/>
  <c r="A20" i="75"/>
  <c r="A19" i="75"/>
  <c r="A18" i="75"/>
  <c r="A17" i="75"/>
  <c r="A16" i="75"/>
  <c r="A15" i="75"/>
  <c r="A13" i="75"/>
  <c r="A12" i="75"/>
  <c r="A9" i="75"/>
  <c r="F180" i="74"/>
  <c r="D179" i="74"/>
  <c r="F179" i="74" s="1"/>
  <c r="D178" i="74"/>
  <c r="F178" i="74" s="1"/>
  <c r="D177" i="74"/>
  <c r="F177" i="74" s="1"/>
  <c r="D176" i="74"/>
  <c r="F176" i="74" s="1"/>
  <c r="F169" i="74"/>
  <c r="F165" i="74"/>
  <c r="E167" i="74" s="1"/>
  <c r="F167" i="74" s="1"/>
  <c r="E168" i="74" s="1"/>
  <c r="F161" i="74"/>
  <c r="E159" i="74"/>
  <c r="F159" i="74" s="1"/>
  <c r="E158" i="74"/>
  <c r="F154" i="74"/>
  <c r="E152" i="74"/>
  <c r="E150" i="74"/>
  <c r="E148" i="74"/>
  <c r="E146" i="74"/>
  <c r="D143" i="74"/>
  <c r="F137" i="74"/>
  <c r="F136" i="74"/>
  <c r="F135" i="74"/>
  <c r="D134" i="74"/>
  <c r="F134" i="74" s="1"/>
  <c r="I126" i="74"/>
  <c r="D126" i="74"/>
  <c r="D120" i="74"/>
  <c r="D115" i="74"/>
  <c r="D132" i="74" s="1"/>
  <c r="D113" i="74"/>
  <c r="D112" i="74"/>
  <c r="D114" i="74" s="1"/>
  <c r="E111" i="74"/>
  <c r="E102" i="74"/>
  <c r="E103" i="74" s="1"/>
  <c r="F103" i="74" s="1"/>
  <c r="D96" i="74"/>
  <c r="D89" i="74"/>
  <c r="E88" i="74"/>
  <c r="D83" i="74"/>
  <c r="F81" i="74"/>
  <c r="F74" i="74"/>
  <c r="F64" i="74"/>
  <c r="A64" i="74"/>
  <c r="A74" i="74" s="1"/>
  <c r="A81" i="74" s="1"/>
  <c r="D59" i="74"/>
  <c r="D66" i="74" s="1"/>
  <c r="F57" i="74"/>
  <c r="I43" i="74"/>
  <c r="G42" i="74"/>
  <c r="C141" i="74" s="1"/>
  <c r="F42" i="74"/>
  <c r="C46" i="74" s="1"/>
  <c r="G38" i="74"/>
  <c r="E143" i="74" s="1"/>
  <c r="D36" i="74"/>
  <c r="F33" i="74"/>
  <c r="G32" i="74"/>
  <c r="E54" i="74" s="1"/>
  <c r="F54" i="74" s="1"/>
  <c r="G31" i="74"/>
  <c r="E71" i="74" s="1"/>
  <c r="F71" i="74" s="1"/>
  <c r="F72" i="74" s="1"/>
  <c r="A25" i="74"/>
  <c r="A24" i="74"/>
  <c r="A23" i="74"/>
  <c r="A22" i="74"/>
  <c r="A21" i="74"/>
  <c r="A20" i="74"/>
  <c r="A19" i="74"/>
  <c r="A18" i="74"/>
  <c r="A17" i="74"/>
  <c r="A16" i="74"/>
  <c r="A15" i="74"/>
  <c r="A13" i="74"/>
  <c r="A12" i="74"/>
  <c r="A9" i="74"/>
  <c r="B3" i="74"/>
  <c r="F180" i="73"/>
  <c r="D179" i="73"/>
  <c r="F179" i="73" s="1"/>
  <c r="D178" i="73"/>
  <c r="F178" i="73" s="1"/>
  <c r="D177" i="73"/>
  <c r="F177" i="73" s="1"/>
  <c r="D176" i="73"/>
  <c r="F176" i="73" s="1"/>
  <c r="F169" i="73"/>
  <c r="F165" i="73"/>
  <c r="E167" i="73" s="1"/>
  <c r="F167" i="73" s="1"/>
  <c r="E168" i="73" s="1"/>
  <c r="F161" i="73"/>
  <c r="E159" i="73"/>
  <c r="F159" i="73" s="1"/>
  <c r="E158" i="73"/>
  <c r="F154" i="73"/>
  <c r="E152" i="73"/>
  <c r="E150" i="73"/>
  <c r="E148" i="73"/>
  <c r="E146" i="73"/>
  <c r="D143" i="73"/>
  <c r="F137" i="73"/>
  <c r="F136" i="73"/>
  <c r="F135" i="73"/>
  <c r="I126" i="73"/>
  <c r="D115" i="73"/>
  <c r="D132" i="73" s="1"/>
  <c r="D113" i="73"/>
  <c r="D112" i="73"/>
  <c r="D114" i="73" s="1"/>
  <c r="E111" i="73"/>
  <c r="E102" i="73"/>
  <c r="E103" i="73" s="1"/>
  <c r="F103" i="73" s="1"/>
  <c r="D89" i="73"/>
  <c r="D96" i="73" s="1"/>
  <c r="E88" i="73"/>
  <c r="D83" i="73"/>
  <c r="F81" i="73"/>
  <c r="F74" i="73"/>
  <c r="F64" i="73"/>
  <c r="A64" i="73"/>
  <c r="A74" i="73" s="1"/>
  <c r="A81" i="73" s="1"/>
  <c r="D59" i="73"/>
  <c r="D66" i="73" s="1"/>
  <c r="F57" i="73"/>
  <c r="I43" i="73"/>
  <c r="G42" i="73"/>
  <c r="C141" i="73" s="1"/>
  <c r="F42" i="73"/>
  <c r="C46" i="73" s="1"/>
  <c r="E143" i="73"/>
  <c r="E144" i="73" s="1"/>
  <c r="E153" i="73" s="1"/>
  <c r="D36" i="73"/>
  <c r="F33" i="73"/>
  <c r="G32" i="73"/>
  <c r="E54" i="73" s="1"/>
  <c r="F54" i="73" s="1"/>
  <c r="G31" i="73"/>
  <c r="E71" i="73" s="1"/>
  <c r="F71" i="73" s="1"/>
  <c r="F72" i="73" s="1"/>
  <c r="A25" i="73"/>
  <c r="A24" i="73"/>
  <c r="A23" i="73"/>
  <c r="A22" i="73"/>
  <c r="A21" i="73"/>
  <c r="A20" i="73"/>
  <c r="A19" i="73"/>
  <c r="A18" i="73"/>
  <c r="A17" i="73"/>
  <c r="A16" i="73"/>
  <c r="A15" i="73"/>
  <c r="A13" i="73"/>
  <c r="A12" i="73"/>
  <c r="A9" i="73"/>
  <c r="I43" i="72"/>
  <c r="F180" i="72"/>
  <c r="D179" i="72"/>
  <c r="F179" i="72" s="1"/>
  <c r="D178" i="72"/>
  <c r="F178" i="72" s="1"/>
  <c r="D177" i="72"/>
  <c r="F177" i="72" s="1"/>
  <c r="D176" i="72"/>
  <c r="F176" i="72" s="1"/>
  <c r="F169" i="72"/>
  <c r="F165" i="72"/>
  <c r="E167" i="72" s="1"/>
  <c r="F167" i="72" s="1"/>
  <c r="E168" i="72" s="1"/>
  <c r="F161" i="72"/>
  <c r="E159" i="72"/>
  <c r="F159" i="72" s="1"/>
  <c r="E158" i="72"/>
  <c r="F154" i="72"/>
  <c r="E152" i="72"/>
  <c r="E150" i="72"/>
  <c r="E148" i="72"/>
  <c r="E146" i="72"/>
  <c r="D143" i="72"/>
  <c r="F137" i="72"/>
  <c r="F136" i="72"/>
  <c r="F135" i="72"/>
  <c r="I126" i="72"/>
  <c r="D115" i="72"/>
  <c r="D132" i="72" s="1"/>
  <c r="D113" i="72"/>
  <c r="D112" i="72"/>
  <c r="D114" i="72" s="1"/>
  <c r="E111" i="72"/>
  <c r="E102" i="72"/>
  <c r="E103" i="72" s="1"/>
  <c r="F103" i="72" s="1"/>
  <c r="D89" i="72"/>
  <c r="D91" i="72" s="1"/>
  <c r="E88" i="72"/>
  <c r="D83" i="72"/>
  <c r="F81" i="72"/>
  <c r="F74" i="72"/>
  <c r="F64" i="72"/>
  <c r="A64" i="72"/>
  <c r="A74" i="72" s="1"/>
  <c r="A81" i="72" s="1"/>
  <c r="D59" i="72"/>
  <c r="D66" i="72" s="1"/>
  <c r="F57" i="72"/>
  <c r="G42" i="72"/>
  <c r="C141" i="72" s="1"/>
  <c r="F42" i="72"/>
  <c r="C46" i="72" s="1"/>
  <c r="E143" i="72"/>
  <c r="D36" i="72"/>
  <c r="F33" i="72"/>
  <c r="G32" i="72"/>
  <c r="E54" i="72" s="1"/>
  <c r="F54" i="72" s="1"/>
  <c r="F55" i="72" s="1"/>
  <c r="G31" i="72"/>
  <c r="E71" i="72" s="1"/>
  <c r="F71" i="72" s="1"/>
  <c r="F72" i="72" s="1"/>
  <c r="A25" i="72"/>
  <c r="A24" i="72"/>
  <c r="A23" i="72"/>
  <c r="A22" i="72"/>
  <c r="A21" i="72"/>
  <c r="A20" i="72"/>
  <c r="A19" i="72"/>
  <c r="A18" i="72"/>
  <c r="A17" i="72"/>
  <c r="A16" i="72"/>
  <c r="A15" i="72"/>
  <c r="A13" i="72"/>
  <c r="A12" i="72"/>
  <c r="A9" i="72"/>
  <c r="G183" i="75" l="1"/>
  <c r="D134" i="72"/>
  <c r="F134" i="72" s="1"/>
  <c r="D126" i="72"/>
  <c r="E144" i="72"/>
  <c r="E153" i="72" s="1"/>
  <c r="D133" i="72"/>
  <c r="F133" i="72" s="1"/>
  <c r="G181" i="73"/>
  <c r="G183" i="73" s="1"/>
  <c r="C22" i="73" s="1"/>
  <c r="E144" i="74"/>
  <c r="E153" i="74" s="1"/>
  <c r="D133" i="74"/>
  <c r="F133" i="74" s="1"/>
  <c r="G181" i="74"/>
  <c r="G183" i="74" s="1"/>
  <c r="C22" i="74" s="1"/>
  <c r="G15" i="83"/>
  <c r="G15" i="81"/>
  <c r="F102" i="74"/>
  <c r="F102" i="72"/>
  <c r="D126" i="73"/>
  <c r="D133" i="73"/>
  <c r="F133" i="73" s="1"/>
  <c r="D134" i="73"/>
  <c r="F134" i="73" s="1"/>
  <c r="F102" i="73"/>
  <c r="E20" i="80"/>
  <c r="G12" i="80"/>
  <c r="E19" i="80"/>
  <c r="G22" i="80"/>
  <c r="G16" i="80"/>
  <c r="G18" i="80"/>
  <c r="H92" i="79"/>
  <c r="C12" i="79"/>
  <c r="I158" i="79"/>
  <c r="F160" i="79"/>
  <c r="G161" i="79" s="1"/>
  <c r="H139" i="79"/>
  <c r="C18" i="79"/>
  <c r="E21" i="79"/>
  <c r="E14" i="79"/>
  <c r="F153" i="79"/>
  <c r="G154" i="79" s="1"/>
  <c r="H116" i="79"/>
  <c r="C16" i="79"/>
  <c r="D122" i="79"/>
  <c r="D123" i="79" s="1"/>
  <c r="E124" i="79" s="1"/>
  <c r="F124" i="79" s="1"/>
  <c r="F125" i="79" s="1"/>
  <c r="E126" i="79" s="1"/>
  <c r="F126" i="79" s="1"/>
  <c r="G127" i="79" s="1"/>
  <c r="E22" i="79"/>
  <c r="H92" i="78"/>
  <c r="C12" i="78"/>
  <c r="I158" i="78"/>
  <c r="F160" i="78"/>
  <c r="G161" i="78" s="1"/>
  <c r="H139" i="78"/>
  <c r="C18" i="78"/>
  <c r="E21" i="78"/>
  <c r="E14" i="78"/>
  <c r="F153" i="78"/>
  <c r="G154" i="78" s="1"/>
  <c r="H116" i="78"/>
  <c r="C16" i="78"/>
  <c r="D122" i="78"/>
  <c r="D123" i="78" s="1"/>
  <c r="E124" i="78" s="1"/>
  <c r="F124" i="78" s="1"/>
  <c r="F125" i="78" s="1"/>
  <c r="E126" i="78" s="1"/>
  <c r="F126" i="78" s="1"/>
  <c r="G127" i="78" s="1"/>
  <c r="E22" i="78"/>
  <c r="H183" i="74"/>
  <c r="H183" i="73"/>
  <c r="F118" i="75"/>
  <c r="F98" i="75"/>
  <c r="F84" i="75"/>
  <c r="F77" i="75"/>
  <c r="F67" i="75"/>
  <c r="F129" i="75"/>
  <c r="F104" i="75"/>
  <c r="F92" i="75"/>
  <c r="F60" i="75"/>
  <c r="D146" i="75"/>
  <c r="E200" i="75"/>
  <c r="D170" i="75"/>
  <c r="F170" i="75" s="1"/>
  <c r="G171" i="75" s="1"/>
  <c r="G185" i="75"/>
  <c r="H183" i="75"/>
  <c r="D90" i="75"/>
  <c r="D97" i="75"/>
  <c r="F113" i="75"/>
  <c r="D128" i="75"/>
  <c r="D135" i="75"/>
  <c r="F135" i="75" s="1"/>
  <c r="D136" i="75"/>
  <c r="F136" i="75" s="1"/>
  <c r="D91" i="75"/>
  <c r="F104" i="74"/>
  <c r="F92" i="74"/>
  <c r="F77" i="74"/>
  <c r="F67" i="74"/>
  <c r="F60" i="74"/>
  <c r="F127" i="74"/>
  <c r="F116" i="74"/>
  <c r="F98" i="74"/>
  <c r="F84" i="74"/>
  <c r="E90" i="74"/>
  <c r="F55" i="74"/>
  <c r="E73" i="74"/>
  <c r="E80" i="74"/>
  <c r="D144" i="74"/>
  <c r="D168" i="74"/>
  <c r="F168" i="74" s="1"/>
  <c r="G169" i="74" s="1"/>
  <c r="E198" i="74"/>
  <c r="E22" i="74"/>
  <c r="E91" i="74"/>
  <c r="E119" i="74"/>
  <c r="F119" i="74" s="1"/>
  <c r="D121" i="74" s="1"/>
  <c r="F111" i="74"/>
  <c r="D97" i="74"/>
  <c r="D90" i="74"/>
  <c r="D91" i="74"/>
  <c r="F91" i="74" s="1"/>
  <c r="H181" i="74"/>
  <c r="F104" i="73"/>
  <c r="G104" i="73" s="1"/>
  <c r="F92" i="73"/>
  <c r="F77" i="73"/>
  <c r="F67" i="73"/>
  <c r="F60" i="73"/>
  <c r="F127" i="73"/>
  <c r="F116" i="73"/>
  <c r="F98" i="73"/>
  <c r="F84" i="73"/>
  <c r="E90" i="73"/>
  <c r="F55" i="73"/>
  <c r="E73" i="73"/>
  <c r="E80" i="73"/>
  <c r="D144" i="73"/>
  <c r="D168" i="73"/>
  <c r="F168" i="73" s="1"/>
  <c r="G169" i="73" s="1"/>
  <c r="E198" i="73"/>
  <c r="E22" i="73"/>
  <c r="E91" i="73"/>
  <c r="E119" i="73"/>
  <c r="F119" i="73" s="1"/>
  <c r="D121" i="73" s="1"/>
  <c r="F111" i="73"/>
  <c r="D97" i="73"/>
  <c r="D90" i="73"/>
  <c r="D91" i="73"/>
  <c r="H181" i="73"/>
  <c r="E56" i="72"/>
  <c r="E63" i="72"/>
  <c r="E73" i="72"/>
  <c r="E80" i="72"/>
  <c r="D144" i="72"/>
  <c r="E198" i="72"/>
  <c r="F104" i="72"/>
  <c r="F92" i="72"/>
  <c r="F127" i="72"/>
  <c r="F116" i="72"/>
  <c r="F98" i="72"/>
  <c r="F84" i="72"/>
  <c r="F60" i="72"/>
  <c r="F67" i="72"/>
  <c r="F77" i="72"/>
  <c r="D97" i="72"/>
  <c r="D90" i="72"/>
  <c r="D96" i="72"/>
  <c r="E90" i="72"/>
  <c r="D168" i="72"/>
  <c r="F168" i="72" s="1"/>
  <c r="G169" i="72" s="1"/>
  <c r="E91" i="72"/>
  <c r="F91" i="72" s="1"/>
  <c r="E119" i="72"/>
  <c r="F119" i="72" s="1"/>
  <c r="D121" i="72" s="1"/>
  <c r="F111" i="72"/>
  <c r="G181" i="72"/>
  <c r="I43" i="57"/>
  <c r="I43" i="55"/>
  <c r="G104" i="74" l="1"/>
  <c r="G104" i="72"/>
  <c r="C14" i="72" s="1"/>
  <c r="F91" i="73"/>
  <c r="G19" i="80"/>
  <c r="G20" i="80"/>
  <c r="G22" i="79"/>
  <c r="C17" i="79"/>
  <c r="H127" i="79"/>
  <c r="H154" i="79"/>
  <c r="C19" i="79"/>
  <c r="G21" i="79"/>
  <c r="E12" i="79"/>
  <c r="E16" i="79"/>
  <c r="G171" i="79"/>
  <c r="G14" i="79"/>
  <c r="E18" i="79"/>
  <c r="H161" i="79"/>
  <c r="C20" i="79"/>
  <c r="G22" i="78"/>
  <c r="C17" i="78"/>
  <c r="H127" i="78"/>
  <c r="H154" i="78"/>
  <c r="C19" i="78"/>
  <c r="G21" i="78"/>
  <c r="E12" i="78"/>
  <c r="E16" i="78"/>
  <c r="G171" i="78"/>
  <c r="G14" i="78"/>
  <c r="E18" i="78"/>
  <c r="H161" i="78"/>
  <c r="C20" i="78"/>
  <c r="E115" i="75"/>
  <c r="F115" i="75" s="1"/>
  <c r="E116" i="75" s="1"/>
  <c r="F116" i="75" s="1"/>
  <c r="E117" i="75" s="1"/>
  <c r="F117" i="75" s="1"/>
  <c r="G118" i="75" s="1"/>
  <c r="E134" i="75"/>
  <c r="F134" i="75" s="1"/>
  <c r="E140" i="75" s="1"/>
  <c r="F140" i="75" s="1"/>
  <c r="G141" i="75" s="1"/>
  <c r="E214" i="75"/>
  <c r="E239" i="75"/>
  <c r="H185" i="75"/>
  <c r="C22" i="75"/>
  <c r="H171" i="75"/>
  <c r="C21" i="75"/>
  <c r="D160" i="75"/>
  <c r="F160" i="75" s="1"/>
  <c r="D154" i="75"/>
  <c r="F154" i="75" s="1"/>
  <c r="D150" i="75"/>
  <c r="F150" i="75" s="1"/>
  <c r="D152" i="75"/>
  <c r="F152" i="75" s="1"/>
  <c r="D148" i="75"/>
  <c r="F148" i="75" s="1"/>
  <c r="G22" i="74"/>
  <c r="E237" i="74"/>
  <c r="E212" i="74"/>
  <c r="D158" i="74"/>
  <c r="F158" i="74" s="1"/>
  <c r="D152" i="74"/>
  <c r="F152" i="74" s="1"/>
  <c r="D148" i="74"/>
  <c r="F148" i="74" s="1"/>
  <c r="F144" i="74"/>
  <c r="D150" i="74"/>
  <c r="F150" i="74" s="1"/>
  <c r="D146" i="74"/>
  <c r="F146" i="74" s="1"/>
  <c r="F90" i="74"/>
  <c r="G92" i="74" s="1"/>
  <c r="E113" i="74"/>
  <c r="F113" i="74" s="1"/>
  <c r="E114" i="74" s="1"/>
  <c r="F114" i="74" s="1"/>
  <c r="E115" i="74" s="1"/>
  <c r="F115" i="74" s="1"/>
  <c r="G116" i="74" s="1"/>
  <c r="E132" i="74"/>
  <c r="F132" i="74" s="1"/>
  <c r="E138" i="74" s="1"/>
  <c r="F138" i="74" s="1"/>
  <c r="G139" i="74" s="1"/>
  <c r="H169" i="74"/>
  <c r="C21" i="74"/>
  <c r="E63" i="74"/>
  <c r="E56" i="74"/>
  <c r="H104" i="74"/>
  <c r="C14" i="74"/>
  <c r="G22" i="73"/>
  <c r="E237" i="73"/>
  <c r="E212" i="73"/>
  <c r="D158" i="73"/>
  <c r="F158" i="73" s="1"/>
  <c r="D152" i="73"/>
  <c r="F152" i="73" s="1"/>
  <c r="D148" i="73"/>
  <c r="F148" i="73" s="1"/>
  <c r="F144" i="73"/>
  <c r="D150" i="73"/>
  <c r="F150" i="73" s="1"/>
  <c r="D146" i="73"/>
  <c r="F146" i="73" s="1"/>
  <c r="F90" i="73"/>
  <c r="G92" i="73" s="1"/>
  <c r="E113" i="73"/>
  <c r="F113" i="73" s="1"/>
  <c r="E114" i="73" s="1"/>
  <c r="F114" i="73" s="1"/>
  <c r="E115" i="73" s="1"/>
  <c r="F115" i="73" s="1"/>
  <c r="G116" i="73" s="1"/>
  <c r="E132" i="73"/>
  <c r="F132" i="73" s="1"/>
  <c r="E138" i="73" s="1"/>
  <c r="F138" i="73" s="1"/>
  <c r="G139" i="73" s="1"/>
  <c r="H169" i="73"/>
  <c r="C21" i="73"/>
  <c r="E63" i="73"/>
  <c r="E56" i="73"/>
  <c r="H104" i="73"/>
  <c r="C14" i="73"/>
  <c r="E132" i="72"/>
  <c r="F132" i="72" s="1"/>
  <c r="E138" i="72" s="1"/>
  <c r="F138" i="72" s="1"/>
  <c r="G139" i="72" s="1"/>
  <c r="E113" i="72"/>
  <c r="F113" i="72" s="1"/>
  <c r="E114" i="72" s="1"/>
  <c r="F114" i="72" s="1"/>
  <c r="E115" i="72" s="1"/>
  <c r="F115" i="72" s="1"/>
  <c r="G116" i="72" s="1"/>
  <c r="F90" i="72"/>
  <c r="G92" i="72" s="1"/>
  <c r="D158" i="72"/>
  <c r="F158" i="72" s="1"/>
  <c r="D152" i="72"/>
  <c r="F152" i="72" s="1"/>
  <c r="D148" i="72"/>
  <c r="F148" i="72" s="1"/>
  <c r="F144" i="72"/>
  <c r="D150" i="72"/>
  <c r="F150" i="72" s="1"/>
  <c r="D146" i="72"/>
  <c r="F146" i="72" s="1"/>
  <c r="G183" i="72"/>
  <c r="H181" i="72"/>
  <c r="H169" i="72"/>
  <c r="C21" i="72"/>
  <c r="H104" i="72"/>
  <c r="E237" i="72"/>
  <c r="E212" i="72"/>
  <c r="D122" i="74" l="1"/>
  <c r="D123" i="74" s="1"/>
  <c r="E124" i="74" s="1"/>
  <c r="F124" i="74" s="1"/>
  <c r="F125" i="74" s="1"/>
  <c r="E126" i="74" s="1"/>
  <c r="F126" i="74" s="1"/>
  <c r="G127" i="74" s="1"/>
  <c r="C17" i="74" s="1"/>
  <c r="G16" i="79"/>
  <c r="E19" i="79"/>
  <c r="E20" i="79"/>
  <c r="G18" i="79"/>
  <c r="H171" i="79"/>
  <c r="C15" i="79"/>
  <c r="G12" i="79"/>
  <c r="E17" i="79"/>
  <c r="G16" i="78"/>
  <c r="E19" i="78"/>
  <c r="E20" i="78"/>
  <c r="G18" i="78"/>
  <c r="H171" i="78"/>
  <c r="C15" i="78"/>
  <c r="G12" i="78"/>
  <c r="E17" i="78"/>
  <c r="D122" i="73"/>
  <c r="D123" i="73" s="1"/>
  <c r="E124" i="73" s="1"/>
  <c r="F124" i="73" s="1"/>
  <c r="F125" i="73" s="1"/>
  <c r="E126" i="73" s="1"/>
  <c r="F126" i="73" s="1"/>
  <c r="G127" i="73" s="1"/>
  <c r="C17" i="73" s="1"/>
  <c r="D124" i="75"/>
  <c r="D125" i="75" s="1"/>
  <c r="F162" i="75"/>
  <c r="G163" i="75" s="1"/>
  <c r="I160" i="75"/>
  <c r="E22" i="75"/>
  <c r="H141" i="75"/>
  <c r="C18" i="75"/>
  <c r="E21" i="75"/>
  <c r="H118" i="75"/>
  <c r="C16" i="75"/>
  <c r="E21" i="74"/>
  <c r="H139" i="74"/>
  <c r="C18" i="74"/>
  <c r="H92" i="74"/>
  <c r="C12" i="74"/>
  <c r="F153" i="74"/>
  <c r="G154" i="74" s="1"/>
  <c r="E14" i="74"/>
  <c r="H116" i="74"/>
  <c r="C16" i="74"/>
  <c r="F160" i="74"/>
  <c r="G161" i="74" s="1"/>
  <c r="I158" i="74"/>
  <c r="E21" i="73"/>
  <c r="H139" i="73"/>
  <c r="C18" i="73"/>
  <c r="H92" i="73"/>
  <c r="C12" i="73"/>
  <c r="F153" i="73"/>
  <c r="G154" i="73" s="1"/>
  <c r="E14" i="73"/>
  <c r="H116" i="73"/>
  <c r="C16" i="73"/>
  <c r="F160" i="73"/>
  <c r="G161" i="73" s="1"/>
  <c r="I158" i="73"/>
  <c r="H92" i="72"/>
  <c r="C12" i="72"/>
  <c r="E21" i="72"/>
  <c r="H183" i="72"/>
  <c r="C22" i="72"/>
  <c r="F160" i="72"/>
  <c r="G161" i="72" s="1"/>
  <c r="I158" i="72"/>
  <c r="H116" i="72"/>
  <c r="C16" i="72"/>
  <c r="D122" i="72"/>
  <c r="D123" i="72" s="1"/>
  <c r="E124" i="72" s="1"/>
  <c r="F124" i="72" s="1"/>
  <c r="F125" i="72" s="1"/>
  <c r="E126" i="72" s="1"/>
  <c r="F126" i="72" s="1"/>
  <c r="G127" i="72" s="1"/>
  <c r="E14" i="72"/>
  <c r="F153" i="72"/>
  <c r="G154" i="72" s="1"/>
  <c r="H139" i="72"/>
  <c r="C18" i="72"/>
  <c r="H127" i="74" l="1"/>
  <c r="H127" i="73"/>
  <c r="E15" i="79"/>
  <c r="G19" i="79"/>
  <c r="G17" i="79"/>
  <c r="G20" i="79"/>
  <c r="E15" i="78"/>
  <c r="G19" i="78"/>
  <c r="G17" i="78"/>
  <c r="G20" i="78"/>
  <c r="E16" i="75"/>
  <c r="H163" i="75"/>
  <c r="C20" i="75"/>
  <c r="G21" i="75"/>
  <c r="E18" i="75"/>
  <c r="G22" i="75"/>
  <c r="H161" i="74"/>
  <c r="C20" i="74"/>
  <c r="G14" i="74"/>
  <c r="E12" i="74"/>
  <c r="E18" i="74"/>
  <c r="E16" i="74"/>
  <c r="G171" i="74"/>
  <c r="C19" i="74"/>
  <c r="H154" i="74"/>
  <c r="G21" i="74"/>
  <c r="E17" i="74"/>
  <c r="H161" i="73"/>
  <c r="C20" i="73"/>
  <c r="G14" i="73"/>
  <c r="E12" i="73"/>
  <c r="E18" i="73"/>
  <c r="E16" i="73"/>
  <c r="G171" i="73"/>
  <c r="C19" i="73"/>
  <c r="H154" i="73"/>
  <c r="G21" i="73"/>
  <c r="E17" i="73"/>
  <c r="E18" i="72"/>
  <c r="H154" i="72"/>
  <c r="C19" i="72"/>
  <c r="E16" i="72"/>
  <c r="G171" i="72"/>
  <c r="H161" i="72"/>
  <c r="C20" i="72"/>
  <c r="G14" i="72"/>
  <c r="H127" i="72"/>
  <c r="C17" i="72"/>
  <c r="E22" i="72"/>
  <c r="G21" i="72"/>
  <c r="E12" i="72"/>
  <c r="F42" i="47"/>
  <c r="C46" i="47"/>
  <c r="G15" i="79" l="1"/>
  <c r="G15" i="78"/>
  <c r="G18" i="75"/>
  <c r="G16" i="75"/>
  <c r="E20" i="75"/>
  <c r="H171" i="74"/>
  <c r="C15" i="74"/>
  <c r="G12" i="74"/>
  <c r="G17" i="74"/>
  <c r="E19" i="74"/>
  <c r="G16" i="74"/>
  <c r="G18" i="74"/>
  <c r="E20" i="74"/>
  <c r="H171" i="73"/>
  <c r="C15" i="73"/>
  <c r="G12" i="73"/>
  <c r="G17" i="73"/>
  <c r="E19" i="73"/>
  <c r="G16" i="73"/>
  <c r="G18" i="73"/>
  <c r="E20" i="73"/>
  <c r="G22" i="72"/>
  <c r="E20" i="72"/>
  <c r="H171" i="72"/>
  <c r="C15" i="72"/>
  <c r="G12" i="72"/>
  <c r="E17" i="72"/>
  <c r="G16" i="72"/>
  <c r="E19" i="72"/>
  <c r="G18" i="72"/>
  <c r="G20" i="75" l="1"/>
  <c r="G20" i="74"/>
  <c r="G19" i="74"/>
  <c r="E15" i="74"/>
  <c r="G20" i="73"/>
  <c r="G19" i="73"/>
  <c r="E15" i="73"/>
  <c r="G20" i="72"/>
  <c r="G19" i="72"/>
  <c r="G17" i="72"/>
  <c r="E15" i="72"/>
  <c r="F103" i="57"/>
  <c r="F102" i="57"/>
  <c r="E102" i="47"/>
  <c r="E103" i="47" s="1"/>
  <c r="F103" i="47" s="1"/>
  <c r="F103" i="46"/>
  <c r="F102" i="46"/>
  <c r="E96" i="46"/>
  <c r="A81" i="57"/>
  <c r="F74" i="57"/>
  <c r="A74" i="57"/>
  <c r="F64" i="57"/>
  <c r="A64" i="57"/>
  <c r="F57" i="57"/>
  <c r="F81" i="55"/>
  <c r="A81" i="55"/>
  <c r="F74" i="55"/>
  <c r="A74" i="55"/>
  <c r="F64" i="55"/>
  <c r="A64" i="55"/>
  <c r="F57" i="55"/>
  <c r="F81" i="61"/>
  <c r="A81" i="61"/>
  <c r="F74" i="61"/>
  <c r="A74" i="61"/>
  <c r="F64" i="61"/>
  <c r="A64" i="61"/>
  <c r="F57" i="61"/>
  <c r="G31" i="47"/>
  <c r="F81" i="30"/>
  <c r="A81" i="30"/>
  <c r="F74" i="30"/>
  <c r="A74" i="30"/>
  <c r="F64" i="30"/>
  <c r="A64" i="30"/>
  <c r="F57" i="30"/>
  <c r="F81" i="27"/>
  <c r="F74" i="27"/>
  <c r="A74" i="27"/>
  <c r="A81" i="27" s="1"/>
  <c r="F64" i="27"/>
  <c r="A64" i="27"/>
  <c r="F57" i="27"/>
  <c r="F81" i="47"/>
  <c r="F74" i="47"/>
  <c r="F64" i="47"/>
  <c r="A64" i="47"/>
  <c r="A74" i="47" s="1"/>
  <c r="A81" i="47" s="1"/>
  <c r="F57" i="47"/>
  <c r="F81" i="46"/>
  <c r="F64" i="46"/>
  <c r="F74" i="46"/>
  <c r="E96" i="83" l="1"/>
  <c r="E96" i="82"/>
  <c r="E96" i="81"/>
  <c r="E96" i="80"/>
  <c r="E96" i="75"/>
  <c r="E96" i="78"/>
  <c r="E96" i="79"/>
  <c r="E96" i="27"/>
  <c r="E96" i="72"/>
  <c r="E96" i="74"/>
  <c r="E96" i="73"/>
  <c r="F102" i="47"/>
  <c r="G31" i="30"/>
  <c r="G31" i="61" s="1"/>
  <c r="G31" i="55" s="1"/>
  <c r="E71" i="75"/>
  <c r="F71" i="75" s="1"/>
  <c r="F72" i="75" s="1"/>
  <c r="F102" i="27"/>
  <c r="G15" i="74"/>
  <c r="G15" i="73"/>
  <c r="G15" i="72"/>
  <c r="G31" i="57"/>
  <c r="E97" i="80" l="1"/>
  <c r="F97" i="80" s="1"/>
  <c r="F96" i="80"/>
  <c r="G98" i="80" s="1"/>
  <c r="E97" i="73"/>
  <c r="F97" i="73" s="1"/>
  <c r="F96" i="73"/>
  <c r="G98" i="73" s="1"/>
  <c r="E97" i="79"/>
  <c r="F97" i="79" s="1"/>
  <c r="F96" i="79"/>
  <c r="G98" i="79" s="1"/>
  <c r="E97" i="81"/>
  <c r="F97" i="81" s="1"/>
  <c r="F96" i="81"/>
  <c r="G98" i="81" s="1"/>
  <c r="E97" i="74"/>
  <c r="F97" i="74" s="1"/>
  <c r="F96" i="74"/>
  <c r="G98" i="74" s="1"/>
  <c r="E97" i="78"/>
  <c r="F97" i="78" s="1"/>
  <c r="F96" i="78"/>
  <c r="G98" i="78" s="1"/>
  <c r="E97" i="82"/>
  <c r="F97" i="82" s="1"/>
  <c r="F96" i="82"/>
  <c r="G98" i="82" s="1"/>
  <c r="E97" i="72"/>
  <c r="F97" i="72" s="1"/>
  <c r="F96" i="72"/>
  <c r="G98" i="72" s="1"/>
  <c r="E97" i="83"/>
  <c r="F97" i="83" s="1"/>
  <c r="F96" i="83"/>
  <c r="G98" i="83" s="1"/>
  <c r="E80" i="75"/>
  <c r="E73" i="75"/>
  <c r="E103" i="27"/>
  <c r="F103" i="27" s="1"/>
  <c r="E102" i="30"/>
  <c r="E103" i="75"/>
  <c r="F103" i="75" s="1"/>
  <c r="F102" i="75"/>
  <c r="C13" i="73" l="1"/>
  <c r="E13" i="73" s="1"/>
  <c r="G13" i="73" s="1"/>
  <c r="H98" i="73"/>
  <c r="G104" i="75"/>
  <c r="H98" i="72"/>
  <c r="C13" i="72"/>
  <c r="E13" i="72" s="1"/>
  <c r="G13" i="72" s="1"/>
  <c r="H98" i="78"/>
  <c r="C13" i="78"/>
  <c r="C13" i="83"/>
  <c r="H98" i="83"/>
  <c r="H98" i="82"/>
  <c r="C13" i="82"/>
  <c r="C13" i="74"/>
  <c r="E13" i="74" s="1"/>
  <c r="G13" i="74" s="1"/>
  <c r="H98" i="74"/>
  <c r="H98" i="79"/>
  <c r="C13" i="79"/>
  <c r="H98" i="80"/>
  <c r="C13" i="80"/>
  <c r="E13" i="80" s="1"/>
  <c r="G13" i="80" s="1"/>
  <c r="C13" i="81"/>
  <c r="H98" i="81"/>
  <c r="H104" i="75"/>
  <c r="C14" i="75"/>
  <c r="E14" i="75" s="1"/>
  <c r="G14" i="75" s="1"/>
  <c r="E103" i="30"/>
  <c r="F103" i="30" s="1"/>
  <c r="E102" i="61"/>
  <c r="F102" i="30"/>
  <c r="F138" i="55"/>
  <c r="E13" i="81" l="1"/>
  <c r="E13" i="83"/>
  <c r="E13" i="78"/>
  <c r="E13" i="79"/>
  <c r="E13" i="82"/>
  <c r="F102" i="61"/>
  <c r="E103" i="61"/>
  <c r="F137" i="61"/>
  <c r="F137" i="30"/>
  <c r="G13" i="79" l="1"/>
  <c r="G13" i="83"/>
  <c r="G13" i="82"/>
  <c r="G13" i="78"/>
  <c r="G13" i="81"/>
  <c r="F103" i="61"/>
  <c r="E103" i="55"/>
  <c r="E104" i="55" l="1"/>
  <c r="F104" i="55" s="1"/>
  <c r="F103" i="55"/>
  <c r="D113" i="47"/>
  <c r="D115" i="30" l="1"/>
  <c r="D115" i="61" s="1"/>
  <c r="E159" i="47" l="1"/>
  <c r="E161" i="30" l="1"/>
  <c r="E161" i="61" s="1"/>
  <c r="E97" i="46" l="1"/>
  <c r="E96" i="47"/>
  <c r="B3" i="47"/>
  <c r="E97" i="47" l="1"/>
  <c r="F42" i="27"/>
  <c r="B3" i="30" l="1"/>
  <c r="B3" i="61" s="1"/>
  <c r="B3" i="55" s="1"/>
  <c r="E88" i="47"/>
  <c r="E158" i="47"/>
  <c r="D120" i="47"/>
  <c r="G38" i="47"/>
  <c r="B3" i="57" l="1"/>
  <c r="B3" i="75"/>
  <c r="B3" i="80" s="1"/>
  <c r="E91" i="75"/>
  <c r="F91" i="75" s="1"/>
  <c r="E145" i="75"/>
  <c r="E146" i="75" s="1"/>
  <c r="E97" i="75" l="1"/>
  <c r="F97" i="75" s="1"/>
  <c r="F96" i="75"/>
  <c r="E155" i="75"/>
  <c r="F146" i="75"/>
  <c r="F155" i="75" s="1"/>
  <c r="G156" i="75" s="1"/>
  <c r="G98" i="75" l="1"/>
  <c r="C13" i="75" s="1"/>
  <c r="E13" i="75" s="1"/>
  <c r="G13" i="75" s="1"/>
  <c r="C19" i="75"/>
  <c r="E19" i="75" s="1"/>
  <c r="G19" i="75" s="1"/>
  <c r="H156" i="75"/>
  <c r="D122" i="30"/>
  <c r="D122" i="61" s="1"/>
  <c r="D122" i="57" s="1"/>
  <c r="D123" i="55" s="1"/>
  <c r="D122" i="75" s="1"/>
  <c r="E88" i="30"/>
  <c r="E88" i="61" s="1"/>
  <c r="E88" i="55" s="1"/>
  <c r="E160" i="30"/>
  <c r="E160" i="61" s="1"/>
  <c r="G38" i="30"/>
  <c r="G38" i="61" s="1"/>
  <c r="G38" i="55" s="1"/>
  <c r="H98" i="75" l="1"/>
  <c r="D122" i="80"/>
  <c r="E126" i="80" s="1"/>
  <c r="F126" i="80" s="1"/>
  <c r="F127" i="80" s="1"/>
  <c r="E128" i="80" s="1"/>
  <c r="F128" i="80" s="1"/>
  <c r="G129" i="80" s="1"/>
  <c r="E126" i="75"/>
  <c r="F126" i="75" s="1"/>
  <c r="F127" i="75" s="1"/>
  <c r="E128" i="75" s="1"/>
  <c r="F128" i="75" s="1"/>
  <c r="G129" i="75" s="1"/>
  <c r="E88" i="57"/>
  <c r="G38" i="57"/>
  <c r="D37" i="30"/>
  <c r="H129" i="75" l="1"/>
  <c r="C17" i="75"/>
  <c r="E17" i="75" s="1"/>
  <c r="G17" i="75" s="1"/>
  <c r="G173" i="75"/>
  <c r="C17" i="80"/>
  <c r="G173" i="80"/>
  <c r="H129" i="80"/>
  <c r="A231" i="30"/>
  <c r="D232" i="47"/>
  <c r="A229" i="47"/>
  <c r="D234" i="61"/>
  <c r="D234" i="30"/>
  <c r="H173" i="75" l="1"/>
  <c r="C15" i="75"/>
  <c r="E15" i="75" s="1"/>
  <c r="G15" i="75" s="1"/>
  <c r="E17" i="80"/>
  <c r="H173" i="80"/>
  <c r="C15" i="80"/>
  <c r="F182" i="61"/>
  <c r="F181" i="61"/>
  <c r="D181" i="61"/>
  <c r="D180" i="61"/>
  <c r="F180" i="61" s="1"/>
  <c r="D179" i="61"/>
  <c r="F179" i="61" s="1"/>
  <c r="D178" i="61"/>
  <c r="F178" i="61" s="1"/>
  <c r="F171" i="61"/>
  <c r="F167" i="61"/>
  <c r="E169" i="61" s="1"/>
  <c r="F169" i="61" s="1"/>
  <c r="E170" i="61" s="1"/>
  <c r="F163" i="61"/>
  <c r="F161" i="61"/>
  <c r="F156" i="61"/>
  <c r="E154" i="61"/>
  <c r="E152" i="61"/>
  <c r="E150" i="61"/>
  <c r="E148" i="61"/>
  <c r="E145" i="61"/>
  <c r="D145" i="61"/>
  <c r="F139" i="61"/>
  <c r="F138" i="61"/>
  <c r="D134" i="61"/>
  <c r="I128" i="61"/>
  <c r="D117" i="61"/>
  <c r="D135" i="61" s="1"/>
  <c r="F135" i="61" s="1"/>
  <c r="D116" i="61"/>
  <c r="E113" i="61"/>
  <c r="E121" i="61" s="1"/>
  <c r="F121" i="61" s="1"/>
  <c r="D123" i="61" s="1"/>
  <c r="D96" i="61"/>
  <c r="D90" i="61"/>
  <c r="D89" i="61"/>
  <c r="D97" i="61" s="1"/>
  <c r="D83" i="61"/>
  <c r="E71" i="61"/>
  <c r="F71" i="61" s="1"/>
  <c r="D59" i="61"/>
  <c r="G42" i="61"/>
  <c r="C143" i="61" s="1"/>
  <c r="F42" i="61"/>
  <c r="C46" i="61" s="1"/>
  <c r="F104" i="61" s="1"/>
  <c r="G104" i="61" s="1"/>
  <c r="D36" i="61"/>
  <c r="F33" i="61"/>
  <c r="A25" i="61"/>
  <c r="A24" i="61"/>
  <c r="A23" i="61"/>
  <c r="A22" i="61"/>
  <c r="A21" i="61"/>
  <c r="A20" i="61"/>
  <c r="A19" i="61"/>
  <c r="A18" i="61"/>
  <c r="A17" i="61"/>
  <c r="A16" i="61"/>
  <c r="A15" i="61"/>
  <c r="A13" i="61"/>
  <c r="A12" i="61"/>
  <c r="A9" i="61"/>
  <c r="E15" i="80" l="1"/>
  <c r="G17" i="80"/>
  <c r="H104" i="61"/>
  <c r="C14" i="61"/>
  <c r="E146" i="61"/>
  <c r="E155" i="61" s="1"/>
  <c r="F113" i="61"/>
  <c r="E115" i="61" s="1"/>
  <c r="F115" i="61" s="1"/>
  <c r="E116" i="61" s="1"/>
  <c r="F116" i="61" s="1"/>
  <c r="E117" i="61" s="1"/>
  <c r="F117" i="61" s="1"/>
  <c r="E200" i="61"/>
  <c r="D146" i="61"/>
  <c r="D170" i="61"/>
  <c r="F170" i="61" s="1"/>
  <c r="G171" i="61" s="1"/>
  <c r="E91" i="61"/>
  <c r="F72" i="61"/>
  <c r="F84" i="61"/>
  <c r="F60" i="61"/>
  <c r="F118" i="61"/>
  <c r="F129" i="61"/>
  <c r="F92" i="61"/>
  <c r="F77" i="61"/>
  <c r="F67" i="61"/>
  <c r="F98" i="61"/>
  <c r="D66" i="61"/>
  <c r="G183" i="61"/>
  <c r="D128" i="61"/>
  <c r="E134" i="61"/>
  <c r="F134" i="61" s="1"/>
  <c r="D136" i="61"/>
  <c r="F136" i="61" s="1"/>
  <c r="D91" i="61"/>
  <c r="G15" i="80" l="1"/>
  <c r="E14" i="61"/>
  <c r="E140" i="61"/>
  <c r="F140" i="61" s="1"/>
  <c r="G141" i="61" s="1"/>
  <c r="C18" i="61" s="1"/>
  <c r="F91" i="61"/>
  <c r="D124" i="61"/>
  <c r="D125" i="61" s="1"/>
  <c r="E126" i="61" s="1"/>
  <c r="F126" i="61" s="1"/>
  <c r="F127" i="61" s="1"/>
  <c r="E128" i="61" s="1"/>
  <c r="F128" i="61" s="1"/>
  <c r="G129" i="61" s="1"/>
  <c r="G118" i="61"/>
  <c r="C16" i="61" s="1"/>
  <c r="G185" i="61"/>
  <c r="H183" i="61"/>
  <c r="H171" i="61"/>
  <c r="C21" i="61"/>
  <c r="D152" i="61"/>
  <c r="F152" i="61" s="1"/>
  <c r="D160" i="61"/>
  <c r="F160" i="61" s="1"/>
  <c r="D154" i="61"/>
  <c r="F154" i="61" s="1"/>
  <c r="D150" i="61"/>
  <c r="F150" i="61" s="1"/>
  <c r="F146" i="61"/>
  <c r="D148" i="61"/>
  <c r="F148" i="61" s="1"/>
  <c r="E80" i="61"/>
  <c r="E73" i="61"/>
  <c r="E239" i="61"/>
  <c r="E214" i="61"/>
  <c r="E32" i="4"/>
  <c r="E31" i="4"/>
  <c r="E30" i="4"/>
  <c r="E21" i="4"/>
  <c r="E19" i="4"/>
  <c r="E18" i="4"/>
  <c r="E17" i="4"/>
  <c r="E24" i="4" s="1"/>
  <c r="E8" i="4"/>
  <c r="E6" i="4"/>
  <c r="E5" i="4"/>
  <c r="E4" i="4"/>
  <c r="F162" i="61" l="1"/>
  <c r="G163" i="61" s="1"/>
  <c r="C20" i="61" s="1"/>
  <c r="I160" i="61"/>
  <c r="G14" i="61"/>
  <c r="H141" i="61"/>
  <c r="H118" i="61"/>
  <c r="H163" i="61"/>
  <c r="E18" i="61"/>
  <c r="E21" i="61"/>
  <c r="C22" i="61"/>
  <c r="H185" i="61"/>
  <c r="H129" i="61"/>
  <c r="C17" i="61"/>
  <c r="E16" i="61"/>
  <c r="F155" i="61"/>
  <c r="G156" i="61" s="1"/>
  <c r="E35" i="4"/>
  <c r="E11" i="4"/>
  <c r="D59" i="27"/>
  <c r="G16" i="61" l="1"/>
  <c r="G18" i="61"/>
  <c r="E17" i="61"/>
  <c r="G21" i="61"/>
  <c r="E20" i="61"/>
  <c r="C19" i="61"/>
  <c r="H156" i="61"/>
  <c r="E22" i="61"/>
  <c r="G173" i="61"/>
  <c r="E152" i="57"/>
  <c r="E150" i="57"/>
  <c r="E148" i="57"/>
  <c r="E153" i="55"/>
  <c r="E151" i="55"/>
  <c r="E149" i="55"/>
  <c r="E150" i="47"/>
  <c r="E148" i="47"/>
  <c r="E146" i="47"/>
  <c r="E150" i="46"/>
  <c r="E148" i="46"/>
  <c r="E146" i="46"/>
  <c r="E152" i="30"/>
  <c r="E150" i="30"/>
  <c r="E148" i="30"/>
  <c r="E19" i="61" l="1"/>
  <c r="H173" i="61"/>
  <c r="C15" i="61"/>
  <c r="G22" i="61"/>
  <c r="G20" i="61"/>
  <c r="G17" i="61"/>
  <c r="I128" i="57"/>
  <c r="I129" i="55"/>
  <c r="I126" i="47"/>
  <c r="I126" i="46"/>
  <c r="I128" i="30"/>
  <c r="G19" i="61" l="1"/>
  <c r="E15" i="61"/>
  <c r="G15" i="61" l="1"/>
  <c r="E97" i="27" l="1"/>
  <c r="E96" i="30"/>
  <c r="E97" i="30" l="1"/>
  <c r="E96" i="61"/>
  <c r="E96" i="55" s="1"/>
  <c r="F182" i="57"/>
  <c r="D181" i="57"/>
  <c r="F181" i="57" s="1"/>
  <c r="D180" i="57"/>
  <c r="F180" i="57" s="1"/>
  <c r="F179" i="57"/>
  <c r="D179" i="57"/>
  <c r="D178" i="57"/>
  <c r="F178" i="57" s="1"/>
  <c r="F171" i="57"/>
  <c r="F167" i="57"/>
  <c r="E169" i="57" s="1"/>
  <c r="F169" i="57" s="1"/>
  <c r="E170" i="57" s="1"/>
  <c r="F163" i="57"/>
  <c r="F161" i="57"/>
  <c r="F156" i="57"/>
  <c r="E154" i="57"/>
  <c r="E145" i="57"/>
  <c r="D145" i="57"/>
  <c r="F139" i="57"/>
  <c r="F138" i="57"/>
  <c r="F137" i="57"/>
  <c r="D117" i="57"/>
  <c r="D134" i="57" s="1"/>
  <c r="D114" i="57"/>
  <c r="D116" i="57" s="1"/>
  <c r="E113" i="57"/>
  <c r="E121" i="57" s="1"/>
  <c r="F121" i="57" s="1"/>
  <c r="D123" i="57" s="1"/>
  <c r="D89" i="57"/>
  <c r="D83" i="57"/>
  <c r="D59" i="57"/>
  <c r="D66" i="57" s="1"/>
  <c r="G42" i="57"/>
  <c r="C143" i="57" s="1"/>
  <c r="F42" i="57"/>
  <c r="C46" i="57" s="1"/>
  <c r="F104" i="57" s="1"/>
  <c r="G104" i="57" s="1"/>
  <c r="D36" i="57"/>
  <c r="F33" i="57"/>
  <c r="A25" i="57"/>
  <c r="A24" i="57"/>
  <c r="A23" i="57"/>
  <c r="A22" i="57"/>
  <c r="A21" i="57"/>
  <c r="A20" i="57"/>
  <c r="A19" i="57"/>
  <c r="A18" i="57"/>
  <c r="A17" i="57"/>
  <c r="A16" i="57"/>
  <c r="A15" i="57"/>
  <c r="A13" i="57"/>
  <c r="A12" i="57"/>
  <c r="A9" i="57"/>
  <c r="F183" i="55"/>
  <c r="D182" i="55"/>
  <c r="F182" i="55" s="1"/>
  <c r="D181" i="55"/>
  <c r="F181" i="55" s="1"/>
  <c r="D180" i="55"/>
  <c r="F180" i="55" s="1"/>
  <c r="D179" i="55"/>
  <c r="F179" i="55" s="1"/>
  <c r="F172" i="55"/>
  <c r="F168" i="55"/>
  <c r="E170" i="55" s="1"/>
  <c r="F170" i="55" s="1"/>
  <c r="E171" i="55" s="1"/>
  <c r="F164" i="55"/>
  <c r="F162" i="55"/>
  <c r="F157" i="55"/>
  <c r="E155" i="55"/>
  <c r="E146" i="55"/>
  <c r="D146" i="55"/>
  <c r="F140" i="55"/>
  <c r="F139" i="55"/>
  <c r="D129" i="55"/>
  <c r="D118" i="55"/>
  <c r="D135" i="55" s="1"/>
  <c r="D115" i="55"/>
  <c r="D117" i="55" s="1"/>
  <c r="E114" i="55"/>
  <c r="E122" i="55" s="1"/>
  <c r="F122" i="55" s="1"/>
  <c r="D124" i="55" s="1"/>
  <c r="D89" i="55"/>
  <c r="D83" i="55"/>
  <c r="D59" i="55"/>
  <c r="D66" i="55" s="1"/>
  <c r="G42" i="55"/>
  <c r="C144" i="55" s="1"/>
  <c r="F42" i="55"/>
  <c r="C46" i="55" s="1"/>
  <c r="D36" i="55"/>
  <c r="F33" i="55"/>
  <c r="A25" i="55"/>
  <c r="A24" i="55"/>
  <c r="A23" i="55"/>
  <c r="A22" i="55"/>
  <c r="A21" i="55"/>
  <c r="A20" i="55"/>
  <c r="A19" i="55"/>
  <c r="A18" i="55"/>
  <c r="A17" i="55"/>
  <c r="A16" i="55"/>
  <c r="A15" i="55"/>
  <c r="A13" i="55"/>
  <c r="A12" i="55"/>
  <c r="A9" i="55"/>
  <c r="F180" i="47"/>
  <c r="D179" i="47"/>
  <c r="F179" i="47" s="1"/>
  <c r="D178" i="47"/>
  <c r="F178" i="47" s="1"/>
  <c r="D177" i="47"/>
  <c r="F177" i="47" s="1"/>
  <c r="D176" i="47"/>
  <c r="F176" i="47" s="1"/>
  <c r="F169" i="47"/>
  <c r="F165" i="47"/>
  <c r="E167" i="47" s="1"/>
  <c r="F167" i="47" s="1"/>
  <c r="E168" i="47" s="1"/>
  <c r="F161" i="47"/>
  <c r="F159" i="47"/>
  <c r="F154" i="47"/>
  <c r="E152" i="47"/>
  <c r="E143" i="47"/>
  <c r="E144" i="47" s="1"/>
  <c r="E153" i="47" s="1"/>
  <c r="D143" i="47"/>
  <c r="F137" i="47"/>
  <c r="F136" i="47"/>
  <c r="F135" i="47"/>
  <c r="D115" i="47"/>
  <c r="D132" i="47" s="1"/>
  <c r="D112" i="47"/>
  <c r="D114" i="47" s="1"/>
  <c r="E111" i="47"/>
  <c r="F111" i="47" s="1"/>
  <c r="E132" i="47" s="1"/>
  <c r="D89" i="47"/>
  <c r="D83" i="47"/>
  <c r="D59" i="47"/>
  <c r="D66" i="47" s="1"/>
  <c r="G42" i="47"/>
  <c r="C141" i="47" s="1"/>
  <c r="F104" i="47"/>
  <c r="G104" i="47" s="1"/>
  <c r="C14" i="47" s="1"/>
  <c r="E14" i="47" s="1"/>
  <c r="G14" i="47" s="1"/>
  <c r="D36" i="47"/>
  <c r="F33" i="47"/>
  <c r="A25" i="47"/>
  <c r="A24" i="47"/>
  <c r="A23" i="47"/>
  <c r="A22" i="47"/>
  <c r="A21" i="47"/>
  <c r="A20" i="47"/>
  <c r="A19" i="47"/>
  <c r="A18" i="47"/>
  <c r="A17" i="47"/>
  <c r="A16" i="47"/>
  <c r="A15" i="47"/>
  <c r="A13" i="47"/>
  <c r="A12" i="47"/>
  <c r="A9" i="47"/>
  <c r="F180" i="46"/>
  <c r="D179" i="46"/>
  <c r="F179" i="46" s="1"/>
  <c r="D178" i="46"/>
  <c r="F178" i="46" s="1"/>
  <c r="D177" i="46"/>
  <c r="F177" i="46" s="1"/>
  <c r="D176" i="46"/>
  <c r="F176" i="46" s="1"/>
  <c r="F169" i="46"/>
  <c r="F165" i="46"/>
  <c r="E167" i="46" s="1"/>
  <c r="F167" i="46" s="1"/>
  <c r="E168" i="46" s="1"/>
  <c r="F161" i="46"/>
  <c r="F159" i="46"/>
  <c r="F154" i="46"/>
  <c r="E152" i="46"/>
  <c r="E143" i="46"/>
  <c r="D143" i="46"/>
  <c r="F137" i="46"/>
  <c r="F136" i="46"/>
  <c r="F135" i="46"/>
  <c r="D115" i="46"/>
  <c r="D133" i="46" s="1"/>
  <c r="F133" i="46" s="1"/>
  <c r="D112" i="46"/>
  <c r="D114" i="46" s="1"/>
  <c r="E111" i="46"/>
  <c r="E119" i="46" s="1"/>
  <c r="F119" i="46" s="1"/>
  <c r="D121" i="46" s="1"/>
  <c r="D89" i="46"/>
  <c r="D83" i="46"/>
  <c r="D59" i="46"/>
  <c r="D66" i="46" s="1"/>
  <c r="G42" i="46"/>
  <c r="C141" i="46" s="1"/>
  <c r="F42" i="46"/>
  <c r="C46" i="46" s="1"/>
  <c r="F104" i="46" s="1"/>
  <c r="G104" i="46" s="1"/>
  <c r="D36" i="46"/>
  <c r="F33" i="46"/>
  <c r="A25" i="46"/>
  <c r="A24" i="46"/>
  <c r="A23" i="46"/>
  <c r="A22" i="46"/>
  <c r="A21" i="46"/>
  <c r="A20" i="46"/>
  <c r="A19" i="46"/>
  <c r="A18" i="46"/>
  <c r="A17" i="46"/>
  <c r="A16" i="46"/>
  <c r="A15" i="46"/>
  <c r="A13" i="46"/>
  <c r="A12" i="46"/>
  <c r="A9" i="46"/>
  <c r="D128" i="57" l="1"/>
  <c r="E146" i="57"/>
  <c r="E96" i="57"/>
  <c r="H104" i="57"/>
  <c r="C14" i="57"/>
  <c r="E14" i="57" s="1"/>
  <c r="G14" i="57" s="1"/>
  <c r="F105" i="55"/>
  <c r="G105" i="55" s="1"/>
  <c r="H104" i="47"/>
  <c r="D126" i="47"/>
  <c r="H104" i="46"/>
  <c r="C14" i="46"/>
  <c r="E14" i="46" s="1"/>
  <c r="G14" i="46" s="1"/>
  <c r="E97" i="61"/>
  <c r="F97" i="61" s="1"/>
  <c r="F96" i="61"/>
  <c r="F111" i="46"/>
  <c r="E113" i="46" s="1"/>
  <c r="F113" i="46" s="1"/>
  <c r="E114" i="46" s="1"/>
  <c r="F114" i="46" s="1"/>
  <c r="E115" i="46" s="1"/>
  <c r="F115" i="46" s="1"/>
  <c r="E147" i="55"/>
  <c r="E156" i="55" s="1"/>
  <c r="F114" i="55"/>
  <c r="E135" i="55" s="1"/>
  <c r="D136" i="57"/>
  <c r="F136" i="57" s="1"/>
  <c r="D96" i="57"/>
  <c r="F113" i="57"/>
  <c r="G184" i="55"/>
  <c r="G186" i="55" s="1"/>
  <c r="D96" i="55"/>
  <c r="F135" i="55"/>
  <c r="D137" i="55"/>
  <c r="F137" i="55" s="1"/>
  <c r="D96" i="47"/>
  <c r="F96" i="47" s="1"/>
  <c r="F132" i="47"/>
  <c r="D134" i="47"/>
  <c r="F134" i="47" s="1"/>
  <c r="E119" i="47"/>
  <c r="F119" i="47" s="1"/>
  <c r="D121" i="47" s="1"/>
  <c r="D132" i="46"/>
  <c r="D96" i="46"/>
  <c r="F96" i="46" s="1"/>
  <c r="E144" i="46"/>
  <c r="E153" i="46" s="1"/>
  <c r="E155" i="57"/>
  <c r="G181" i="47"/>
  <c r="H181" i="47" s="1"/>
  <c r="G183" i="57"/>
  <c r="D170" i="57"/>
  <c r="F170" i="57" s="1"/>
  <c r="G171" i="57" s="1"/>
  <c r="E200" i="57"/>
  <c r="D146" i="57"/>
  <c r="G185" i="57"/>
  <c r="H183" i="57"/>
  <c r="F98" i="57"/>
  <c r="F77" i="57"/>
  <c r="F67" i="57"/>
  <c r="F84" i="57"/>
  <c r="F60" i="57"/>
  <c r="F118" i="57"/>
  <c r="F129" i="57"/>
  <c r="F92" i="57"/>
  <c r="D91" i="57"/>
  <c r="D97" i="57"/>
  <c r="D90" i="57"/>
  <c r="D135" i="57"/>
  <c r="F135" i="57" s="1"/>
  <c r="F67" i="55"/>
  <c r="F77" i="55"/>
  <c r="F92" i="55"/>
  <c r="F130" i="55"/>
  <c r="D171" i="55"/>
  <c r="F171" i="55" s="1"/>
  <c r="G172" i="55" s="1"/>
  <c r="E201" i="55"/>
  <c r="D147" i="55"/>
  <c r="H186" i="55"/>
  <c r="C22" i="55"/>
  <c r="D91" i="55"/>
  <c r="D97" i="55"/>
  <c r="F119" i="55"/>
  <c r="H184" i="55"/>
  <c r="F60" i="55"/>
  <c r="F84" i="55"/>
  <c r="D90" i="55"/>
  <c r="D136" i="55"/>
  <c r="F136" i="55" s="1"/>
  <c r="F98" i="55"/>
  <c r="F98" i="47"/>
  <c r="F92" i="47"/>
  <c r="F84" i="47"/>
  <c r="F60" i="47"/>
  <c r="F127" i="47"/>
  <c r="F77" i="47"/>
  <c r="F116" i="47"/>
  <c r="F67" i="47"/>
  <c r="D168" i="47"/>
  <c r="F168" i="47" s="1"/>
  <c r="G169" i="47" s="1"/>
  <c r="E198" i="47"/>
  <c r="D144" i="47"/>
  <c r="D91" i="47"/>
  <c r="D97" i="47"/>
  <c r="F97" i="47" s="1"/>
  <c r="E113" i="47"/>
  <c r="F113" i="47" s="1"/>
  <c r="E114" i="47" s="1"/>
  <c r="F114" i="47" s="1"/>
  <c r="E115" i="47" s="1"/>
  <c r="F115" i="47" s="1"/>
  <c r="D90" i="47"/>
  <c r="D133" i="47"/>
  <c r="F133" i="47" s="1"/>
  <c r="F98" i="46"/>
  <c r="F84" i="46"/>
  <c r="F60" i="46"/>
  <c r="F116" i="46"/>
  <c r="F127" i="46"/>
  <c r="F92" i="46"/>
  <c r="F77" i="46"/>
  <c r="F67" i="46"/>
  <c r="D168" i="46"/>
  <c r="F168" i="46" s="1"/>
  <c r="G169" i="46" s="1"/>
  <c r="E198" i="46"/>
  <c r="D144" i="46"/>
  <c r="G181" i="46"/>
  <c r="D91" i="46"/>
  <c r="D126" i="46"/>
  <c r="D134" i="46"/>
  <c r="F134" i="46" s="1"/>
  <c r="D97" i="46"/>
  <c r="F97" i="46" s="1"/>
  <c r="D90" i="46"/>
  <c r="G183" i="47" l="1"/>
  <c r="H105" i="55"/>
  <c r="C14" i="55"/>
  <c r="G98" i="61"/>
  <c r="H98" i="61" s="1"/>
  <c r="E132" i="46"/>
  <c r="F132" i="46" s="1"/>
  <c r="E138" i="46" s="1"/>
  <c r="F138" i="46" s="1"/>
  <c r="G139" i="46" s="1"/>
  <c r="E138" i="47"/>
  <c r="F138" i="47" s="1"/>
  <c r="G139" i="47" s="1"/>
  <c r="C18" i="47" s="1"/>
  <c r="E116" i="55"/>
  <c r="F116" i="55" s="1"/>
  <c r="E117" i="55" s="1"/>
  <c r="F117" i="55" s="1"/>
  <c r="E118" i="55" s="1"/>
  <c r="F118" i="55" s="1"/>
  <c r="G119" i="55" s="1"/>
  <c r="G116" i="47"/>
  <c r="C16" i="47" s="1"/>
  <c r="E141" i="55"/>
  <c r="F141" i="55" s="1"/>
  <c r="G142" i="55" s="1"/>
  <c r="C18" i="55" s="1"/>
  <c r="G116" i="46"/>
  <c r="C16" i="46" s="1"/>
  <c r="E134" i="57"/>
  <c r="F134" i="57" s="1"/>
  <c r="E140" i="57" s="1"/>
  <c r="F140" i="57" s="1"/>
  <c r="G141" i="57" s="1"/>
  <c r="E115" i="57"/>
  <c r="F115" i="57" s="1"/>
  <c r="E116" i="57" s="1"/>
  <c r="F116" i="57" s="1"/>
  <c r="E117" i="57" s="1"/>
  <c r="F117" i="57" s="1"/>
  <c r="G118" i="57" s="1"/>
  <c r="H118" i="57" s="1"/>
  <c r="G98" i="47"/>
  <c r="H98" i="47" s="1"/>
  <c r="D122" i="46"/>
  <c r="D123" i="46" s="1"/>
  <c r="E124" i="46" s="1"/>
  <c r="F124" i="46" s="1"/>
  <c r="F125" i="46" s="1"/>
  <c r="E126" i="46" s="1"/>
  <c r="F126" i="46" s="1"/>
  <c r="G127" i="46" s="1"/>
  <c r="D150" i="57"/>
  <c r="F150" i="57" s="1"/>
  <c r="F146" i="57"/>
  <c r="D152" i="57"/>
  <c r="F152" i="57" s="1"/>
  <c r="D148" i="57"/>
  <c r="F148" i="57" s="1"/>
  <c r="D160" i="57"/>
  <c r="F160" i="57" s="1"/>
  <c r="D154" i="57"/>
  <c r="F154" i="57" s="1"/>
  <c r="E214" i="57"/>
  <c r="E239" i="57"/>
  <c r="H185" i="57"/>
  <c r="C22" i="57"/>
  <c r="C21" i="57"/>
  <c r="H171" i="57"/>
  <c r="E240" i="55"/>
  <c r="E215" i="55"/>
  <c r="E22" i="55"/>
  <c r="C21" i="55"/>
  <c r="H172" i="55"/>
  <c r="D151" i="55"/>
  <c r="F151" i="55" s="1"/>
  <c r="F147" i="55"/>
  <c r="D153" i="55"/>
  <c r="F153" i="55" s="1"/>
  <c r="D149" i="55"/>
  <c r="F149" i="55" s="1"/>
  <c r="D161" i="55"/>
  <c r="F161" i="55" s="1"/>
  <c r="D155" i="55"/>
  <c r="F155" i="55" s="1"/>
  <c r="C21" i="47"/>
  <c r="H169" i="47"/>
  <c r="D122" i="47"/>
  <c r="D123" i="47" s="1"/>
  <c r="E124" i="47" s="1"/>
  <c r="F124" i="47" s="1"/>
  <c r="F125" i="47" s="1"/>
  <c r="E126" i="47" s="1"/>
  <c r="F126" i="47" s="1"/>
  <c r="G127" i="47" s="1"/>
  <c r="D148" i="47"/>
  <c r="F148" i="47" s="1"/>
  <c r="F144" i="47"/>
  <c r="D150" i="47"/>
  <c r="F150" i="47" s="1"/>
  <c r="D146" i="47"/>
  <c r="F146" i="47" s="1"/>
  <c r="D158" i="47"/>
  <c r="F158" i="47" s="1"/>
  <c r="D152" i="47"/>
  <c r="F152" i="47" s="1"/>
  <c r="E212" i="47"/>
  <c r="E237" i="47"/>
  <c r="H183" i="47"/>
  <c r="C22" i="47"/>
  <c r="D148" i="46"/>
  <c r="F148" i="46" s="1"/>
  <c r="F144" i="46"/>
  <c r="D150" i="46"/>
  <c r="F150" i="46" s="1"/>
  <c r="D152" i="46"/>
  <c r="F152" i="46" s="1"/>
  <c r="D146" i="46"/>
  <c r="F146" i="46" s="1"/>
  <c r="D158" i="46"/>
  <c r="F158" i="46" s="1"/>
  <c r="G183" i="46"/>
  <c r="H181" i="46"/>
  <c r="E237" i="46"/>
  <c r="E212" i="46"/>
  <c r="C21" i="46"/>
  <c r="H169" i="46"/>
  <c r="G98" i="46"/>
  <c r="F182" i="30"/>
  <c r="D181" i="30"/>
  <c r="F181" i="30" s="1"/>
  <c r="D180" i="30"/>
  <c r="F180" i="30" s="1"/>
  <c r="F179" i="30"/>
  <c r="D179" i="30"/>
  <c r="D178" i="30"/>
  <c r="F178" i="30" s="1"/>
  <c r="F171" i="30"/>
  <c r="F167" i="30"/>
  <c r="E169" i="30" s="1"/>
  <c r="F169" i="30" s="1"/>
  <c r="E170" i="30" s="1"/>
  <c r="F163" i="30"/>
  <c r="F161" i="30"/>
  <c r="F156" i="30"/>
  <c r="E154" i="30"/>
  <c r="E145" i="30"/>
  <c r="D145" i="30"/>
  <c r="F139" i="30"/>
  <c r="F138" i="30"/>
  <c r="D117" i="30"/>
  <c r="D135" i="30" s="1"/>
  <c r="F135" i="30" s="1"/>
  <c r="D116" i="30"/>
  <c r="E113" i="30"/>
  <c r="F113" i="30" s="1"/>
  <c r="E115" i="30" s="1"/>
  <c r="F115" i="30" s="1"/>
  <c r="E116" i="30" s="1"/>
  <c r="D89" i="30"/>
  <c r="D96" i="30" s="1"/>
  <c r="F96" i="30" s="1"/>
  <c r="D83" i="30"/>
  <c r="E71" i="30"/>
  <c r="F71" i="30" s="1"/>
  <c r="D59" i="30"/>
  <c r="G42" i="30"/>
  <c r="C143" i="30" s="1"/>
  <c r="F42" i="30"/>
  <c r="C46" i="30" s="1"/>
  <c r="D36" i="30"/>
  <c r="F33" i="30"/>
  <c r="A25" i="30"/>
  <c r="A24" i="30"/>
  <c r="A23" i="30"/>
  <c r="A22" i="30"/>
  <c r="A21" i="30"/>
  <c r="A20" i="30"/>
  <c r="A19" i="30"/>
  <c r="A18" i="30"/>
  <c r="A17" i="30"/>
  <c r="A16" i="30"/>
  <c r="A15" i="30"/>
  <c r="A13" i="30"/>
  <c r="A12" i="30"/>
  <c r="A9" i="30"/>
  <c r="D136" i="30" l="1"/>
  <c r="F136" i="30" s="1"/>
  <c r="D128" i="30"/>
  <c r="D134" i="30"/>
  <c r="F160" i="47"/>
  <c r="G161" i="47" s="1"/>
  <c r="H161" i="47" s="1"/>
  <c r="I158" i="47"/>
  <c r="F160" i="46"/>
  <c r="G161" i="46" s="1"/>
  <c r="C20" i="46" s="1"/>
  <c r="I158" i="46"/>
  <c r="F162" i="57"/>
  <c r="G163" i="57" s="1"/>
  <c r="I160" i="57"/>
  <c r="F163" i="55"/>
  <c r="G164" i="55" s="1"/>
  <c r="H164" i="55" s="1"/>
  <c r="I161" i="55"/>
  <c r="E14" i="55"/>
  <c r="F92" i="30"/>
  <c r="F104" i="30"/>
  <c r="G104" i="30" s="1"/>
  <c r="H116" i="47"/>
  <c r="C13" i="61"/>
  <c r="E13" i="61" s="1"/>
  <c r="D125" i="55"/>
  <c r="D126" i="55" s="1"/>
  <c r="E127" i="55" s="1"/>
  <c r="F127" i="55" s="1"/>
  <c r="F128" i="55" s="1"/>
  <c r="E129" i="55" s="1"/>
  <c r="F129" i="55" s="1"/>
  <c r="G130" i="55" s="1"/>
  <c r="H130" i="55" s="1"/>
  <c r="H139" i="47"/>
  <c r="C13" i="47"/>
  <c r="E13" i="47" s="1"/>
  <c r="E97" i="55"/>
  <c r="F97" i="55" s="1"/>
  <c r="F96" i="55"/>
  <c r="H142" i="55"/>
  <c r="H116" i="46"/>
  <c r="C17" i="46"/>
  <c r="E17" i="46" s="1"/>
  <c r="H127" i="46"/>
  <c r="C16" i="57"/>
  <c r="E16" i="57" s="1"/>
  <c r="C18" i="57"/>
  <c r="E18" i="57" s="1"/>
  <c r="H141" i="57"/>
  <c r="D124" i="57"/>
  <c r="D125" i="57" s="1"/>
  <c r="E126" i="57" s="1"/>
  <c r="F126" i="57" s="1"/>
  <c r="F127" i="57" s="1"/>
  <c r="E128" i="57" s="1"/>
  <c r="F128" i="57" s="1"/>
  <c r="G129" i="57" s="1"/>
  <c r="D97" i="30"/>
  <c r="F97" i="30" s="1"/>
  <c r="E91" i="30"/>
  <c r="D90" i="30"/>
  <c r="E22" i="57"/>
  <c r="F155" i="57"/>
  <c r="G156" i="57" s="1"/>
  <c r="E21" i="57"/>
  <c r="H163" i="57"/>
  <c r="C20" i="57"/>
  <c r="F156" i="55"/>
  <c r="G157" i="55" s="1"/>
  <c r="H157" i="55" s="1"/>
  <c r="H119" i="55"/>
  <c r="C16" i="55"/>
  <c r="C20" i="55"/>
  <c r="E18" i="55"/>
  <c r="G22" i="55"/>
  <c r="E21" i="55"/>
  <c r="C17" i="47"/>
  <c r="H127" i="47"/>
  <c r="E22" i="47"/>
  <c r="E18" i="47"/>
  <c r="E21" i="47"/>
  <c r="F153" i="47"/>
  <c r="G154" i="47" s="1"/>
  <c r="G171" i="47" s="1"/>
  <c r="C20" i="47"/>
  <c r="E16" i="47"/>
  <c r="H183" i="46"/>
  <c r="C22" i="46"/>
  <c r="E16" i="46"/>
  <c r="E21" i="46"/>
  <c r="H161" i="46"/>
  <c r="F153" i="46"/>
  <c r="G154" i="46" s="1"/>
  <c r="C13" i="46"/>
  <c r="H98" i="46"/>
  <c r="H139" i="46"/>
  <c r="C18" i="46"/>
  <c r="E121" i="30"/>
  <c r="F121" i="30" s="1"/>
  <c r="D123" i="30" s="1"/>
  <c r="F77" i="30"/>
  <c r="F98" i="30"/>
  <c r="E134" i="30"/>
  <c r="F134" i="30" s="1"/>
  <c r="E140" i="30" s="1"/>
  <c r="F140" i="30" s="1"/>
  <c r="E146" i="30"/>
  <c r="E155" i="30" s="1"/>
  <c r="F84" i="30"/>
  <c r="F60" i="30"/>
  <c r="F118" i="30"/>
  <c r="D66" i="30"/>
  <c r="F67" i="30"/>
  <c r="D124" i="30"/>
  <c r="G183" i="30"/>
  <c r="F72" i="30"/>
  <c r="F116" i="30"/>
  <c r="E117" i="30" s="1"/>
  <c r="F117" i="30" s="1"/>
  <c r="E200" i="30"/>
  <c r="D146" i="30"/>
  <c r="F129" i="30"/>
  <c r="D170" i="30"/>
  <c r="F170" i="30" s="1"/>
  <c r="G171" i="30" s="1"/>
  <c r="D91" i="30"/>
  <c r="G14" i="55" l="1"/>
  <c r="H104" i="30"/>
  <c r="C14" i="30"/>
  <c r="E14" i="30" s="1"/>
  <c r="G14" i="30" s="1"/>
  <c r="G98" i="55"/>
  <c r="C13" i="55" s="1"/>
  <c r="E13" i="55" s="1"/>
  <c r="G13" i="55" s="1"/>
  <c r="G98" i="30"/>
  <c r="C13" i="30" s="1"/>
  <c r="E13" i="30" s="1"/>
  <c r="C17" i="55"/>
  <c r="E17" i="55" s="1"/>
  <c r="G17" i="55" s="1"/>
  <c r="G13" i="61"/>
  <c r="D125" i="30"/>
  <c r="E126" i="30" s="1"/>
  <c r="F126" i="30" s="1"/>
  <c r="F127" i="30" s="1"/>
  <c r="E128" i="30" s="1"/>
  <c r="F128" i="30" s="1"/>
  <c r="G129" i="30" s="1"/>
  <c r="F91" i="30"/>
  <c r="C17" i="57"/>
  <c r="E17" i="57" s="1"/>
  <c r="G17" i="57" s="1"/>
  <c r="H129" i="57"/>
  <c r="G174" i="55"/>
  <c r="H174" i="55" s="1"/>
  <c r="C19" i="55"/>
  <c r="E19" i="55" s="1"/>
  <c r="G16" i="57"/>
  <c r="E20" i="57"/>
  <c r="G21" i="57"/>
  <c r="C19" i="57"/>
  <c r="H156" i="57"/>
  <c r="G173" i="57"/>
  <c r="G18" i="57"/>
  <c r="G22" i="57"/>
  <c r="G21" i="55"/>
  <c r="E16" i="55"/>
  <c r="E20" i="55"/>
  <c r="G18" i="55"/>
  <c r="G13" i="47"/>
  <c r="E20" i="47"/>
  <c r="G18" i="47"/>
  <c r="G22" i="47"/>
  <c r="H171" i="47"/>
  <c r="C15" i="47"/>
  <c r="C19" i="47"/>
  <c r="H154" i="47"/>
  <c r="G21" i="47"/>
  <c r="G16" i="47"/>
  <c r="E17" i="47"/>
  <c r="E13" i="46"/>
  <c r="E18" i="46"/>
  <c r="H154" i="46"/>
  <c r="C19" i="46"/>
  <c r="G16" i="46"/>
  <c r="E20" i="46"/>
  <c r="G21" i="46"/>
  <c r="G171" i="46"/>
  <c r="E22" i="46"/>
  <c r="G17" i="46"/>
  <c r="G141" i="30"/>
  <c r="C18" i="30" s="1"/>
  <c r="D152" i="30"/>
  <c r="F152" i="30" s="1"/>
  <c r="D160" i="30"/>
  <c r="F160" i="30" s="1"/>
  <c r="D154" i="30"/>
  <c r="F154" i="30" s="1"/>
  <c r="D148" i="30"/>
  <c r="F148" i="30" s="1"/>
  <c r="D150" i="30"/>
  <c r="F150" i="30" s="1"/>
  <c r="F146" i="30"/>
  <c r="H171" i="30"/>
  <c r="C21" i="30"/>
  <c r="E239" i="30"/>
  <c r="E214" i="30"/>
  <c r="E80" i="30"/>
  <c r="E73" i="30"/>
  <c r="G118" i="30"/>
  <c r="G185" i="30"/>
  <c r="H183" i="30"/>
  <c r="H98" i="30" l="1"/>
  <c r="F162" i="30"/>
  <c r="G163" i="30" s="1"/>
  <c r="C20" i="30" s="1"/>
  <c r="I160" i="30"/>
  <c r="H98" i="55"/>
  <c r="C17" i="30"/>
  <c r="E17" i="30" s="1"/>
  <c r="H129" i="30"/>
  <c r="C15" i="55"/>
  <c r="E15" i="55" s="1"/>
  <c r="H173" i="57"/>
  <c r="C15" i="57"/>
  <c r="G20" i="57"/>
  <c r="E19" i="57"/>
  <c r="G20" i="55"/>
  <c r="G19" i="55"/>
  <c r="G16" i="55"/>
  <c r="G17" i="47"/>
  <c r="E19" i="47"/>
  <c r="G20" i="47"/>
  <c r="E15" i="47"/>
  <c r="G13" i="46"/>
  <c r="G22" i="46"/>
  <c r="G18" i="46"/>
  <c r="H171" i="46"/>
  <c r="C15" i="46"/>
  <c r="E19" i="46"/>
  <c r="G20" i="46"/>
  <c r="H141" i="30"/>
  <c r="E18" i="30"/>
  <c r="F155" i="30"/>
  <c r="G156" i="30" s="1"/>
  <c r="C16" i="30"/>
  <c r="H118" i="30"/>
  <c r="C22" i="30"/>
  <c r="H185" i="30"/>
  <c r="G13" i="30"/>
  <c r="E21" i="30"/>
  <c r="H163" i="30" l="1"/>
  <c r="G173" i="30"/>
  <c r="H173" i="30" s="1"/>
  <c r="E15" i="57"/>
  <c r="G19" i="57"/>
  <c r="G15" i="55"/>
  <c r="G15" i="47"/>
  <c r="G19" i="47"/>
  <c r="G19" i="46"/>
  <c r="E15" i="46"/>
  <c r="G18" i="30"/>
  <c r="E16" i="30"/>
  <c r="G21" i="30"/>
  <c r="E20" i="30"/>
  <c r="E22" i="30"/>
  <c r="G17" i="30"/>
  <c r="C19" i="30"/>
  <c r="H156" i="30"/>
  <c r="E147" i="27"/>
  <c r="C15" i="30" l="1"/>
  <c r="E97" i="57"/>
  <c r="F97" i="57" s="1"/>
  <c r="F96" i="57"/>
  <c r="G15" i="57"/>
  <c r="G15" i="46"/>
  <c r="G16" i="30"/>
  <c r="E19" i="30"/>
  <c r="G22" i="30"/>
  <c r="E15" i="30"/>
  <c r="G20" i="30"/>
  <c r="G98" i="57" l="1"/>
  <c r="H98" i="57" s="1"/>
  <c r="G15" i="30"/>
  <c r="G19" i="30"/>
  <c r="D115" i="27"/>
  <c r="F181" i="27"/>
  <c r="D180" i="27"/>
  <c r="F180" i="27" s="1"/>
  <c r="D179" i="27"/>
  <c r="F179" i="27" s="1"/>
  <c r="D178" i="27"/>
  <c r="F178" i="27" s="1"/>
  <c r="D177" i="27"/>
  <c r="F177" i="27" s="1"/>
  <c r="F170" i="27"/>
  <c r="F166" i="27"/>
  <c r="E168" i="27" s="1"/>
  <c r="F168" i="27" s="1"/>
  <c r="E169" i="27" s="1"/>
  <c r="F162" i="27"/>
  <c r="F160" i="27"/>
  <c r="F155" i="27"/>
  <c r="E153" i="27"/>
  <c r="E151" i="27"/>
  <c r="E149" i="27"/>
  <c r="E144" i="27"/>
  <c r="D144" i="27"/>
  <c r="F138" i="27"/>
  <c r="F137" i="27"/>
  <c r="F136" i="27"/>
  <c r="I127" i="27"/>
  <c r="D116" i="27"/>
  <c r="D134" i="27" s="1"/>
  <c r="F134" i="27" s="1"/>
  <c r="E112" i="27"/>
  <c r="E120" i="27" s="1"/>
  <c r="F120" i="27" s="1"/>
  <c r="D122" i="27" s="1"/>
  <c r="D89" i="27"/>
  <c r="D83" i="27"/>
  <c r="E71" i="27"/>
  <c r="F71" i="27" s="1"/>
  <c r="D66" i="27"/>
  <c r="G42" i="27"/>
  <c r="C142" i="27" s="1"/>
  <c r="C46" i="27"/>
  <c r="F104" i="27" s="1"/>
  <c r="G104" i="27" s="1"/>
  <c r="D36" i="27"/>
  <c r="F33" i="27"/>
  <c r="A25" i="27"/>
  <c r="A24" i="27"/>
  <c r="A23" i="27"/>
  <c r="A22" i="27"/>
  <c r="A21" i="27"/>
  <c r="A20" i="27"/>
  <c r="A19" i="27"/>
  <c r="A18" i="27"/>
  <c r="A17" i="27"/>
  <c r="A16" i="27"/>
  <c r="A15" i="27"/>
  <c r="A13" i="27"/>
  <c r="A12" i="27"/>
  <c r="A9" i="27"/>
  <c r="H104" i="27" l="1"/>
  <c r="C14" i="27"/>
  <c r="C13" i="57"/>
  <c r="E13" i="57" s="1"/>
  <c r="G13" i="57" s="1"/>
  <c r="D97" i="27"/>
  <c r="F97" i="27" s="1"/>
  <c r="E91" i="27"/>
  <c r="G182" i="27"/>
  <c r="D90" i="27"/>
  <c r="D133" i="27"/>
  <c r="E145" i="27"/>
  <c r="E154" i="27" s="1"/>
  <c r="F98" i="27"/>
  <c r="F92" i="27"/>
  <c r="F128" i="27"/>
  <c r="F117" i="27"/>
  <c r="F72" i="27"/>
  <c r="E73" i="27" s="1"/>
  <c r="F84" i="27"/>
  <c r="F60" i="27"/>
  <c r="F77" i="27"/>
  <c r="F67" i="27"/>
  <c r="D169" i="27"/>
  <c r="F169" i="27" s="1"/>
  <c r="G170" i="27" s="1"/>
  <c r="E199" i="27"/>
  <c r="D145" i="27"/>
  <c r="D135" i="27"/>
  <c r="F135" i="27" s="1"/>
  <c r="D91" i="27"/>
  <c r="F112" i="27"/>
  <c r="D127" i="27"/>
  <c r="D96" i="27"/>
  <c r="E14" i="27" l="1"/>
  <c r="E133" i="27"/>
  <c r="F133" i="27" s="1"/>
  <c r="E139" i="27" s="1"/>
  <c r="F139" i="27" s="1"/>
  <c r="G140" i="27" s="1"/>
  <c r="F91" i="27"/>
  <c r="E80" i="27"/>
  <c r="F96" i="27"/>
  <c r="G98" i="27" s="1"/>
  <c r="E114" i="27"/>
  <c r="F114" i="27" s="1"/>
  <c r="E115" i="27" s="1"/>
  <c r="H170" i="27"/>
  <c r="C21" i="27"/>
  <c r="G184" i="27"/>
  <c r="H182" i="27"/>
  <c r="D151" i="27"/>
  <c r="F151" i="27" s="1"/>
  <c r="D159" i="27"/>
  <c r="F159" i="27" s="1"/>
  <c r="D153" i="27"/>
  <c r="F153" i="27" s="1"/>
  <c r="F145" i="27"/>
  <c r="D147" i="27"/>
  <c r="F147" i="27" s="1"/>
  <c r="D149" i="27"/>
  <c r="F149" i="27" s="1"/>
  <c r="E238" i="27"/>
  <c r="E213" i="27"/>
  <c r="G14" i="27" l="1"/>
  <c r="F161" i="27"/>
  <c r="G162" i="27" s="1"/>
  <c r="H162" i="27" s="1"/>
  <c r="I159" i="27"/>
  <c r="F115" i="27"/>
  <c r="E116" i="27" s="1"/>
  <c r="F116" i="27" s="1"/>
  <c r="G117" i="27" s="1"/>
  <c r="D123" i="27"/>
  <c r="D124" i="27" s="1"/>
  <c r="E125" i="27" s="1"/>
  <c r="F125" i="27" s="1"/>
  <c r="F126" i="27" s="1"/>
  <c r="E127" i="27" s="1"/>
  <c r="F127" i="27" s="1"/>
  <c r="G128" i="27" s="1"/>
  <c r="C17" i="27" s="1"/>
  <c r="F154" i="27"/>
  <c r="G155" i="27" s="1"/>
  <c r="E21" i="27"/>
  <c r="C18" i="27"/>
  <c r="H140" i="27"/>
  <c r="C22" i="27"/>
  <c r="H184" i="27"/>
  <c r="C13" i="27"/>
  <c r="H98" i="27"/>
  <c r="C20" i="27" l="1"/>
  <c r="H117" i="27"/>
  <c r="C16" i="27"/>
  <c r="E16" i="27" s="1"/>
  <c r="G172" i="27"/>
  <c r="H128" i="27"/>
  <c r="E20" i="27"/>
  <c r="E18" i="27"/>
  <c r="E17" i="27"/>
  <c r="E13" i="27"/>
  <c r="C19" i="27"/>
  <c r="H155" i="27"/>
  <c r="G21" i="27"/>
  <c r="E22" i="27"/>
  <c r="H172" i="27" l="1"/>
  <c r="C15" i="27"/>
  <c r="E15" i="27" s="1"/>
  <c r="G22" i="27"/>
  <c r="E19" i="27"/>
  <c r="G17" i="27"/>
  <c r="G16" i="27"/>
  <c r="G13" i="27"/>
  <c r="G18" i="27"/>
  <c r="G20" i="27"/>
  <c r="G15" i="27" l="1"/>
  <c r="G19" i="27"/>
  <c r="C37" i="8" l="1"/>
  <c r="C38" i="8" s="1"/>
  <c r="D63" i="82" l="1"/>
  <c r="F63" i="82" s="1"/>
  <c r="F65" i="82" s="1"/>
  <c r="E66" i="82" s="1"/>
  <c r="F66" i="82" s="1"/>
  <c r="G67" i="82" s="1"/>
  <c r="D80" i="83"/>
  <c r="F80" i="83" s="1"/>
  <c r="F82" i="83" s="1"/>
  <c r="E83" i="83" s="1"/>
  <c r="F83" i="83" s="1"/>
  <c r="G84" i="83" s="1"/>
  <c r="D80" i="81"/>
  <c r="F80" i="81" s="1"/>
  <c r="F82" i="81" s="1"/>
  <c r="E83" i="81" s="1"/>
  <c r="F83" i="81" s="1"/>
  <c r="G84" i="81" s="1"/>
  <c r="D80" i="82"/>
  <c r="F80" i="82" s="1"/>
  <c r="F82" i="82" s="1"/>
  <c r="E83" i="82" s="1"/>
  <c r="F83" i="82" s="1"/>
  <c r="G84" i="82" s="1"/>
  <c r="D63" i="81"/>
  <c r="F63" i="81" s="1"/>
  <c r="F65" i="81" s="1"/>
  <c r="E66" i="81" s="1"/>
  <c r="F66" i="81" s="1"/>
  <c r="G67" i="81" s="1"/>
  <c r="D63" i="83"/>
  <c r="F63" i="83" s="1"/>
  <c r="F65" i="83" s="1"/>
  <c r="E66" i="83" s="1"/>
  <c r="F66" i="83" s="1"/>
  <c r="G67" i="83" s="1"/>
  <c r="D80" i="80"/>
  <c r="F80" i="80" s="1"/>
  <c r="F82" i="80" s="1"/>
  <c r="E83" i="80" s="1"/>
  <c r="F83" i="80" s="1"/>
  <c r="G84" i="80" s="1"/>
  <c r="D63" i="80"/>
  <c r="F63" i="80" s="1"/>
  <c r="F65" i="80" s="1"/>
  <c r="E66" i="80" s="1"/>
  <c r="F66" i="80" s="1"/>
  <c r="G67" i="80" s="1"/>
  <c r="D63" i="79"/>
  <c r="F63" i="79" s="1"/>
  <c r="F65" i="79" s="1"/>
  <c r="E66" i="79" s="1"/>
  <c r="F66" i="79" s="1"/>
  <c r="G67" i="79" s="1"/>
  <c r="D80" i="78"/>
  <c r="F80" i="78" s="1"/>
  <c r="F82" i="78" s="1"/>
  <c r="E83" i="78" s="1"/>
  <c r="F83" i="78" s="1"/>
  <c r="G84" i="78" s="1"/>
  <c r="D63" i="78"/>
  <c r="F63" i="78" s="1"/>
  <c r="F65" i="78" s="1"/>
  <c r="E66" i="78" s="1"/>
  <c r="F66" i="78" s="1"/>
  <c r="G67" i="78" s="1"/>
  <c r="D80" i="79"/>
  <c r="F80" i="79" s="1"/>
  <c r="F82" i="79" s="1"/>
  <c r="E83" i="79" s="1"/>
  <c r="F83" i="79" s="1"/>
  <c r="G84" i="79" s="1"/>
  <c r="D80" i="74"/>
  <c r="F80" i="74" s="1"/>
  <c r="F82" i="74" s="1"/>
  <c r="E83" i="74" s="1"/>
  <c r="F83" i="74" s="1"/>
  <c r="G84" i="74" s="1"/>
  <c r="D63" i="73"/>
  <c r="F63" i="73" s="1"/>
  <c r="F65" i="73" s="1"/>
  <c r="E66" i="73" s="1"/>
  <c r="F66" i="73" s="1"/>
  <c r="G67" i="73" s="1"/>
  <c r="D80" i="75"/>
  <c r="F80" i="75" s="1"/>
  <c r="F82" i="75" s="1"/>
  <c r="E83" i="75" s="1"/>
  <c r="F83" i="75" s="1"/>
  <c r="G84" i="75" s="1"/>
  <c r="D63" i="75"/>
  <c r="D63" i="74"/>
  <c r="F63" i="74" s="1"/>
  <c r="F65" i="74" s="1"/>
  <c r="E66" i="74" s="1"/>
  <c r="F66" i="74" s="1"/>
  <c r="G67" i="74" s="1"/>
  <c r="D80" i="72"/>
  <c r="F80" i="72" s="1"/>
  <c r="F82" i="72" s="1"/>
  <c r="E83" i="72" s="1"/>
  <c r="F83" i="72" s="1"/>
  <c r="G84" i="72" s="1"/>
  <c r="D80" i="73"/>
  <c r="F80" i="73" s="1"/>
  <c r="F82" i="73" s="1"/>
  <c r="E83" i="73" s="1"/>
  <c r="F83" i="73" s="1"/>
  <c r="G84" i="73" s="1"/>
  <c r="D63" i="72"/>
  <c r="F63" i="72" s="1"/>
  <c r="F65" i="72" s="1"/>
  <c r="E66" i="72" s="1"/>
  <c r="F66" i="72" s="1"/>
  <c r="G67" i="72" s="1"/>
  <c r="D63" i="61"/>
  <c r="D80" i="61"/>
  <c r="F80" i="61" s="1"/>
  <c r="F82" i="61" s="1"/>
  <c r="E83" i="61" s="1"/>
  <c r="F83" i="61" s="1"/>
  <c r="G84" i="61" s="1"/>
  <c r="D63" i="57"/>
  <c r="D63" i="55"/>
  <c r="D63" i="47"/>
  <c r="D63" i="46"/>
  <c r="D80" i="57"/>
  <c r="D80" i="55"/>
  <c r="D80" i="47"/>
  <c r="D80" i="46"/>
  <c r="D80" i="30"/>
  <c r="F80" i="30" s="1"/>
  <c r="F82" i="30" s="1"/>
  <c r="E83" i="30" s="1"/>
  <c r="F83" i="30" s="1"/>
  <c r="G84" i="30" s="1"/>
  <c r="D63" i="30"/>
  <c r="D80" i="27"/>
  <c r="F80" i="27"/>
  <c r="D63" i="27"/>
  <c r="C35" i="4"/>
  <c r="C24" i="4"/>
  <c r="C11" i="4"/>
  <c r="D219" i="83" l="1"/>
  <c r="D219" i="81"/>
  <c r="D219" i="82"/>
  <c r="D221" i="80"/>
  <c r="D219" i="79"/>
  <c r="D219" i="78"/>
  <c r="D221" i="75"/>
  <c r="D219" i="72"/>
  <c r="D219" i="74"/>
  <c r="D219" i="73"/>
  <c r="D221" i="61"/>
  <c r="H67" i="72"/>
  <c r="G10" i="72"/>
  <c r="H84" i="79"/>
  <c r="G11" i="79"/>
  <c r="H67" i="80"/>
  <c r="G10" i="80"/>
  <c r="H84" i="82"/>
  <c r="G11" i="82"/>
  <c r="H84" i="30"/>
  <c r="G11" i="30"/>
  <c r="G11" i="73"/>
  <c r="H84" i="73"/>
  <c r="G11" i="75"/>
  <c r="H84" i="75"/>
  <c r="H67" i="78"/>
  <c r="G10" i="78"/>
  <c r="H84" i="80"/>
  <c r="G11" i="80"/>
  <c r="G11" i="81"/>
  <c r="H84" i="81"/>
  <c r="D191" i="82"/>
  <c r="D191" i="83"/>
  <c r="D191" i="81"/>
  <c r="D193" i="80"/>
  <c r="D191" i="78"/>
  <c r="D191" i="79"/>
  <c r="D193" i="75"/>
  <c r="D191" i="72"/>
  <c r="D191" i="74"/>
  <c r="D191" i="73"/>
  <c r="D193" i="61"/>
  <c r="G11" i="61"/>
  <c r="H84" i="61"/>
  <c r="G11" i="72"/>
  <c r="H84" i="72"/>
  <c r="H67" i="73"/>
  <c r="G10" i="73"/>
  <c r="G11" i="78"/>
  <c r="H84" i="78"/>
  <c r="H67" i="83"/>
  <c r="G10" i="83"/>
  <c r="G11" i="83"/>
  <c r="H84" i="83"/>
  <c r="D205" i="82"/>
  <c r="D205" i="83"/>
  <c r="D205" i="81"/>
  <c r="D207" i="80"/>
  <c r="D205" i="78"/>
  <c r="D205" i="79"/>
  <c r="D205" i="73"/>
  <c r="D207" i="75"/>
  <c r="D205" i="72"/>
  <c r="D205" i="74"/>
  <c r="D207" i="61"/>
  <c r="H67" i="74"/>
  <c r="G10" i="74"/>
  <c r="G11" i="74"/>
  <c r="H84" i="74"/>
  <c r="H67" i="79"/>
  <c r="G10" i="79"/>
  <c r="H67" i="81"/>
  <c r="G10" i="81"/>
  <c r="H67" i="82"/>
  <c r="G10" i="82"/>
  <c r="F82" i="27"/>
  <c r="E83" i="27" s="1"/>
  <c r="F83" i="27" s="1"/>
  <c r="G84" i="27" s="1"/>
  <c r="D192" i="27"/>
  <c r="D193" i="57"/>
  <c r="D194" i="55"/>
  <c r="D191" i="47"/>
  <c r="D191" i="46"/>
  <c r="D193" i="30"/>
  <c r="D207" i="57"/>
  <c r="D208" i="55"/>
  <c r="D205" i="47"/>
  <c r="D205" i="46"/>
  <c r="D207" i="30"/>
  <c r="D206" i="27"/>
  <c r="D220" i="27"/>
  <c r="D221" i="57"/>
  <c r="D222" i="55"/>
  <c r="D219" i="47"/>
  <c r="D219" i="46"/>
  <c r="D221" i="30"/>
  <c r="C26" i="8"/>
  <c r="H84" i="27" l="1"/>
  <c r="G11" i="27"/>
  <c r="C12" i="8"/>
  <c r="C19" i="8" l="1"/>
  <c r="C25" i="8" s="1"/>
  <c r="C23" i="8" l="1"/>
  <c r="C27" i="8"/>
  <c r="C28" i="8" l="1"/>
  <c r="D73" i="83" l="1"/>
  <c r="F73" i="83" s="1"/>
  <c r="F75" i="83" s="1"/>
  <c r="E76" i="83" s="1"/>
  <c r="F76" i="83" s="1"/>
  <c r="G77" i="83" s="1"/>
  <c r="D73" i="82"/>
  <c r="F73" i="82" s="1"/>
  <c r="F75" i="82" s="1"/>
  <c r="E76" i="82" s="1"/>
  <c r="F76" i="82" s="1"/>
  <c r="G77" i="82" s="1"/>
  <c r="D56" i="83"/>
  <c r="F56" i="83" s="1"/>
  <c r="F58" i="83" s="1"/>
  <c r="E59" i="83" s="1"/>
  <c r="F59" i="83" s="1"/>
  <c r="G60" i="83" s="1"/>
  <c r="D56" i="82"/>
  <c r="F56" i="82" s="1"/>
  <c r="F58" i="82" s="1"/>
  <c r="E59" i="82" s="1"/>
  <c r="F59" i="82" s="1"/>
  <c r="G60" i="82" s="1"/>
  <c r="D56" i="81"/>
  <c r="F56" i="81" s="1"/>
  <c r="F58" i="81" s="1"/>
  <c r="E59" i="81" s="1"/>
  <c r="F59" i="81" s="1"/>
  <c r="G60" i="81" s="1"/>
  <c r="D73" i="81"/>
  <c r="F73" i="81" s="1"/>
  <c r="F75" i="81" s="1"/>
  <c r="E76" i="81" s="1"/>
  <c r="F76" i="81" s="1"/>
  <c r="G77" i="81" s="1"/>
  <c r="D73" i="80"/>
  <c r="F73" i="80" s="1"/>
  <c r="F75" i="80" s="1"/>
  <c r="E76" i="80" s="1"/>
  <c r="F76" i="80" s="1"/>
  <c r="G77" i="80" s="1"/>
  <c r="D56" i="80"/>
  <c r="F56" i="80" s="1"/>
  <c r="F58" i="80" s="1"/>
  <c r="E59" i="80" s="1"/>
  <c r="F59" i="80" s="1"/>
  <c r="G60" i="80" s="1"/>
  <c r="D56" i="78"/>
  <c r="F56" i="78" s="1"/>
  <c r="F58" i="78" s="1"/>
  <c r="E59" i="78" s="1"/>
  <c r="F59" i="78" s="1"/>
  <c r="G60" i="78" s="1"/>
  <c r="D73" i="78"/>
  <c r="F73" i="78" s="1"/>
  <c r="F75" i="78" s="1"/>
  <c r="E76" i="78" s="1"/>
  <c r="F76" i="78" s="1"/>
  <c r="G77" i="78" s="1"/>
  <c r="D73" i="79"/>
  <c r="F73" i="79" s="1"/>
  <c r="F75" i="79" s="1"/>
  <c r="E76" i="79" s="1"/>
  <c r="F76" i="79" s="1"/>
  <c r="G77" i="79" s="1"/>
  <c r="D56" i="79"/>
  <c r="F56" i="79" s="1"/>
  <c r="F58" i="79" s="1"/>
  <c r="E59" i="79" s="1"/>
  <c r="F59" i="79" s="1"/>
  <c r="G60" i="79" s="1"/>
  <c r="D56" i="75"/>
  <c r="D73" i="75"/>
  <c r="F73" i="75" s="1"/>
  <c r="F75" i="75" s="1"/>
  <c r="E76" i="75" s="1"/>
  <c r="F76" i="75" s="1"/>
  <c r="G77" i="75" s="1"/>
  <c r="D56" i="74"/>
  <c r="F56" i="74" s="1"/>
  <c r="F58" i="74" s="1"/>
  <c r="E59" i="74" s="1"/>
  <c r="F59" i="74" s="1"/>
  <c r="G60" i="74" s="1"/>
  <c r="D73" i="72"/>
  <c r="F73" i="72" s="1"/>
  <c r="F75" i="72" s="1"/>
  <c r="E76" i="72" s="1"/>
  <c r="F76" i="72" s="1"/>
  <c r="G77" i="72" s="1"/>
  <c r="D73" i="73"/>
  <c r="F73" i="73" s="1"/>
  <c r="F75" i="73" s="1"/>
  <c r="E76" i="73" s="1"/>
  <c r="F76" i="73" s="1"/>
  <c r="G77" i="73" s="1"/>
  <c r="D73" i="74"/>
  <c r="F73" i="74" s="1"/>
  <c r="F75" i="74" s="1"/>
  <c r="E76" i="74" s="1"/>
  <c r="F76" i="74" s="1"/>
  <c r="G77" i="74" s="1"/>
  <c r="D56" i="72"/>
  <c r="F56" i="72" s="1"/>
  <c r="F58" i="72" s="1"/>
  <c r="E59" i="72" s="1"/>
  <c r="F59" i="72" s="1"/>
  <c r="G60" i="72" s="1"/>
  <c r="D56" i="73"/>
  <c r="F56" i="73" s="1"/>
  <c r="F58" i="73" s="1"/>
  <c r="E59" i="73" s="1"/>
  <c r="F59" i="73" s="1"/>
  <c r="G60" i="73" s="1"/>
  <c r="D73" i="61"/>
  <c r="F73" i="61" s="1"/>
  <c r="F75" i="61" s="1"/>
  <c r="E76" i="61" s="1"/>
  <c r="F76" i="61" s="1"/>
  <c r="G77" i="61" s="1"/>
  <c r="D56" i="61"/>
  <c r="D56" i="27"/>
  <c r="D73" i="57"/>
  <c r="D73" i="55"/>
  <c r="D73" i="47"/>
  <c r="D73" i="46"/>
  <c r="D56" i="57"/>
  <c r="D56" i="55"/>
  <c r="D56" i="47"/>
  <c r="D56" i="46"/>
  <c r="D73" i="30"/>
  <c r="F73" i="30" s="1"/>
  <c r="F75" i="30" s="1"/>
  <c r="E76" i="30" s="1"/>
  <c r="F76" i="30" s="1"/>
  <c r="G77" i="30" s="1"/>
  <c r="D56" i="30"/>
  <c r="D73" i="27"/>
  <c r="F73" i="27" s="1"/>
  <c r="F75" i="27" s="1"/>
  <c r="E76" i="27" s="1"/>
  <c r="F76" i="27" s="1"/>
  <c r="G77" i="27" s="1"/>
  <c r="G32" i="47"/>
  <c r="E54" i="46"/>
  <c r="F54" i="46" s="1"/>
  <c r="C11" i="30" l="1"/>
  <c r="E11" i="30" s="1"/>
  <c r="H77" i="30"/>
  <c r="H60" i="73"/>
  <c r="C10" i="73"/>
  <c r="G106" i="73"/>
  <c r="G105" i="73"/>
  <c r="H77" i="72"/>
  <c r="C11" i="72"/>
  <c r="H60" i="79"/>
  <c r="C10" i="79"/>
  <c r="G106" i="79"/>
  <c r="G105" i="79"/>
  <c r="H60" i="80"/>
  <c r="C10" i="80"/>
  <c r="G108" i="80"/>
  <c r="G107" i="80"/>
  <c r="H60" i="82"/>
  <c r="C10" i="82"/>
  <c r="G106" i="82"/>
  <c r="G105" i="82"/>
  <c r="H60" i="72"/>
  <c r="C10" i="72"/>
  <c r="G106" i="72"/>
  <c r="G105" i="72"/>
  <c r="H60" i="74"/>
  <c r="C10" i="74"/>
  <c r="G106" i="74"/>
  <c r="G105" i="74"/>
  <c r="H77" i="79"/>
  <c r="C11" i="79"/>
  <c r="C11" i="80"/>
  <c r="H77" i="80"/>
  <c r="H60" i="83"/>
  <c r="C10" i="83"/>
  <c r="G106" i="83"/>
  <c r="G105" i="83"/>
  <c r="H77" i="27"/>
  <c r="C11" i="27"/>
  <c r="E11" i="27" s="1"/>
  <c r="H77" i="75"/>
  <c r="C11" i="75"/>
  <c r="E11" i="75" s="1"/>
  <c r="H77" i="81"/>
  <c r="C11" i="81"/>
  <c r="C11" i="82"/>
  <c r="H77" i="82"/>
  <c r="C11" i="74"/>
  <c r="H77" i="74"/>
  <c r="H77" i="78"/>
  <c r="C11" i="78"/>
  <c r="H77" i="61"/>
  <c r="C11" i="61"/>
  <c r="E11" i="61" s="1"/>
  <c r="H77" i="73"/>
  <c r="C11" i="73"/>
  <c r="H60" i="78"/>
  <c r="C10" i="78"/>
  <c r="G106" i="78"/>
  <c r="G105" i="78"/>
  <c r="H60" i="81"/>
  <c r="C10" i="81"/>
  <c r="G106" i="81"/>
  <c r="G105" i="81"/>
  <c r="H77" i="83"/>
  <c r="C11" i="83"/>
  <c r="E54" i="47"/>
  <c r="F54" i="47" s="1"/>
  <c r="E90" i="46"/>
  <c r="F90" i="46" s="1"/>
  <c r="F55" i="46"/>
  <c r="E9" i="81" l="1"/>
  <c r="C9" i="81"/>
  <c r="H105" i="81"/>
  <c r="G185" i="81"/>
  <c r="C9" i="78"/>
  <c r="H105" i="78"/>
  <c r="E9" i="78"/>
  <c r="G185" i="78"/>
  <c r="E11" i="73"/>
  <c r="E11" i="78"/>
  <c r="H105" i="83"/>
  <c r="G185" i="83"/>
  <c r="C9" i="83"/>
  <c r="E9" i="83"/>
  <c r="E9" i="74"/>
  <c r="C9" i="74"/>
  <c r="G185" i="74"/>
  <c r="H105" i="74"/>
  <c r="H105" i="72"/>
  <c r="E9" i="72"/>
  <c r="C9" i="72"/>
  <c r="G185" i="72"/>
  <c r="H105" i="82"/>
  <c r="C9" i="82"/>
  <c r="E9" i="82"/>
  <c r="G185" i="82"/>
  <c r="H107" i="80"/>
  <c r="E9" i="80"/>
  <c r="C9" i="80"/>
  <c r="G187" i="80"/>
  <c r="E9" i="79"/>
  <c r="C9" i="79"/>
  <c r="H105" i="79"/>
  <c r="G185" i="79"/>
  <c r="E11" i="72"/>
  <c r="E10" i="73"/>
  <c r="G9" i="81"/>
  <c r="H106" i="81"/>
  <c r="G186" i="81"/>
  <c r="E11" i="82"/>
  <c r="G9" i="74"/>
  <c r="H106" i="74"/>
  <c r="G186" i="74"/>
  <c r="H106" i="72"/>
  <c r="G9" i="72"/>
  <c r="G186" i="72"/>
  <c r="H106" i="82"/>
  <c r="G186" i="82"/>
  <c r="G9" i="82"/>
  <c r="G9" i="80"/>
  <c r="H108" i="80"/>
  <c r="G188" i="80"/>
  <c r="H106" i="79"/>
  <c r="G9" i="79"/>
  <c r="G186" i="79"/>
  <c r="H106" i="78"/>
  <c r="G9" i="78"/>
  <c r="G186" i="78"/>
  <c r="E11" i="80"/>
  <c r="E10" i="78"/>
  <c r="E11" i="81"/>
  <c r="E10" i="83"/>
  <c r="E11" i="79"/>
  <c r="E10" i="74"/>
  <c r="E10" i="72"/>
  <c r="E10" i="82"/>
  <c r="E10" i="80"/>
  <c r="E10" i="79"/>
  <c r="E9" i="73"/>
  <c r="G185" i="73"/>
  <c r="H105" i="73"/>
  <c r="C9" i="73"/>
  <c r="G186" i="83"/>
  <c r="H106" i="83"/>
  <c r="G9" i="83"/>
  <c r="E11" i="83"/>
  <c r="E10" i="81"/>
  <c r="E11" i="74"/>
  <c r="G9" i="73"/>
  <c r="H106" i="73"/>
  <c r="G186" i="73"/>
  <c r="E56" i="46"/>
  <c r="F56" i="46" s="1"/>
  <c r="E63" i="46"/>
  <c r="F55" i="47"/>
  <c r="E90" i="47"/>
  <c r="F90" i="47" s="1"/>
  <c r="E219" i="83" l="1"/>
  <c r="H186" i="83"/>
  <c r="H186" i="79"/>
  <c r="E219" i="79"/>
  <c r="E219" i="74"/>
  <c r="H186" i="74"/>
  <c r="H185" i="79"/>
  <c r="E205" i="79"/>
  <c r="F205" i="79" s="1"/>
  <c r="G206" i="79" s="1"/>
  <c r="E191" i="79"/>
  <c r="F191" i="79" s="1"/>
  <c r="G192" i="79" s="1"/>
  <c r="E207" i="80"/>
  <c r="F207" i="80" s="1"/>
  <c r="G208" i="80" s="1"/>
  <c r="H187" i="80"/>
  <c r="E193" i="80"/>
  <c r="F193" i="80" s="1"/>
  <c r="G194" i="80" s="1"/>
  <c r="H185" i="82"/>
  <c r="E191" i="82"/>
  <c r="F191" i="82" s="1"/>
  <c r="G192" i="82" s="1"/>
  <c r="E205" i="82"/>
  <c r="F205" i="82" s="1"/>
  <c r="G206" i="82" s="1"/>
  <c r="E191" i="72"/>
  <c r="F191" i="72" s="1"/>
  <c r="G192" i="72" s="1"/>
  <c r="H185" i="72"/>
  <c r="E205" i="72"/>
  <c r="F205" i="72" s="1"/>
  <c r="G206" i="72" s="1"/>
  <c r="E191" i="78"/>
  <c r="F191" i="78" s="1"/>
  <c r="G192" i="78" s="1"/>
  <c r="H185" i="78"/>
  <c r="E205" i="78"/>
  <c r="F205" i="78" s="1"/>
  <c r="G206" i="78" s="1"/>
  <c r="H185" i="81"/>
  <c r="E191" i="81"/>
  <c r="F191" i="81" s="1"/>
  <c r="G192" i="81" s="1"/>
  <c r="E205" i="81"/>
  <c r="F205" i="81" s="1"/>
  <c r="G206" i="81" s="1"/>
  <c r="H186" i="73"/>
  <c r="E219" i="73"/>
  <c r="E219" i="78"/>
  <c r="H186" i="78"/>
  <c r="E219" i="72"/>
  <c r="H186" i="72"/>
  <c r="H186" i="81"/>
  <c r="E219" i="81"/>
  <c r="E205" i="74"/>
  <c r="F205" i="74" s="1"/>
  <c r="G206" i="74" s="1"/>
  <c r="E191" i="74"/>
  <c r="F191" i="74" s="1"/>
  <c r="G192" i="74" s="1"/>
  <c r="H185" i="74"/>
  <c r="E205" i="83"/>
  <c r="F205" i="83" s="1"/>
  <c r="G206" i="83" s="1"/>
  <c r="H185" i="83"/>
  <c r="E191" i="83"/>
  <c r="F191" i="83" s="1"/>
  <c r="G192" i="83" s="1"/>
  <c r="H185" i="73"/>
  <c r="E191" i="73"/>
  <c r="F191" i="73" s="1"/>
  <c r="G192" i="73" s="1"/>
  <c r="E205" i="73"/>
  <c r="F205" i="73" s="1"/>
  <c r="G206" i="73" s="1"/>
  <c r="H188" i="80"/>
  <c r="E221" i="80"/>
  <c r="E219" i="82"/>
  <c r="H186" i="82"/>
  <c r="F58" i="46"/>
  <c r="E59" i="46" s="1"/>
  <c r="F59" i="46" s="1"/>
  <c r="G60" i="46" s="1"/>
  <c r="E56" i="47"/>
  <c r="F56" i="47" s="1"/>
  <c r="E63" i="47"/>
  <c r="F63" i="46"/>
  <c r="H192" i="73" l="1"/>
  <c r="G194" i="73"/>
  <c r="H192" i="74"/>
  <c r="G194" i="74"/>
  <c r="F219" i="81"/>
  <c r="G220" i="81" s="1"/>
  <c r="F219" i="78"/>
  <c r="G220" i="78" s="1"/>
  <c r="H192" i="81"/>
  <c r="G194" i="81"/>
  <c r="G208" i="78"/>
  <c r="H206" i="78"/>
  <c r="G208" i="82"/>
  <c r="H206" i="82"/>
  <c r="F219" i="79"/>
  <c r="G220" i="79" s="1"/>
  <c r="H192" i="83"/>
  <c r="G194" i="83"/>
  <c r="H206" i="74"/>
  <c r="G208" i="74"/>
  <c r="H192" i="72"/>
  <c r="G194" i="72"/>
  <c r="G194" i="82"/>
  <c r="H192" i="82"/>
  <c r="G196" i="80"/>
  <c r="H194" i="80"/>
  <c r="G194" i="78"/>
  <c r="H192" i="78"/>
  <c r="H192" i="79"/>
  <c r="G194" i="79"/>
  <c r="F219" i="83"/>
  <c r="G220" i="83" s="1"/>
  <c r="F219" i="82"/>
  <c r="G220" i="82" s="1"/>
  <c r="F221" i="80"/>
  <c r="G222" i="80" s="1"/>
  <c r="H206" i="73"/>
  <c r="G208" i="73"/>
  <c r="G208" i="83"/>
  <c r="H206" i="83"/>
  <c r="F219" i="72"/>
  <c r="G220" i="72" s="1"/>
  <c r="F219" i="73"/>
  <c r="G220" i="73" s="1"/>
  <c r="G208" i="81"/>
  <c r="H206" i="81"/>
  <c r="G208" i="72"/>
  <c r="H206" i="72"/>
  <c r="H208" i="80"/>
  <c r="G210" i="80"/>
  <c r="H206" i="79"/>
  <c r="G208" i="79"/>
  <c r="F219" i="74"/>
  <c r="G220" i="74" s="1"/>
  <c r="E54" i="75"/>
  <c r="F54" i="75" s="1"/>
  <c r="F58" i="47"/>
  <c r="E59" i="47" s="1"/>
  <c r="F59" i="47" s="1"/>
  <c r="G60" i="47" s="1"/>
  <c r="F65" i="46"/>
  <c r="E66" i="46" s="1"/>
  <c r="F66" i="46" s="1"/>
  <c r="G67" i="46" s="1"/>
  <c r="C10" i="46"/>
  <c r="E10" i="46" s="1"/>
  <c r="H60" i="46"/>
  <c r="F63" i="47"/>
  <c r="H208" i="79" l="1"/>
  <c r="E24" i="79"/>
  <c r="G210" i="79"/>
  <c r="G222" i="73"/>
  <c r="H220" i="73"/>
  <c r="H222" i="80"/>
  <c r="G224" i="80"/>
  <c r="G222" i="83"/>
  <c r="H220" i="83"/>
  <c r="E24" i="74"/>
  <c r="E26" i="74" s="1"/>
  <c r="H208" i="74"/>
  <c r="G210" i="74"/>
  <c r="G222" i="79"/>
  <c r="H220" i="79"/>
  <c r="G222" i="78"/>
  <c r="H220" i="78"/>
  <c r="H194" i="74"/>
  <c r="C23" i="74"/>
  <c r="C26" i="74" s="1"/>
  <c r="G196" i="74"/>
  <c r="H208" i="83"/>
  <c r="E24" i="83"/>
  <c r="E26" i="83" s="1"/>
  <c r="G210" i="83"/>
  <c r="H194" i="78"/>
  <c r="C23" i="78"/>
  <c r="G196" i="78"/>
  <c r="C23" i="82"/>
  <c r="C26" i="82" s="1"/>
  <c r="H194" i="82"/>
  <c r="G196" i="82"/>
  <c r="E24" i="78"/>
  <c r="H208" i="78"/>
  <c r="G210" i="78"/>
  <c r="G222" i="74"/>
  <c r="H220" i="74"/>
  <c r="H210" i="80"/>
  <c r="E24" i="80"/>
  <c r="G212" i="80"/>
  <c r="H220" i="72"/>
  <c r="G222" i="72"/>
  <c r="E24" i="73"/>
  <c r="E26" i="73" s="1"/>
  <c r="H208" i="73"/>
  <c r="G210" i="73"/>
  <c r="H220" i="82"/>
  <c r="G222" i="82"/>
  <c r="H194" i="79"/>
  <c r="C23" i="79"/>
  <c r="G196" i="79"/>
  <c r="C23" i="72"/>
  <c r="H194" i="72"/>
  <c r="G196" i="72"/>
  <c r="H194" i="83"/>
  <c r="C23" i="83"/>
  <c r="C26" i="83" s="1"/>
  <c r="G196" i="83"/>
  <c r="H194" i="81"/>
  <c r="C23" i="81"/>
  <c r="G196" i="81"/>
  <c r="G222" i="81"/>
  <c r="H220" i="81"/>
  <c r="H194" i="73"/>
  <c r="C23" i="73"/>
  <c r="C26" i="73" s="1"/>
  <c r="G196" i="73"/>
  <c r="H208" i="72"/>
  <c r="E24" i="72"/>
  <c r="G210" i="72"/>
  <c r="E24" i="81"/>
  <c r="H208" i="81"/>
  <c r="G210" i="81"/>
  <c r="C23" i="80"/>
  <c r="H196" i="80"/>
  <c r="G198" i="80"/>
  <c r="H208" i="82"/>
  <c r="E24" i="82"/>
  <c r="E26" i="82" s="1"/>
  <c r="G210" i="82"/>
  <c r="F55" i="75"/>
  <c r="E90" i="75"/>
  <c r="F90" i="75" s="1"/>
  <c r="G92" i="75" s="1"/>
  <c r="C10" i="47"/>
  <c r="G32" i="61"/>
  <c r="G32" i="30"/>
  <c r="E54" i="27"/>
  <c r="F54" i="27" s="1"/>
  <c r="F65" i="47"/>
  <c r="E66" i="47" s="1"/>
  <c r="F66" i="47" s="1"/>
  <c r="G67" i="47" s="1"/>
  <c r="H60" i="47"/>
  <c r="G10" i="46"/>
  <c r="H67" i="46"/>
  <c r="E10" i="47"/>
  <c r="C26" i="81" l="1"/>
  <c r="F24" i="73"/>
  <c r="F14" i="73"/>
  <c r="F13" i="73"/>
  <c r="F16" i="73"/>
  <c r="F21" i="73"/>
  <c r="F18" i="73"/>
  <c r="F20" i="73"/>
  <c r="F12" i="73"/>
  <c r="F22" i="73"/>
  <c r="F17" i="73"/>
  <c r="F19" i="73"/>
  <c r="F15" i="73"/>
  <c r="F9" i="73"/>
  <c r="F10" i="73"/>
  <c r="F11" i="73"/>
  <c r="H196" i="78"/>
  <c r="G200" i="78"/>
  <c r="C27" i="78" s="1"/>
  <c r="F24" i="82"/>
  <c r="F14" i="82"/>
  <c r="F12" i="82"/>
  <c r="F21" i="82"/>
  <c r="F20" i="82"/>
  <c r="F17" i="82"/>
  <c r="F16" i="82"/>
  <c r="F19" i="82"/>
  <c r="F18" i="82"/>
  <c r="F22" i="82"/>
  <c r="F15" i="82"/>
  <c r="F13" i="82"/>
  <c r="F11" i="82"/>
  <c r="F9" i="82"/>
  <c r="F10" i="82"/>
  <c r="C26" i="80"/>
  <c r="D23" i="80" s="1"/>
  <c r="G214" i="72"/>
  <c r="E27" i="72" s="1"/>
  <c r="H210" i="72"/>
  <c r="D23" i="73"/>
  <c r="D21" i="73"/>
  <c r="D18" i="73"/>
  <c r="D19" i="73"/>
  <c r="D14" i="73"/>
  <c r="D15" i="73"/>
  <c r="D13" i="73"/>
  <c r="D20" i="73"/>
  <c r="D22" i="73"/>
  <c r="D12" i="73"/>
  <c r="D16" i="73"/>
  <c r="D17" i="73"/>
  <c r="D11" i="73"/>
  <c r="D10" i="73"/>
  <c r="D9" i="73"/>
  <c r="D26" i="73" s="1"/>
  <c r="H222" i="81"/>
  <c r="G224" i="81"/>
  <c r="G200" i="83"/>
  <c r="C27" i="83" s="1"/>
  <c r="H196" i="83"/>
  <c r="H210" i="73"/>
  <c r="G214" i="73"/>
  <c r="E27" i="73" s="1"/>
  <c r="H222" i="72"/>
  <c r="G224" i="72"/>
  <c r="H210" i="78"/>
  <c r="G214" i="78"/>
  <c r="E27" i="78" s="1"/>
  <c r="G200" i="74"/>
  <c r="C27" i="74" s="1"/>
  <c r="H196" i="74"/>
  <c r="H222" i="79"/>
  <c r="G224" i="79"/>
  <c r="H224" i="80"/>
  <c r="G226" i="80"/>
  <c r="H222" i="73"/>
  <c r="G224" i="73"/>
  <c r="H198" i="80"/>
  <c r="G202" i="80"/>
  <c r="C27" i="80" s="1"/>
  <c r="G214" i="81"/>
  <c r="E27" i="81" s="1"/>
  <c r="H210" i="81"/>
  <c r="E26" i="72"/>
  <c r="F24" i="72" s="1"/>
  <c r="G200" i="81"/>
  <c r="C27" i="81" s="1"/>
  <c r="H196" i="81"/>
  <c r="D23" i="83"/>
  <c r="D20" i="83"/>
  <c r="D15" i="83"/>
  <c r="D14" i="83"/>
  <c r="D18" i="83"/>
  <c r="D19" i="83"/>
  <c r="D21" i="83"/>
  <c r="D16" i="83"/>
  <c r="D17" i="83"/>
  <c r="D22" i="83"/>
  <c r="D12" i="83"/>
  <c r="D13" i="83"/>
  <c r="D10" i="83"/>
  <c r="D11" i="83"/>
  <c r="D9" i="83"/>
  <c r="D26" i="83" s="1"/>
  <c r="D23" i="72"/>
  <c r="C26" i="72"/>
  <c r="D23" i="82"/>
  <c r="D22" i="82"/>
  <c r="D17" i="82"/>
  <c r="D15" i="82"/>
  <c r="D18" i="82"/>
  <c r="D16" i="82"/>
  <c r="D12" i="82"/>
  <c r="D21" i="82"/>
  <c r="D14" i="82"/>
  <c r="D20" i="82"/>
  <c r="D19" i="82"/>
  <c r="D13" i="82"/>
  <c r="D11" i="82"/>
  <c r="D10" i="82"/>
  <c r="D9" i="82"/>
  <c r="D26" i="82" s="1"/>
  <c r="G214" i="83"/>
  <c r="E27" i="83" s="1"/>
  <c r="H210" i="83"/>
  <c r="D23" i="74"/>
  <c r="D22" i="74"/>
  <c r="D12" i="74"/>
  <c r="D16" i="74"/>
  <c r="D13" i="74"/>
  <c r="D14" i="74"/>
  <c r="D17" i="74"/>
  <c r="D15" i="74"/>
  <c r="D20" i="74"/>
  <c r="D21" i="74"/>
  <c r="D18" i="74"/>
  <c r="D19" i="74"/>
  <c r="D10" i="74"/>
  <c r="D11" i="74"/>
  <c r="D9" i="74"/>
  <c r="H222" i="78"/>
  <c r="G224" i="78"/>
  <c r="H210" i="74"/>
  <c r="G214" i="74"/>
  <c r="E27" i="74" s="1"/>
  <c r="G214" i="79"/>
  <c r="E27" i="79" s="1"/>
  <c r="H210" i="79"/>
  <c r="G200" i="79"/>
  <c r="C27" i="79" s="1"/>
  <c r="H196" i="79"/>
  <c r="H222" i="82"/>
  <c r="G224" i="82"/>
  <c r="G216" i="80"/>
  <c r="E27" i="80" s="1"/>
  <c r="H212" i="80"/>
  <c r="E26" i="78"/>
  <c r="F24" i="78" s="1"/>
  <c r="F24" i="83"/>
  <c r="F21" i="83"/>
  <c r="F16" i="83"/>
  <c r="F19" i="83"/>
  <c r="F12" i="83"/>
  <c r="F22" i="83"/>
  <c r="F18" i="83"/>
  <c r="F20" i="83"/>
  <c r="F17" i="83"/>
  <c r="F14" i="83"/>
  <c r="F15" i="83"/>
  <c r="F13" i="83"/>
  <c r="F9" i="83"/>
  <c r="F26" i="83" s="1"/>
  <c r="F10" i="83"/>
  <c r="F11" i="83"/>
  <c r="H222" i="83"/>
  <c r="G224" i="83"/>
  <c r="E26" i="79"/>
  <c r="F24" i="79"/>
  <c r="G214" i="82"/>
  <c r="E27" i="82" s="1"/>
  <c r="H210" i="82"/>
  <c r="E26" i="81"/>
  <c r="F24" i="81" s="1"/>
  <c r="G200" i="73"/>
  <c r="C27" i="73" s="1"/>
  <c r="H196" i="73"/>
  <c r="H196" i="72"/>
  <c r="G200" i="72"/>
  <c r="C27" i="72" s="1"/>
  <c r="D23" i="79"/>
  <c r="C26" i="79"/>
  <c r="E26" i="80"/>
  <c r="F24" i="80"/>
  <c r="H222" i="74"/>
  <c r="G224" i="74"/>
  <c r="G200" i="82"/>
  <c r="C27" i="82" s="1"/>
  <c r="H196" i="82"/>
  <c r="C26" i="78"/>
  <c r="F24" i="74"/>
  <c r="F22" i="74"/>
  <c r="F17" i="74"/>
  <c r="F19" i="74"/>
  <c r="F21" i="74"/>
  <c r="F20" i="74"/>
  <c r="F16" i="74"/>
  <c r="F12" i="74"/>
  <c r="F15" i="74"/>
  <c r="F18" i="74"/>
  <c r="F14" i="74"/>
  <c r="F13" i="74"/>
  <c r="F11" i="74"/>
  <c r="F10" i="74"/>
  <c r="F9" i="74"/>
  <c r="F26" i="74" s="1"/>
  <c r="H92" i="75"/>
  <c r="C12" i="75"/>
  <c r="G10" i="47"/>
  <c r="E63" i="75"/>
  <c r="E56" i="75"/>
  <c r="F56" i="75" s="1"/>
  <c r="F58" i="75" s="1"/>
  <c r="E59" i="75" s="1"/>
  <c r="F59" i="75" s="1"/>
  <c r="G60" i="75" s="1"/>
  <c r="E54" i="30"/>
  <c r="F54" i="30" s="1"/>
  <c r="F55" i="27"/>
  <c r="E90" i="27"/>
  <c r="F90" i="27" s="1"/>
  <c r="G92" i="27" s="1"/>
  <c r="G32" i="55"/>
  <c r="E54" i="61"/>
  <c r="F54" i="61" s="1"/>
  <c r="H67" i="47"/>
  <c r="F13" i="80" l="1"/>
  <c r="F20" i="80"/>
  <c r="F21" i="80"/>
  <c r="F18" i="80"/>
  <c r="F12" i="80"/>
  <c r="F17" i="80"/>
  <c r="F22" i="80"/>
  <c r="F14" i="80"/>
  <c r="F19" i="80"/>
  <c r="F16" i="80"/>
  <c r="F15" i="80"/>
  <c r="F10" i="80"/>
  <c r="F11" i="80"/>
  <c r="F9" i="80"/>
  <c r="F21" i="79"/>
  <c r="F12" i="79"/>
  <c r="F17" i="79"/>
  <c r="F15" i="79"/>
  <c r="F22" i="79"/>
  <c r="F19" i="79"/>
  <c r="F14" i="79"/>
  <c r="F16" i="79"/>
  <c r="F20" i="79"/>
  <c r="F18" i="79"/>
  <c r="F13" i="79"/>
  <c r="F9" i="79"/>
  <c r="F26" i="79" s="1"/>
  <c r="F10" i="79"/>
  <c r="F11" i="79"/>
  <c r="D26" i="74"/>
  <c r="D22" i="72"/>
  <c r="D12" i="72"/>
  <c r="D19" i="72"/>
  <c r="D14" i="72"/>
  <c r="D17" i="72"/>
  <c r="D18" i="72"/>
  <c r="D20" i="72"/>
  <c r="D15" i="72"/>
  <c r="D21" i="72"/>
  <c r="D16" i="72"/>
  <c r="D13" i="72"/>
  <c r="D10" i="72"/>
  <c r="D11" i="72"/>
  <c r="D9" i="72"/>
  <c r="D26" i="72" s="1"/>
  <c r="D22" i="78"/>
  <c r="D12" i="78"/>
  <c r="D15" i="78"/>
  <c r="D20" i="78"/>
  <c r="D21" i="78"/>
  <c r="D14" i="78"/>
  <c r="D18" i="78"/>
  <c r="D17" i="78"/>
  <c r="D16" i="78"/>
  <c r="D19" i="78"/>
  <c r="D13" i="78"/>
  <c r="D10" i="78"/>
  <c r="D11" i="78"/>
  <c r="D9" i="78"/>
  <c r="H224" i="74"/>
  <c r="E232" i="74"/>
  <c r="G235" i="74" s="1"/>
  <c r="D21" i="79"/>
  <c r="D14" i="79"/>
  <c r="D18" i="79"/>
  <c r="D17" i="79"/>
  <c r="D16" i="79"/>
  <c r="D19" i="79"/>
  <c r="D15" i="79"/>
  <c r="D22" i="79"/>
  <c r="D12" i="79"/>
  <c r="D20" i="79"/>
  <c r="D13" i="79"/>
  <c r="D11" i="79"/>
  <c r="D10" i="79"/>
  <c r="D9" i="79"/>
  <c r="D26" i="79" s="1"/>
  <c r="H224" i="83"/>
  <c r="E232" i="83"/>
  <c r="G235" i="83" s="1"/>
  <c r="H224" i="73"/>
  <c r="E232" i="73"/>
  <c r="G235" i="73" s="1"/>
  <c r="H224" i="79"/>
  <c r="E232" i="79"/>
  <c r="G235" i="79" s="1"/>
  <c r="H224" i="81"/>
  <c r="E232" i="81"/>
  <c r="G235" i="81" s="1"/>
  <c r="D14" i="80"/>
  <c r="D20" i="80"/>
  <c r="D16" i="80"/>
  <c r="D17" i="80"/>
  <c r="D19" i="80"/>
  <c r="D21" i="80"/>
  <c r="D22" i="80"/>
  <c r="D15" i="80"/>
  <c r="D18" i="80"/>
  <c r="D13" i="80"/>
  <c r="D12" i="80"/>
  <c r="D11" i="80"/>
  <c r="D10" i="80"/>
  <c r="D9" i="80"/>
  <c r="D26" i="80" s="1"/>
  <c r="F26" i="73"/>
  <c r="D23" i="78"/>
  <c r="E232" i="82"/>
  <c r="G235" i="82" s="1"/>
  <c r="H224" i="82"/>
  <c r="H224" i="78"/>
  <c r="E232" i="78"/>
  <c r="G235" i="78" s="1"/>
  <c r="D16" i="81"/>
  <c r="D19" i="81"/>
  <c r="D20" i="81"/>
  <c r="D22" i="81"/>
  <c r="D12" i="81"/>
  <c r="D15" i="81"/>
  <c r="D14" i="81"/>
  <c r="D21" i="81"/>
  <c r="D18" i="81"/>
  <c r="D17" i="81"/>
  <c r="D13" i="81"/>
  <c r="D11" i="81"/>
  <c r="D10" i="81"/>
  <c r="D9" i="81"/>
  <c r="F14" i="81"/>
  <c r="F12" i="81"/>
  <c r="F17" i="81"/>
  <c r="F15" i="81"/>
  <c r="F16" i="81"/>
  <c r="F22" i="81"/>
  <c r="F21" i="81"/>
  <c r="F18" i="81"/>
  <c r="F20" i="81"/>
  <c r="F19" i="81"/>
  <c r="F13" i="81"/>
  <c r="F11" i="81"/>
  <c r="F10" i="81"/>
  <c r="F9" i="81"/>
  <c r="F22" i="78"/>
  <c r="F18" i="78"/>
  <c r="F12" i="78"/>
  <c r="F15" i="78"/>
  <c r="F20" i="78"/>
  <c r="F19" i="78"/>
  <c r="F21" i="78"/>
  <c r="F17" i="78"/>
  <c r="F14" i="78"/>
  <c r="F16" i="78"/>
  <c r="F13" i="78"/>
  <c r="F11" i="78"/>
  <c r="F9" i="78"/>
  <c r="F10" i="78"/>
  <c r="F14" i="72"/>
  <c r="F18" i="72"/>
  <c r="F19" i="72"/>
  <c r="F12" i="72"/>
  <c r="F21" i="72"/>
  <c r="F22" i="72"/>
  <c r="F20" i="72"/>
  <c r="F15" i="72"/>
  <c r="F13" i="72"/>
  <c r="F17" i="72"/>
  <c r="F16" i="72"/>
  <c r="F9" i="72"/>
  <c r="F26" i="72" s="1"/>
  <c r="F11" i="72"/>
  <c r="F10" i="72"/>
  <c r="H226" i="80"/>
  <c r="E234" i="80"/>
  <c r="G237" i="80" s="1"/>
  <c r="E232" i="72"/>
  <c r="G235" i="72" s="1"/>
  <c r="H224" i="72"/>
  <c r="F26" i="82"/>
  <c r="D23" i="81"/>
  <c r="C10" i="75"/>
  <c r="H60" i="75"/>
  <c r="F63" i="75"/>
  <c r="F65" i="75" s="1"/>
  <c r="E66" i="75" s="1"/>
  <c r="F66" i="75" s="1"/>
  <c r="G67" i="75" s="1"/>
  <c r="E12" i="75"/>
  <c r="F55" i="61"/>
  <c r="E90" i="61"/>
  <c r="F90" i="61" s="1"/>
  <c r="G92" i="61" s="1"/>
  <c r="H92" i="27"/>
  <c r="C12" i="27"/>
  <c r="G32" i="57"/>
  <c r="E54" i="57" s="1"/>
  <c r="F54" i="57" s="1"/>
  <c r="E54" i="55"/>
  <c r="F54" i="55" s="1"/>
  <c r="E56" i="27"/>
  <c r="F56" i="27" s="1"/>
  <c r="F58" i="27" s="1"/>
  <c r="E59" i="27" s="1"/>
  <c r="F59" i="27" s="1"/>
  <c r="G60" i="27" s="1"/>
  <c r="E63" i="27"/>
  <c r="F55" i="30"/>
  <c r="E90" i="30"/>
  <c r="F90" i="30" s="1"/>
  <c r="G92" i="30" s="1"/>
  <c r="I232" i="72" l="1"/>
  <c r="F232" i="72"/>
  <c r="G233" i="72" s="1"/>
  <c r="G239" i="72"/>
  <c r="G27" i="72" s="1"/>
  <c r="H235" i="72"/>
  <c r="I235" i="80"/>
  <c r="J236" i="80" s="1"/>
  <c r="J237" i="80" s="1"/>
  <c r="K237" i="80" s="1"/>
  <c r="F234" i="80"/>
  <c r="G235" i="80" s="1"/>
  <c r="G241" i="80"/>
  <c r="G27" i="80" s="1"/>
  <c r="H237" i="80"/>
  <c r="D26" i="81"/>
  <c r="I232" i="79"/>
  <c r="J233" i="79" s="1"/>
  <c r="J234" i="79" s="1"/>
  <c r="K234" i="79" s="1"/>
  <c r="H235" i="79"/>
  <c r="G239" i="79"/>
  <c r="G27" i="79" s="1"/>
  <c r="F232" i="79"/>
  <c r="G233" i="79" s="1"/>
  <c r="I232" i="83"/>
  <c r="J233" i="83" s="1"/>
  <c r="J234" i="83" s="1"/>
  <c r="K234" i="83" s="1"/>
  <c r="H235" i="83"/>
  <c r="G239" i="83"/>
  <c r="G27" i="83" s="1"/>
  <c r="F232" i="83"/>
  <c r="G233" i="83" s="1"/>
  <c r="I232" i="74"/>
  <c r="J233" i="74" s="1"/>
  <c r="J234" i="74" s="1"/>
  <c r="K234" i="74" s="1"/>
  <c r="F232" i="74"/>
  <c r="G233" i="74" s="1"/>
  <c r="H235" i="74"/>
  <c r="G239" i="74"/>
  <c r="G27" i="74" s="1"/>
  <c r="F26" i="78"/>
  <c r="I232" i="82"/>
  <c r="G239" i="82"/>
  <c r="G27" i="82" s="1"/>
  <c r="H235" i="82"/>
  <c r="F232" i="82"/>
  <c r="G233" i="82" s="1"/>
  <c r="F26" i="80"/>
  <c r="F26" i="81"/>
  <c r="I232" i="78"/>
  <c r="J233" i="78" s="1"/>
  <c r="J234" i="78" s="1"/>
  <c r="K234" i="78" s="1"/>
  <c r="F232" i="78"/>
  <c r="G233" i="78" s="1"/>
  <c r="G239" i="78"/>
  <c r="G27" i="78" s="1"/>
  <c r="H235" i="78"/>
  <c r="I232" i="81"/>
  <c r="H235" i="81"/>
  <c r="G239" i="81"/>
  <c r="G27" i="81" s="1"/>
  <c r="F232" i="81"/>
  <c r="G233" i="81" s="1"/>
  <c r="I232" i="73"/>
  <c r="I233" i="73" s="1"/>
  <c r="J234" i="73" s="1"/>
  <c r="J235" i="73" s="1"/>
  <c r="K235" i="73" s="1"/>
  <c r="F232" i="73"/>
  <c r="G233" i="73" s="1"/>
  <c r="G239" i="73"/>
  <c r="G27" i="73" s="1"/>
  <c r="H235" i="73"/>
  <c r="D26" i="78"/>
  <c r="G107" i="75"/>
  <c r="G10" i="75"/>
  <c r="H67" i="75"/>
  <c r="G108" i="75"/>
  <c r="G12" i="75"/>
  <c r="E10" i="75"/>
  <c r="E56" i="30"/>
  <c r="F56" i="30" s="1"/>
  <c r="F58" i="30" s="1"/>
  <c r="E59" i="30" s="1"/>
  <c r="F59" i="30" s="1"/>
  <c r="G60" i="30" s="1"/>
  <c r="E63" i="30"/>
  <c r="C10" i="27"/>
  <c r="H60" i="27"/>
  <c r="F55" i="55"/>
  <c r="E90" i="55"/>
  <c r="F90" i="55" s="1"/>
  <c r="E12" i="27"/>
  <c r="C12" i="61"/>
  <c r="H92" i="61"/>
  <c r="C12" i="30"/>
  <c r="H92" i="30"/>
  <c r="F63" i="27"/>
  <c r="F65" i="27" s="1"/>
  <c r="E66" i="27" s="1"/>
  <c r="F66" i="27" s="1"/>
  <c r="G67" i="27" s="1"/>
  <c r="G107" i="27" s="1"/>
  <c r="F55" i="57"/>
  <c r="E90" i="57"/>
  <c r="F90" i="57" s="1"/>
  <c r="E63" i="61"/>
  <c r="F63" i="61" s="1"/>
  <c r="F65" i="61" s="1"/>
  <c r="E66" i="61" s="1"/>
  <c r="F66" i="61" s="1"/>
  <c r="G67" i="61" s="1"/>
  <c r="E56" i="61"/>
  <c r="F56" i="61" s="1"/>
  <c r="F58" i="61" s="1"/>
  <c r="E59" i="61" s="1"/>
  <c r="F59" i="61" s="1"/>
  <c r="G60" i="61" s="1"/>
  <c r="H233" i="81" l="1"/>
  <c r="G25" i="81"/>
  <c r="G26" i="81" s="1"/>
  <c r="H233" i="74"/>
  <c r="G25" i="74"/>
  <c r="G26" i="74" s="1"/>
  <c r="H233" i="73"/>
  <c r="G25" i="73"/>
  <c r="G26" i="73" s="1"/>
  <c r="H233" i="78"/>
  <c r="G25" i="78"/>
  <c r="H233" i="82"/>
  <c r="G25" i="82"/>
  <c r="G26" i="82" s="1"/>
  <c r="H235" i="80"/>
  <c r="G25" i="80"/>
  <c r="H233" i="72"/>
  <c r="G25" i="72"/>
  <c r="G26" i="72" s="1"/>
  <c r="H233" i="83"/>
  <c r="G25" i="83"/>
  <c r="G26" i="83" s="1"/>
  <c r="H233" i="79"/>
  <c r="G25" i="79"/>
  <c r="G26" i="79" s="1"/>
  <c r="I235" i="82"/>
  <c r="J236" i="82" s="1"/>
  <c r="J237" i="82" s="1"/>
  <c r="K237" i="82" s="1"/>
  <c r="G188" i="75"/>
  <c r="G9" i="75"/>
  <c r="H108" i="75"/>
  <c r="G187" i="75"/>
  <c r="E9" i="75"/>
  <c r="H107" i="75"/>
  <c r="C9" i="75"/>
  <c r="G107" i="61"/>
  <c r="G108" i="61"/>
  <c r="G106" i="27"/>
  <c r="C10" i="61"/>
  <c r="H60" i="61"/>
  <c r="G187" i="27"/>
  <c r="H107" i="27"/>
  <c r="G9" i="27"/>
  <c r="H67" i="61"/>
  <c r="G10" i="61"/>
  <c r="E63" i="57"/>
  <c r="F63" i="57" s="1"/>
  <c r="F65" i="57" s="1"/>
  <c r="E66" i="57" s="1"/>
  <c r="F66" i="57" s="1"/>
  <c r="G67" i="57" s="1"/>
  <c r="E56" i="57"/>
  <c r="F56" i="57" s="1"/>
  <c r="F58" i="57" s="1"/>
  <c r="E59" i="57" s="1"/>
  <c r="F59" i="57" s="1"/>
  <c r="G60" i="57" s="1"/>
  <c r="E12" i="30"/>
  <c r="E12" i="61"/>
  <c r="G12" i="27"/>
  <c r="E56" i="55"/>
  <c r="F56" i="55" s="1"/>
  <c r="F58" i="55" s="1"/>
  <c r="E59" i="55" s="1"/>
  <c r="F59" i="55" s="1"/>
  <c r="G60" i="55" s="1"/>
  <c r="E63" i="55"/>
  <c r="E10" i="27"/>
  <c r="F63" i="30"/>
  <c r="F65" i="30" s="1"/>
  <c r="E66" i="30" s="1"/>
  <c r="F66" i="30" s="1"/>
  <c r="G67" i="30" s="1"/>
  <c r="G107" i="30" s="1"/>
  <c r="H67" i="27"/>
  <c r="G10" i="27"/>
  <c r="H60" i="30"/>
  <c r="C10" i="30"/>
  <c r="H25" i="83" l="1"/>
  <c r="H21" i="83"/>
  <c r="H16" i="83"/>
  <c r="H17" i="83"/>
  <c r="H15" i="83"/>
  <c r="H14" i="83"/>
  <c r="H19" i="83"/>
  <c r="H12" i="83"/>
  <c r="H22" i="83"/>
  <c r="H18" i="83"/>
  <c r="H20" i="83"/>
  <c r="H13" i="83"/>
  <c r="H10" i="83"/>
  <c r="H11" i="83"/>
  <c r="H9" i="83"/>
  <c r="H26" i="83" s="1"/>
  <c r="G26" i="80"/>
  <c r="H25" i="80"/>
  <c r="G26" i="78"/>
  <c r="H25" i="74"/>
  <c r="H18" i="74"/>
  <c r="H15" i="74"/>
  <c r="H13" i="74"/>
  <c r="H16" i="74"/>
  <c r="H14" i="74"/>
  <c r="H17" i="74"/>
  <c r="H19" i="74"/>
  <c r="H22" i="74"/>
  <c r="H21" i="74"/>
  <c r="H12" i="74"/>
  <c r="H20" i="74"/>
  <c r="H10" i="74"/>
  <c r="H11" i="74"/>
  <c r="H9" i="74"/>
  <c r="H26" i="74" s="1"/>
  <c r="H25" i="79"/>
  <c r="H21" i="79"/>
  <c r="H16" i="79"/>
  <c r="H15" i="79"/>
  <c r="H13" i="79"/>
  <c r="H12" i="79"/>
  <c r="H20" i="79"/>
  <c r="H19" i="79"/>
  <c r="H22" i="79"/>
  <c r="H18" i="79"/>
  <c r="H17" i="79"/>
  <c r="H14" i="79"/>
  <c r="H11" i="79"/>
  <c r="H10" i="79"/>
  <c r="H9" i="79"/>
  <c r="H25" i="72"/>
  <c r="H21" i="72"/>
  <c r="H12" i="72"/>
  <c r="H20" i="72"/>
  <c r="H18" i="72"/>
  <c r="H13" i="72"/>
  <c r="H15" i="72"/>
  <c r="H14" i="72"/>
  <c r="H16" i="72"/>
  <c r="H19" i="72"/>
  <c r="H22" i="72"/>
  <c r="H17" i="72"/>
  <c r="H11" i="72"/>
  <c r="H10" i="72"/>
  <c r="H9" i="72"/>
  <c r="H25" i="82"/>
  <c r="H21" i="82"/>
  <c r="H12" i="82"/>
  <c r="H14" i="82"/>
  <c r="H16" i="82"/>
  <c r="H20" i="82"/>
  <c r="H15" i="82"/>
  <c r="H18" i="82"/>
  <c r="H17" i="82"/>
  <c r="H22" i="82"/>
  <c r="H19" i="82"/>
  <c r="H13" i="82"/>
  <c r="H11" i="82"/>
  <c r="H10" i="82"/>
  <c r="H9" i="82"/>
  <c r="H26" i="82" s="1"/>
  <c r="H25" i="73"/>
  <c r="H14" i="73"/>
  <c r="H19" i="73"/>
  <c r="H22" i="73"/>
  <c r="H21" i="73"/>
  <c r="H13" i="73"/>
  <c r="H20" i="73"/>
  <c r="H18" i="73"/>
  <c r="H17" i="73"/>
  <c r="H15" i="73"/>
  <c r="H16" i="73"/>
  <c r="H12" i="73"/>
  <c r="H11" i="73"/>
  <c r="H10" i="73"/>
  <c r="H9" i="73"/>
  <c r="H25" i="81"/>
  <c r="H21" i="81"/>
  <c r="H17" i="81"/>
  <c r="H22" i="81"/>
  <c r="H14" i="81"/>
  <c r="H16" i="81"/>
  <c r="H20" i="81"/>
  <c r="H19" i="81"/>
  <c r="H12" i="81"/>
  <c r="H15" i="81"/>
  <c r="H18" i="81"/>
  <c r="H13" i="81"/>
  <c r="H11" i="81"/>
  <c r="H10" i="81"/>
  <c r="H9" i="81"/>
  <c r="E207" i="75"/>
  <c r="F207" i="75" s="1"/>
  <c r="G208" i="75" s="1"/>
  <c r="H187" i="75"/>
  <c r="E193" i="75"/>
  <c r="F193" i="75" s="1"/>
  <c r="G194" i="75" s="1"/>
  <c r="H188" i="75"/>
  <c r="E221" i="75"/>
  <c r="G108" i="30"/>
  <c r="H67" i="30"/>
  <c r="G10" i="30"/>
  <c r="E10" i="30"/>
  <c r="G186" i="27"/>
  <c r="E9" i="27"/>
  <c r="H106" i="27"/>
  <c r="C9" i="27"/>
  <c r="F63" i="55"/>
  <c r="F65" i="55" s="1"/>
  <c r="E66" i="55" s="1"/>
  <c r="F66" i="55" s="1"/>
  <c r="G67" i="55" s="1"/>
  <c r="G12" i="30"/>
  <c r="G187" i="61"/>
  <c r="E9" i="61"/>
  <c r="H107" i="61"/>
  <c r="C9" i="61"/>
  <c r="C10" i="55"/>
  <c r="E10" i="55" s="1"/>
  <c r="H60" i="55"/>
  <c r="G12" i="61"/>
  <c r="C10" i="57"/>
  <c r="E10" i="57" s="1"/>
  <c r="H60" i="57"/>
  <c r="G10" i="57"/>
  <c r="H67" i="57"/>
  <c r="H187" i="27"/>
  <c r="E220" i="27"/>
  <c r="G188" i="61"/>
  <c r="H108" i="61"/>
  <c r="G9" i="61"/>
  <c r="E10" i="61"/>
  <c r="E71" i="55"/>
  <c r="F71" i="55" s="1"/>
  <c r="F72" i="55" s="1"/>
  <c r="H26" i="72" l="1"/>
  <c r="H18" i="80"/>
  <c r="H16" i="80"/>
  <c r="H14" i="80"/>
  <c r="H21" i="80"/>
  <c r="H19" i="80"/>
  <c r="H22" i="80"/>
  <c r="H15" i="80"/>
  <c r="H12" i="80"/>
  <c r="H20" i="80"/>
  <c r="H17" i="80"/>
  <c r="H13" i="80"/>
  <c r="H10" i="80"/>
  <c r="H11" i="80"/>
  <c r="H9" i="80"/>
  <c r="H26" i="80" s="1"/>
  <c r="H22" i="78"/>
  <c r="H18" i="78"/>
  <c r="H17" i="78"/>
  <c r="H13" i="78"/>
  <c r="H19" i="78"/>
  <c r="H20" i="78"/>
  <c r="H14" i="78"/>
  <c r="H12" i="78"/>
  <c r="H21" i="78"/>
  <c r="H16" i="78"/>
  <c r="H15" i="78"/>
  <c r="H10" i="78"/>
  <c r="H11" i="78"/>
  <c r="H9" i="78"/>
  <c r="H26" i="73"/>
  <c r="H25" i="78"/>
  <c r="H26" i="81"/>
  <c r="H26" i="79"/>
  <c r="F221" i="75"/>
  <c r="G222" i="75" s="1"/>
  <c r="H194" i="75"/>
  <c r="G196" i="75"/>
  <c r="G210" i="75"/>
  <c r="H208" i="75"/>
  <c r="G10" i="55"/>
  <c r="H67" i="55"/>
  <c r="E221" i="61"/>
  <c r="H188" i="61"/>
  <c r="E193" i="61"/>
  <c r="F193" i="61" s="1"/>
  <c r="G194" i="61" s="1"/>
  <c r="H187" i="61"/>
  <c r="E207" i="61"/>
  <c r="F207" i="61" s="1"/>
  <c r="G208" i="61" s="1"/>
  <c r="H186" i="27"/>
  <c r="E192" i="27"/>
  <c r="F192" i="27" s="1"/>
  <c r="G193" i="27" s="1"/>
  <c r="E206" i="27"/>
  <c r="F206" i="27" s="1"/>
  <c r="G207" i="27" s="1"/>
  <c r="E9" i="30"/>
  <c r="G187" i="30"/>
  <c r="H107" i="30"/>
  <c r="C9" i="30"/>
  <c r="F220" i="27"/>
  <c r="G221" i="27" s="1"/>
  <c r="H108" i="30"/>
  <c r="G188" i="30"/>
  <c r="G9" i="30"/>
  <c r="E91" i="55"/>
  <c r="F91" i="55" s="1"/>
  <c r="G92" i="55" s="1"/>
  <c r="C12" i="55" s="1"/>
  <c r="E12" i="55" s="1"/>
  <c r="G12" i="55" s="1"/>
  <c r="E71" i="57"/>
  <c r="F71" i="57" s="1"/>
  <c r="E73" i="55"/>
  <c r="F73" i="55" s="1"/>
  <c r="E80" i="55"/>
  <c r="H26" i="78" l="1"/>
  <c r="E24" i="75"/>
  <c r="H210" i="75"/>
  <c r="G212" i="75"/>
  <c r="H222" i="75"/>
  <c r="G224" i="75"/>
  <c r="H196" i="75"/>
  <c r="C23" i="75"/>
  <c r="G198" i="75"/>
  <c r="H92" i="55"/>
  <c r="E193" i="30"/>
  <c r="F193" i="30" s="1"/>
  <c r="G194" i="30" s="1"/>
  <c r="E207" i="30"/>
  <c r="F207" i="30" s="1"/>
  <c r="G208" i="30" s="1"/>
  <c r="H187" i="30"/>
  <c r="H207" i="27"/>
  <c r="G209" i="27"/>
  <c r="G210" i="61"/>
  <c r="H208" i="61"/>
  <c r="H194" i="61"/>
  <c r="G196" i="61"/>
  <c r="H188" i="30"/>
  <c r="E221" i="30"/>
  <c r="G223" i="27"/>
  <c r="H221" i="27"/>
  <c r="G195" i="27"/>
  <c r="H193" i="27"/>
  <c r="F221" i="61"/>
  <c r="G222" i="61" s="1"/>
  <c r="F75" i="55"/>
  <c r="E76" i="55" s="1"/>
  <c r="F76" i="55" s="1"/>
  <c r="G77" i="55" s="1"/>
  <c r="F72" i="57"/>
  <c r="E91" i="57"/>
  <c r="F91" i="57" s="1"/>
  <c r="G92" i="57" s="1"/>
  <c r="F80" i="55"/>
  <c r="H198" i="75" l="1"/>
  <c r="G202" i="75"/>
  <c r="C27" i="75" s="1"/>
  <c r="H224" i="75"/>
  <c r="G226" i="75"/>
  <c r="C26" i="75"/>
  <c r="H212" i="75"/>
  <c r="G216" i="75"/>
  <c r="E27" i="75" s="1"/>
  <c r="E26" i="75"/>
  <c r="F24" i="75" s="1"/>
  <c r="C11" i="55"/>
  <c r="E11" i="55" s="1"/>
  <c r="H77" i="55"/>
  <c r="F221" i="30"/>
  <c r="G222" i="30" s="1"/>
  <c r="H196" i="61"/>
  <c r="C23" i="61"/>
  <c r="C26" i="61" s="1"/>
  <c r="D14" i="61" s="1"/>
  <c r="G198" i="61"/>
  <c r="H209" i="27"/>
  <c r="E24" i="27"/>
  <c r="G211" i="27"/>
  <c r="G210" i="30"/>
  <c r="H208" i="30"/>
  <c r="G224" i="61"/>
  <c r="H222" i="61"/>
  <c r="G197" i="27"/>
  <c r="C23" i="27"/>
  <c r="H195" i="27"/>
  <c r="H223" i="27"/>
  <c r="G225" i="27"/>
  <c r="H210" i="61"/>
  <c r="E24" i="61"/>
  <c r="G212" i="61"/>
  <c r="G196" i="30"/>
  <c r="H194" i="30"/>
  <c r="F82" i="55"/>
  <c r="E83" i="55" s="1"/>
  <c r="F83" i="55" s="1"/>
  <c r="G84" i="55" s="1"/>
  <c r="G108" i="55" s="1"/>
  <c r="C12" i="57"/>
  <c r="E12" i="57" s="1"/>
  <c r="G12" i="57" s="1"/>
  <c r="H92" i="57"/>
  <c r="E73" i="57"/>
  <c r="F73" i="57" s="1"/>
  <c r="F75" i="57" s="1"/>
  <c r="E80" i="57"/>
  <c r="D11" i="75" l="1"/>
  <c r="D21" i="75"/>
  <c r="D17" i="75"/>
  <c r="D18" i="75"/>
  <c r="D15" i="75"/>
  <c r="D20" i="75"/>
  <c r="D22" i="75"/>
  <c r="D14" i="75"/>
  <c r="D16" i="75"/>
  <c r="D13" i="75"/>
  <c r="D19" i="75"/>
  <c r="D12" i="75"/>
  <c r="D10" i="75"/>
  <c r="D9" i="75"/>
  <c r="H226" i="75"/>
  <c r="E234" i="75"/>
  <c r="G237" i="75" s="1"/>
  <c r="I234" i="75" s="1"/>
  <c r="J235" i="75" s="1"/>
  <c r="J236" i="75" s="1"/>
  <c r="K236" i="75" s="1"/>
  <c r="F22" i="75"/>
  <c r="F11" i="75"/>
  <c r="F18" i="75"/>
  <c r="F17" i="75"/>
  <c r="F16" i="75"/>
  <c r="F15" i="75"/>
  <c r="F21" i="75"/>
  <c r="F14" i="75"/>
  <c r="F13" i="75"/>
  <c r="F20" i="75"/>
  <c r="F19" i="75"/>
  <c r="F12" i="75"/>
  <c r="F10" i="75"/>
  <c r="F9" i="75"/>
  <c r="D23" i="75"/>
  <c r="G109" i="55"/>
  <c r="G189" i="55" s="1"/>
  <c r="G188" i="55"/>
  <c r="H84" i="55"/>
  <c r="G11" i="55"/>
  <c r="F80" i="57"/>
  <c r="F82" i="57" s="1"/>
  <c r="G216" i="61"/>
  <c r="E27" i="61" s="1"/>
  <c r="H212" i="61"/>
  <c r="C26" i="27"/>
  <c r="H224" i="61"/>
  <c r="G226" i="61"/>
  <c r="H210" i="30"/>
  <c r="E24" i="30"/>
  <c r="E26" i="30" s="1"/>
  <c r="F14" i="30" s="1"/>
  <c r="G212" i="30"/>
  <c r="E26" i="27"/>
  <c r="G202" i="61"/>
  <c r="C27" i="61" s="1"/>
  <c r="H198" i="61"/>
  <c r="G224" i="30"/>
  <c r="H222" i="30"/>
  <c r="C23" i="30"/>
  <c r="C26" i="30" s="1"/>
  <c r="D14" i="30" s="1"/>
  <c r="H196" i="30"/>
  <c r="G198" i="30"/>
  <c r="E26" i="61"/>
  <c r="H225" i="27"/>
  <c r="E233" i="27"/>
  <c r="G236" i="27" s="1"/>
  <c r="I236" i="27" s="1"/>
  <c r="I232" i="61" s="1"/>
  <c r="H197" i="27"/>
  <c r="G201" i="27"/>
  <c r="C27" i="27" s="1"/>
  <c r="H211" i="27"/>
  <c r="G215" i="27"/>
  <c r="E27" i="27" s="1"/>
  <c r="D23" i="61"/>
  <c r="D16" i="61"/>
  <c r="D11" i="61"/>
  <c r="D20" i="61"/>
  <c r="D15" i="61"/>
  <c r="D21" i="61"/>
  <c r="D17" i="61"/>
  <c r="D18" i="61"/>
  <c r="D22" i="61"/>
  <c r="D19" i="61"/>
  <c r="D13" i="61"/>
  <c r="D12" i="61"/>
  <c r="D10" i="61"/>
  <c r="D9" i="61"/>
  <c r="E76" i="57"/>
  <c r="F76" i="57" s="1"/>
  <c r="G77" i="57" s="1"/>
  <c r="F26" i="75" l="1"/>
  <c r="H237" i="75"/>
  <c r="G241" i="75"/>
  <c r="G27" i="75" s="1"/>
  <c r="F234" i="75"/>
  <c r="G235" i="75" s="1"/>
  <c r="D26" i="75"/>
  <c r="F24" i="61"/>
  <c r="F14" i="61"/>
  <c r="D23" i="27"/>
  <c r="D14" i="27"/>
  <c r="F24" i="27"/>
  <c r="F14" i="27"/>
  <c r="H77" i="57"/>
  <c r="H108" i="55"/>
  <c r="G9" i="55"/>
  <c r="E9" i="55"/>
  <c r="H109" i="55"/>
  <c r="D26" i="61"/>
  <c r="C9" i="55"/>
  <c r="H236" i="27"/>
  <c r="G240" i="27"/>
  <c r="G27" i="27" s="1"/>
  <c r="F233" i="27"/>
  <c r="G234" i="27" s="1"/>
  <c r="H198" i="30"/>
  <c r="G202" i="30"/>
  <c r="C27" i="30" s="1"/>
  <c r="D23" i="30"/>
  <c r="D21" i="30"/>
  <c r="D15" i="30"/>
  <c r="D17" i="30"/>
  <c r="D19" i="30"/>
  <c r="D20" i="30"/>
  <c r="D13" i="30"/>
  <c r="D22" i="30"/>
  <c r="D18" i="30"/>
  <c r="D11" i="30"/>
  <c r="D16" i="30"/>
  <c r="D12" i="30"/>
  <c r="D10" i="30"/>
  <c r="D9" i="30"/>
  <c r="H224" i="30"/>
  <c r="G226" i="30"/>
  <c r="F24" i="30"/>
  <c r="F17" i="30"/>
  <c r="F15" i="30"/>
  <c r="F22" i="30"/>
  <c r="F13" i="30"/>
  <c r="F20" i="30"/>
  <c r="F18" i="30"/>
  <c r="F11" i="30"/>
  <c r="F16" i="30"/>
  <c r="F21" i="30"/>
  <c r="F19" i="30"/>
  <c r="F12" i="30"/>
  <c r="F10" i="30"/>
  <c r="F9" i="30"/>
  <c r="E234" i="61"/>
  <c r="G237" i="61" s="1"/>
  <c r="I234" i="61" s="1"/>
  <c r="H226" i="61"/>
  <c r="D11" i="27"/>
  <c r="D18" i="27"/>
  <c r="D17" i="27"/>
  <c r="D22" i="27"/>
  <c r="D21" i="27"/>
  <c r="D20" i="27"/>
  <c r="D16" i="27"/>
  <c r="D19" i="27"/>
  <c r="D13" i="27"/>
  <c r="D15" i="27"/>
  <c r="D12" i="27"/>
  <c r="D10" i="27"/>
  <c r="D9" i="27"/>
  <c r="F22" i="61"/>
  <c r="F15" i="61"/>
  <c r="F17" i="61"/>
  <c r="F13" i="61"/>
  <c r="F21" i="61"/>
  <c r="F18" i="61"/>
  <c r="F20" i="61"/>
  <c r="F16" i="61"/>
  <c r="F11" i="61"/>
  <c r="F19" i="61"/>
  <c r="F12" i="61"/>
  <c r="F9" i="61"/>
  <c r="F10" i="61"/>
  <c r="F13" i="27"/>
  <c r="F11" i="27"/>
  <c r="F16" i="27"/>
  <c r="F20" i="27"/>
  <c r="F22" i="27"/>
  <c r="F15" i="27"/>
  <c r="F17" i="27"/>
  <c r="F18" i="27"/>
  <c r="F19" i="27"/>
  <c r="F21" i="27"/>
  <c r="F12" i="27"/>
  <c r="F10" i="27"/>
  <c r="F9" i="27"/>
  <c r="G216" i="30"/>
  <c r="E27" i="30" s="1"/>
  <c r="H212" i="30"/>
  <c r="C11" i="57"/>
  <c r="E11" i="57" s="1"/>
  <c r="E222" i="55"/>
  <c r="H189" i="55"/>
  <c r="E208" i="55"/>
  <c r="F208" i="55" s="1"/>
  <c r="G209" i="55" s="1"/>
  <c r="E194" i="55"/>
  <c r="F194" i="55" s="1"/>
  <c r="G195" i="55" s="1"/>
  <c r="H188" i="55"/>
  <c r="H235" i="75" l="1"/>
  <c r="G25" i="75"/>
  <c r="F26" i="30"/>
  <c r="D26" i="30"/>
  <c r="F26" i="27"/>
  <c r="F26" i="61"/>
  <c r="D26" i="27"/>
  <c r="E234" i="30"/>
  <c r="G237" i="30" s="1"/>
  <c r="I237" i="30" s="1"/>
  <c r="I233" i="61" s="1"/>
  <c r="H226" i="30"/>
  <c r="H234" i="27"/>
  <c r="G25" i="27"/>
  <c r="H237" i="61"/>
  <c r="F234" i="61"/>
  <c r="G235" i="61" s="1"/>
  <c r="G241" i="61"/>
  <c r="G27" i="61" s="1"/>
  <c r="G211" i="55"/>
  <c r="H209" i="55"/>
  <c r="H195" i="55"/>
  <c r="G197" i="55"/>
  <c r="F222" i="55"/>
  <c r="G223" i="55" s="1"/>
  <c r="G26" i="75" l="1"/>
  <c r="H25" i="75" s="1"/>
  <c r="G26" i="27"/>
  <c r="H235" i="61"/>
  <c r="G25" i="61"/>
  <c r="I235" i="61"/>
  <c r="J234" i="61" s="1"/>
  <c r="K235" i="61" s="1"/>
  <c r="L234" i="61" s="1"/>
  <c r="F234" i="30"/>
  <c r="G235" i="30" s="1"/>
  <c r="G241" i="30"/>
  <c r="G27" i="30" s="1"/>
  <c r="H237" i="30"/>
  <c r="G225" i="55"/>
  <c r="H223" i="55"/>
  <c r="H197" i="55"/>
  <c r="C23" i="55"/>
  <c r="C26" i="55" s="1"/>
  <c r="D14" i="55" s="1"/>
  <c r="G199" i="55"/>
  <c r="H211" i="55"/>
  <c r="E24" i="55"/>
  <c r="E26" i="55" s="1"/>
  <c r="F14" i="55" s="1"/>
  <c r="G213" i="55"/>
  <c r="H21" i="75" l="1"/>
  <c r="H14" i="75"/>
  <c r="H17" i="75"/>
  <c r="H16" i="75"/>
  <c r="H13" i="75"/>
  <c r="H19" i="75"/>
  <c r="H11" i="75"/>
  <c r="H22" i="75"/>
  <c r="H18" i="75"/>
  <c r="H20" i="75"/>
  <c r="H15" i="75"/>
  <c r="H10" i="75"/>
  <c r="H12" i="75"/>
  <c r="H9" i="75"/>
  <c r="H25" i="27"/>
  <c r="H14" i="27"/>
  <c r="G25" i="30"/>
  <c r="G26" i="30" s="1"/>
  <c r="H14" i="30" s="1"/>
  <c r="H235" i="30"/>
  <c r="G26" i="61"/>
  <c r="H22" i="27"/>
  <c r="H15" i="27"/>
  <c r="H19" i="27"/>
  <c r="H21" i="27"/>
  <c r="H13" i="27"/>
  <c r="H17" i="27"/>
  <c r="H11" i="27"/>
  <c r="H20" i="27"/>
  <c r="H16" i="27"/>
  <c r="H18" i="27"/>
  <c r="H10" i="27"/>
  <c r="H12" i="27"/>
  <c r="H9" i="27"/>
  <c r="F24" i="55"/>
  <c r="F13" i="55"/>
  <c r="F10" i="55"/>
  <c r="F12" i="55"/>
  <c r="F19" i="55"/>
  <c r="F16" i="55"/>
  <c r="F22" i="55"/>
  <c r="F20" i="55"/>
  <c r="F21" i="55"/>
  <c r="F15" i="55"/>
  <c r="F17" i="55"/>
  <c r="F18" i="55"/>
  <c r="F11" i="55"/>
  <c r="F9" i="55"/>
  <c r="G203" i="55"/>
  <c r="C27" i="55" s="1"/>
  <c r="H199" i="55"/>
  <c r="H213" i="55"/>
  <c r="G217" i="55"/>
  <c r="E27" i="55" s="1"/>
  <c r="D23" i="55"/>
  <c r="D18" i="55"/>
  <c r="D16" i="55"/>
  <c r="D12" i="55"/>
  <c r="D10" i="55"/>
  <c r="D13" i="55"/>
  <c r="D11" i="55"/>
  <c r="D19" i="55"/>
  <c r="D22" i="55"/>
  <c r="D17" i="55"/>
  <c r="D15" i="55"/>
  <c r="D20" i="55"/>
  <c r="D21" i="55"/>
  <c r="D9" i="55"/>
  <c r="H225" i="55"/>
  <c r="G227" i="55"/>
  <c r="H26" i="75" l="1"/>
  <c r="H25" i="61"/>
  <c r="H14" i="61"/>
  <c r="H26" i="27"/>
  <c r="H11" i="61"/>
  <c r="H15" i="61"/>
  <c r="H21" i="61"/>
  <c r="H19" i="61"/>
  <c r="H13" i="61"/>
  <c r="H17" i="61"/>
  <c r="H22" i="61"/>
  <c r="H16" i="61"/>
  <c r="H18" i="61"/>
  <c r="H20" i="61"/>
  <c r="H10" i="61"/>
  <c r="H12" i="61"/>
  <c r="H9" i="61"/>
  <c r="H25" i="30"/>
  <c r="H17" i="30"/>
  <c r="H18" i="30"/>
  <c r="H20" i="30"/>
  <c r="H16" i="30"/>
  <c r="H13" i="30"/>
  <c r="H22" i="30"/>
  <c r="H21" i="30"/>
  <c r="H11" i="30"/>
  <c r="H19" i="30"/>
  <c r="H15" i="30"/>
  <c r="H12" i="30"/>
  <c r="H10" i="30"/>
  <c r="H9" i="30"/>
  <c r="F26" i="55"/>
  <c r="E235" i="55"/>
  <c r="G238" i="55" s="1"/>
  <c r="I235" i="55" s="1"/>
  <c r="H227" i="55"/>
  <c r="D26" i="55"/>
  <c r="H26" i="30" l="1"/>
  <c r="H26" i="61"/>
  <c r="E71" i="46"/>
  <c r="F71" i="46" s="1"/>
  <c r="F235" i="55"/>
  <c r="G236" i="55" s="1"/>
  <c r="H238" i="55"/>
  <c r="G242" i="55"/>
  <c r="G27" i="55" s="1"/>
  <c r="E71" i="47" l="1"/>
  <c r="F71" i="47" s="1"/>
  <c r="F72" i="46"/>
  <c r="E80" i="46" s="1"/>
  <c r="E91" i="46"/>
  <c r="F91" i="46" s="1"/>
  <c r="G92" i="46" s="1"/>
  <c r="H236" i="55"/>
  <c r="G25" i="55"/>
  <c r="G26" i="55" s="1"/>
  <c r="H14" i="55" s="1"/>
  <c r="E73" i="46" l="1"/>
  <c r="F73" i="46" s="1"/>
  <c r="F80" i="46"/>
  <c r="H92" i="46"/>
  <c r="C12" i="46"/>
  <c r="E12" i="46" s="1"/>
  <c r="G12" i="46" s="1"/>
  <c r="F72" i="47"/>
  <c r="E91" i="47"/>
  <c r="F91" i="47" s="1"/>
  <c r="G92" i="47" s="1"/>
  <c r="H25" i="55"/>
  <c r="H11" i="55"/>
  <c r="H19" i="55"/>
  <c r="H20" i="55"/>
  <c r="H10" i="55"/>
  <c r="H16" i="55"/>
  <c r="H12" i="55"/>
  <c r="H15" i="55"/>
  <c r="H21" i="55"/>
  <c r="H18" i="55"/>
  <c r="H22" i="55"/>
  <c r="H17" i="55"/>
  <c r="H13" i="55"/>
  <c r="H9" i="55"/>
  <c r="F82" i="46" l="1"/>
  <c r="E83" i="46" s="1"/>
  <c r="F83" i="46" s="1"/>
  <c r="G84" i="46" s="1"/>
  <c r="H84" i="46" s="1"/>
  <c r="F75" i="46"/>
  <c r="E76" i="46" s="1"/>
  <c r="F76" i="46" s="1"/>
  <c r="G77" i="46" s="1"/>
  <c r="H92" i="47"/>
  <c r="C12" i="47"/>
  <c r="E12" i="47" s="1"/>
  <c r="G12" i="47" s="1"/>
  <c r="E80" i="47"/>
  <c r="E73" i="47"/>
  <c r="F73" i="47" s="1"/>
  <c r="H26" i="55"/>
  <c r="G106" i="46" l="1"/>
  <c r="H106" i="46" s="1"/>
  <c r="G105" i="46"/>
  <c r="G185" i="46" s="1"/>
  <c r="G11" i="46"/>
  <c r="F75" i="47"/>
  <c r="E76" i="47" s="1"/>
  <c r="F76" i="47" s="1"/>
  <c r="G77" i="47" s="1"/>
  <c r="C11" i="46"/>
  <c r="E11" i="46" s="1"/>
  <c r="H77" i="46"/>
  <c r="F80" i="47"/>
  <c r="C11" i="47" l="1"/>
  <c r="E11" i="47" s="1"/>
  <c r="H77" i="47"/>
  <c r="F82" i="47"/>
  <c r="E83" i="47" s="1"/>
  <c r="F83" i="47" s="1"/>
  <c r="G84" i="47" s="1"/>
  <c r="G105" i="47" s="1"/>
  <c r="G9" i="46"/>
  <c r="C9" i="46"/>
  <c r="G186" i="46"/>
  <c r="E219" i="46" s="1"/>
  <c r="H105" i="46"/>
  <c r="E9" i="46"/>
  <c r="E205" i="46"/>
  <c r="F205" i="46" s="1"/>
  <c r="G206" i="46" s="1"/>
  <c r="H185" i="46"/>
  <c r="E191" i="46"/>
  <c r="F191" i="46" s="1"/>
  <c r="G192" i="46" s="1"/>
  <c r="H186" i="46"/>
  <c r="G106" i="47" l="1"/>
  <c r="H106" i="47" s="1"/>
  <c r="G11" i="47"/>
  <c r="H84" i="47"/>
  <c r="G185" i="47"/>
  <c r="H192" i="46"/>
  <c r="G194" i="46"/>
  <c r="H206" i="46"/>
  <c r="G208" i="46"/>
  <c r="F219" i="46"/>
  <c r="G220" i="46" s="1"/>
  <c r="G9" i="47" l="1"/>
  <c r="C9" i="47"/>
  <c r="G186" i="47"/>
  <c r="E219" i="47" s="1"/>
  <c r="H105" i="47"/>
  <c r="E9" i="47"/>
  <c r="G222" i="46"/>
  <c r="H220" i="46"/>
  <c r="H185" i="47"/>
  <c r="E191" i="47"/>
  <c r="F191" i="47" s="1"/>
  <c r="G192" i="47" s="1"/>
  <c r="E205" i="47"/>
  <c r="F205" i="47" s="1"/>
  <c r="G206" i="47" s="1"/>
  <c r="H208" i="46"/>
  <c r="E24" i="46"/>
  <c r="E26" i="46" s="1"/>
  <c r="F14" i="46" s="1"/>
  <c r="G210" i="46"/>
  <c r="H194" i="46"/>
  <c r="C23" i="46"/>
  <c r="G196" i="46"/>
  <c r="H186" i="47"/>
  <c r="F219" i="47" l="1"/>
  <c r="G220" i="47" s="1"/>
  <c r="G200" i="46"/>
  <c r="C27" i="46" s="1"/>
  <c r="H196" i="46"/>
  <c r="F24" i="46"/>
  <c r="F18" i="46"/>
  <c r="F13" i="46"/>
  <c r="F10" i="46"/>
  <c r="F17" i="46"/>
  <c r="F20" i="46"/>
  <c r="F12" i="46"/>
  <c r="F9" i="46"/>
  <c r="F19" i="46"/>
  <c r="F16" i="46"/>
  <c r="F15" i="46"/>
  <c r="F22" i="46"/>
  <c r="F21" i="46"/>
  <c r="F11" i="46"/>
  <c r="G194" i="47"/>
  <c r="H192" i="47"/>
  <c r="C26" i="46"/>
  <c r="D14" i="46" s="1"/>
  <c r="G214" i="46"/>
  <c r="E27" i="46" s="1"/>
  <c r="H210" i="46"/>
  <c r="G208" i="47"/>
  <c r="H206" i="47"/>
  <c r="H222" i="46"/>
  <c r="G224" i="46"/>
  <c r="H208" i="47" l="1"/>
  <c r="E24" i="47"/>
  <c r="E26" i="47" s="1"/>
  <c r="F14" i="47" s="1"/>
  <c r="G210" i="47"/>
  <c r="D10" i="46"/>
  <c r="D16" i="46"/>
  <c r="D21" i="46"/>
  <c r="D18" i="46"/>
  <c r="D15" i="46"/>
  <c r="D12" i="46"/>
  <c r="D9" i="46"/>
  <c r="D19" i="46"/>
  <c r="D22" i="46"/>
  <c r="D17" i="46"/>
  <c r="D13" i="46"/>
  <c r="D20" i="46"/>
  <c r="D11" i="46"/>
  <c r="C23" i="47"/>
  <c r="C26" i="47" s="1"/>
  <c r="D14" i="47" s="1"/>
  <c r="H194" i="47"/>
  <c r="G196" i="47"/>
  <c r="G222" i="47"/>
  <c r="H220" i="47"/>
  <c r="E232" i="46"/>
  <c r="G235" i="46" s="1"/>
  <c r="I235" i="46" s="1"/>
  <c r="H224" i="46"/>
  <c r="D23" i="46"/>
  <c r="F26" i="46"/>
  <c r="G200" i="47" l="1"/>
  <c r="C27" i="47" s="1"/>
  <c r="H196" i="47"/>
  <c r="D23" i="47"/>
  <c r="D15" i="47"/>
  <c r="D17" i="47"/>
  <c r="D20" i="47"/>
  <c r="D22" i="47"/>
  <c r="D11" i="47"/>
  <c r="D21" i="47"/>
  <c r="D19" i="47"/>
  <c r="D18" i="47"/>
  <c r="D16" i="47"/>
  <c r="D13" i="47"/>
  <c r="D12" i="47"/>
  <c r="D9" i="47"/>
  <c r="D10" i="47"/>
  <c r="D26" i="46"/>
  <c r="G214" i="47"/>
  <c r="E27" i="47" s="1"/>
  <c r="H210" i="47"/>
  <c r="H235" i="46"/>
  <c r="F232" i="46"/>
  <c r="G233" i="46" s="1"/>
  <c r="G239" i="46"/>
  <c r="G27" i="46" s="1"/>
  <c r="H222" i="47"/>
  <c r="G224" i="47"/>
  <c r="F24" i="47"/>
  <c r="F10" i="47"/>
  <c r="F22" i="47"/>
  <c r="F18" i="47"/>
  <c r="F16" i="47"/>
  <c r="F19" i="47"/>
  <c r="F11" i="47"/>
  <c r="F17" i="47"/>
  <c r="F20" i="47"/>
  <c r="F13" i="47"/>
  <c r="F21" i="47"/>
  <c r="F15" i="47"/>
  <c r="F12" i="47"/>
  <c r="F9" i="47"/>
  <c r="D26" i="47" l="1"/>
  <c r="F26" i="47"/>
  <c r="E232" i="47"/>
  <c r="G235" i="47" s="1"/>
  <c r="I232" i="47" s="1"/>
  <c r="I233" i="47" s="1"/>
  <c r="H224" i="47"/>
  <c r="H233" i="46"/>
  <c r="G25" i="46"/>
  <c r="G26" i="46" l="1"/>
  <c r="H235" i="47"/>
  <c r="F232" i="47"/>
  <c r="G233" i="47" s="1"/>
  <c r="G239" i="47"/>
  <c r="G27" i="47" s="1"/>
  <c r="J232" i="47"/>
  <c r="K232" i="47" s="1"/>
  <c r="L232" i="47" s="1"/>
  <c r="H25" i="46" l="1"/>
  <c r="H14" i="46"/>
  <c r="H233" i="47"/>
  <c r="G25" i="47"/>
  <c r="G26" i="47" s="1"/>
  <c r="H14" i="47" s="1"/>
  <c r="H10" i="46"/>
  <c r="H17" i="46"/>
  <c r="H21" i="46"/>
  <c r="H12" i="46"/>
  <c r="H20" i="46"/>
  <c r="H16" i="46"/>
  <c r="H11" i="46"/>
  <c r="H22" i="46"/>
  <c r="H19" i="46"/>
  <c r="H18" i="46"/>
  <c r="H15" i="46"/>
  <c r="H13" i="46"/>
  <c r="H9" i="46"/>
  <c r="H26" i="46" l="1"/>
  <c r="H25" i="47"/>
  <c r="H18" i="47"/>
  <c r="H22" i="47"/>
  <c r="H13" i="47"/>
  <c r="H19" i="47"/>
  <c r="H15" i="47"/>
  <c r="H12" i="47"/>
  <c r="H9" i="47"/>
  <c r="H21" i="47"/>
  <c r="H16" i="47"/>
  <c r="H20" i="47"/>
  <c r="H17" i="47"/>
  <c r="H10" i="47"/>
  <c r="H11" i="47"/>
  <c r="H26" i="47" l="1"/>
  <c r="E83" i="57" l="1"/>
  <c r="F83" i="57" s="1"/>
  <c r="G84" i="57" s="1"/>
  <c r="H84" i="57" l="1"/>
  <c r="G108" i="57"/>
  <c r="G107" i="57"/>
  <c r="G11" i="57"/>
  <c r="H108" i="57" l="1"/>
  <c r="G188" i="57"/>
  <c r="G9" i="57"/>
  <c r="H107" i="57"/>
  <c r="G187" i="57"/>
  <c r="C9" i="57"/>
  <c r="E9" i="57"/>
  <c r="H187" i="57" l="1"/>
  <c r="E193" i="57"/>
  <c r="F193" i="57" s="1"/>
  <c r="G194" i="57" s="1"/>
  <c r="E207" i="57"/>
  <c r="F207" i="57" s="1"/>
  <c r="G208" i="57" s="1"/>
  <c r="H188" i="57"/>
  <c r="E221" i="57"/>
  <c r="F221" i="57" l="1"/>
  <c r="G222" i="57" s="1"/>
  <c r="H208" i="57"/>
  <c r="G210" i="57"/>
  <c r="H194" i="57"/>
  <c r="G196" i="57"/>
  <c r="C23" i="57" l="1"/>
  <c r="H196" i="57"/>
  <c r="G198" i="57"/>
  <c r="E24" i="57"/>
  <c r="H210" i="57"/>
  <c r="G212" i="57"/>
  <c r="G224" i="57"/>
  <c r="H222" i="57"/>
  <c r="H212" i="57" l="1"/>
  <c r="G216" i="57"/>
  <c r="E27" i="57" s="1"/>
  <c r="E26" i="57"/>
  <c r="F14" i="57" s="1"/>
  <c r="H224" i="57"/>
  <c r="G226" i="57"/>
  <c r="H198" i="57"/>
  <c r="G202" i="57"/>
  <c r="C27" i="57" s="1"/>
  <c r="C26" i="57"/>
  <c r="D14" i="57" s="1"/>
  <c r="D18" i="57" l="1"/>
  <c r="D19" i="57"/>
  <c r="D21" i="57"/>
  <c r="D10" i="57"/>
  <c r="D16" i="57"/>
  <c r="D13" i="57"/>
  <c r="D20" i="57"/>
  <c r="D12" i="57"/>
  <c r="D17" i="57"/>
  <c r="D22" i="57"/>
  <c r="D11" i="57"/>
  <c r="D15" i="57"/>
  <c r="D9" i="57"/>
  <c r="H226" i="57"/>
  <c r="E234" i="57"/>
  <c r="G237" i="57" s="1"/>
  <c r="F19" i="57"/>
  <c r="F12" i="57"/>
  <c r="F11" i="57"/>
  <c r="F13" i="57"/>
  <c r="F20" i="57"/>
  <c r="F10" i="57"/>
  <c r="F17" i="57"/>
  <c r="F16" i="57"/>
  <c r="F22" i="57"/>
  <c r="F21" i="57"/>
  <c r="F15" i="57"/>
  <c r="F18" i="57"/>
  <c r="F9" i="57"/>
  <c r="D23" i="57"/>
  <c r="F24" i="57"/>
  <c r="I234" i="57" l="1"/>
  <c r="J235" i="57" s="1"/>
  <c r="J236" i="57" s="1"/>
  <c r="K236" i="57" s="1"/>
  <c r="G241" i="57"/>
  <c r="G27" i="57" s="1"/>
  <c r="F234" i="57"/>
  <c r="G235" i="57" s="1"/>
  <c r="H237" i="57"/>
  <c r="D26" i="57"/>
  <c r="F26" i="57"/>
  <c r="H235" i="57" l="1"/>
  <c r="G25" i="57"/>
  <c r="G26" i="57" l="1"/>
  <c r="H14" i="57" s="1"/>
  <c r="H21" i="57" l="1"/>
  <c r="H19" i="57"/>
  <c r="H15" i="57"/>
  <c r="H20" i="57"/>
  <c r="H17" i="57"/>
  <c r="H22" i="57"/>
  <c r="H12" i="57"/>
  <c r="H16" i="57"/>
  <c r="H10" i="57"/>
  <c r="H13" i="57"/>
  <c r="H18" i="57"/>
  <c r="H11" i="57"/>
  <c r="H9" i="57"/>
  <c r="H25" i="57"/>
  <c r="H26" i="5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0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0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0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0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000-00000E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veículo utilizado
</t>
        </r>
      </text>
    </comment>
    <comment ref="E37" authorId="1" shapeId="0" xr:uid="{00000000-0006-0000-00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0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0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0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0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0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0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0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0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0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0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0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0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0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0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0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0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0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0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0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0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0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0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0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0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0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0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0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0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0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0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0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0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0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0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0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0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0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0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0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0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0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0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0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0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1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1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1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1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1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1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1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1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1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1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1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100-00000E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veículo utilizado
</t>
        </r>
      </text>
    </comment>
    <comment ref="E37" authorId="1" shapeId="0" xr:uid="{00000000-0006-0000-01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1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1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1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1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1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1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1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1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1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1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1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1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1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1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1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1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1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1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1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1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1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1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1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1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1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1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1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1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1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1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1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1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1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1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1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1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1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1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1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1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1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1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1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1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1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1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1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1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1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1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1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1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1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1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1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1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1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1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2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2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2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2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2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2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2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2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2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2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2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200-00000E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veículo utilizado
</t>
        </r>
      </text>
    </comment>
    <comment ref="E37" authorId="1" shapeId="0" xr:uid="{00000000-0006-0000-02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2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2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2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2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2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2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2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2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2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2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2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2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2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2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2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2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2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2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2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2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2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2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2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2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2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2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2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2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2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2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2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2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2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2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2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2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2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2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2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2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2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2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2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2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2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2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2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2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2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2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2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2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2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2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2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2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3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3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3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3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3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3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3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3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3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3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3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3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3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3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3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3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3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3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3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3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3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3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3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3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3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3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3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3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3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3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3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3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3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3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3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3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3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3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3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3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3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3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3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3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3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3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3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3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3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3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3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3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3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3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3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3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3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3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3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3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3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3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3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3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3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3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3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3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3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3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3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3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4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4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4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4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4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4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4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4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4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4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4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4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4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4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tipo de combustível </t>
        </r>
      </text>
    </comment>
    <comment ref="F38" authorId="0" shapeId="0" xr:uid="{00000000-0006-0000-04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4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4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4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4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4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4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4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4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4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4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4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4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4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4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4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4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4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4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4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4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0" authorId="2" shapeId="0" xr:uid="{00000000-0006-0000-04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4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4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4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4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4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4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4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4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4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4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4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4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4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4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4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4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4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4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4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67" authorId="2" shapeId="0" xr:uid="{00000000-0006-0000-0400-000039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400-00003A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400-00003B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400-00003C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400-00003D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400-00003E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400-00003F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400-000040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400-000041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400-000042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400-000043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400-000044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4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4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0" shapeId="0" xr:uid="{00000000-0006-0000-0400-000047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32" authorId="2" shapeId="0" xr:uid="{00000000-0006-0000-0400-000048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5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5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5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5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5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5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5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5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5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5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5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5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500-00000E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veículo utilizado
</t>
        </r>
      </text>
    </comment>
    <comment ref="E37" authorId="1" shapeId="0" xr:uid="{00000000-0006-0000-05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5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5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5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5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5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5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5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5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5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5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5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5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5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5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5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5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5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5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5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5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5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5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5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5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5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5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5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5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5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5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5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5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5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5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5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5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5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5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5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5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5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5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5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5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5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5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5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5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5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5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5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5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5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5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5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6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6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6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6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6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6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6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6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6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6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6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6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6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6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6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6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6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6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6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6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6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6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6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6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6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6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6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6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6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6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6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6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6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6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6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6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6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6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6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6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6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6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6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6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6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6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6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6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6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6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6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6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6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6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6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6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6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6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6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6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6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6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6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6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6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6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6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6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6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6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6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6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7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7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7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7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7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7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7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7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7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7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7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7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7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7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7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7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7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7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7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7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7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7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7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7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7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7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7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7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7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7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7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7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7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7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7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7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7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7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7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7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7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7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7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7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7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7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7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7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7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7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7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7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7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7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7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7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7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7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7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7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7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7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7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7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7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7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7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7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7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7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7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7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8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8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8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8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8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8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8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8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8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8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8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8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8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8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8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8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8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8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8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8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8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8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8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8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8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8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8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8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8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8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8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8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8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8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8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8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8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8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8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8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8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8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8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8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8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8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8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8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8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8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8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8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8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8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8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8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8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8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8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8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8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8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8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8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8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8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8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8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8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8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8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8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8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9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9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9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9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9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9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9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9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9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9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9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9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9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900-00000E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veículo utilizado
</t>
        </r>
      </text>
    </comment>
    <comment ref="E37" authorId="1" shapeId="0" xr:uid="{00000000-0006-0000-09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9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9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9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9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9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9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9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9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9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9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9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9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9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9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9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9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9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9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9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9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3" authorId="2" shapeId="0" xr:uid="{00000000-0006-0000-09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
0).</t>
        </r>
      </text>
    </comment>
    <comment ref="D120" authorId="2" shapeId="0" xr:uid="{00000000-0006-0000-09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9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3" authorId="2" shapeId="0" xr:uid="{00000000-0006-0000-09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4" authorId="2" shapeId="0" xr:uid="{00000000-0006-0000-09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5" authorId="2" shapeId="0" xr:uid="{00000000-0006-0000-09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6" authorId="2" shapeId="0" xr:uid="{00000000-0006-0000-09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7" authorId="0" shapeId="0" xr:uid="{00000000-0006-0000-09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5" authorId="2" shapeId="0" xr:uid="{00000000-0006-0000-09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5" authorId="2" shapeId="0" xr:uid="{00000000-0006-0000-09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7" authorId="2" shapeId="0" xr:uid="{00000000-0006-0000-09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7" authorId="2" shapeId="0" xr:uid="{00000000-0006-0000-09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49" authorId="2" shapeId="0" xr:uid="{00000000-0006-0000-09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49" authorId="2" shapeId="0" xr:uid="{00000000-0006-0000-09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1" authorId="2" shapeId="0" xr:uid="{00000000-0006-0000-09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1" authorId="2" shapeId="0" xr:uid="{00000000-0006-0000-09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8" authorId="2" shapeId="0" xr:uid="{00000000-0006-0000-09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59" authorId="0" shapeId="0" xr:uid="{00000000-0006-0000-09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59" authorId="2" shapeId="0" xr:uid="{00000000-0006-0000-09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5" authorId="2" shapeId="0" xr:uid="{00000000-0006-0000-09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5" authorId="2" shapeId="0" xr:uid="{00000000-0006-0000-09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6" authorId="1" shapeId="0" xr:uid="{00000000-0006-0000-09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7" authorId="2" shapeId="0" xr:uid="{00000000-0006-0000-09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6" authorId="2" shapeId="0" xr:uid="{00000000-0006-0000-09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6" authorId="2" shapeId="0" xr:uid="{00000000-0006-0000-09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7" authorId="2" shapeId="0" xr:uid="{00000000-0006-0000-09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9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9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9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9" authorId="0" shapeId="0" xr:uid="{00000000-0006-0000-09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9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2" shapeId="0" xr:uid="{00000000-0006-0000-09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9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1" authorId="2" shapeId="0" xr:uid="{00000000-0006-0000-09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5" authorId="2" shapeId="0" xr:uid="{00000000-0006-0000-09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19" authorId="2" shapeId="0" xr:uid="{00000000-0006-0000-09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29" authorId="2" shapeId="0" xr:uid="{00000000-0006-0000-09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2" authorId="2" shapeId="0" xr:uid="{00000000-0006-0000-09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A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A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A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A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A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A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A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A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A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A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A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A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A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A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A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tipo de combustível
</t>
        </r>
      </text>
    </comment>
    <comment ref="F38" authorId="0" shapeId="0" xr:uid="{00000000-0006-0000-0A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A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A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A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A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A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A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A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A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A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A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A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A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A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A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A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A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A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A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A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4" authorId="2" shapeId="0" xr:uid="{00000000-0006-0000-0A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1" authorId="2" shapeId="0" xr:uid="{00000000-0006-0000-0A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3" authorId="0" shapeId="0" xr:uid="{00000000-0006-0000-0A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4" authorId="2" shapeId="0" xr:uid="{00000000-0006-0000-0A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5" authorId="2" shapeId="0" xr:uid="{00000000-0006-0000-0A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6" authorId="2" shapeId="0" xr:uid="{00000000-0006-0000-0A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7" authorId="2" shapeId="0" xr:uid="{00000000-0006-0000-0A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8" authorId="0" shapeId="0" xr:uid="{00000000-0006-0000-0A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6" authorId="2" shapeId="0" xr:uid="{00000000-0006-0000-0A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6" authorId="2" shapeId="0" xr:uid="{00000000-0006-0000-0A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8" authorId="2" shapeId="0" xr:uid="{00000000-0006-0000-0A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8" authorId="2" shapeId="0" xr:uid="{00000000-0006-0000-0A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0" authorId="2" shapeId="0" xr:uid="{00000000-0006-0000-0A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0" authorId="2" shapeId="0" xr:uid="{00000000-0006-0000-0A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2" authorId="2" shapeId="0" xr:uid="{00000000-0006-0000-0A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2" authorId="2" shapeId="0" xr:uid="{00000000-0006-0000-0A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59" authorId="2" shapeId="0" xr:uid="{00000000-0006-0000-0A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0" authorId="0" shapeId="0" xr:uid="{00000000-0006-0000-0A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0" authorId="2" shapeId="0" xr:uid="{00000000-0006-0000-0A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6" authorId="2" shapeId="0" xr:uid="{00000000-0006-0000-0A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6" authorId="2" shapeId="0" xr:uid="{00000000-0006-0000-0A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7" authorId="1" shapeId="0" xr:uid="{00000000-0006-0000-0A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 no veículo
</t>
        </r>
      </text>
    </comment>
    <comment ref="D168" authorId="2" shapeId="0" xr:uid="{00000000-0006-0000-0A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7" authorId="2" shapeId="0" xr:uid="{00000000-0006-0000-0A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7" authorId="2" shapeId="0" xr:uid="{00000000-0006-0000-0A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8" authorId="2" shapeId="0" xr:uid="{00000000-0006-0000-0A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A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9" authorId="2" shapeId="0" xr:uid="{00000000-0006-0000-0A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A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0" authorId="0" shapeId="0" xr:uid="{00000000-0006-0000-0A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A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1" authorId="2" shapeId="0" xr:uid="{00000000-0006-0000-0A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0A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2" authorId="2" shapeId="0" xr:uid="{00000000-0006-0000-0A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6" authorId="2" shapeId="0" xr:uid="{00000000-0006-0000-0A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0" authorId="2" shapeId="0" xr:uid="{00000000-0006-0000-0A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0" authorId="0" shapeId="0" xr:uid="{00000000-0006-0000-0A00-000048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33" authorId="2" shapeId="0" xr:uid="{00000000-0006-0000-0A00-000049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B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B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B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B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B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B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B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B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B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B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B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B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B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B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B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
</t>
        </r>
      </text>
    </comment>
    <comment ref="F38" authorId="0" shapeId="0" xr:uid="{00000000-0006-0000-0B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B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B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B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B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B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B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B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B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B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B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B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B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B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B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B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B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B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B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B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5" authorId="2" shapeId="0" xr:uid="{00000000-0006-0000-0B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2" authorId="2" shapeId="0" xr:uid="{00000000-0006-0000-0B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0B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5" authorId="2" shapeId="0" xr:uid="{00000000-0006-0000-0B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6" authorId="2" shapeId="0" xr:uid="{00000000-0006-0000-0B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7" authorId="2" shapeId="0" xr:uid="{00000000-0006-0000-0B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8" authorId="2" shapeId="0" xr:uid="{00000000-0006-0000-0B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9" authorId="0" shapeId="0" xr:uid="{00000000-0006-0000-0B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7" authorId="2" shapeId="0" xr:uid="{00000000-0006-0000-0B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7" authorId="2" shapeId="0" xr:uid="{00000000-0006-0000-0B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9" authorId="2" shapeId="0" xr:uid="{00000000-0006-0000-0B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9" authorId="2" shapeId="0" xr:uid="{00000000-0006-0000-0B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1" authorId="2" shapeId="0" xr:uid="{00000000-0006-0000-0B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1" authorId="2" shapeId="0" xr:uid="{00000000-0006-0000-0B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3" authorId="2" shapeId="0" xr:uid="{00000000-0006-0000-0B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3" authorId="2" shapeId="0" xr:uid="{00000000-0006-0000-0B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60" authorId="2" shapeId="0" xr:uid="{00000000-0006-0000-0B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1" authorId="0" shapeId="0" xr:uid="{00000000-0006-0000-0B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1" authorId="2" shapeId="0" xr:uid="{00000000-0006-0000-0B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7" authorId="2" shapeId="0" xr:uid="{00000000-0006-0000-0B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7" authorId="2" shapeId="0" xr:uid="{00000000-0006-0000-0B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8" authorId="1" shapeId="0" xr:uid="{00000000-0006-0000-0B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 pneu utilizado
</t>
        </r>
      </text>
    </comment>
    <comment ref="D169" authorId="2" shapeId="0" xr:uid="{00000000-0006-0000-0B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8" authorId="2" shapeId="0" xr:uid="{00000000-0006-0000-0B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B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9" authorId="2" shapeId="0" xr:uid="{00000000-0006-0000-0B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B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0" authorId="2" shapeId="0" xr:uid="{00000000-0006-0000-0B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B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1" authorId="0" shapeId="0" xr:uid="{00000000-0006-0000-0B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0B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2" authorId="2" shapeId="0" xr:uid="{00000000-0006-0000-0B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2" authorId="2" shapeId="0" xr:uid="{00000000-0006-0000-0B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3" authorId="2" shapeId="0" xr:uid="{00000000-0006-0000-0B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7" authorId="2" shapeId="0" xr:uid="{00000000-0006-0000-0B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1" authorId="2" shapeId="0" xr:uid="{00000000-0006-0000-0B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1" authorId="2" shapeId="0" xr:uid="{00000000-0006-0000-0B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4" authorId="2" shapeId="0" xr:uid="{00000000-0006-0000-0B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C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C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C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C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C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C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C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C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C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C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C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C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C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C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C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
</t>
        </r>
      </text>
    </comment>
    <comment ref="F38" authorId="0" shapeId="0" xr:uid="{00000000-0006-0000-0C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C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C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C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C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C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C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C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C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C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C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C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C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C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C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C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C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C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C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C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5" authorId="2" shapeId="0" xr:uid="{00000000-0006-0000-0C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</t>
        </r>
      </text>
    </comment>
    <comment ref="D122" authorId="2" shapeId="0" xr:uid="{00000000-0006-0000-0C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0C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5" authorId="2" shapeId="0" xr:uid="{00000000-0006-0000-0C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6" authorId="2" shapeId="0" xr:uid="{00000000-0006-0000-0C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7" authorId="2" shapeId="0" xr:uid="{00000000-0006-0000-0C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8" authorId="2" shapeId="0" xr:uid="{00000000-0006-0000-0C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9" authorId="0" shapeId="0" xr:uid="{00000000-0006-0000-0C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7" authorId="2" shapeId="0" xr:uid="{00000000-0006-0000-0C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7" authorId="2" shapeId="0" xr:uid="{00000000-0006-0000-0C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9" authorId="2" shapeId="0" xr:uid="{00000000-0006-0000-0C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9" authorId="2" shapeId="0" xr:uid="{00000000-0006-0000-0C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1" authorId="2" shapeId="0" xr:uid="{00000000-0006-0000-0C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1" authorId="2" shapeId="0" xr:uid="{00000000-0006-0000-0C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3" authorId="2" shapeId="0" xr:uid="{00000000-0006-0000-0C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3" authorId="2" shapeId="0" xr:uid="{00000000-0006-0000-0C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60" authorId="2" shapeId="0" xr:uid="{00000000-0006-0000-0C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1" authorId="0" shapeId="0" xr:uid="{00000000-0006-0000-0C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1" authorId="2" shapeId="0" xr:uid="{00000000-0006-0000-0C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7" authorId="2" shapeId="0" xr:uid="{00000000-0006-0000-0C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7" authorId="2" shapeId="0" xr:uid="{00000000-0006-0000-0C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8" authorId="1" shapeId="0" xr:uid="{00000000-0006-0000-0C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</t>
        </r>
      </text>
    </comment>
    <comment ref="D169" authorId="2" shapeId="0" xr:uid="{00000000-0006-0000-0C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8" authorId="2" shapeId="0" xr:uid="{00000000-0006-0000-0C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C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9" authorId="2" shapeId="0" xr:uid="{00000000-0006-0000-0C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C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0" authorId="2" shapeId="0" xr:uid="{00000000-0006-0000-0C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C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1" authorId="0" shapeId="0" xr:uid="{00000000-0006-0000-0C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0C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2" authorId="2" shapeId="0" xr:uid="{00000000-0006-0000-0C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2" authorId="2" shapeId="0" xr:uid="{00000000-0006-0000-0C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3" authorId="2" shapeId="0" xr:uid="{00000000-0006-0000-0C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7" authorId="2" shapeId="0" xr:uid="{00000000-0006-0000-0C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1" authorId="2" shapeId="0" xr:uid="{00000000-0006-0000-0C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1" authorId="2" shapeId="0" xr:uid="{00000000-0006-0000-0C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4" authorId="2" shapeId="0" xr:uid="{00000000-0006-0000-0C00-000049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D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D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D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D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D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D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D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D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D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D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D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D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D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D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D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 utilizado</t>
        </r>
      </text>
    </comment>
    <comment ref="F38" authorId="0" shapeId="0" xr:uid="{00000000-0006-0000-0D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D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D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D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D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D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D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D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D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D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D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D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D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D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D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D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D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D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D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D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5" authorId="2" shapeId="0" xr:uid="{00000000-0006-0000-0D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2" authorId="2" shapeId="0" xr:uid="{00000000-0006-0000-0D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0D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5" authorId="2" shapeId="0" xr:uid="{00000000-0006-0000-0D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6" authorId="2" shapeId="0" xr:uid="{00000000-0006-0000-0D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7" authorId="2" shapeId="0" xr:uid="{00000000-0006-0000-0D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8" authorId="2" shapeId="0" xr:uid="{00000000-0006-0000-0D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9" authorId="0" shapeId="0" xr:uid="{00000000-0006-0000-0D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7" authorId="2" shapeId="0" xr:uid="{00000000-0006-0000-0D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7" authorId="2" shapeId="0" xr:uid="{00000000-0006-0000-0D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9" authorId="2" shapeId="0" xr:uid="{00000000-0006-0000-0D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9" authorId="2" shapeId="0" xr:uid="{00000000-0006-0000-0D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1" authorId="2" shapeId="0" xr:uid="{00000000-0006-0000-0D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1" authorId="2" shapeId="0" xr:uid="{00000000-0006-0000-0D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3" authorId="2" shapeId="0" xr:uid="{00000000-0006-0000-0D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3" authorId="2" shapeId="0" xr:uid="{00000000-0006-0000-0D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60" authorId="2" shapeId="0" xr:uid="{00000000-0006-0000-0D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1" authorId="0" shapeId="0" xr:uid="{00000000-0006-0000-0D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1" authorId="2" shapeId="0" xr:uid="{00000000-0006-0000-0D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7" authorId="2" shapeId="0" xr:uid="{00000000-0006-0000-0D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7" authorId="2" shapeId="0" xr:uid="{00000000-0006-0000-0D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8" authorId="1" shapeId="0" xr:uid="{00000000-0006-0000-0D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a ser utilizado</t>
        </r>
      </text>
    </comment>
    <comment ref="D169" authorId="2" shapeId="0" xr:uid="{00000000-0006-0000-0D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8" authorId="2" shapeId="0" xr:uid="{00000000-0006-0000-0D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D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9" authorId="2" shapeId="0" xr:uid="{00000000-0006-0000-0D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D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0" authorId="2" shapeId="0" xr:uid="{00000000-0006-0000-0D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D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1" authorId="0" shapeId="0" xr:uid="{00000000-0006-0000-0D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0D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2" authorId="2" shapeId="0" xr:uid="{00000000-0006-0000-0D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2" authorId="2" shapeId="0" xr:uid="{00000000-0006-0000-0D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3" authorId="2" shapeId="0" xr:uid="{00000000-0006-0000-0D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7" authorId="2" shapeId="0" xr:uid="{00000000-0006-0000-0D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1" authorId="2" shapeId="0" xr:uid="{00000000-0006-0000-0D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1" authorId="0" shapeId="0" xr:uid="{00000000-0006-0000-0D00-000048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34" authorId="2" shapeId="0" xr:uid="{00000000-0006-0000-0D00-000049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E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E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E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E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E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E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E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E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E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E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E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E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E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E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E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E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E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E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E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E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E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E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E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E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E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E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E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E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E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E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E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E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E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E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4" authorId="2" shapeId="0" xr:uid="{00000000-0006-0000-0E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6" authorId="2" shapeId="0" xr:uid="{00000000-0006-0000-0E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3" authorId="2" shapeId="0" xr:uid="{00000000-0006-0000-0E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5" authorId="0" shapeId="0" xr:uid="{00000000-0006-0000-0E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6" authorId="2" shapeId="0" xr:uid="{00000000-0006-0000-0E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7" authorId="2" shapeId="0" xr:uid="{00000000-0006-0000-0E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8" authorId="2" shapeId="0" xr:uid="{00000000-0006-0000-0E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9" authorId="2" shapeId="0" xr:uid="{00000000-0006-0000-0E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40" authorId="0" shapeId="0" xr:uid="{00000000-0006-0000-0E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8" authorId="2" shapeId="0" xr:uid="{00000000-0006-0000-0E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8" authorId="2" shapeId="0" xr:uid="{00000000-0006-0000-0E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50" authorId="2" shapeId="0" xr:uid="{00000000-0006-0000-0E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50" authorId="2" shapeId="0" xr:uid="{00000000-0006-0000-0E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2" authorId="2" shapeId="0" xr:uid="{00000000-0006-0000-0E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2" authorId="2" shapeId="0" xr:uid="{00000000-0006-0000-0E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4" authorId="2" shapeId="0" xr:uid="{00000000-0006-0000-0E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4" authorId="2" shapeId="0" xr:uid="{00000000-0006-0000-0E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61" authorId="2" shapeId="0" xr:uid="{00000000-0006-0000-0E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2" authorId="0" shapeId="0" xr:uid="{00000000-0006-0000-0E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2" authorId="2" shapeId="0" xr:uid="{00000000-0006-0000-0E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8" authorId="2" shapeId="0" xr:uid="{00000000-0006-0000-0E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8" authorId="2" shapeId="0" xr:uid="{00000000-0006-0000-0E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9" authorId="1" shapeId="0" xr:uid="{00000000-0006-0000-0E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a ser utilizado</t>
        </r>
      </text>
    </comment>
    <comment ref="D170" authorId="2" shapeId="0" xr:uid="{00000000-0006-0000-0E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9" authorId="2" shapeId="0" xr:uid="{00000000-0006-0000-0E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E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0" authorId="2" shapeId="0" xr:uid="{00000000-0006-0000-0E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E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1" authorId="2" shapeId="0" xr:uid="{00000000-0006-0000-0E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0E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2" authorId="0" shapeId="0" xr:uid="{00000000-0006-0000-0E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2" authorId="2" shapeId="0" xr:uid="{00000000-0006-0000-0E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3" authorId="2" shapeId="0" xr:uid="{00000000-0006-0000-0E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3" authorId="2" shapeId="0" xr:uid="{00000000-0006-0000-0E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4" authorId="2" shapeId="0" xr:uid="{00000000-0006-0000-0E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8" authorId="2" shapeId="0" xr:uid="{00000000-0006-0000-0E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2" authorId="2" shapeId="0" xr:uid="{00000000-0006-0000-0E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2" authorId="0" shapeId="0" xr:uid="{00000000-0006-0000-0E00-000048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35" authorId="2" shapeId="0" xr:uid="{00000000-0006-0000-0E00-000049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0F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F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F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F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F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0F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0F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0F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0F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0F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0F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0F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0F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0F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0F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0F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0F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0F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0F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0F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0F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0F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0F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0F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0F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0F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0F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0F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F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0F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0F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0F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0F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0F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0F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5" authorId="2" shapeId="0" xr:uid="{00000000-0006-0000-0F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2" authorId="2" shapeId="0" xr:uid="{00000000-0006-0000-0F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0F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5" authorId="2" shapeId="0" xr:uid="{00000000-0006-0000-0F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6" authorId="2" shapeId="0" xr:uid="{00000000-0006-0000-0F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7" authorId="2" shapeId="0" xr:uid="{00000000-0006-0000-0F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8" authorId="2" shapeId="0" xr:uid="{00000000-0006-0000-0F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9" authorId="0" shapeId="0" xr:uid="{00000000-0006-0000-0F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7" authorId="2" shapeId="0" xr:uid="{00000000-0006-0000-0F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7" authorId="2" shapeId="0" xr:uid="{00000000-0006-0000-0F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9" authorId="2" shapeId="0" xr:uid="{00000000-0006-0000-0F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9" authorId="2" shapeId="0" xr:uid="{00000000-0006-0000-0F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1" authorId="2" shapeId="0" xr:uid="{00000000-0006-0000-0F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1" authorId="2" shapeId="0" xr:uid="{00000000-0006-0000-0F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3" authorId="2" shapeId="0" xr:uid="{00000000-0006-0000-0F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3" authorId="2" shapeId="0" xr:uid="{00000000-0006-0000-0F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60" authorId="2" shapeId="0" xr:uid="{00000000-0006-0000-0F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1" authorId="0" shapeId="0" xr:uid="{00000000-0006-0000-0F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1" authorId="2" shapeId="0" xr:uid="{00000000-0006-0000-0F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7" authorId="2" shapeId="0" xr:uid="{00000000-0006-0000-0F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7" authorId="2" shapeId="0" xr:uid="{00000000-0006-0000-0F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8" authorId="1" shapeId="0" xr:uid="{00000000-0006-0000-0F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
</t>
        </r>
      </text>
    </comment>
    <comment ref="D169" authorId="2" shapeId="0" xr:uid="{00000000-0006-0000-0F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8" authorId="2" shapeId="0" xr:uid="{00000000-0006-0000-0F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0F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9" authorId="2" shapeId="0" xr:uid="{00000000-0006-0000-0F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0F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0" authorId="2" shapeId="0" xr:uid="{00000000-0006-0000-0F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0F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1" authorId="0" shapeId="0" xr:uid="{00000000-0006-0000-0F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0F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2" authorId="2" shapeId="0" xr:uid="{00000000-0006-0000-0F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2" authorId="2" shapeId="0" xr:uid="{00000000-0006-0000-0F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3" authorId="2" shapeId="0" xr:uid="{00000000-0006-0000-0F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7" authorId="2" shapeId="0" xr:uid="{00000000-0006-0000-0F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1" authorId="2" shapeId="0" xr:uid="{00000000-0006-0000-0F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1" authorId="2" shapeId="0" xr:uid="{00000000-0006-0000-0F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4" authorId="2" shapeId="0" xr:uid="{00000000-0006-0000-0F00-000049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Janice Rosângela Siebeneichler Antoni</author>
    <author>Clauber Bridi</author>
  </authors>
  <commentList>
    <comment ref="B3" authorId="0" shapeId="0" xr:uid="{00000000-0006-0000-1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1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1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10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10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1" authorId="0" shapeId="0" xr:uid="{00000000-0006-0000-10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1" authorId="0" shapeId="0" xr:uid="{00000000-0006-0000-10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2" authorId="0" shapeId="0" xr:uid="{00000000-0006-0000-10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2" authorId="0" shapeId="0" xr:uid="{00000000-0006-0000-10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6" authorId="0" shapeId="0" xr:uid="{00000000-0006-0000-10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6" authorId="0" shapeId="0" xr:uid="{00000000-0006-0000-10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6" authorId="0" shapeId="0" xr:uid="{00000000-0006-0000-10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6" authorId="0" shapeId="0" xr:uid="{00000000-0006-0000-10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A37" authorId="1" shapeId="0" xr:uid="{00000000-0006-0000-1000-00000E000000}">
      <text>
        <r>
          <rPr>
            <b/>
            <sz val="9"/>
            <color indexed="81"/>
            <rFont val="Segoe UI"/>
            <family val="2"/>
          </rPr>
          <t xml:space="preserve">Janice Rosângela Siebeneichler Antoni:
descrever o veículo 
que será usado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37" authorId="1" shapeId="0" xr:uid="{00000000-0006-0000-1000-00000F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combustível</t>
        </r>
      </text>
    </comment>
    <comment ref="F38" authorId="0" shapeId="0" xr:uid="{00000000-0006-0000-1000-000010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8" authorId="0" shapeId="0" xr:uid="{00000000-0006-0000-1000-000011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9" authorId="0" shapeId="0" xr:uid="{00000000-0006-0000-1000-000012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2" authorId="0" shapeId="0" xr:uid="{00000000-0006-0000-1000-000013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2" authorId="0" shapeId="0" xr:uid="{00000000-0006-0000-1000-000014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3" authorId="0" shapeId="0" xr:uid="{00000000-0006-0000-1000-000015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6" authorId="2" shapeId="0" xr:uid="{00000000-0006-0000-1000-000016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7" authorId="2" shapeId="0" xr:uid="{00000000-0006-0000-1000-000017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8" authorId="2" shapeId="0" xr:uid="{00000000-0006-0000-1000-000018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6" authorId="2" shapeId="0" xr:uid="{00000000-0006-0000-10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2" shapeId="0" xr:uid="{00000000-0006-0000-10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3" authorId="2" shapeId="0" xr:uid="{00000000-0006-0000-1000-00001B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0" authorId="2" shapeId="0" xr:uid="{00000000-0006-0000-1000-00001C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1000-00001D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90" authorId="2" shapeId="0" xr:uid="{00000000-0006-0000-1000-00001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91" authorId="2" shapeId="0" xr:uid="{00000000-0006-0000-1000-00001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6" authorId="2" shapeId="0" xr:uid="{00000000-0006-0000-1000-000020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7" authorId="2" shapeId="0" xr:uid="{00000000-0006-0000-1000-000021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2" authorId="2" shapeId="0" xr:uid="{00000000-0006-0000-1000-000022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103" authorId="2" shapeId="0" xr:uid="{00000000-0006-0000-1000-00002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15" authorId="2" shapeId="0" xr:uid="{00000000-0006-0000-1000-000024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R$ 30.000 de um veículo que custa R$ 100.000, ou seja, 30% do valor, donde se conclui que o valor a ser depreciado é de 70% (100-30).</t>
        </r>
      </text>
    </comment>
    <comment ref="D122" authorId="2" shapeId="0" xr:uid="{00000000-0006-0000-1000-00002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1000-00002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35" authorId="2" shapeId="0" xr:uid="{00000000-0006-0000-1000-000027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36" authorId="2" shapeId="0" xr:uid="{00000000-0006-0000-1000-00002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37" authorId="2" shapeId="0" xr:uid="{00000000-0006-0000-1000-000029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38" authorId="2" shapeId="0" xr:uid="{00000000-0006-0000-1000-00002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39" authorId="0" shapeId="0" xr:uid="{00000000-0006-0000-1000-00002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47" authorId="2" shapeId="0" xr:uid="{00000000-0006-0000-1000-00002C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47" authorId="2" shapeId="0" xr:uid="{00000000-0006-0000-10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49" authorId="2" shapeId="0" xr:uid="{00000000-0006-0000-1000-00002E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49" authorId="2" shapeId="0" xr:uid="{00000000-0006-0000-1000-00002F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51" authorId="2" shapeId="0" xr:uid="{00000000-0006-0000-1000-000030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51" authorId="2" shapeId="0" xr:uid="{00000000-0006-0000-1000-000031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53" authorId="2" shapeId="0" xr:uid="{00000000-0006-0000-1000-000032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53" authorId="2" shapeId="0" xr:uid="{00000000-0006-0000-1000-000033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60" authorId="2" shapeId="0" xr:uid="{00000000-0006-0000-1000-000034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61" authorId="0" shapeId="0" xr:uid="{00000000-0006-0000-1000-000035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61" authorId="2" shapeId="0" xr:uid="{00000000-0006-0000-1000-000036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67" authorId="2" shapeId="0" xr:uid="{00000000-0006-0000-1000-000037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67" authorId="2" shapeId="0" xr:uid="{00000000-0006-0000-1000-000038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A168" authorId="1" shapeId="0" xr:uid="{00000000-0006-0000-1000-000039000000}">
      <text>
        <r>
          <rPr>
            <b/>
            <sz val="9"/>
            <color indexed="81"/>
            <rFont val="Segoe UI"/>
            <family val="2"/>
          </rPr>
          <t>Janice Rosângela Siebeneichler Antoni:</t>
        </r>
        <r>
          <rPr>
            <sz val="9"/>
            <color indexed="81"/>
            <rFont val="Segoe UI"/>
            <family val="2"/>
          </rPr>
          <t xml:space="preserve">
descrever o tipo de pneu utilizado
</t>
        </r>
      </text>
    </comment>
    <comment ref="D169" authorId="2" shapeId="0" xr:uid="{00000000-0006-0000-1000-00003A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78" authorId="2" shapeId="0" xr:uid="{00000000-0006-0000-1000-00003B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8" authorId="2" shapeId="0" xr:uid="{00000000-0006-0000-1000-00003C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79" authorId="2" shapeId="0" xr:uid="{00000000-0006-0000-1000-00003D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79" authorId="2" shapeId="0" xr:uid="{00000000-0006-0000-1000-00003E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80" authorId="2" shapeId="0" xr:uid="{00000000-0006-0000-1000-00003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0" authorId="2" shapeId="0" xr:uid="{00000000-0006-0000-1000-000040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1" authorId="0" shapeId="0" xr:uid="{00000000-0006-0000-1000-000041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81" authorId="2" shapeId="0" xr:uid="{00000000-0006-0000-1000-000042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82" authorId="2" shapeId="0" xr:uid="{00000000-0006-0000-1000-00004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82" authorId="2" shapeId="0" xr:uid="{00000000-0006-0000-1000-00004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93" authorId="2" shapeId="0" xr:uid="{00000000-0006-0000-1000-000045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7" authorId="2" shapeId="0" xr:uid="{00000000-0006-0000-1000-000046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21" authorId="2" shapeId="0" xr:uid="{00000000-0006-0000-1000-000047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31" authorId="2" shapeId="0" xr:uid="{00000000-0006-0000-1000-000048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34" authorId="2" shapeId="0" xr:uid="{00000000-0006-0000-1000-000049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11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3" authorId="0" shapeId="0" xr:uid="{00000000-0006-0000-11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4" authorId="0" shapeId="0" xr:uid="{00000000-0006-0000-1300-000001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4" authorId="0" shapeId="0" xr:uid="{00000000-0006-0000-1300-000002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 xr:uid="{00000000-0006-0000-1300-000003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1300-000004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00000000-0006-0000-1300-000005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00000000-0006-0000-1300-000006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1300-000007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1300-000008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8" authorId="0" shapeId="0" xr:uid="{00000000-0006-0000-1300-000009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00000000-0006-0000-1300-00000A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1300-00000B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17" authorId="0" shapeId="0" xr:uid="{00000000-0006-0000-1300-00000C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 xr:uid="{00000000-0006-0000-1300-00000D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00000000-0006-0000-13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13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00000000-0006-0000-13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1300-000011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00000000-0006-0000-1300-000012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21" authorId="0" shapeId="0" xr:uid="{00000000-0006-0000-1300-000013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00000000-0006-0000-1300-000014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1300-000015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30" authorId="0" shapeId="0" xr:uid="{00000000-0006-0000-1300-000016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 xr:uid="{00000000-0006-0000-1300-000017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00000000-0006-0000-1300-000018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1300-000019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 shapeId="0" xr:uid="{00000000-0006-0000-1300-00001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<sst xmlns="http://schemas.openxmlformats.org/spreadsheetml/2006/main" count="6513" uniqueCount="322">
  <si>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</si>
  <si>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</si>
  <si>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</si>
  <si>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</si>
  <si>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</si>
  <si>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</si>
  <si>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</si>
  <si>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</si>
  <si>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</si>
  <si>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</si>
  <si>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</si>
  <si>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</si>
  <si>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</si>
  <si>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</si>
  <si>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</si>
  <si>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Custo mensal com óleo do motor</t>
  </si>
  <si>
    <t>Custo mensal com óleo da transmissão</t>
  </si>
  <si>
    <t>Custo mensal com óleo hidráulico</t>
  </si>
  <si>
    <t>Custo mensal com graxa</t>
  </si>
  <si>
    <t>km/jogo</t>
  </si>
  <si>
    <t>R$</t>
  </si>
  <si>
    <t>Quantidade</t>
  </si>
  <si>
    <t>INSS</t>
  </si>
  <si>
    <t>FGTS</t>
  </si>
  <si>
    <t>1. Mão-de-obra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</si>
  <si>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</si>
  <si>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</si>
  <si>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</si>
  <si>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</si>
  <si>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</si>
  <si>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</si>
  <si>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</si>
  <si>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</si>
  <si>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</si>
  <si>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</si>
  <si>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</si>
  <si>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</si>
  <si>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T</t>
  </si>
  <si>
    <t>Tributos - PIS/COFINS</t>
  </si>
  <si>
    <t>Fórmula para o cálculo do BDI:</t>
  </si>
  <si>
    <t>Resultado do cálculo do BDI:</t>
  </si>
  <si>
    <t>Vale Transporte</t>
  </si>
  <si>
    <t>Dias Trabalhados por mês</t>
  </si>
  <si>
    <t>dia</t>
  </si>
  <si>
    <t>anos</t>
  </si>
  <si>
    <t>R$/km rodado</t>
  </si>
  <si>
    <t>Código</t>
  </si>
  <si>
    <t>Descrição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</si>
  <si>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</si>
  <si>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</si>
  <si>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</si>
  <si>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</si>
  <si>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</si>
  <si>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</si>
  <si>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</si>
  <si>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</si>
  <si>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</si>
  <si>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</si>
  <si>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</si>
  <si>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</si>
  <si>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</si>
  <si>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</si>
  <si>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</si>
  <si>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</si>
  <si>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</si>
  <si>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</si>
  <si>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</si>
  <si>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</si>
  <si>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</si>
  <si>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</si>
  <si>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</si>
  <si>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</si>
  <si>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Auxilio acidente de trabalho</t>
  </si>
  <si>
    <t>B</t>
  </si>
  <si>
    <t>SOMA GRUPO B</t>
  </si>
  <si>
    <t>C1</t>
  </si>
  <si>
    <t>Depósito rescisão sem justa causa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</si>
  <si>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</si>
  <si>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</si>
  <si>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</si>
  <si>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</si>
  <si>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</si>
  <si>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</si>
  <si>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</si>
  <si>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</si>
  <si>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Licenciamento e Seguro obrigatório</t>
  </si>
  <si>
    <t>Fator de utilização</t>
  </si>
  <si>
    <t>Descrição do Item</t>
  </si>
  <si>
    <t>Taxa de juros anual nominal</t>
  </si>
  <si>
    <t>C2</t>
  </si>
  <si>
    <t>B3</t>
  </si>
  <si>
    <t>Custo Mensal com Ferramentas e Materiais de Consumo (R$/mês)</t>
  </si>
  <si>
    <t>Custo unitário</t>
  </si>
  <si>
    <t>Total por Motorista</t>
  </si>
  <si>
    <t>Custo com consumos/km rodado</t>
  </si>
  <si>
    <t>Consumo</t>
  </si>
  <si>
    <t>Total da frota</t>
  </si>
  <si>
    <t>Nº do processo:</t>
  </si>
  <si>
    <t xml:space="preserve">Fator de utilização (FU) </t>
  </si>
  <si>
    <t>Motorista</t>
  </si>
  <si>
    <t>Motorista (Vlr líq. desc. 6,% s/piso sal.)</t>
  </si>
  <si>
    <t>1.3. Vale Transporte</t>
  </si>
  <si>
    <t>1.4. Vale-refeição (diário)</t>
  </si>
  <si>
    <t>Férias (com adicional de férias)</t>
  </si>
  <si>
    <t>13º Salário</t>
  </si>
  <si>
    <t>Previdenciários s/Férias e 13º</t>
  </si>
  <si>
    <t>Custo Mensal com Mão-de-obra (R$/mês) - LUCRO REAL E PRESUMIDO</t>
  </si>
  <si>
    <t>Custo Mensal com Mão-de-obra (R$/mês) - SIMPLES NACIONAL</t>
  </si>
  <si>
    <t>B.D.I. PARA EMPRESAS DO SIMPLES NACIONAL</t>
  </si>
  <si>
    <t>Valor %</t>
  </si>
  <si>
    <t>Total</t>
  </si>
  <si>
    <t>B.D.I. PARA EMPRESAS DO LUCRO PRESUMIDO</t>
  </si>
  <si>
    <t>B.D.I. PARA EMPRESAS DO LUCRO REAL</t>
  </si>
  <si>
    <t>LUCRO REAL</t>
  </si>
  <si>
    <t>LUCRO PRESUMIDO</t>
  </si>
  <si>
    <t>Custo
(R$/mês)</t>
  </si>
  <si>
    <t>AV %</t>
  </si>
  <si>
    <t>SIMPLES NAC.</t>
  </si>
  <si>
    <t>Fórmula para o cálculo do BDI - Sem impostos</t>
  </si>
  <si>
    <t>Resultado cálculo do BDI - Sem impostos</t>
  </si>
  <si>
    <t>Receita Bruta Total em 12 (doze) meses</t>
  </si>
  <si>
    <t>Base = SN1</t>
  </si>
  <si>
    <t>Enquadramento no Anexo III da lei do Simples Nacional</t>
  </si>
  <si>
    <t>Formas de Tributação</t>
  </si>
  <si>
    <t>Composição BDI - Benefícios e Desp. Indiretas</t>
  </si>
  <si>
    <t>Tributos</t>
  </si>
  <si>
    <t>CUSTO TOTAL MENSAL C/CUSTOS E DESPESAS OPERACIONAIS - LUCRO REAL E PRESUMIDO (R$/mês)</t>
  </si>
  <si>
    <t>CUSTO TOTAL MENSAL C/CUSTOS E DESPESAS OPERACIONAIS - SIMPLES NACIONAL (R$/mês)</t>
  </si>
  <si>
    <t>Custo de aquisição do veículo</t>
  </si>
  <si>
    <r>
      <t xml:space="preserve">Custo jg. compl. </t>
    </r>
    <r>
      <rPr>
        <sz val="10"/>
        <rFont val="Arial"/>
        <family val="2"/>
      </rPr>
      <t>/ km rodado</t>
    </r>
  </si>
  <si>
    <t>Piso da categoria</t>
  </si>
  <si>
    <t>1.1. Monitor - EMPRESA LUCRO REAL E PRESUMIDO</t>
  </si>
  <si>
    <t>1.1.1- Monitor - EMPRESA SIMPLES NACIONAL</t>
  </si>
  <si>
    <t>1.2. Motorista - EMPRESA LUCRO REAL E PRESUMIDO</t>
  </si>
  <si>
    <t>1.2.1- Motorista - EMPRESA SIMPLES NACIONAL</t>
  </si>
  <si>
    <t>Monitor (Valor líquido, descontado 6,00% s/piso sal.)</t>
  </si>
  <si>
    <t>Monitor</t>
  </si>
  <si>
    <t>Depreciação do veículo</t>
  </si>
  <si>
    <t>Fator de majoração</t>
  </si>
  <si>
    <t>Custo com lavagens</t>
  </si>
  <si>
    <t>Mês</t>
  </si>
  <si>
    <t>Custo com manutenção e lavagens</t>
  </si>
  <si>
    <t>R$/Mês</t>
  </si>
  <si>
    <t>Equipe e veículos</t>
  </si>
  <si>
    <t>Fator de Majoração pelo "Tipo de via"</t>
  </si>
  <si>
    <t>Vida útil do veícuo</t>
  </si>
  <si>
    <t>Depreciação mensal veículos</t>
  </si>
  <si>
    <t>Custo do veículo</t>
  </si>
  <si>
    <t>Remuneração mensal de capital do veículo</t>
  </si>
  <si>
    <t>Total por veículo</t>
  </si>
  <si>
    <t>Quilometragem mensal</t>
  </si>
  <si>
    <t>Custo Mensal com Veículos (R$/mês)</t>
  </si>
  <si>
    <t>5.1. Benefícios e despesas indiretas</t>
  </si>
  <si>
    <t>Km</t>
  </si>
  <si>
    <t>R$/Km</t>
  </si>
  <si>
    <t>1.1. Monitor</t>
  </si>
  <si>
    <t>1.2. Motorista</t>
  </si>
  <si>
    <t>Serviço de Transporte Escolar</t>
  </si>
  <si>
    <t>Item:</t>
  </si>
  <si>
    <t>R$ / mês</t>
  </si>
  <si>
    <t>Capacidade
(Lugares)</t>
  </si>
  <si>
    <t>Valor
(R$)</t>
  </si>
  <si>
    <t>Distância percorrida</t>
  </si>
  <si>
    <t>Média de dias letivos por mês</t>
  </si>
  <si>
    <t>Dias</t>
  </si>
  <si>
    <t>Km por dia</t>
  </si>
  <si>
    <t>Km por mês</t>
  </si>
  <si>
    <t>Horas p/Dia</t>
  </si>
  <si>
    <t>3. Ferramentas e Materiais de Consumo</t>
  </si>
  <si>
    <t>4. Benefícios e Desp. Ind. - BDI - LUCRO REAL</t>
  </si>
  <si>
    <t>4.1. Benefícios e despesas indiretas</t>
  </si>
  <si>
    <t>4.2. CUSTO MENSAL COM BDI (R$/mês) - LUCRO REAL</t>
  </si>
  <si>
    <t>4.3. PREÇO MENSAL TOTAL (R$/mês)  - LUCRO REAL  =  "A"</t>
  </si>
  <si>
    <r>
      <t>4.4- Quantidade de Km percorridos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</si>
  <si>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QUILOMETRO PERCORRIDO - LUCRO REAL = [A/B]</t>
  </si>
  <si>
    <t>5. Benefícios e Desp. Ind. - BDI - LUCRO PRESUMIDO</t>
  </si>
  <si>
    <t>5.2. CUSTO MENSAL COM BDI (R$/mês) - LUCRO PRESUMIDO</t>
  </si>
  <si>
    <t>5.3. PREÇO MENSAL TOTAL (R$/mês)  - LUCRO PRESUMIDO  =  "AA"</t>
  </si>
  <si>
    <r>
      <t>5.4-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</si>
  <si>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QUILOMETRO PERCORRIDO - LUCRO PRESUMIDO = [AA/BB]</t>
  </si>
  <si>
    <t>6. Benef. Desp. Ind. + Impostos - SIMPLES NACIONAL</t>
  </si>
  <si>
    <t>6.1. Benefícios e despesas indiretas (sem impostos)</t>
  </si>
  <si>
    <t>6.2.CUSTO MENSAL COM BDI - Sem Impostos (R$/mês) - SIMPLES NACIONAL</t>
  </si>
  <si>
    <t>6.3. CUSTO MENSAL TOTAL - Sem Imposots (R$/mês)  - SIMPLES NACIONAL  =  "SN1"</t>
  </si>
  <si>
    <t>6.4. Impostos alíquota única</t>
  </si>
  <si>
    <t>6.5. PREÇO MENSAL TOTAL (R$/mês)  - SIMPLES NACIONAL  =  "SN2"</t>
  </si>
  <si>
    <r>
      <t>6.6.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</si>
  <si>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QUILOMETRO PERCORRIDO - SIMPLES NACIONAL = [SN2/BB]</t>
  </si>
  <si>
    <t>Custo de manutenção do veículo</t>
  </si>
  <si>
    <t>pçs / mês</t>
  </si>
  <si>
    <t>Recipiente térmico para água (5L) - 1 pç/ano</t>
  </si>
  <si>
    <t>Vassoura - 3 pçs/ano</t>
  </si>
  <si>
    <t>Balde - 2 pçs/ano</t>
  </si>
  <si>
    <t>Alcool Gel 70% - 4 litros / mês</t>
  </si>
  <si>
    <t>Panos - 4 pçs / mês</t>
  </si>
  <si>
    <t>Consumo médio (Km / litro) e Valor do litro (R$)</t>
  </si>
  <si>
    <t>Velocidade média em função do pavimento (Km/h)</t>
  </si>
  <si>
    <t>Seguro contra acidentes em favor dos alunos</t>
  </si>
  <si>
    <t>Vistorias Técnicas</t>
  </si>
  <si>
    <t>{[(1+AC+SRG) x (1+L)] / (1-T)} -1</t>
  </si>
  <si>
    <t>{[(1+AC+SRG) x (1+L)]} -1</t>
  </si>
  <si>
    <t>Composição do BDI - Benefícios e Desp. Ind. - Sem Impostos</t>
  </si>
  <si>
    <t xml:space="preserve">Composição dos Encargos Sociais </t>
  </si>
  <si>
    <t>Empresas Lucro Real e Lucro Presumido</t>
  </si>
  <si>
    <t>Vida útil do 
Veículo</t>
  </si>
  <si>
    <t>PLANILHA DE COMPOSIÇÃO DE CUSTOS E FORMAÇÃO DE PREÇO</t>
  </si>
  <si>
    <t>PREÇO TOTAL MÊS (R$/Mês)</t>
  </si>
  <si>
    <t>PREÇO POR QUILOMETRO (R$/Km)</t>
  </si>
  <si>
    <t>Aferição do tacógrafo digital</t>
  </si>
  <si>
    <t>Litros / mês</t>
  </si>
  <si>
    <t>Investimento médio total do veículo</t>
  </si>
  <si>
    <t>2. Veículos</t>
  </si>
  <si>
    <t>2.1 Depreciação</t>
  </si>
  <si>
    <t>2.2 Remuneração do Capital</t>
  </si>
  <si>
    <t>2.3. Impostos e Seguros</t>
  </si>
  <si>
    <t>2.4. Consumos</t>
  </si>
  <si>
    <t>2.5. Manutenção</t>
  </si>
  <si>
    <t>2.6. Pneus</t>
  </si>
  <si>
    <t>Valor residual do veículo proposto (Vr)</t>
  </si>
  <si>
    <t>Valor do veículo proposto (Vo)</t>
  </si>
  <si>
    <t>Taxade depreciação</t>
  </si>
  <si>
    <t>Empresas do Simples Nacional</t>
  </si>
  <si>
    <t>Fator de Majoração por "Tempo p/Higienização"</t>
  </si>
  <si>
    <t>GRUPO A - Identificação</t>
  </si>
  <si>
    <t>GRUPO B - Orçamento Sintético</t>
  </si>
  <si>
    <t>C1- Mão-de-obra</t>
  </si>
  <si>
    <t>C2- Veículos</t>
  </si>
  <si>
    <t>C3- Distâncias</t>
  </si>
  <si>
    <t>C4- Fatores</t>
  </si>
  <si>
    <t>Aplicação</t>
  </si>
  <si>
    <t>CÁLCULOS (itenização numérica)</t>
  </si>
  <si>
    <t>Item</t>
  </si>
  <si>
    <t>Custo de óleo do motor /10.000 km rodados</t>
  </si>
  <si>
    <t>l/10.000 km</t>
  </si>
  <si>
    <t>Custo de óleo da transmissão /100.000 km</t>
  </si>
  <si>
    <t>l/100.000 km</t>
  </si>
  <si>
    <t>l/80.000 km</t>
  </si>
  <si>
    <t>Custo de óleo hidráulico / 80.000 km</t>
  </si>
  <si>
    <t>kg/10.000 km</t>
  </si>
  <si>
    <t>Custo de graxa /10.000 km rodados</t>
  </si>
  <si>
    <t>Data:</t>
  </si>
  <si>
    <t>GRUPO C - Informações sobre</t>
  </si>
  <si>
    <t>Conforme tipo de via</t>
  </si>
  <si>
    <t/>
  </si>
  <si>
    <t>Horas por dia para higienização do veículo.</t>
  </si>
  <si>
    <t>Provisão Multas FGTS (40% s/FGTS)</t>
  </si>
  <si>
    <t>Sigla</t>
  </si>
  <si>
    <t>Municipal
(%)</t>
  </si>
  <si>
    <t>Intermunicipal
(%)</t>
  </si>
  <si>
    <t>Tributos - (ISS p/Municipal) e (ICMS p/Interm.)</t>
  </si>
  <si>
    <t>Nº Licitação:</t>
  </si>
  <si>
    <t>Monitor (não há monitor neste trajeto )</t>
  </si>
  <si>
    <t>tipo de combustível</t>
  </si>
  <si>
    <t>Dados do veículo e descrição do veículo</t>
  </si>
  <si>
    <t>diesel BS10</t>
  </si>
  <si>
    <t>calculado de acordo com o valor do veículo</t>
  </si>
  <si>
    <t>Custo do jogo de pneus</t>
  </si>
  <si>
    <t>diesel BS 10</t>
  </si>
  <si>
    <t>pneu 225 x 75 aro 16</t>
  </si>
  <si>
    <t>tipo combustível</t>
  </si>
  <si>
    <t xml:space="preserve">Custo do jogo de pneus </t>
  </si>
  <si>
    <t>pneu tipo 225 * 75 aro 16</t>
  </si>
  <si>
    <t>pneu tipo 225 x 75 aro 16</t>
  </si>
  <si>
    <t>óleo diesel BS 10</t>
  </si>
  <si>
    <t xml:space="preserve">pneus 225 por 75 aro 16 </t>
  </si>
  <si>
    <t xml:space="preserve">Dados do veículo e descrição do veículo </t>
  </si>
  <si>
    <t>artigo 22 inciso I da lei 8.212-1991</t>
  </si>
  <si>
    <t>artigo 30 da lei 8.036-1990 e artigo primeiro da lei 8.154-1990</t>
  </si>
  <si>
    <t>artigo primeiro decreto lei 6.246-1944 (SENAC) e artigo 4o. Decreto lei 8.621-1946 (SENAI) - decreto lei 2.318-1986</t>
  </si>
  <si>
    <t>artigo primeiro inciso I e artigo terceiro do decreto lei 1.146-1970</t>
  </si>
  <si>
    <t>artigo 8o. Da lei 8.029 de 1990, alterado pela lei 8.154-1990</t>
  </si>
  <si>
    <t>artigo 19 a 23 da lei 8.212-1991</t>
  </si>
  <si>
    <t>de acordo com a atividade preponderante da empresa-artigo 15 da lei 8.036-1990</t>
  </si>
  <si>
    <t>cálculo (1/12)acrescido de 1/3</t>
  </si>
  <si>
    <t xml:space="preserve">cálculo 1/12 </t>
  </si>
  <si>
    <t>definido pela incidência nessa atividade - Ministério do Trabalho</t>
  </si>
  <si>
    <t xml:space="preserve">cálculo 7 dias para 30 dias  </t>
  </si>
  <si>
    <t>corresponde a multa do FGTS de 40%</t>
  </si>
  <si>
    <t>Bases legais em 2021 e metodologia TCE-RS</t>
  </si>
  <si>
    <t>artigo terceiro indico I do decreto 87.043-1982 E LEI 9.424-1996</t>
  </si>
  <si>
    <t>Reincidência de FGTS sobre aviso prévio trabalhado</t>
  </si>
  <si>
    <t>Aviso prévio trabalhado</t>
  </si>
  <si>
    <t>De R$ 360.000,01 até R$ 720.000,00</t>
  </si>
  <si>
    <t>mensal</t>
  </si>
  <si>
    <t>Depreciação Referencial TCE/RS (%)</t>
  </si>
  <si>
    <t>Idade do veículo (ano)</t>
  </si>
  <si>
    <t>Depreciação Média</t>
  </si>
  <si>
    <t>Residual</t>
  </si>
  <si>
    <t>pneu tipo 215 x 75 raio 17,5</t>
  </si>
  <si>
    <t>Motorista de ônibus em geral</t>
  </si>
  <si>
    <t>Sprinter Van Mercedez Benz - 517 E.L.T.A teto alto 21 lugares , ano 2026, pneus 225 x 75 aro 16</t>
  </si>
  <si>
    <t>micrônibus Volare ATT 8 longo fretamento com 31 lugares - ano 2025 -  pneu 215 x 75 aro 17,5</t>
  </si>
  <si>
    <t>Total por Monitor</t>
  </si>
  <si>
    <t>Prêmio de Assiduidade ( verba indenizatória)</t>
  </si>
  <si>
    <t>Prêmio de Assiduidade (verba indenizatória)</t>
  </si>
  <si>
    <t>Prêmio por assiduidade (verba indenizatória)</t>
  </si>
  <si>
    <t>PrÊmio por assiduidade ( verba indenizatória)</t>
  </si>
  <si>
    <t>Prêmio de assiduidade ( verba indenizatória)</t>
  </si>
  <si>
    <t>Prêmio por assiduidade ( verba indenizatória)</t>
  </si>
  <si>
    <t>1.5. Seguro de vida em grupo</t>
  </si>
  <si>
    <t>1.5 Seguro de Vida em grupo</t>
  </si>
  <si>
    <t>1.5. Seguro de Vida em grupo</t>
  </si>
  <si>
    <t>1.5 seguro de vida em grupo</t>
  </si>
  <si>
    <t>1.5 Seguro de vida em grupo</t>
  </si>
  <si>
    <t>1.5. Seguro de Vida em Grupo</t>
  </si>
  <si>
    <t>1.5 Seguro de Vida em Grupo</t>
  </si>
  <si>
    <t>Sprinter Van Mercedez Benz - 517 E.L.T.B  16 lugares , ano 2026, pneus 225 x 75 aro 16</t>
  </si>
  <si>
    <t>de R$ 360.000,01 até R$ 720.000,00</t>
  </si>
  <si>
    <t>De R$ 720.000,01 até R$ 1.800.000,00</t>
  </si>
  <si>
    <t>Trajeto</t>
  </si>
  <si>
    <t>de R$ 180.000,00 até R$ 360.000</t>
  </si>
  <si>
    <t>Despesas consideradas específicas para o transporte escolar municipal</t>
  </si>
  <si>
    <t>de 180.000,00 até 360.000,00</t>
  </si>
  <si>
    <t>3827-2026</t>
  </si>
  <si>
    <t>café da manhã e almoço</t>
  </si>
  <si>
    <t>de R$ 180.000,01 até 360.000,00</t>
  </si>
  <si>
    <t>de R$ 180.000,01 até R$ 360.000,00</t>
  </si>
  <si>
    <t>de R$ 180.0001,01 até R$ 360.000,00</t>
  </si>
  <si>
    <t>pneu tipo 225 x 75 raio 16</t>
  </si>
  <si>
    <t>aumentado de 59,50 para 64,50 em 17-04-2026</t>
  </si>
  <si>
    <t xml:space="preserve">reduzido de 73,50 para 45 km </t>
  </si>
  <si>
    <t>Até 180.000,00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</si>
</sst>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(* #,##0.0000_);_(* \(#,##0.0000\);_(* &quot;-&quot;??_);_(@_)"/>
    <numFmt numFmtId="170" formatCode="00"/>
    <numFmt numFmtId="171" formatCode="&quot;R$&quot;\ #,##0.00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6">
    <xf numFmtId="0" fontId="0" fillId="0" borderId="0" xfId="0"/>
    <xf numFmtId="0" fontId="9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165" fontId="9" fillId="0" borderId="2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3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0" fontId="9" fillId="0" borderId="6" xfId="0" applyFont="1" applyBorder="1" applyAlignment="1">
      <alignment vertical="center"/>
    </xf>
    <xf numFmtId="165" fontId="9" fillId="0" borderId="6" xfId="3" applyFont="1" applyBorder="1" applyAlignment="1">
      <alignment vertical="center"/>
    </xf>
    <xf numFmtId="165" fontId="9" fillId="0" borderId="7" xfId="3" applyFont="1" applyBorder="1" applyAlignment="1">
      <alignment vertical="center"/>
    </xf>
    <xf numFmtId="165" fontId="6" fillId="0" borderId="0" xfId="3" applyFont="1" applyBorder="1" applyAlignment="1">
      <alignment horizontal="center" vertical="center"/>
    </xf>
    <xf numFmtId="165" fontId="6" fillId="0" borderId="0" xfId="3" applyFont="1" applyBorder="1" applyAlignment="1">
      <alignment vertical="center"/>
    </xf>
    <xf numFmtId="166" fontId="9" fillId="0" borderId="1" xfId="3" applyNumberFormat="1" applyFont="1" applyBorder="1" applyAlignment="1">
      <alignment vertical="center"/>
    </xf>
    <xf numFmtId="165" fontId="6" fillId="0" borderId="10" xfId="3" applyFont="1" applyBorder="1" applyAlignment="1">
      <alignment horizontal="center" vertical="center"/>
    </xf>
    <xf numFmtId="165" fontId="9" fillId="0" borderId="1" xfId="3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9" fillId="0" borderId="0" xfId="3" applyFont="1" applyBorder="1" applyAlignment="1">
      <alignment vertical="center"/>
    </xf>
    <xf numFmtId="165" fontId="9" fillId="0" borderId="8" xfId="3" applyFont="1" applyBorder="1" applyAlignment="1">
      <alignment vertical="center"/>
    </xf>
    <xf numFmtId="165" fontId="6" fillId="0" borderId="26" xfId="3" applyFont="1" applyBorder="1" applyAlignment="1">
      <alignment vertical="center"/>
    </xf>
    <xf numFmtId="4" fontId="6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" fontId="6" fillId="0" borderId="29" xfId="3" applyNumberFormat="1" applyFont="1" applyBorder="1" applyAlignment="1">
      <alignment horizontal="center" vertical="center"/>
    </xf>
    <xf numFmtId="165" fontId="9" fillId="0" borderId="1" xfId="3" applyFont="1" applyFill="1" applyBorder="1" applyAlignment="1">
      <alignment horizontal="center" vertical="center"/>
    </xf>
    <xf numFmtId="43" fontId="9" fillId="0" borderId="0" xfId="0" applyNumberFormat="1" applyFont="1" applyAlignment="1">
      <alignment vertical="center"/>
    </xf>
    <xf numFmtId="166" fontId="9" fillId="0" borderId="1" xfId="3" applyNumberFormat="1" applyFont="1" applyBorder="1" applyAlignment="1">
      <alignment horizontal="center" vertical="center"/>
    </xf>
    <xf numFmtId="166" fontId="9" fillId="0" borderId="1" xfId="3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165" fontId="6" fillId="0" borderId="3" xfId="3" applyFont="1" applyBorder="1" applyAlignment="1">
      <alignment horizontal="center" vertical="center"/>
    </xf>
    <xf numFmtId="10" fontId="6" fillId="0" borderId="13" xfId="2" applyNumberFormat="1" applyFont="1" applyBorder="1" applyAlignment="1">
      <alignment vertical="center"/>
    </xf>
    <xf numFmtId="165" fontId="6" fillId="0" borderId="33" xfId="3" applyFont="1" applyBorder="1" applyAlignment="1">
      <alignment vertical="center"/>
    </xf>
    <xf numFmtId="4" fontId="6" fillId="0" borderId="0" xfId="0" applyNumberFormat="1" applyFont="1" applyAlignment="1">
      <alignment vertical="center"/>
    </xf>
    <xf numFmtId="165" fontId="9" fillId="0" borderId="34" xfId="3" applyFont="1" applyBorder="1" applyAlignment="1">
      <alignment vertical="center"/>
    </xf>
    <xf numFmtId="165" fontId="9" fillId="3" borderId="1" xfId="3" applyFont="1" applyFill="1" applyBorder="1" applyAlignment="1">
      <alignment horizontal="center" vertical="center"/>
    </xf>
    <xf numFmtId="9" fontId="6" fillId="0" borderId="16" xfId="2" applyFont="1" applyBorder="1" applyAlignment="1">
      <alignment vertical="center"/>
    </xf>
    <xf numFmtId="10" fontId="9" fillId="0" borderId="13" xfId="2" applyNumberFormat="1" applyFont="1" applyBorder="1" applyAlignment="1">
      <alignment vertical="center"/>
    </xf>
    <xf numFmtId="0" fontId="8" fillId="0" borderId="0" xfId="0" applyFont="1"/>
    <xf numFmtId="165" fontId="9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2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10" fontId="19" fillId="0" borderId="18" xfId="0" applyNumberFormat="1" applyFont="1" applyBorder="1" applyAlignment="1">
      <alignment horizontal="right" vertical="center"/>
    </xf>
    <xf numFmtId="0" fontId="18" fillId="2" borderId="21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10" fontId="19" fillId="2" borderId="18" xfId="0" applyNumberFormat="1" applyFont="1" applyFill="1" applyBorder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0" fontId="9" fillId="0" borderId="0" xfId="0" applyNumberFormat="1" applyFont="1"/>
    <xf numFmtId="0" fontId="18" fillId="0" borderId="1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10" fontId="18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justify" vertical="center"/>
    </xf>
    <xf numFmtId="0" fontId="23" fillId="0" borderId="0" xfId="0" applyFont="1"/>
    <xf numFmtId="0" fontId="18" fillId="0" borderId="0" xfId="0" applyFont="1" applyAlignment="1">
      <alignment horizontal="right" vertical="center"/>
    </xf>
    <xf numFmtId="0" fontId="11" fillId="0" borderId="0" xfId="1" applyBorder="1" applyAlignment="1" applyProtection="1">
      <alignment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10" fontId="8" fillId="0" borderId="25" xfId="0" applyNumberFormat="1" applyFont="1" applyBorder="1" applyAlignment="1">
      <alignment vertical="center"/>
    </xf>
    <xf numFmtId="0" fontId="8" fillId="0" borderId="26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28" xfId="0" applyFont="1" applyBorder="1" applyAlignment="1">
      <alignment vertical="center"/>
    </xf>
    <xf numFmtId="0" fontId="10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/>
    </xf>
    <xf numFmtId="10" fontId="10" fillId="2" borderId="7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19" fillId="0" borderId="2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0" borderId="8" xfId="3" applyFont="1" applyBorder="1" applyAlignment="1">
      <alignment horizontal="center" vertical="center"/>
    </xf>
    <xf numFmtId="167" fontId="9" fillId="0" borderId="1" xfId="3" applyNumberFormat="1" applyFont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7" fontId="9" fillId="0" borderId="2" xfId="3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2" fillId="0" borderId="0" xfId="4" applyFont="1"/>
    <xf numFmtId="0" fontId="4" fillId="0" borderId="1" xfId="0" applyFont="1" applyBorder="1" applyAlignment="1">
      <alignment horizontal="center" vertical="center"/>
    </xf>
    <xf numFmtId="165" fontId="9" fillId="0" borderId="27" xfId="3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65" fontId="9" fillId="0" borderId="0" xfId="3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vertical="center"/>
    </xf>
    <xf numFmtId="0" fontId="9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5" fillId="0" borderId="33" xfId="0" applyFont="1" applyBorder="1" applyAlignment="1">
      <alignment horizontal="left" vertical="center" wrapText="1"/>
    </xf>
    <xf numFmtId="0" fontId="7" fillId="0" borderId="3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8" fontId="6" fillId="0" borderId="21" xfId="0" applyNumberFormat="1" applyFon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0" fontId="6" fillId="0" borderId="34" xfId="2" applyNumberFormat="1" applyFont="1" applyBorder="1" applyAlignment="1">
      <alignment vertical="center"/>
    </xf>
    <xf numFmtId="0" fontId="6" fillId="6" borderId="34" xfId="0" applyFont="1" applyFill="1" applyBorder="1" applyAlignment="1">
      <alignment vertical="center"/>
    </xf>
    <xf numFmtId="165" fontId="6" fillId="0" borderId="17" xfId="3" applyFont="1" applyBorder="1" applyAlignment="1">
      <alignment horizontal="center" vertical="center" wrapText="1"/>
    </xf>
    <xf numFmtId="10" fontId="6" fillId="6" borderId="13" xfId="2" applyNumberFormat="1" applyFont="1" applyFill="1" applyBorder="1" applyAlignment="1">
      <alignment vertical="center"/>
    </xf>
    <xf numFmtId="0" fontId="6" fillId="6" borderId="13" xfId="0" applyFont="1" applyFill="1" applyBorder="1" applyAlignment="1">
      <alignment vertical="center"/>
    </xf>
    <xf numFmtId="0" fontId="6" fillId="6" borderId="21" xfId="0" applyFont="1" applyFill="1" applyBorder="1" applyAlignment="1">
      <alignment vertical="center"/>
    </xf>
    <xf numFmtId="0" fontId="6" fillId="6" borderId="18" xfId="0" applyFont="1" applyFill="1" applyBorder="1" applyAlignment="1">
      <alignment vertical="center"/>
    </xf>
    <xf numFmtId="168" fontId="6" fillId="6" borderId="21" xfId="0" applyNumberFormat="1" applyFont="1" applyFill="1" applyBorder="1" applyAlignment="1">
      <alignment vertical="center"/>
    </xf>
    <xf numFmtId="168" fontId="6" fillId="6" borderId="37" xfId="0" applyNumberFormat="1" applyFont="1" applyFill="1" applyBorder="1" applyAlignment="1">
      <alignment vertical="center"/>
    </xf>
    <xf numFmtId="10" fontId="6" fillId="6" borderId="34" xfId="2" applyNumberFormat="1" applyFont="1" applyFill="1" applyBorder="1" applyAlignment="1">
      <alignment vertical="center"/>
    </xf>
    <xf numFmtId="0" fontId="6" fillId="6" borderId="37" xfId="0" applyFont="1" applyFill="1" applyBorder="1" applyAlignment="1">
      <alignment vertical="center"/>
    </xf>
    <xf numFmtId="168" fontId="6" fillId="0" borderId="44" xfId="0" applyNumberFormat="1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165" fontId="9" fillId="0" borderId="24" xfId="3" applyFont="1" applyBorder="1" applyAlignment="1">
      <alignment vertical="center"/>
    </xf>
    <xf numFmtId="0" fontId="9" fillId="0" borderId="4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165" fontId="9" fillId="0" borderId="20" xfId="3" applyFont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165" fontId="6" fillId="0" borderId="27" xfId="3" applyFont="1" applyBorder="1" applyAlignment="1">
      <alignment vertical="center"/>
    </xf>
    <xf numFmtId="164" fontId="6" fillId="5" borderId="5" xfId="0" applyNumberFormat="1" applyFont="1" applyFill="1" applyBorder="1" applyAlignment="1">
      <alignment vertical="center"/>
    </xf>
    <xf numFmtId="165" fontId="7" fillId="0" borderId="23" xfId="3" applyFont="1" applyFill="1" applyBorder="1" applyAlignment="1">
      <alignment horizontal="left" vertical="center"/>
    </xf>
    <xf numFmtId="43" fontId="3" fillId="0" borderId="0" xfId="7" applyNumberFormat="1"/>
    <xf numFmtId="10" fontId="4" fillId="0" borderId="0" xfId="2" applyNumberFormat="1" applyFont="1"/>
    <xf numFmtId="0" fontId="3" fillId="0" borderId="0" xfId="7"/>
    <xf numFmtId="165" fontId="6" fillId="0" borderId="33" xfId="3" applyFont="1" applyBorder="1" applyAlignment="1">
      <alignment horizontal="left" vertical="center"/>
    </xf>
    <xf numFmtId="165" fontId="9" fillId="0" borderId="25" xfId="3" applyFont="1" applyBorder="1" applyAlignment="1">
      <alignment vertical="center"/>
    </xf>
    <xf numFmtId="165" fontId="9" fillId="0" borderId="11" xfId="3" applyFont="1" applyBorder="1" applyAlignment="1">
      <alignment vertical="center"/>
    </xf>
    <xf numFmtId="165" fontId="9" fillId="0" borderId="47" xfId="3" applyFont="1" applyBorder="1" applyAlignment="1">
      <alignment vertical="center"/>
    </xf>
    <xf numFmtId="165" fontId="6" fillId="0" borderId="47" xfId="3" applyFont="1" applyBorder="1" applyAlignment="1">
      <alignment vertical="center"/>
    </xf>
    <xf numFmtId="165" fontId="6" fillId="0" borderId="34" xfId="3" applyFont="1" applyFill="1" applyBorder="1" applyAlignment="1">
      <alignment vertical="center"/>
    </xf>
    <xf numFmtId="165" fontId="6" fillId="0" borderId="11" xfId="3" applyFont="1" applyFill="1" applyBorder="1" applyAlignment="1">
      <alignment vertical="center"/>
    </xf>
    <xf numFmtId="165" fontId="6" fillId="0" borderId="47" xfId="3" applyFont="1" applyFill="1" applyBorder="1" applyAlignment="1">
      <alignment vertical="center"/>
    </xf>
    <xf numFmtId="165" fontId="9" fillId="0" borderId="47" xfId="3" applyFont="1" applyBorder="1" applyAlignment="1">
      <alignment horizontal="center" vertical="center"/>
    </xf>
    <xf numFmtId="165" fontId="9" fillId="0" borderId="11" xfId="3" applyFont="1" applyBorder="1" applyAlignment="1">
      <alignment horizontal="center" vertical="center"/>
    </xf>
    <xf numFmtId="165" fontId="6" fillId="0" borderId="47" xfId="3" applyFont="1" applyBorder="1" applyAlignment="1">
      <alignment horizontal="center" vertical="center"/>
    </xf>
    <xf numFmtId="165" fontId="6" fillId="0" borderId="34" xfId="3" applyFont="1" applyFill="1" applyBorder="1" applyAlignment="1">
      <alignment horizontal="center" vertical="center"/>
    </xf>
    <xf numFmtId="165" fontId="9" fillId="0" borderId="11" xfId="3" applyFont="1" applyFill="1" applyBorder="1" applyAlignment="1">
      <alignment horizontal="center" vertical="center"/>
    </xf>
    <xf numFmtId="165" fontId="9" fillId="0" borderId="47" xfId="3" applyFont="1" applyFill="1" applyBorder="1" applyAlignment="1">
      <alignment horizontal="center" vertical="center"/>
    </xf>
    <xf numFmtId="165" fontId="6" fillId="0" borderId="25" xfId="3" applyFont="1" applyFill="1" applyBorder="1" applyAlignment="1">
      <alignment horizontal="center" vertical="center"/>
    </xf>
    <xf numFmtId="165" fontId="7" fillId="0" borderId="25" xfId="3" applyFont="1" applyBorder="1" applyAlignment="1">
      <alignment vertical="center"/>
    </xf>
    <xf numFmtId="165" fontId="6" fillId="0" borderId="25" xfId="3" applyFont="1" applyBorder="1" applyAlignment="1">
      <alignment vertical="center"/>
    </xf>
    <xf numFmtId="165" fontId="7" fillId="0" borderId="34" xfId="3" applyFont="1" applyBorder="1" applyAlignment="1">
      <alignment vertical="center"/>
    </xf>
    <xf numFmtId="165" fontId="6" fillId="0" borderId="7" xfId="3" applyFont="1" applyFill="1" applyBorder="1" applyAlignment="1">
      <alignment horizontal="center" vertical="center"/>
    </xf>
    <xf numFmtId="0" fontId="6" fillId="0" borderId="4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65" fontId="6" fillId="0" borderId="7" xfId="3" applyFont="1" applyFill="1" applyBorder="1" applyAlignment="1">
      <alignment horizontal="right" vertical="center"/>
    </xf>
    <xf numFmtId="165" fontId="4" fillId="0" borderId="9" xfId="3" applyFont="1" applyFill="1" applyBorder="1" applyAlignment="1">
      <alignment vertical="center"/>
    </xf>
    <xf numFmtId="165" fontId="6" fillId="0" borderId="8" xfId="3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165" fontId="6" fillId="0" borderId="48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4" fillId="0" borderId="2" xfId="3" applyFont="1" applyBorder="1" applyAlignment="1">
      <alignment horizontal="center" vertical="center"/>
    </xf>
    <xf numFmtId="165" fontId="4" fillId="0" borderId="34" xfId="3" applyFont="1" applyBorder="1" applyAlignment="1">
      <alignment vertical="center"/>
    </xf>
    <xf numFmtId="0" fontId="4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165" fontId="6" fillId="0" borderId="29" xfId="3" applyFont="1" applyBorder="1" applyAlignment="1">
      <alignment horizontal="center" vertical="center"/>
    </xf>
    <xf numFmtId="165" fontId="9" fillId="0" borderId="49" xfId="3" applyFont="1" applyBorder="1" applyAlignment="1">
      <alignment vertical="center"/>
    </xf>
    <xf numFmtId="0" fontId="0" fillId="0" borderId="49" xfId="0" applyBorder="1" applyAlignment="1">
      <alignment vertical="center"/>
    </xf>
    <xf numFmtId="165" fontId="6" fillId="0" borderId="16" xfId="3" applyFont="1" applyBorder="1" applyAlignment="1">
      <alignment horizontal="center" vertical="center"/>
    </xf>
    <xf numFmtId="165" fontId="4" fillId="0" borderId="26" xfId="3" applyFont="1" applyBorder="1" applyAlignment="1">
      <alignment vertical="center"/>
    </xf>
    <xf numFmtId="165" fontId="6" fillId="0" borderId="11" xfId="3" applyFont="1" applyBorder="1" applyAlignment="1">
      <alignment horizontal="center" vertical="center"/>
    </xf>
    <xf numFmtId="165" fontId="6" fillId="0" borderId="11" xfId="3" applyFont="1" applyBorder="1" applyAlignment="1">
      <alignment horizontal="center" vertical="center" wrapText="1"/>
    </xf>
    <xf numFmtId="1" fontId="9" fillId="0" borderId="6" xfId="3" applyNumberFormat="1" applyFont="1" applyBorder="1" applyAlignment="1">
      <alignment horizontal="center" vertical="center"/>
    </xf>
    <xf numFmtId="1" fontId="9" fillId="0" borderId="7" xfId="3" applyNumberFormat="1" applyFont="1" applyBorder="1" applyAlignment="1">
      <alignment horizontal="center" vertical="center"/>
    </xf>
    <xf numFmtId="165" fontId="6" fillId="0" borderId="35" xfId="3" applyFont="1" applyBorder="1" applyAlignment="1">
      <alignment vertical="center"/>
    </xf>
    <xf numFmtId="165" fontId="9" fillId="0" borderId="32" xfId="3" applyFont="1" applyFill="1" applyBorder="1" applyAlignment="1">
      <alignment horizontal="center" vertical="center"/>
    </xf>
    <xf numFmtId="165" fontId="6" fillId="0" borderId="30" xfId="3" applyFont="1" applyBorder="1" applyAlignment="1">
      <alignment horizontal="center" vertical="center" wrapText="1"/>
    </xf>
    <xf numFmtId="1" fontId="9" fillId="0" borderId="3" xfId="3" applyNumberFormat="1" applyFont="1" applyFill="1" applyBorder="1" applyAlignment="1">
      <alignment horizontal="center" vertical="center"/>
    </xf>
    <xf numFmtId="1" fontId="4" fillId="0" borderId="31" xfId="3" applyNumberFormat="1" applyFont="1" applyFill="1" applyBorder="1" applyAlignment="1">
      <alignment horizontal="center" vertical="center"/>
    </xf>
    <xf numFmtId="1" fontId="9" fillId="0" borderId="31" xfId="3" applyNumberFormat="1" applyFont="1" applyFill="1" applyBorder="1" applyAlignment="1">
      <alignment horizontal="center" vertical="center"/>
    </xf>
    <xf numFmtId="1" fontId="4" fillId="0" borderId="1" xfId="3" applyNumberFormat="1" applyFont="1" applyFill="1" applyBorder="1" applyAlignment="1">
      <alignment horizontal="center" vertical="center"/>
    </xf>
    <xf numFmtId="10" fontId="9" fillId="0" borderId="1" xfId="2" applyNumberFormat="1" applyFont="1" applyFill="1" applyBorder="1" applyAlignment="1">
      <alignment horizontal="center" vertical="center"/>
    </xf>
    <xf numFmtId="165" fontId="9" fillId="0" borderId="31" xfId="3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165" fontId="6" fillId="0" borderId="18" xfId="3" applyFont="1" applyFill="1" applyBorder="1" applyAlignment="1">
      <alignment horizontal="center" vertical="center"/>
    </xf>
    <xf numFmtId="165" fontId="9" fillId="0" borderId="2" xfId="3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65" fontId="6" fillId="0" borderId="30" xfId="3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165" fontId="0" fillId="0" borderId="41" xfId="3" applyFont="1" applyBorder="1" applyAlignment="1">
      <alignment vertical="center"/>
    </xf>
    <xf numFmtId="165" fontId="0" fillId="0" borderId="42" xfId="3" applyFont="1" applyBorder="1" applyAlignment="1">
      <alignment vertical="center"/>
    </xf>
    <xf numFmtId="165" fontId="9" fillId="0" borderId="42" xfId="3" applyFont="1" applyBorder="1" applyAlignment="1">
      <alignment vertical="center"/>
    </xf>
    <xf numFmtId="165" fontId="9" fillId="0" borderId="43" xfId="3" applyFont="1" applyBorder="1" applyAlignment="1">
      <alignment vertical="center"/>
    </xf>
    <xf numFmtId="165" fontId="9" fillId="0" borderId="41" xfId="3" applyFont="1" applyBorder="1" applyAlignment="1">
      <alignment vertical="center"/>
    </xf>
    <xf numFmtId="0" fontId="4" fillId="0" borderId="42" xfId="0" applyFont="1" applyBorder="1" applyAlignment="1">
      <alignment vertical="center"/>
    </xf>
    <xf numFmtId="169" fontId="9" fillId="0" borderId="50" xfId="3" applyNumberFormat="1" applyFont="1" applyBorder="1" applyAlignment="1">
      <alignment vertical="center"/>
    </xf>
    <xf numFmtId="165" fontId="9" fillId="0" borderId="4" xfId="3" applyFont="1" applyBorder="1" applyAlignment="1">
      <alignment vertical="center"/>
    </xf>
    <xf numFmtId="165" fontId="9" fillId="0" borderId="3" xfId="3" applyFont="1" applyFill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/>
    </xf>
    <xf numFmtId="165" fontId="4" fillId="0" borderId="1" xfId="3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8" fillId="0" borderId="53" xfId="4" applyFont="1" applyBorder="1"/>
    <xf numFmtId="0" fontId="8" fillId="0" borderId="55" xfId="4" applyFont="1" applyBorder="1"/>
    <xf numFmtId="165" fontId="6" fillId="5" borderId="41" xfId="3" applyFont="1" applyFill="1" applyBorder="1" applyAlignment="1">
      <alignment vertical="center"/>
    </xf>
    <xf numFmtId="165" fontId="4" fillId="0" borderId="42" xfId="3" applyFont="1" applyBorder="1" applyAlignment="1">
      <alignment vertical="center"/>
    </xf>
    <xf numFmtId="13" fontId="9" fillId="0" borderId="0" xfId="0" applyNumberFormat="1" applyFont="1" applyAlignment="1">
      <alignment vertical="center"/>
    </xf>
    <xf numFmtId="0" fontId="18" fillId="6" borderId="22" xfId="0" applyFont="1" applyFill="1" applyBorder="1" applyAlignment="1">
      <alignment horizontal="left" vertical="center"/>
    </xf>
    <xf numFmtId="0" fontId="19" fillId="6" borderId="31" xfId="0" applyFont="1" applyFill="1" applyBorder="1" applyAlignment="1">
      <alignment horizontal="left" vertical="center"/>
    </xf>
    <xf numFmtId="10" fontId="19" fillId="6" borderId="32" xfId="0" applyNumberFormat="1" applyFont="1" applyFill="1" applyBorder="1" applyAlignment="1">
      <alignment horizontal="right" vertical="center"/>
    </xf>
    <xf numFmtId="165" fontId="4" fillId="0" borderId="27" xfId="3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65" fontId="6" fillId="0" borderId="0" xfId="3" applyFont="1" applyBorder="1" applyAlignment="1">
      <alignment horizontal="left" vertical="center"/>
    </xf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" fontId="0" fillId="0" borderId="6" xfId="0" applyNumberFormat="1" applyBorder="1" applyAlignment="1">
      <alignment vertical="center"/>
    </xf>
    <xf numFmtId="165" fontId="0" fillId="0" borderId="6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0" fillId="0" borderId="39" xfId="4" applyFont="1" applyBorder="1" applyAlignment="1">
      <alignment horizontal="left" vertical="center"/>
    </xf>
    <xf numFmtId="0" fontId="10" fillId="0" borderId="40" xfId="4" applyFont="1" applyBorder="1" applyAlignment="1">
      <alignment horizontal="center" vertical="center" wrapText="1"/>
    </xf>
    <xf numFmtId="0" fontId="8" fillId="0" borderId="64" xfId="4" applyFont="1" applyBorder="1"/>
    <xf numFmtId="0" fontId="10" fillId="6" borderId="5" xfId="4" applyFont="1" applyFill="1" applyBorder="1"/>
    <xf numFmtId="0" fontId="12" fillId="0" borderId="6" xfId="4" applyFont="1" applyBorder="1"/>
    <xf numFmtId="10" fontId="10" fillId="6" borderId="16" xfId="4" applyNumberFormat="1" applyFont="1" applyFill="1" applyBorder="1" applyAlignment="1">
      <alignment horizontal="right"/>
    </xf>
    <xf numFmtId="0" fontId="8" fillId="0" borderId="0" xfId="4" applyFont="1" applyAlignment="1">
      <alignment horizontal="left"/>
    </xf>
    <xf numFmtId="169" fontId="9" fillId="0" borderId="1" xfId="3" applyNumberFormat="1" applyFont="1" applyBorder="1" applyAlignment="1">
      <alignment horizontal="center" vertical="center"/>
    </xf>
    <xf numFmtId="10" fontId="6" fillId="0" borderId="7" xfId="2" applyNumberFormat="1" applyFont="1" applyFill="1" applyBorder="1" applyAlignment="1">
      <alignment vertical="center"/>
    </xf>
    <xf numFmtId="165" fontId="7" fillId="6" borderId="5" xfId="3" applyFont="1" applyFill="1" applyBorder="1" applyAlignment="1">
      <alignment vertical="center"/>
    </xf>
    <xf numFmtId="165" fontId="7" fillId="6" borderId="6" xfId="3" applyFont="1" applyFill="1" applyBorder="1" applyAlignment="1">
      <alignment vertical="center"/>
    </xf>
    <xf numFmtId="165" fontId="7" fillId="6" borderId="7" xfId="3" applyFont="1" applyFill="1" applyBorder="1" applyAlignment="1">
      <alignment vertical="center"/>
    </xf>
    <xf numFmtId="0" fontId="13" fillId="6" borderId="15" xfId="0" applyFont="1" applyFill="1" applyBorder="1" applyAlignment="1">
      <alignment horizontal="center" vertical="center"/>
    </xf>
    <xf numFmtId="165" fontId="13" fillId="6" borderId="15" xfId="3" applyFont="1" applyFill="1" applyBorder="1" applyAlignment="1">
      <alignment horizontal="center" vertical="center"/>
    </xf>
    <xf numFmtId="165" fontId="13" fillId="6" borderId="11" xfId="3" applyFont="1" applyFill="1" applyBorder="1" applyAlignment="1">
      <alignment horizontal="center" vertical="center"/>
    </xf>
    <xf numFmtId="165" fontId="6" fillId="6" borderId="51" xfId="3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/>
    </xf>
    <xf numFmtId="165" fontId="6" fillId="6" borderId="4" xfId="3" applyFont="1" applyFill="1" applyBorder="1" applyAlignment="1">
      <alignment vertical="center"/>
    </xf>
    <xf numFmtId="165" fontId="6" fillId="6" borderId="4" xfId="3" applyFont="1" applyFill="1" applyBorder="1" applyAlignment="1">
      <alignment horizontal="center" vertical="center"/>
    </xf>
    <xf numFmtId="165" fontId="6" fillId="6" borderId="41" xfId="3" applyFont="1" applyFill="1" applyBorder="1" applyAlignment="1">
      <alignment vertical="center"/>
    </xf>
    <xf numFmtId="165" fontId="6" fillId="6" borderId="41" xfId="3" applyFont="1" applyFill="1" applyBorder="1" applyAlignment="1">
      <alignment horizontal="center" vertical="center"/>
    </xf>
    <xf numFmtId="0" fontId="6" fillId="0" borderId="46" xfId="4" applyFont="1" applyBorder="1" applyAlignment="1">
      <alignment horizontal="right"/>
    </xf>
    <xf numFmtId="0" fontId="17" fillId="0" borderId="6" xfId="0" applyFont="1" applyBorder="1" applyAlignment="1">
      <alignment horizontal="right"/>
    </xf>
    <xf numFmtId="0" fontId="6" fillId="0" borderId="23" xfId="4" applyFont="1" applyBorder="1" applyAlignment="1">
      <alignment horizontal="right"/>
    </xf>
    <xf numFmtId="0" fontId="17" fillId="0" borderId="5" xfId="0" applyFont="1" applyBorder="1" applyAlignment="1">
      <alignment horizontal="right"/>
    </xf>
    <xf numFmtId="169" fontId="9" fillId="0" borderId="50" xfId="3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7" fillId="0" borderId="6" xfId="3" applyFont="1" applyFill="1" applyBorder="1" applyAlignment="1">
      <alignment vertical="center"/>
    </xf>
    <xf numFmtId="165" fontId="7" fillId="0" borderId="7" xfId="3" applyFont="1" applyFill="1" applyBorder="1" applyAlignment="1">
      <alignment vertical="center"/>
    </xf>
    <xf numFmtId="165" fontId="9" fillId="0" borderId="0" xfId="3" applyFont="1" applyFill="1" applyBorder="1" applyAlignment="1">
      <alignment horizontal="right" vertical="center"/>
    </xf>
    <xf numFmtId="165" fontId="4" fillId="0" borderId="0" xfId="3" applyFont="1" applyFill="1" applyBorder="1" applyAlignment="1">
      <alignment horizontal="right" vertical="center"/>
    </xf>
    <xf numFmtId="0" fontId="6" fillId="7" borderId="24" xfId="4" applyFont="1" applyFill="1" applyBorder="1" applyAlignment="1">
      <alignment horizontal="left"/>
    </xf>
    <xf numFmtId="1" fontId="9" fillId="7" borderId="10" xfId="3" applyNumberFormat="1" applyFont="1" applyFill="1" applyBorder="1" applyAlignment="1">
      <alignment horizontal="center" vertical="center"/>
    </xf>
    <xf numFmtId="165" fontId="9" fillId="7" borderId="40" xfId="3" applyFont="1" applyFill="1" applyBorder="1" applyAlignment="1">
      <alignment horizontal="center" vertical="center"/>
    </xf>
    <xf numFmtId="165" fontId="9" fillId="7" borderId="18" xfId="3" applyFont="1" applyFill="1" applyBorder="1" applyAlignment="1">
      <alignment horizontal="center" vertical="center"/>
    </xf>
    <xf numFmtId="1" fontId="9" fillId="7" borderId="40" xfId="3" applyNumberFormat="1" applyFont="1" applyFill="1" applyBorder="1" applyAlignment="1">
      <alignment horizontal="center" vertical="center"/>
    </xf>
    <xf numFmtId="1" fontId="9" fillId="7" borderId="1" xfId="3" applyNumberFormat="1" applyFont="1" applyFill="1" applyBorder="1" applyAlignment="1">
      <alignment horizontal="center" vertical="center"/>
    </xf>
    <xf numFmtId="165" fontId="9" fillId="7" borderId="1" xfId="3" applyFont="1" applyFill="1" applyBorder="1" applyAlignment="1">
      <alignment horizontal="center" vertical="center"/>
    </xf>
    <xf numFmtId="165" fontId="9" fillId="7" borderId="3" xfId="3" applyFont="1" applyFill="1" applyBorder="1" applyAlignment="1">
      <alignment horizontal="center" vertical="center"/>
    </xf>
    <xf numFmtId="165" fontId="9" fillId="7" borderId="31" xfId="3" applyFont="1" applyFill="1" applyBorder="1" applyAlignment="1">
      <alignment horizontal="center" vertical="center"/>
    </xf>
    <xf numFmtId="165" fontId="9" fillId="7" borderId="38" xfId="3" applyFont="1" applyFill="1" applyBorder="1" applyAlignment="1">
      <alignment horizontal="center" vertical="center"/>
    </xf>
    <xf numFmtId="10" fontId="6" fillId="7" borderId="7" xfId="2" applyNumberFormat="1" applyFont="1" applyFill="1" applyBorder="1" applyAlignment="1">
      <alignment vertical="center"/>
    </xf>
    <xf numFmtId="165" fontId="9" fillId="7" borderId="0" xfId="3" applyFont="1" applyFill="1" applyBorder="1" applyAlignment="1">
      <alignment vertical="center"/>
    </xf>
    <xf numFmtId="2" fontId="9" fillId="7" borderId="1" xfId="0" applyNumberFormat="1" applyFont="1" applyFill="1" applyBorder="1" applyAlignment="1">
      <alignment horizontal="center" vertical="center"/>
    </xf>
    <xf numFmtId="4" fontId="9" fillId="7" borderId="1" xfId="0" applyNumberFormat="1" applyFont="1" applyFill="1" applyBorder="1" applyAlignment="1">
      <alignment horizontal="center" vertical="center"/>
    </xf>
    <xf numFmtId="165" fontId="9" fillId="7" borderId="2" xfId="3" applyFont="1" applyFill="1" applyBorder="1" applyAlignment="1">
      <alignment horizontal="center" vertical="center"/>
    </xf>
    <xf numFmtId="165" fontId="4" fillId="7" borderId="2" xfId="3" applyFont="1" applyFill="1" applyBorder="1" applyAlignment="1">
      <alignment horizontal="center" vertical="center"/>
    </xf>
    <xf numFmtId="166" fontId="4" fillId="7" borderId="1" xfId="3" applyNumberFormat="1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/>
    </xf>
    <xf numFmtId="4" fontId="9" fillId="7" borderId="1" xfId="3" applyNumberFormat="1" applyFont="1" applyFill="1" applyBorder="1" applyAlignment="1">
      <alignment horizontal="center" vertical="center"/>
    </xf>
    <xf numFmtId="165" fontId="9" fillId="7" borderId="20" xfId="3" applyFont="1" applyFill="1" applyBorder="1" applyAlignment="1">
      <alignment horizontal="center" vertical="center"/>
    </xf>
    <xf numFmtId="165" fontId="7" fillId="0" borderId="6" xfId="3" quotePrefix="1" applyFont="1" applyFill="1" applyBorder="1" applyAlignment="1">
      <alignment vertical="center"/>
    </xf>
    <xf numFmtId="165" fontId="9" fillId="0" borderId="0" xfId="3" applyFont="1" applyFill="1" applyBorder="1" applyAlignment="1">
      <alignment vertical="center"/>
    </xf>
    <xf numFmtId="0" fontId="9" fillId="0" borderId="50" xfId="0" applyFont="1" applyBorder="1" applyAlignment="1">
      <alignment vertical="center"/>
    </xf>
    <xf numFmtId="165" fontId="9" fillId="0" borderId="9" xfId="3" applyFont="1" applyBorder="1" applyAlignment="1">
      <alignment horizontal="right" vertical="center"/>
    </xf>
    <xf numFmtId="165" fontId="6" fillId="0" borderId="7" xfId="3" applyFont="1" applyFill="1" applyBorder="1" applyAlignment="1">
      <alignment vertical="center"/>
    </xf>
    <xf numFmtId="10" fontId="18" fillId="7" borderId="18" xfId="0" applyNumberFormat="1" applyFont="1" applyFill="1" applyBorder="1" applyAlignment="1">
      <alignment horizontal="right" vertical="center"/>
    </xf>
    <xf numFmtId="10" fontId="8" fillId="7" borderId="56" xfId="4" applyNumberFormat="1" applyFont="1" applyFill="1" applyBorder="1" applyAlignment="1">
      <alignment horizontal="right"/>
    </xf>
    <xf numFmtId="10" fontId="8" fillId="7" borderId="10" xfId="0" applyNumberFormat="1" applyFont="1" applyFill="1" applyBorder="1" applyAlignment="1">
      <alignment horizontal="center" vertical="center"/>
    </xf>
    <xf numFmtId="10" fontId="8" fillId="7" borderId="18" xfId="0" applyNumberFormat="1" applyFont="1" applyFill="1" applyBorder="1" applyAlignment="1">
      <alignment horizontal="center" vertical="center"/>
    </xf>
    <xf numFmtId="10" fontId="10" fillId="7" borderId="18" xfId="0" applyNumberFormat="1" applyFont="1" applyFill="1" applyBorder="1" applyAlignment="1">
      <alignment horizontal="center" vertical="center"/>
    </xf>
    <xf numFmtId="10" fontId="8" fillId="7" borderId="32" xfId="0" applyNumberFormat="1" applyFont="1" applyFill="1" applyBorder="1" applyAlignment="1">
      <alignment horizontal="center" vertical="center"/>
    </xf>
    <xf numFmtId="10" fontId="8" fillId="0" borderId="65" xfId="8" applyNumberFormat="1" applyFont="1" applyFill="1" applyBorder="1"/>
    <xf numFmtId="10" fontId="18" fillId="7" borderId="54" xfId="0" applyNumberFormat="1" applyFont="1" applyFill="1" applyBorder="1" applyAlignment="1">
      <alignment horizontal="right" vertical="center"/>
    </xf>
    <xf numFmtId="10" fontId="6" fillId="0" borderId="0" xfId="2" applyNumberFormat="1" applyFont="1" applyAlignment="1">
      <alignment vertical="center"/>
    </xf>
    <xf numFmtId="0" fontId="8" fillId="0" borderId="39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10" fontId="8" fillId="7" borderId="40" xfId="0" applyNumberFormat="1" applyFont="1" applyFill="1" applyBorder="1" applyAlignment="1">
      <alignment horizontal="center" vertical="center"/>
    </xf>
    <xf numFmtId="10" fontId="8" fillId="0" borderId="67" xfId="0" applyNumberFormat="1" applyFont="1" applyBorder="1" applyAlignment="1">
      <alignment horizontal="center" vertical="center"/>
    </xf>
    <xf numFmtId="10" fontId="8" fillId="0" borderId="66" xfId="0" applyNumberFormat="1" applyFont="1" applyBorder="1" applyAlignment="1">
      <alignment horizontal="center" vertical="center"/>
    </xf>
    <xf numFmtId="10" fontId="10" fillId="0" borderId="66" xfId="0" applyNumberFormat="1" applyFont="1" applyBorder="1" applyAlignment="1">
      <alignment horizontal="center" vertical="center"/>
    </xf>
    <xf numFmtId="10" fontId="8" fillId="7" borderId="66" xfId="0" applyNumberFormat="1" applyFont="1" applyFill="1" applyBorder="1" applyAlignment="1">
      <alignment horizontal="center" vertical="center"/>
    </xf>
    <xf numFmtId="10" fontId="8" fillId="0" borderId="51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34" xfId="0" applyFont="1" applyBorder="1" applyAlignment="1">
      <alignment vertical="center"/>
    </xf>
    <xf numFmtId="0" fontId="10" fillId="2" borderId="14" xfId="0" applyFont="1" applyFill="1" applyBorder="1" applyAlignment="1">
      <alignment vertical="center" wrapText="1"/>
    </xf>
    <xf numFmtId="0" fontId="8" fillId="2" borderId="15" xfId="0" applyFont="1" applyFill="1" applyBorder="1" applyAlignment="1">
      <alignment vertical="center"/>
    </xf>
    <xf numFmtId="10" fontId="10" fillId="2" borderId="16" xfId="0" applyNumberFormat="1" applyFont="1" applyFill="1" applyBorder="1" applyAlignment="1">
      <alignment horizontal="center" vertical="center" wrapText="1"/>
    </xf>
    <xf numFmtId="10" fontId="8" fillId="0" borderId="41" xfId="0" applyNumberFormat="1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10" fontId="10" fillId="2" borderId="4" xfId="0" applyNumberFormat="1" applyFont="1" applyFill="1" applyBorder="1" applyAlignment="1">
      <alignment horizontal="center" vertical="center" wrapText="1"/>
    </xf>
    <xf numFmtId="0" fontId="0" fillId="0" borderId="43" xfId="0" applyBorder="1"/>
    <xf numFmtId="10" fontId="8" fillId="0" borderId="68" xfId="0" applyNumberFormat="1" applyFont="1" applyBorder="1" applyAlignment="1">
      <alignment horizontal="center" vertical="center"/>
    </xf>
    <xf numFmtId="170" fontId="17" fillId="0" borderId="6" xfId="0" applyNumberFormat="1" applyFont="1" applyBorder="1" applyAlignment="1">
      <alignment horizontal="right" vertical="center"/>
    </xf>
    <xf numFmtId="0" fontId="17" fillId="0" borderId="6" xfId="0" applyFont="1" applyBorder="1" applyAlignment="1">
      <alignment horizontal="right" vertical="center"/>
    </xf>
    <xf numFmtId="10" fontId="3" fillId="0" borderId="0" xfId="2" applyNumberFormat="1" applyFont="1"/>
    <xf numFmtId="165" fontId="6" fillId="0" borderId="0" xfId="3" applyFont="1" applyAlignment="1">
      <alignment vertical="center"/>
    </xf>
    <xf numFmtId="10" fontId="9" fillId="0" borderId="3" xfId="2" applyNumberFormat="1" applyFont="1" applyFill="1" applyBorder="1" applyAlignment="1">
      <alignment horizontal="center" vertical="center"/>
    </xf>
    <xf numFmtId="1" fontId="4" fillId="0" borderId="3" xfId="3" applyNumberFormat="1" applyFont="1" applyFill="1" applyBorder="1" applyAlignment="1">
      <alignment horizontal="center" vertical="center"/>
    </xf>
    <xf numFmtId="1" fontId="4" fillId="7" borderId="3" xfId="3" applyNumberFormat="1" applyFont="1" applyFill="1" applyBorder="1" applyAlignment="1">
      <alignment horizontal="center" vertical="center"/>
    </xf>
    <xf numFmtId="10" fontId="4" fillId="0" borderId="3" xfId="2" applyNumberFormat="1" applyFont="1" applyFill="1" applyBorder="1" applyAlignment="1">
      <alignment horizontal="center" vertical="center" wrapText="1"/>
    </xf>
    <xf numFmtId="10" fontId="9" fillId="0" borderId="3" xfId="2" applyNumberFormat="1" applyFont="1" applyFill="1" applyBorder="1" applyAlignment="1">
      <alignment horizontal="center" vertical="center" wrapText="1"/>
    </xf>
    <xf numFmtId="10" fontId="4" fillId="8" borderId="3" xfId="2" applyNumberFormat="1" applyFont="1" applyFill="1" applyBorder="1" applyAlignment="1">
      <alignment horizontal="center" vertical="center"/>
    </xf>
    <xf numFmtId="1" fontId="4" fillId="0" borderId="3" xfId="3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1" fillId="9" borderId="0" xfId="0" applyFont="1" applyFill="1" applyAlignment="1">
      <alignment horizontal="left" vertical="center"/>
    </xf>
    <xf numFmtId="165" fontId="9" fillId="0" borderId="0" xfId="0" applyNumberFormat="1" applyFont="1" applyAlignment="1">
      <alignment vertical="center"/>
    </xf>
    <xf numFmtId="0" fontId="6" fillId="0" borderId="1" xfId="0" applyFont="1" applyBorder="1"/>
    <xf numFmtId="165" fontId="9" fillId="8" borderId="20" xfId="3" applyFont="1" applyFill="1" applyBorder="1" applyAlignment="1">
      <alignment horizontal="center" vertical="center"/>
    </xf>
    <xf numFmtId="1" fontId="9" fillId="8" borderId="40" xfId="3" applyNumberFormat="1" applyFont="1" applyFill="1" applyBorder="1" applyAlignment="1">
      <alignment horizontal="center" vertical="center"/>
    </xf>
    <xf numFmtId="165" fontId="9" fillId="8" borderId="18" xfId="3" applyFont="1" applyFill="1" applyBorder="1" applyAlignment="1">
      <alignment horizontal="center" vertical="center"/>
    </xf>
    <xf numFmtId="10" fontId="18" fillId="0" borderId="50" xfId="0" applyNumberFormat="1" applyFont="1" applyBorder="1" applyAlignment="1">
      <alignment horizontal="right" vertical="center"/>
    </xf>
    <xf numFmtId="10" fontId="19" fillId="0" borderId="50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4" fillId="0" borderId="12" xfId="3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165" fontId="4" fillId="7" borderId="18" xfId="3" applyFont="1" applyFill="1" applyBorder="1" applyAlignment="1">
      <alignment horizontal="center" vertical="center"/>
    </xf>
    <xf numFmtId="165" fontId="9" fillId="3" borderId="0" xfId="3" applyFont="1" applyFill="1" applyBorder="1" applyAlignment="1">
      <alignment horizontal="center" vertical="center"/>
    </xf>
    <xf numFmtId="165" fontId="9" fillId="0" borderId="0" xfId="3" applyFont="1" applyBorder="1" applyAlignment="1">
      <alignment horizontal="center" vertical="center"/>
    </xf>
    <xf numFmtId="165" fontId="9" fillId="0" borderId="3" xfId="3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5" fontId="9" fillId="3" borderId="8" xfId="3" applyFont="1" applyFill="1" applyBorder="1" applyAlignment="1">
      <alignment horizontal="center" vertical="center"/>
    </xf>
    <xf numFmtId="165" fontId="9" fillId="0" borderId="8" xfId="3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6" fontId="4" fillId="0" borderId="1" xfId="3" applyNumberFormat="1" applyFont="1" applyFill="1" applyBorder="1" applyAlignment="1">
      <alignment vertical="center"/>
    </xf>
    <xf numFmtId="0" fontId="6" fillId="8" borderId="1" xfId="0" applyFont="1" applyFill="1" applyBorder="1"/>
    <xf numFmtId="171" fontId="3" fillId="0" borderId="0" xfId="7" applyNumberFormat="1"/>
    <xf numFmtId="171" fontId="9" fillId="0" borderId="0" xfId="0" applyNumberFormat="1" applyFont="1" applyAlignment="1">
      <alignment vertical="center"/>
    </xf>
    <xf numFmtId="10" fontId="6" fillId="8" borderId="7" xfId="2" applyNumberFormat="1" applyFont="1" applyFill="1" applyBorder="1" applyAlignment="1">
      <alignment vertical="center"/>
    </xf>
    <xf numFmtId="1" fontId="6" fillId="7" borderId="1" xfId="3" applyNumberFormat="1" applyFont="1" applyFill="1" applyBorder="1" applyAlignment="1">
      <alignment horizontal="center" vertical="center"/>
    </xf>
    <xf numFmtId="165" fontId="6" fillId="7" borderId="1" xfId="3" applyFont="1" applyFill="1" applyBorder="1" applyAlignment="1">
      <alignment horizontal="center" vertical="center"/>
    </xf>
    <xf numFmtId="10" fontId="9" fillId="0" borderId="0" xfId="0" applyNumberFormat="1" applyFont="1" applyAlignment="1">
      <alignment vertical="center"/>
    </xf>
    <xf numFmtId="2" fontId="3" fillId="0" borderId="0" xfId="7" applyNumberFormat="1"/>
    <xf numFmtId="10" fontId="3" fillId="0" borderId="0" xfId="7" applyNumberFormat="1"/>
    <xf numFmtId="165" fontId="6" fillId="0" borderId="17" xfId="3" applyFont="1" applyBorder="1" applyAlignment="1">
      <alignment horizontal="left" vertical="center"/>
    </xf>
    <xf numFmtId="165" fontId="6" fillId="0" borderId="36" xfId="3" applyFont="1" applyBorder="1" applyAlignment="1">
      <alignment horizontal="left" vertical="center"/>
    </xf>
    <xf numFmtId="165" fontId="6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12" fillId="0" borderId="12" xfId="3" applyFont="1" applyFill="1" applyBorder="1" applyAlignment="1">
      <alignment horizontal="left" vertical="center"/>
    </xf>
    <xf numFmtId="165" fontId="12" fillId="0" borderId="12" xfId="3" applyFont="1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0" fontId="25" fillId="0" borderId="5" xfId="4" applyFont="1" applyBorder="1" applyAlignment="1">
      <alignment horizontal="center" vertical="center" wrapText="1"/>
    </xf>
    <xf numFmtId="0" fontId="25" fillId="0" borderId="6" xfId="4" applyFont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 wrapText="1"/>
    </xf>
    <xf numFmtId="0" fontId="26" fillId="7" borderId="6" xfId="4" applyFont="1" applyFill="1" applyBorder="1" applyAlignment="1">
      <alignment horizontal="left" vertical="center"/>
    </xf>
    <xf numFmtId="0" fontId="26" fillId="7" borderId="35" xfId="4" applyFont="1" applyFill="1" applyBorder="1" applyAlignment="1">
      <alignment horizontal="left" vertical="center"/>
    </xf>
    <xf numFmtId="0" fontId="26" fillId="7" borderId="7" xfId="4" applyFont="1" applyFill="1" applyBorder="1" applyAlignment="1">
      <alignment horizontal="left" vertical="center"/>
    </xf>
    <xf numFmtId="165" fontId="6" fillId="0" borderId="5" xfId="3" applyFont="1" applyFill="1" applyBorder="1" applyAlignment="1">
      <alignment horizontal="center" vertical="center" wrapText="1"/>
    </xf>
    <xf numFmtId="165" fontId="6" fillId="0" borderId="7" xfId="3" applyFont="1" applyFill="1" applyBorder="1" applyAlignment="1">
      <alignment horizontal="center" vertical="center" wrapText="1"/>
    </xf>
    <xf numFmtId="165" fontId="4" fillId="0" borderId="12" xfId="3" applyFont="1" applyBorder="1" applyAlignment="1">
      <alignment horizontal="left" vertical="center"/>
    </xf>
    <xf numFmtId="165" fontId="13" fillId="0" borderId="12" xfId="3" applyFont="1" applyBorder="1" applyAlignment="1">
      <alignment horizontal="left" vertical="center"/>
    </xf>
    <xf numFmtId="165" fontId="13" fillId="0" borderId="52" xfId="3" applyFont="1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165" fontId="6" fillId="0" borderId="5" xfId="3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59" xfId="0" applyFont="1" applyBorder="1" applyAlignment="1">
      <alignment horizontal="left" vertical="center"/>
    </xf>
    <xf numFmtId="165" fontId="4" fillId="0" borderId="12" xfId="3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65" fontId="4" fillId="8" borderId="12" xfId="3" applyFont="1" applyFill="1" applyBorder="1" applyAlignment="1">
      <alignment horizontal="center" vertical="center" wrapText="1"/>
    </xf>
    <xf numFmtId="165" fontId="4" fillId="8" borderId="9" xfId="3" applyFont="1" applyFill="1" applyBorder="1" applyAlignment="1">
      <alignment horizontal="center" vertical="center" wrapText="1"/>
    </xf>
    <xf numFmtId="165" fontId="4" fillId="0" borderId="52" xfId="3" applyFont="1" applyFill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165" fontId="7" fillId="6" borderId="5" xfId="3" applyFont="1" applyFill="1" applyBorder="1" applyAlignment="1">
      <alignment horizontal="left" vertical="center"/>
    </xf>
    <xf numFmtId="165" fontId="7" fillId="6" borderId="6" xfId="3" applyFont="1" applyFill="1" applyBorder="1" applyAlignment="1">
      <alignment horizontal="left" vertical="center"/>
    </xf>
    <xf numFmtId="165" fontId="7" fillId="6" borderId="7" xfId="3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5" fontId="4" fillId="0" borderId="17" xfId="3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5" fontId="6" fillId="0" borderId="52" xfId="3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165" fontId="6" fillId="0" borderId="5" xfId="3" applyFont="1" applyFill="1" applyBorder="1" applyAlignment="1">
      <alignment horizontal="left" vertical="center"/>
    </xf>
    <xf numFmtId="165" fontId="6" fillId="0" borderId="6" xfId="3" applyFont="1" applyFill="1" applyBorder="1" applyAlignment="1">
      <alignment horizontal="left" vertical="center"/>
    </xf>
    <xf numFmtId="165" fontId="6" fillId="0" borderId="7" xfId="3" applyFont="1" applyFill="1" applyBorder="1" applyAlignment="1">
      <alignment horizontal="left" vertical="center"/>
    </xf>
    <xf numFmtId="0" fontId="13" fillId="6" borderId="5" xfId="0" applyFont="1" applyFill="1" applyBorder="1" applyAlignment="1">
      <alignment horizontal="left" vertical="center"/>
    </xf>
    <xf numFmtId="0" fontId="13" fillId="6" borderId="35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165" fontId="6" fillId="0" borderId="63" xfId="3" applyFont="1" applyBorder="1" applyAlignment="1">
      <alignment horizontal="center" vertical="center"/>
    </xf>
    <xf numFmtId="165" fontId="6" fillId="0" borderId="6" xfId="3" applyFont="1" applyBorder="1" applyAlignment="1">
      <alignment horizontal="center" vertical="center"/>
    </xf>
    <xf numFmtId="165" fontId="6" fillId="0" borderId="7" xfId="3" applyFont="1" applyBorder="1" applyAlignment="1">
      <alignment horizontal="center" vertical="center"/>
    </xf>
    <xf numFmtId="165" fontId="6" fillId="0" borderId="6" xfId="3" applyFont="1" applyBorder="1" applyAlignment="1">
      <alignment horizontal="left" vertical="center"/>
    </xf>
    <xf numFmtId="0" fontId="0" fillId="6" borderId="35" xfId="0" applyFill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50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4" fillId="8" borderId="12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5" fontId="6" fillId="5" borderId="5" xfId="3" applyFont="1" applyFill="1" applyBorder="1" applyAlignment="1">
      <alignment horizontal="center" vertical="center"/>
    </xf>
    <xf numFmtId="165" fontId="6" fillId="5" borderId="7" xfId="3" applyFont="1" applyFill="1" applyBorder="1" applyAlignment="1">
      <alignment horizontal="center" vertical="center"/>
    </xf>
    <xf numFmtId="0" fontId="6" fillId="0" borderId="33" xfId="0" applyFont="1" applyBorder="1" applyAlignment="1">
      <alignment horizontal="left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4" fontId="24" fillId="0" borderId="5" xfId="0" applyNumberFormat="1" applyFont="1" applyBorder="1" applyAlignment="1">
      <alignment horizontal="center" vertical="center"/>
    </xf>
    <xf numFmtId="4" fontId="24" fillId="0" borderId="6" xfId="0" applyNumberFormat="1" applyFont="1" applyBorder="1" applyAlignment="1">
      <alignment horizontal="center" vertical="center"/>
    </xf>
    <xf numFmtId="4" fontId="24" fillId="0" borderId="7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</cellXfs>
  <cellStyles count="14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Normal 5" xfId="11" xr:uid="{00000000-0005-0000-0000-000005000000}"/>
    <cellStyle name="Porcentagem" xfId="2" builtinId="5"/>
    <cellStyle name="Porcentagem 2" xfId="8" xr:uid="{00000000-0005-0000-0000-000007000000}"/>
    <cellStyle name="Porcentagem 3" xfId="9" xr:uid="{00000000-0005-0000-0000-000008000000}"/>
    <cellStyle name="Porcentagem 4" xfId="13" xr:uid="{00000000-0005-0000-0000-000009000000}"/>
    <cellStyle name="Separador de milhares 3" xfId="5" xr:uid="{00000000-0005-0000-0000-00000A000000}"/>
    <cellStyle name="Vírgula" xfId="3" builtinId="3"/>
    <cellStyle name="Vírgula 2" xfId="6" xr:uid="{00000000-0005-0000-0000-00000C000000}"/>
    <cellStyle name="Vírgula 3" xfId="12" xr:uid="{00000000-0005-0000-0000-00000D000000}"/>
  </cellStyles>
  <dxfs count="0"/>
  <tableStyles count="0" defaultTableStyle="TableStyleMedium2" defaultPivotStyle="PivotStyleLight16"/>
  <colors>
    <mruColors>
      <color rgb="FF00FF00"/>
      <color rgb="FFFF66FF"/>
      <color rgb="FF66FFFF"/>
      <color rgb="FFFFFF99"/>
      <color rgb="FFFFFFCC"/>
      <color rgb="FFFF33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2"/>
  <sheetViews>
    <sheetView topLeftCell="A221" zoomScaleNormal="100" zoomScaleSheetLayoutView="110" workbookViewId="0">
      <selection activeCell="O242" sqref="O242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">
        <v>313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1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8244.1691522727269</v>
      </c>
      <c r="D9" s="40">
        <f t="shared" ref="D9:D23" si="0">IFERROR(C9/$C$26,0)</f>
        <v>0.24723510858611311</v>
      </c>
      <c r="E9" s="106">
        <f>G105</f>
        <v>8244.1691522727269</v>
      </c>
      <c r="F9" s="40">
        <f t="shared" ref="F9:F22" si="1">IFERROR(E9/$E$26,0)</f>
        <v>0.26283567785217787</v>
      </c>
      <c r="G9" s="106">
        <f>G106</f>
        <v>6915.3513493090913</v>
      </c>
      <c r="H9" s="40">
        <f t="shared" ref="H9:H22" si="2">IFERROR(G9/$G$26,0)</f>
        <v>0.22089538236909448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2633.9687948863634</v>
      </c>
      <c r="D10" s="26">
        <f t="shared" si="0"/>
        <v>7.8990320187285357E-2</v>
      </c>
      <c r="E10" s="107">
        <f t="shared" ref="E10:E22" si="3">C10</f>
        <v>2633.9687948863634</v>
      </c>
      <c r="F10" s="26">
        <f t="shared" si="1"/>
        <v>8.3974620226537927E-2</v>
      </c>
      <c r="G10" s="107">
        <f>G67</f>
        <v>2080.5223255636361</v>
      </c>
      <c r="H10" s="26">
        <f t="shared" si="2"/>
        <v>6.645761746852287E-2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3635.8178573863634</v>
      </c>
      <c r="D11" s="26">
        <f t="shared" si="0"/>
        <v>0.10903485920378528</v>
      </c>
      <c r="E11" s="107">
        <f t="shared" si="3"/>
        <v>3635.8178573863634</v>
      </c>
      <c r="F11" s="26">
        <f t="shared" si="1"/>
        <v>0.11591497377631493</v>
      </c>
      <c r="G11" s="107">
        <f>G84</f>
        <v>2860.4465237454542</v>
      </c>
      <c r="H11" s="26">
        <f t="shared" si="2"/>
        <v>9.1370546005913045E-2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266.03590909090906</v>
      </c>
      <c r="D12" s="26">
        <f t="shared" si="0"/>
        <v>7.9781741079104386E-3</v>
      </c>
      <c r="E12" s="107">
        <f t="shared" si="3"/>
        <v>266.03590909090906</v>
      </c>
      <c r="F12" s="26">
        <f t="shared" si="1"/>
        <v>8.4815979885193276E-3</v>
      </c>
      <c r="G12" s="107">
        <f t="shared" ref="G12:G21" si="4">E12</f>
        <v>266.03590909090906</v>
      </c>
      <c r="H12" s="26">
        <f t="shared" si="2"/>
        <v>8.4979201914906748E-3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1662.272727272727</v>
      </c>
      <c r="D13" s="26">
        <f t="shared" si="0"/>
        <v>4.9850041967383879E-2</v>
      </c>
      <c r="E13" s="107">
        <f t="shared" si="3"/>
        <v>1662.272727272727</v>
      </c>
      <c r="F13" s="26">
        <f t="shared" si="1"/>
        <v>5.2995586453665991E-2</v>
      </c>
      <c r="G13" s="107">
        <f t="shared" si="4"/>
        <v>1662.272727272727</v>
      </c>
      <c r="H13" s="26">
        <f t="shared" si="2"/>
        <v>5.3097572508635026E-2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46.073863636363633</v>
      </c>
      <c r="D14" s="26">
        <f t="shared" si="0"/>
        <v>1.3817131197481403E-3</v>
      </c>
      <c r="E14" s="107">
        <f>C14</f>
        <v>46.073863636363633</v>
      </c>
      <c r="F14" s="26">
        <f t="shared" si="1"/>
        <v>1.4688994071396554E-3</v>
      </c>
      <c r="G14" s="107">
        <f>E14</f>
        <v>46.073863636363633</v>
      </c>
      <c r="H14" s="26">
        <f t="shared" si="2"/>
        <v>1.4717261945328187E-3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16978.521809160713</v>
      </c>
      <c r="D15" s="40">
        <f t="shared" si="0"/>
        <v>0.50917037309482338</v>
      </c>
      <c r="E15" s="106">
        <f t="shared" si="3"/>
        <v>16978.521809160713</v>
      </c>
      <c r="F15" s="40">
        <f t="shared" si="1"/>
        <v>0.54129909348215111</v>
      </c>
      <c r="G15" s="106">
        <f t="shared" si="4"/>
        <v>16978.521809160713</v>
      </c>
      <c r="H15" s="40">
        <f t="shared" si="2"/>
        <v>0.54234078323023649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2448.0568267897729</v>
      </c>
      <c r="D16" s="46">
        <f t="shared" si="0"/>
        <v>7.3414989942254247E-2</v>
      </c>
      <c r="E16" s="107">
        <f t="shared" si="3"/>
        <v>2448.0568267897729</v>
      </c>
      <c r="F16" s="46">
        <f t="shared" si="1"/>
        <v>7.8047485878253831E-2</v>
      </c>
      <c r="G16" s="107">
        <f t="shared" si="4"/>
        <v>2448.0568267897729</v>
      </c>
      <c r="H16" s="46">
        <f t="shared" si="2"/>
        <v>7.8197682445885625E-2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3914.9669935762427</v>
      </c>
      <c r="D17" s="46">
        <f t="shared" si="0"/>
        <v>0.11740628702421016</v>
      </c>
      <c r="E17" s="107">
        <f t="shared" si="3"/>
        <v>3914.9669935762427</v>
      </c>
      <c r="F17" s="46">
        <f t="shared" si="1"/>
        <v>0.12481463984055263</v>
      </c>
      <c r="G17" s="107">
        <f t="shared" si="4"/>
        <v>3914.9669935762427</v>
      </c>
      <c r="H17" s="46">
        <f t="shared" si="2"/>
        <v>0.12505483630919342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768.40749999999991</v>
      </c>
      <c r="D18" s="46">
        <f t="shared" si="0"/>
        <v>2.3043839614633736E-2</v>
      </c>
      <c r="E18" s="107">
        <f t="shared" si="3"/>
        <v>768.40749999999991</v>
      </c>
      <c r="F18" s="46">
        <f t="shared" si="1"/>
        <v>2.4497909055337646E-2</v>
      </c>
      <c r="G18" s="107">
        <f t="shared" si="4"/>
        <v>768.40749999999991</v>
      </c>
      <c r="H18" s="46">
        <f t="shared" si="2"/>
        <v>2.4545053454838317E-2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4327.3051554613639</v>
      </c>
      <c r="D19" s="46">
        <f t="shared" si="0"/>
        <v>0.12977193216623911</v>
      </c>
      <c r="E19" s="107">
        <f t="shared" si="3"/>
        <v>4327.3051554613639</v>
      </c>
      <c r="F19" s="46">
        <f t="shared" si="1"/>
        <v>0.13796055888729125</v>
      </c>
      <c r="G19" s="107">
        <f t="shared" si="4"/>
        <v>4327.3051554613639</v>
      </c>
      <c r="H19" s="46">
        <f t="shared" si="2"/>
        <v>0.13822605369702487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4775.95</v>
      </c>
      <c r="D20" s="46">
        <f t="shared" si="0"/>
        <v>0.14322638158465398</v>
      </c>
      <c r="E20" s="107">
        <f t="shared" si="3"/>
        <v>4775.95</v>
      </c>
      <c r="F20" s="46">
        <f t="shared" si="1"/>
        <v>0.15226398590961157</v>
      </c>
      <c r="G20" s="107">
        <f t="shared" si="4"/>
        <v>4775.95</v>
      </c>
      <c r="H20" s="46">
        <f t="shared" si="2"/>
        <v>0.15255700659823737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743.83533333333321</v>
      </c>
      <c r="D21" s="46">
        <f t="shared" si="0"/>
        <v>2.2306942762832162E-2</v>
      </c>
      <c r="E21" s="107">
        <f t="shared" si="3"/>
        <v>743.83533333333321</v>
      </c>
      <c r="F21" s="46">
        <f t="shared" si="1"/>
        <v>2.371451391110415E-2</v>
      </c>
      <c r="G21" s="107">
        <f t="shared" si="4"/>
        <v>743.83533333333321</v>
      </c>
      <c r="H21" s="46">
        <f t="shared" si="2"/>
        <v>2.376015072505688E-2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2.6078010515113298E-3</v>
      </c>
      <c r="E22" s="106">
        <f t="shared" si="3"/>
        <v>86.958333333333329</v>
      </c>
      <c r="F22" s="40">
        <f t="shared" si="1"/>
        <v>2.7723536555847466E-3</v>
      </c>
      <c r="G22" s="106">
        <f>E22</f>
        <v>86.958333333333329</v>
      </c>
      <c r="H22" s="40">
        <f t="shared" si="2"/>
        <v>2.7776888434981641E-3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8035.8136510884506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6056.5990762376887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7325.1708118313481</v>
      </c>
      <c r="H25" s="108">
        <f>IFERROR(G25/$G$26,0)</f>
        <v>0.23398614555717098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33345.462945855223</v>
      </c>
      <c r="D26" s="45">
        <f>D9+D15+D22+D23</f>
        <v>1</v>
      </c>
      <c r="E26" s="129">
        <f>E9+E15+E22+E24</f>
        <v>31366.248371004462</v>
      </c>
      <c r="F26" s="45">
        <f>F9+F15+F22+F24</f>
        <v>1</v>
      </c>
      <c r="G26" s="129">
        <f>G9+G15+G22+G25</f>
        <v>31306.002303634483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11.994770843832814</v>
      </c>
      <c r="D27" s="45"/>
      <c r="E27" s="129">
        <f>G214</f>
        <v>11.282823155037576</v>
      </c>
      <c r="F27" s="45"/>
      <c r="G27" s="129">
        <f>G239</f>
        <v>11.261151907782189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28</v>
      </c>
      <c r="F36" s="262">
        <v>1</v>
      </c>
      <c r="G36" s="259">
        <v>498889</v>
      </c>
      <c r="H36" s="193"/>
      <c r="I36" s="4"/>
    </row>
    <row r="37" spans="1:9" s="2" customFormat="1" ht="52.5" customHeight="1" x14ac:dyDescent="0.2">
      <c r="A37" s="386" t="s">
        <v>291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139</v>
      </c>
      <c r="F42" s="161">
        <f>(E42/F39)+C48</f>
        <v>7.95</v>
      </c>
      <c r="G42" s="186">
        <f>E42*E43</f>
        <v>2780</v>
      </c>
      <c r="H42" s="193"/>
      <c r="I42" s="6">
        <f>22+55+34+28</f>
        <v>139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28217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0.90340909090909083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0.90340909090909083</v>
      </c>
      <c r="G60" s="239">
        <f>F59*F60</f>
        <v>2633.9687948863634</v>
      </c>
      <c r="H60" s="239">
        <f>G60/G$42</f>
        <v>0.94747078952746888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0.90340909090909083</v>
      </c>
      <c r="G67" s="239">
        <f>F66*F67</f>
        <v>2080.5223255636361</v>
      </c>
      <c r="H67" s="239">
        <f>G67/G$42</f>
        <v>0.74838932574231509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0.90340909090909083</v>
      </c>
      <c r="G77" s="239">
        <f>F76*F77</f>
        <v>3635.8178573863634</v>
      </c>
      <c r="H77" s="239">
        <f>G77/G$42</f>
        <v>1.3078481501389796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9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9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9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9" ht="13.9" customHeight="1" thickBot="1" x14ac:dyDescent="0.25">
      <c r="A84" s="99"/>
      <c r="E84" s="254" t="s">
        <v>86</v>
      </c>
      <c r="F84" s="197">
        <f>$C$46</f>
        <v>0.90340909090909083</v>
      </c>
      <c r="G84" s="239">
        <f>F83*F84</f>
        <v>2860.4465237454542</v>
      </c>
      <c r="H84" s="239">
        <f>G84/G$42</f>
        <v>1.0289375984695879</v>
      </c>
    </row>
    <row r="85" spans="1:9" ht="11.25" customHeight="1" x14ac:dyDescent="0.2">
      <c r="A85" s="99"/>
      <c r="E85" s="27"/>
      <c r="F85" s="27"/>
      <c r="G85" s="135"/>
      <c r="H85" s="193"/>
    </row>
    <row r="86" spans="1:9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9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9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9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9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9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9" ht="13.5" thickBot="1" x14ac:dyDescent="0.25">
      <c r="A92" s="99"/>
      <c r="E92" s="95" t="s">
        <v>86</v>
      </c>
      <c r="F92" s="250">
        <f>$C$46</f>
        <v>0.90340909090909083</v>
      </c>
      <c r="G92" s="239">
        <f>SUM(F88:F91)*F92</f>
        <v>266.03590909090906</v>
      </c>
      <c r="H92" s="239">
        <f>G92/G$42</f>
        <v>9.5696370176585999E-2</v>
      </c>
    </row>
    <row r="93" spans="1:9" ht="11.25" customHeight="1" x14ac:dyDescent="0.2">
      <c r="A93" s="99"/>
      <c r="E93" s="27"/>
      <c r="F93" s="27"/>
      <c r="G93" s="135"/>
      <c r="H93" s="193"/>
    </row>
    <row r="94" spans="1:9" ht="13.5" thickBot="1" x14ac:dyDescent="0.25">
      <c r="A94" s="100" t="s">
        <v>102</v>
      </c>
      <c r="B94" s="6"/>
      <c r="E94" s="27"/>
      <c r="F94" s="27"/>
      <c r="G94" s="139"/>
      <c r="H94" s="193"/>
    </row>
    <row r="95" spans="1:9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9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  <c r="I96" s="165" t="s">
        <v>314</v>
      </c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0.90340909090909083</v>
      </c>
      <c r="G98" s="239">
        <f>SUM(F96:F97)*F98</f>
        <v>1662.272727272727</v>
      </c>
      <c r="H98" s="239">
        <f>G98/G$42</f>
        <v>0.59793982995421835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0.90340909090909083</v>
      </c>
      <c r="G104" s="239">
        <f>SUM(F102:F103)*F104</f>
        <v>46.073863636363633</v>
      </c>
      <c r="H104" s="239">
        <f>G104/G$42</f>
        <v>1.6573332243296272E-2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8244.1691522727269</v>
      </c>
      <c r="H105" s="243">
        <f>G105/G$42</f>
        <v>2.9655284720405493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6915.3513493090913</v>
      </c>
      <c r="H106" s="239">
        <f>G106/G$42</f>
        <v>2.4875364565860041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498889</v>
      </c>
      <c r="F111" s="9">
        <f>D111*E111</f>
        <v>498889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498889</v>
      </c>
      <c r="F113" s="201">
        <f>D113*E113/100</f>
        <v>325175.85020000004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325175.85020000004</v>
      </c>
      <c r="F114" s="38">
        <f>IFERROR(E114/D114,0)</f>
        <v>2709.7987516666672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2709.7987516666672</v>
      </c>
      <c r="F115" s="160">
        <f>D115*E115</f>
        <v>2709.7987516666672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0.90340909090909083</v>
      </c>
      <c r="G116" s="239">
        <f>F115*F116</f>
        <v>2448.0568267897729</v>
      </c>
      <c r="H116" s="239">
        <f>G116/G$42</f>
        <v>0.88059598085963053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498889</v>
      </c>
      <c r="F119" s="9">
        <f>D119*E119</f>
        <v>498889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498889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173713.14979999996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352559.86741000001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4333.5483702479169</v>
      </c>
      <c r="F124" s="38">
        <f>E124</f>
        <v>4333.5483702479169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4333.5483702479169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4333.5483702479169</v>
      </c>
      <c r="F126" s="39">
        <f>D126*E126</f>
        <v>4333.5483702479169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0.90340909090909083</v>
      </c>
      <c r="G127" s="239">
        <f>F126*F127</f>
        <v>3914.9669935762427</v>
      </c>
      <c r="H127" s="239">
        <f>G127/G$42</f>
        <v>1.4082615084806629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">
        <v>311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4988.8900000000003</v>
      </c>
      <c r="F132" s="9">
        <f t="shared" ref="F132:F137" si="5">D132*E132</f>
        <v>4988.8900000000003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9220.89</v>
      </c>
      <c r="F138" s="38">
        <f>E138/D138</f>
        <v>768.40749999999991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768.40749999999991</v>
      </c>
      <c r="H139" s="239">
        <f>G139/G$42</f>
        <v>0.27640557553956829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2780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2780</v>
      </c>
      <c r="E144" s="89">
        <f>IFERROR(+E143/D143,"-")</f>
        <v>1.330909090909091</v>
      </c>
      <c r="F144" s="11">
        <f>IFERROR(D144*E144,"-")</f>
        <v>3699.9272727272732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2780</v>
      </c>
      <c r="E146" s="86">
        <f>+D145*E145/10000</f>
        <v>1.9214999999999999E-2</v>
      </c>
      <c r="F146" s="11">
        <f>D146*E146</f>
        <v>53.417699999999996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2780</v>
      </c>
      <c r="E148" s="231">
        <f>+D147*E147/100000</f>
        <v>9.9360000000000008E-4</v>
      </c>
      <c r="F148" s="11">
        <f>D148*E148</f>
        <v>2.7622080000000002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2780</v>
      </c>
      <c r="E150" s="231">
        <f>+D149*E149/80000</f>
        <v>4.4412499999999991E-4</v>
      </c>
      <c r="F150" s="11">
        <f>D150*E150</f>
        <v>1.2346674999999998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2780</v>
      </c>
      <c r="E152" s="86">
        <f>+D151*E151/10000</f>
        <v>1.99E-3</v>
      </c>
      <c r="F152" s="11">
        <f>D152*E152</f>
        <v>5.5322000000000005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3762.8740482272733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4327.3051554613639</v>
      </c>
      <c r="H154" s="239">
        <f>G154/G$42</f>
        <v>1.5565845882954548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2780</v>
      </c>
      <c r="E158" s="270">
        <f>'lote 3.1'!E158</f>
        <v>1.35</v>
      </c>
      <c r="F158" s="9">
        <f>D158*E158</f>
        <v>3753.0000000000005</v>
      </c>
      <c r="G158" s="136"/>
      <c r="H158" s="136"/>
      <c r="I158" s="34">
        <f>F158*12</f>
        <v>45036.000000000007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4153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4775.95</v>
      </c>
      <c r="H161" s="239">
        <f>G161/G$42</f>
        <v>1.7179676258992804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1745</v>
      </c>
      <c r="F165" s="9">
        <f>D165*E165</f>
        <v>10470</v>
      </c>
      <c r="G165" s="136"/>
      <c r="H165" s="136"/>
      <c r="J165" s="34"/>
      <c r="K165" s="34"/>
    </row>
    <row r="166" spans="1:11" x14ac:dyDescent="0.2">
      <c r="A166" s="421" t="s">
        <v>288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10470</v>
      </c>
      <c r="F167" s="11">
        <f>IFERROR(E167/D167,"-")</f>
        <v>0.23266666666666666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2780</v>
      </c>
      <c r="E168" s="11">
        <f>F167</f>
        <v>0.23266666666666666</v>
      </c>
      <c r="F168" s="38">
        <f>IFERROR(D168*E168,0)</f>
        <v>646.81333333333328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743.83533333333321</v>
      </c>
      <c r="H169" s="239">
        <f>G169/G$42</f>
        <v>0.26756666666666662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16978.521809160713</v>
      </c>
      <c r="H171" s="239">
        <f>G171/G$42</f>
        <v>6.1073819457412633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3.1279976019184648E-2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3.1279976019184648E-2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25309.649294766772</v>
      </c>
      <c r="H185" s="242">
        <f>G185/G$42</f>
        <v>9.1041903938009963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23980.831491803136</v>
      </c>
      <c r="H186" s="244">
        <f>G186/G$42</f>
        <v>8.6261983783464515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25309.649294766772</v>
      </c>
      <c r="F191" s="9">
        <f>D191*E191/100</f>
        <v>8035.8136510884506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8035.8136510884506</v>
      </c>
      <c r="H192" s="245">
        <f>G192/G$42</f>
        <v>2.8905804500318166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8035.8136510884506</v>
      </c>
      <c r="H194" s="244">
        <f>G194/G$42</f>
        <v>2.8905804500318166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33345.462945855223</v>
      </c>
      <c r="H196" s="244">
        <f>G196/G$42</f>
        <v>11.994770843832814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2780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11.994770843832814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25309.649294766772</v>
      </c>
      <c r="F205" s="9">
        <f>D205*E205/100</f>
        <v>6056.5990762376887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6056.5990762376887</v>
      </c>
      <c r="H206" s="245">
        <f>G206/G$42</f>
        <v>2.1786327612365786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6056.5990762376887</v>
      </c>
      <c r="H208" s="244">
        <f>G208/G$42</f>
        <v>2.1786327612365786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31366.248371004462</v>
      </c>
      <c r="H210" s="244">
        <f>G210/G$42</f>
        <v>11.282823155037576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2780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11.282823155037576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23980.831491803136</v>
      </c>
      <c r="F219" s="9">
        <f>D219*E219/100</f>
        <v>4059.9547715622712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4059.9547715622712</v>
      </c>
      <c r="H220" s="245">
        <f>G220/G$42</f>
        <v>1.4604153854540545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4059.9547715622712</v>
      </c>
      <c r="H222" s="244">
        <f>G222/G$42</f>
        <v>1.4604153854540545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28040.786263365408</v>
      </c>
      <c r="H224" s="244">
        <f>G224/G$42</f>
        <v>10.086613763800507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307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v>10.43</v>
      </c>
      <c r="E232" s="125">
        <f>G224</f>
        <v>28040.786263365408</v>
      </c>
      <c r="F232" s="9">
        <f>G235*(D232/100)</f>
        <v>3265.216040269077</v>
      </c>
      <c r="G232" s="136"/>
      <c r="H232" s="136"/>
      <c r="I232" s="328">
        <f>G235*12</f>
        <v>375672.02764361387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3265.216040269077</v>
      </c>
      <c r="H233" s="244">
        <f>G233/G$42</f>
        <v>1.1745381439816824</v>
      </c>
      <c r="I233" s="34"/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31306.002303634486</v>
      </c>
      <c r="H235" s="244">
        <f>G235/G$42</f>
        <v>11.261151907782189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2780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11.261151907782189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52"/>
  <sheetViews>
    <sheetView topLeftCell="A221" zoomScaleNormal="100" zoomScaleSheetLayoutView="110" workbookViewId="0">
      <selection activeCell="J245" sqref="J245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">
        <v>313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1</v>
      </c>
      <c r="C4" s="247" t="s">
        <v>158</v>
      </c>
      <c r="D4" s="315">
        <v>2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4303.5599977272723</v>
      </c>
      <c r="D9" s="40">
        <f t="shared" ref="D9:D23" si="0">IFERROR(C9/$C$26,0)</f>
        <v>0.24376439960164312</v>
      </c>
      <c r="E9" s="106">
        <f>G105</f>
        <v>4303.5599977272723</v>
      </c>
      <c r="F9" s="40">
        <f t="shared" ref="F9:F22" si="1">IFERROR(E9/$E$26,0)</f>
        <v>0.25914596665469602</v>
      </c>
      <c r="G9" s="106">
        <f>G106</f>
        <v>3609.9003898909091</v>
      </c>
      <c r="H9" s="40">
        <f t="shared" ref="H9:H22" si="2">IFERROR(G9/$G$26,0)</f>
        <v>0.21762514791638185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1374.9648426136364</v>
      </c>
      <c r="D10" s="26">
        <f t="shared" si="0"/>
        <v>7.7881446874235316E-2</v>
      </c>
      <c r="E10" s="107">
        <f t="shared" ref="E10:E22" si="3">C10</f>
        <v>1374.9648426136364</v>
      </c>
      <c r="F10" s="26">
        <f t="shared" si="1"/>
        <v>8.2795776855325603E-2</v>
      </c>
      <c r="G10" s="107">
        <f>G67</f>
        <v>1086.0588240363636</v>
      </c>
      <c r="H10" s="26">
        <f t="shared" si="2"/>
        <v>6.5473749050994706E-2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1897.9426551136364</v>
      </c>
      <c r="D11" s="26">
        <f t="shared" si="0"/>
        <v>0.10750421791411106</v>
      </c>
      <c r="E11" s="107">
        <f t="shared" si="3"/>
        <v>1897.9426551136364</v>
      </c>
      <c r="F11" s="26">
        <f t="shared" si="1"/>
        <v>0.11428774881129777</v>
      </c>
      <c r="G11" s="107">
        <f>G84</f>
        <v>1493.1890658545453</v>
      </c>
      <c r="H11" s="26">
        <f t="shared" si="2"/>
        <v>9.0017855405018415E-2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138.87409090909094</v>
      </c>
      <c r="D12" s="26">
        <f t="shared" si="0"/>
        <v>7.8661757727454089E-3</v>
      </c>
      <c r="E12" s="107">
        <f t="shared" si="3"/>
        <v>138.87409090909094</v>
      </c>
      <c r="F12" s="26">
        <f t="shared" si="1"/>
        <v>8.3625325430421015E-3</v>
      </c>
      <c r="G12" s="107">
        <f t="shared" ref="G12:G21" si="4">E12</f>
        <v>138.87409090909094</v>
      </c>
      <c r="H12" s="26">
        <f t="shared" si="2"/>
        <v>8.3721131642519632E-3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867.72727272727275</v>
      </c>
      <c r="D13" s="26">
        <f t="shared" si="0"/>
        <v>4.9150242535491544E-2</v>
      </c>
      <c r="E13" s="107">
        <f t="shared" si="3"/>
        <v>867.72727272727275</v>
      </c>
      <c r="F13" s="26">
        <f t="shared" si="1"/>
        <v>5.225162958162681E-2</v>
      </c>
      <c r="G13" s="107">
        <f t="shared" si="4"/>
        <v>867.72727272727275</v>
      </c>
      <c r="H13" s="26">
        <f t="shared" si="2"/>
        <v>5.2311492197173355E-2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24.051136363636363</v>
      </c>
      <c r="D14" s="26">
        <f t="shared" si="0"/>
        <v>1.3623165050598198E-3</v>
      </c>
      <c r="E14" s="107">
        <f>C14</f>
        <v>24.051136363636363</v>
      </c>
      <c r="F14" s="26">
        <f t="shared" si="1"/>
        <v>1.4482788634037867E-3</v>
      </c>
      <c r="G14" s="107">
        <f>E14</f>
        <v>24.051136363636363</v>
      </c>
      <c r="H14" s="26">
        <f t="shared" si="2"/>
        <v>1.4499380989433919E-3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9009.5483179210805</v>
      </c>
      <c r="D15" s="40">
        <f t="shared" si="0"/>
        <v>0.51032334568586279</v>
      </c>
      <c r="E15" s="106">
        <f t="shared" si="3"/>
        <v>9009.5483179210805</v>
      </c>
      <c r="F15" s="40">
        <f t="shared" si="1"/>
        <v>0.54252481880184322</v>
      </c>
      <c r="G15" s="106">
        <f t="shared" si="4"/>
        <v>9009.5483179210805</v>
      </c>
      <c r="H15" s="40">
        <f t="shared" si="2"/>
        <v>0.54314636792696003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1277.9164567518942</v>
      </c>
      <c r="D16" s="46">
        <f t="shared" si="0"/>
        <v>7.2384383623254847E-2</v>
      </c>
      <c r="E16" s="107">
        <f t="shared" si="3"/>
        <v>1277.9164567518942</v>
      </c>
      <c r="F16" s="46">
        <f t="shared" si="1"/>
        <v>7.6951848159152958E-2</v>
      </c>
      <c r="G16" s="107">
        <f t="shared" si="4"/>
        <v>1277.9164567518942</v>
      </c>
      <c r="H16" s="46">
        <f t="shared" si="2"/>
        <v>7.7040008833543991E-2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2043.6620155146427</v>
      </c>
      <c r="D17" s="46">
        <f t="shared" si="0"/>
        <v>0.11575812686791806</v>
      </c>
      <c r="E17" s="107">
        <f t="shared" si="3"/>
        <v>2043.6620155146427</v>
      </c>
      <c r="F17" s="46">
        <f t="shared" si="1"/>
        <v>0.12306248055231343</v>
      </c>
      <c r="G17" s="107">
        <f t="shared" si="4"/>
        <v>2043.6620155146427</v>
      </c>
      <c r="H17" s="46">
        <f t="shared" si="2"/>
        <v>0.12320346834581371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768.40749999999991</v>
      </c>
      <c r="D18" s="46">
        <f t="shared" si="0"/>
        <v>4.3524522252697519E-2</v>
      </c>
      <c r="E18" s="107">
        <f t="shared" si="3"/>
        <v>768.40749999999991</v>
      </c>
      <c r="F18" s="46">
        <f t="shared" si="1"/>
        <v>4.6270925577284745E-2</v>
      </c>
      <c r="G18" s="107">
        <f t="shared" si="4"/>
        <v>768.40749999999991</v>
      </c>
      <c r="H18" s="46">
        <f t="shared" si="2"/>
        <v>4.6323936337925017E-2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2046.5703456545457</v>
      </c>
      <c r="D19" s="46">
        <f t="shared" si="0"/>
        <v>0.11592286195950995</v>
      </c>
      <c r="E19" s="107">
        <f t="shared" si="3"/>
        <v>2046.5703456545457</v>
      </c>
      <c r="F19" s="46">
        <f t="shared" si="1"/>
        <v>0.12323761045078219</v>
      </c>
      <c r="G19" s="107">
        <f t="shared" si="4"/>
        <v>2046.5703456545457</v>
      </c>
      <c r="H19" s="46">
        <f t="shared" si="2"/>
        <v>0.12337879888364751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2521.1999999999998</v>
      </c>
      <c r="D20" s="46">
        <f t="shared" si="0"/>
        <v>0.14280707242381288</v>
      </c>
      <c r="E20" s="107">
        <f t="shared" si="3"/>
        <v>2521.1999999999998</v>
      </c>
      <c r="F20" s="46">
        <f t="shared" si="1"/>
        <v>0.15181821828320299</v>
      </c>
      <c r="G20" s="107">
        <f t="shared" si="4"/>
        <v>2521.1999999999998</v>
      </c>
      <c r="H20" s="46">
        <f t="shared" si="2"/>
        <v>0.15199215038267658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351.79199999999997</v>
      </c>
      <c r="D21" s="46">
        <f t="shared" si="0"/>
        <v>1.9926378558669675E-2</v>
      </c>
      <c r="E21" s="107">
        <f t="shared" si="3"/>
        <v>351.79199999999997</v>
      </c>
      <c r="F21" s="46">
        <f t="shared" si="1"/>
        <v>2.1183735779106993E-2</v>
      </c>
      <c r="G21" s="107">
        <f t="shared" si="4"/>
        <v>351.79199999999997</v>
      </c>
      <c r="H21" s="46">
        <f t="shared" si="2"/>
        <v>2.1208005143353387E-2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4.9255374449418514E-3</v>
      </c>
      <c r="E22" s="106">
        <f t="shared" si="3"/>
        <v>86.958333333333329</v>
      </c>
      <c r="F22" s="40">
        <f t="shared" si="1"/>
        <v>5.2363395333743963E-3</v>
      </c>
      <c r="G22" s="106">
        <f>E22</f>
        <v>86.958333333333329</v>
      </c>
      <c r="H22" s="40">
        <f t="shared" si="2"/>
        <v>5.2423385994871162E-3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4254.5211610516853</v>
      </c>
      <c r="D23" s="40">
        <f t="shared" si="0"/>
        <v>0.24098671726755216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3206.6359491013177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3881.2916896922643</v>
      </c>
      <c r="H25" s="108">
        <f>IFERROR(G25/$G$26,0)</f>
        <v>0.23398614555717101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17654.587810033372</v>
      </c>
      <c r="D26" s="45">
        <f>D9+D15+D22+D23</f>
        <v>0.99999999999999989</v>
      </c>
      <c r="E26" s="129">
        <f>E9+E15+E22+E24</f>
        <v>16606.702598083004</v>
      </c>
      <c r="F26" s="45">
        <f>F9+F15+F22+F24</f>
        <v>1</v>
      </c>
      <c r="G26" s="129">
        <f>G9+G15+G22+G25</f>
        <v>16587.698730837586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14.011577627010613</v>
      </c>
      <c r="D27" s="45"/>
      <c r="E27" s="129">
        <f>G214</f>
        <v>13.179922696891273</v>
      </c>
      <c r="F27" s="45"/>
      <c r="G27" s="129">
        <f>G239</f>
        <v>13.164840262569516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28</v>
      </c>
      <c r="F36" s="262">
        <v>1</v>
      </c>
      <c r="G36" s="259">
        <v>498889</v>
      </c>
      <c r="H36" s="193"/>
      <c r="I36" s="4"/>
    </row>
    <row r="37" spans="1:9" s="2" customFormat="1" ht="52.5" customHeight="1" x14ac:dyDescent="0.2">
      <c r="A37" s="386" t="s">
        <v>291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63</v>
      </c>
      <c r="F42" s="161">
        <f>(E42/F39)+C48</f>
        <v>4.1500000000000004</v>
      </c>
      <c r="G42" s="186">
        <f>E42*E43</f>
        <v>1260</v>
      </c>
      <c r="H42" s="193"/>
      <c r="I42" s="6">
        <f>27+27+9</f>
        <v>63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12789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0.47159090909090912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0.2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0.47159090909090912</v>
      </c>
      <c r="G60" s="239">
        <f>F59*F60</f>
        <v>1374.9648426136364</v>
      </c>
      <c r="H60" s="239">
        <f>G60/G$42</f>
        <v>1.0912419385822512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0.47159090909090912</v>
      </c>
      <c r="G67" s="239">
        <f>F66*F67</f>
        <v>1086.0588240363636</v>
      </c>
      <c r="H67" s="239">
        <f>G67/G$42</f>
        <v>0.86195144764790765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0.47159090909090912</v>
      </c>
      <c r="G77" s="239">
        <f>F76*F77</f>
        <v>1897.9426551136364</v>
      </c>
      <c r="H77" s="239">
        <f>G77/G$42</f>
        <v>1.506303694534632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9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9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9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9" ht="13.9" customHeight="1" thickBot="1" x14ac:dyDescent="0.25">
      <c r="A84" s="99"/>
      <c r="E84" s="254" t="s">
        <v>86</v>
      </c>
      <c r="F84" s="197">
        <f>$C$46</f>
        <v>0.47159090909090912</v>
      </c>
      <c r="G84" s="239">
        <f>F83*F84</f>
        <v>1493.1890658545453</v>
      </c>
      <c r="H84" s="239">
        <f>G84/G$42</f>
        <v>1.1850706871861472</v>
      </c>
    </row>
    <row r="85" spans="1:9" ht="11.25" customHeight="1" x14ac:dyDescent="0.2">
      <c r="A85" s="99"/>
      <c r="E85" s="27"/>
      <c r="F85" s="27"/>
      <c r="G85" s="135"/>
      <c r="H85" s="193"/>
    </row>
    <row r="86" spans="1:9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9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9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9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9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9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9" ht="13.5" thickBot="1" x14ac:dyDescent="0.25">
      <c r="A92" s="99"/>
      <c r="E92" s="95" t="s">
        <v>86</v>
      </c>
      <c r="F92" s="250">
        <f>$C$46</f>
        <v>0.47159090909090912</v>
      </c>
      <c r="G92" s="239">
        <f>SUM(F88:F91)*F92</f>
        <v>138.87409090909094</v>
      </c>
      <c r="H92" s="239">
        <f>G92/G$42</f>
        <v>0.11021753246753249</v>
      </c>
    </row>
    <row r="93" spans="1:9" ht="11.25" customHeight="1" x14ac:dyDescent="0.2">
      <c r="A93" s="99"/>
      <c r="E93" s="27"/>
      <c r="F93" s="27"/>
      <c r="G93" s="135"/>
      <c r="H93" s="193"/>
    </row>
    <row r="94" spans="1:9" ht="13.5" thickBot="1" x14ac:dyDescent="0.25">
      <c r="A94" s="100" t="s">
        <v>102</v>
      </c>
      <c r="B94" s="6"/>
      <c r="E94" s="27"/>
      <c r="F94" s="27"/>
      <c r="G94" s="139"/>
      <c r="H94" s="193"/>
    </row>
    <row r="95" spans="1:9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9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  <c r="I96" s="165" t="s">
        <v>314</v>
      </c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0.47159090909090912</v>
      </c>
      <c r="G98" s="239">
        <f>SUM(F96:F97)*F98</f>
        <v>867.72727272727275</v>
      </c>
      <c r="H98" s="239">
        <f>G98/G$42</f>
        <v>0.68867243867243866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0.47159090909090912</v>
      </c>
      <c r="G104" s="239">
        <f>SUM(F102:F103)*F104</f>
        <v>24.051136363636363</v>
      </c>
      <c r="H104" s="239">
        <f>G104/G$42</f>
        <v>1.9088203463203463E-2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4303.5599977272723</v>
      </c>
      <c r="H105" s="243">
        <f>G105/G$42</f>
        <v>3.4155238077200574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3609.9003898909091</v>
      </c>
      <c r="H106" s="239">
        <f>G106/G$42</f>
        <v>2.8650003094372294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498889</v>
      </c>
      <c r="F111" s="9">
        <f>D111*E111</f>
        <v>498889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498889</v>
      </c>
      <c r="F113" s="201">
        <f>D113*E113/100</f>
        <v>325175.85020000004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325175.85020000004</v>
      </c>
      <c r="F114" s="38">
        <f>IFERROR(E114/D114,0)</f>
        <v>2709.7987516666672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2709.7987516666672</v>
      </c>
      <c r="F115" s="160">
        <f>D115*E115</f>
        <v>2709.7987516666672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0.47159090909090912</v>
      </c>
      <c r="G116" s="239">
        <f>F115*F116</f>
        <v>1277.9164567518942</v>
      </c>
      <c r="H116" s="239">
        <f>G116/G$42</f>
        <v>1.0142194101205511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498889</v>
      </c>
      <c r="F119" s="9">
        <f>D119*E119</f>
        <v>498889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498889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173713.14979999996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352559.86741000001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4333.5483702479169</v>
      </c>
      <c r="F124" s="38">
        <f>E124</f>
        <v>4333.5483702479169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4333.5483702479169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4333.5483702479169</v>
      </c>
      <c r="F126" s="39">
        <f>D126*E126</f>
        <v>4333.5483702479169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0.47159090909090912</v>
      </c>
      <c r="G127" s="239">
        <f>F126*F127</f>
        <v>2043.6620155146427</v>
      </c>
      <c r="H127" s="239">
        <f>G127/G$42</f>
        <v>1.6219539805671768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">
        <v>311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4988.8900000000003</v>
      </c>
      <c r="F132" s="9">
        <f t="shared" ref="F132:F137" si="5">D132*E132</f>
        <v>4988.8900000000003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9220.89</v>
      </c>
      <c r="F138" s="38">
        <f>E138/D138</f>
        <v>768.40749999999991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768.40749999999991</v>
      </c>
      <c r="H139" s="239">
        <f>G139/G$42</f>
        <v>0.60984722222222221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1260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1260</v>
      </c>
      <c r="E144" s="89">
        <f>IFERROR(+E143/D143,"-")</f>
        <v>1.330909090909091</v>
      </c>
      <c r="F144" s="11">
        <f>IFERROR(D144*E144,"-")</f>
        <v>1676.9454545454548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1260</v>
      </c>
      <c r="E146" s="86">
        <f>+D145*E145/10000</f>
        <v>1.9214999999999999E-2</v>
      </c>
      <c r="F146" s="11">
        <f>D146*E146</f>
        <v>24.210899999999999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1260</v>
      </c>
      <c r="E148" s="231">
        <f>+D147*E147/100000</f>
        <v>9.9360000000000008E-4</v>
      </c>
      <c r="F148" s="11">
        <f>D148*E148</f>
        <v>1.2519360000000002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1260</v>
      </c>
      <c r="E150" s="231">
        <f>+D149*E149/80000</f>
        <v>4.4412499999999991E-4</v>
      </c>
      <c r="F150" s="11">
        <f>D150*E150</f>
        <v>0.55959749999999986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1260</v>
      </c>
      <c r="E152" s="86">
        <f>+D151*E151/10000</f>
        <v>1.99E-3</v>
      </c>
      <c r="F152" s="11">
        <f>D152*E152</f>
        <v>2.5074000000000001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1705.4752880454548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1.2</v>
      </c>
      <c r="G154" s="239">
        <f>F153*F154</f>
        <v>2046.5703456545457</v>
      </c>
      <c r="H154" s="239">
        <f>G154/G$42</f>
        <v>1.6242621790909093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1260</v>
      </c>
      <c r="E158" s="270">
        <f>'lote 3.1'!E158</f>
        <v>1.35</v>
      </c>
      <c r="F158" s="9">
        <f>D158*E158</f>
        <v>1701</v>
      </c>
      <c r="G158" s="136"/>
      <c r="H158" s="136"/>
      <c r="I158" s="34">
        <f>F158*12</f>
        <v>20412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2101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1.2</v>
      </c>
      <c r="G161" s="239">
        <f>F160*F161</f>
        <v>2521.1999999999998</v>
      </c>
      <c r="H161" s="239">
        <f>G161/G$42</f>
        <v>2.0009523809523806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1745</v>
      </c>
      <c r="F165" s="9">
        <f>D165*E165</f>
        <v>10470</v>
      </c>
      <c r="G165" s="136"/>
      <c r="H165" s="136"/>
      <c r="J165" s="34"/>
      <c r="K165" s="34"/>
    </row>
    <row r="166" spans="1:11" x14ac:dyDescent="0.2">
      <c r="A166" s="421" t="s">
        <v>288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10470</v>
      </c>
      <c r="F167" s="11">
        <f>IFERROR(E167/D167,"-")</f>
        <v>0.23266666666666666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1260</v>
      </c>
      <c r="E168" s="11">
        <f>F167</f>
        <v>0.23266666666666666</v>
      </c>
      <c r="F168" s="38">
        <f>IFERROR(D168*E168,0)</f>
        <v>293.15999999999997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1.2</v>
      </c>
      <c r="G169" s="239">
        <f>F168*F169</f>
        <v>351.79199999999997</v>
      </c>
      <c r="H169" s="239">
        <f>G169/G$42</f>
        <v>0.2792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9009.5483179210805</v>
      </c>
      <c r="H171" s="239">
        <f>G171/G$42</f>
        <v>7.1504351729532383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6.9014550264550265E-2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6.9014550264550265E-2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13400.066648981687</v>
      </c>
      <c r="H185" s="242">
        <f>G185/G$42</f>
        <v>10.634973530937847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12706.407041145323</v>
      </c>
      <c r="H186" s="244">
        <f>G186/G$42</f>
        <v>10.084450032655019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13400.066648981687</v>
      </c>
      <c r="F191" s="9">
        <f>D191*E191/100</f>
        <v>4254.5211610516853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4254.5211610516853</v>
      </c>
      <c r="H192" s="245">
        <f>G192/G$42</f>
        <v>3.3766040960727661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4254.5211610516853</v>
      </c>
      <c r="H194" s="244">
        <f>G194/G$42</f>
        <v>3.3766040960727661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17654.587810033372</v>
      </c>
      <c r="H196" s="244">
        <f>G196/G$42</f>
        <v>14.011577627010613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1260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14.011577627010613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13400.066648981687</v>
      </c>
      <c r="F205" s="9">
        <f>D205*E205/100</f>
        <v>3206.6359491013177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3206.6359491013177</v>
      </c>
      <c r="H206" s="245">
        <f>G206/G$42</f>
        <v>2.5449491659534269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3206.6359491013177</v>
      </c>
      <c r="H208" s="244">
        <f>G208/G$42</f>
        <v>2.5449491659534269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16606.702598083004</v>
      </c>
      <c r="H210" s="244">
        <f>G210/G$42</f>
        <v>13.179922696891273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1260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13.179922696891273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12706.407041145323</v>
      </c>
      <c r="F219" s="9">
        <f>D219*E219/100</f>
        <v>2151.1947120659033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2151.1947120659033</v>
      </c>
      <c r="H220" s="245">
        <f>G220/G$42</f>
        <v>1.7072973905284947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2151.1947120659033</v>
      </c>
      <c r="H222" s="244">
        <f>G222/G$42</f>
        <v>1.7072973905284947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14857.601753211227</v>
      </c>
      <c r="H224" s="244">
        <f>G224/G$42</f>
        <v>11.791747423183514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307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f>' lote 1.1'!D232</f>
        <v>10.43</v>
      </c>
      <c r="E232" s="125">
        <f>G224</f>
        <v>14857.601753211227</v>
      </c>
      <c r="F232" s="9">
        <f>G235*(D232/100)</f>
        <v>1730.0969776263607</v>
      </c>
      <c r="G232" s="136"/>
      <c r="H232" s="136"/>
      <c r="I232" s="328">
        <f>G235*12</f>
        <v>199052.38477005108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1730.0969776263607</v>
      </c>
      <c r="H233" s="244">
        <f>G233/G$42</f>
        <v>1.3730928393860007</v>
      </c>
      <c r="I233" s="34"/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16587.69873083759</v>
      </c>
      <c r="H235" s="244">
        <f>G235/G$42</f>
        <v>13.164840262569516</v>
      </c>
      <c r="I235" s="34">
        <f>I232+' lote 1.1'!I232</f>
        <v>574724.41241366498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  <c r="I236" s="4">
        <v>13.5</v>
      </c>
      <c r="J236" s="34">
        <f>I235*I236/100</f>
        <v>77587.795675844769</v>
      </c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1260</v>
      </c>
      <c r="F237" s="156" t="s">
        <v>153</v>
      </c>
      <c r="G237" s="43"/>
      <c r="H237" s="43"/>
      <c r="I237" s="4">
        <v>17640</v>
      </c>
      <c r="J237" s="34">
        <f>J236-I237</f>
        <v>59947.795675844769</v>
      </c>
      <c r="K237" s="358">
        <f>J237/I235</f>
        <v>0.10430702851838597</v>
      </c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13.164840262569516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52"/>
  <sheetViews>
    <sheetView topLeftCell="A222" zoomScaleNormal="100" zoomScaleSheetLayoutView="110" workbookViewId="0">
      <selection activeCell="C247" sqref="C247:E247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 lote 1.1'!B3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2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5496.112768181817</v>
      </c>
      <c r="D9" s="40">
        <f t="shared" ref="D9:D23" si="0">IFERROR(C9/$C$26,0)</f>
        <v>0.2474076153186805</v>
      </c>
      <c r="E9" s="106">
        <f>G105</f>
        <v>5496.112768181817</v>
      </c>
      <c r="F9" s="40">
        <f t="shared" ref="F9:F22" si="1">IFERROR(E9/$E$26,0)</f>
        <v>0.26301906978323369</v>
      </c>
      <c r="G9" s="106">
        <f>G106</f>
        <v>4610.2342328727264</v>
      </c>
      <c r="H9" s="40">
        <f t="shared" ref="H9:H22" si="2">IFERROR(G9/$G$26,0)</f>
        <v>0.22394560834665345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1755.9791965909087</v>
      </c>
      <c r="D10" s="26">
        <f t="shared" si="0"/>
        <v>7.9045435183362919E-2</v>
      </c>
      <c r="E10" s="107">
        <f t="shared" ref="E10:E22" si="3">C10</f>
        <v>1755.9791965909087</v>
      </c>
      <c r="F10" s="26">
        <f t="shared" si="1"/>
        <v>8.4033212986428338E-2</v>
      </c>
      <c r="G10" s="107">
        <f>G67</f>
        <v>1387.0148837090906</v>
      </c>
      <c r="H10" s="26">
        <f t="shared" si="2"/>
        <v>6.7375295099603716E-2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2423.8785715909089</v>
      </c>
      <c r="D11" s="26">
        <f t="shared" si="0"/>
        <v>0.10911093758684649</v>
      </c>
      <c r="E11" s="107">
        <f t="shared" si="3"/>
        <v>2423.8785715909089</v>
      </c>
      <c r="F11" s="26">
        <f t="shared" si="1"/>
        <v>0.1159958527157833</v>
      </c>
      <c r="G11" s="107">
        <f>G84</f>
        <v>1906.9643491636359</v>
      </c>
      <c r="H11" s="26">
        <f t="shared" si="2"/>
        <v>9.2632232918613222E-2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177.35727272727271</v>
      </c>
      <c r="D12" s="26">
        <f t="shared" si="0"/>
        <v>7.98374082841013E-3</v>
      </c>
      <c r="E12" s="107">
        <f t="shared" si="3"/>
        <v>177.35727272727271</v>
      </c>
      <c r="F12" s="26">
        <f t="shared" si="1"/>
        <v>8.4875159698461593E-3</v>
      </c>
      <c r="G12" s="107">
        <f t="shared" ref="G12:G21" si="4">E12</f>
        <v>177.35727272727271</v>
      </c>
      <c r="H12" s="26">
        <f t="shared" si="2"/>
        <v>8.6152634181589343E-3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1108.181818181818</v>
      </c>
      <c r="D13" s="26">
        <f t="shared" si="0"/>
        <v>4.9884824518726695E-2</v>
      </c>
      <c r="E13" s="107">
        <f t="shared" si="3"/>
        <v>1108.181818181818</v>
      </c>
      <c r="F13" s="26">
        <f t="shared" si="1"/>
        <v>5.3032563788769804E-2</v>
      </c>
      <c r="G13" s="107">
        <f t="shared" si="4"/>
        <v>1108.181818181818</v>
      </c>
      <c r="H13" s="26">
        <f t="shared" si="2"/>
        <v>5.3830768437287554E-2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30.715909090909086</v>
      </c>
      <c r="D14" s="26">
        <f t="shared" si="0"/>
        <v>1.3826772013342725E-3</v>
      </c>
      <c r="E14" s="107">
        <f>C14</f>
        <v>30.715909090909086</v>
      </c>
      <c r="F14" s="26">
        <f t="shared" si="1"/>
        <v>1.4699243224061197E-3</v>
      </c>
      <c r="G14" s="107">
        <f>E14</f>
        <v>30.715909090909086</v>
      </c>
      <c r="H14" s="26">
        <f t="shared" si="2"/>
        <v>1.4920484729900353E-3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11278.263538778858</v>
      </c>
      <c r="D15" s="40">
        <f t="shared" si="0"/>
        <v>0.50769123647147718</v>
      </c>
      <c r="E15" s="106">
        <f t="shared" si="3"/>
        <v>11278.263538778858</v>
      </c>
      <c r="F15" s="40">
        <f t="shared" si="1"/>
        <v>0.53972662313497233</v>
      </c>
      <c r="G15" s="106">
        <f t="shared" si="4"/>
        <v>11278.263538778858</v>
      </c>
      <c r="H15" s="40">
        <f t="shared" si="2"/>
        <v>0.54785016589317381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1632.0378845265152</v>
      </c>
      <c r="D16" s="46">
        <f t="shared" si="0"/>
        <v>7.3466214786932799E-2</v>
      </c>
      <c r="E16" s="107">
        <f t="shared" si="3"/>
        <v>1632.0378845265152</v>
      </c>
      <c r="F16" s="46">
        <f t="shared" si="1"/>
        <v>7.8101943017658326E-2</v>
      </c>
      <c r="G16" s="107">
        <f t="shared" si="4"/>
        <v>1632.0378845265152</v>
      </c>
      <c r="H16" s="46">
        <f t="shared" si="2"/>
        <v>7.9277472343814798E-2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2609.9779957174951</v>
      </c>
      <c r="D17" s="46">
        <f t="shared" si="0"/>
        <v>0.11748820651806054</v>
      </c>
      <c r="E17" s="107">
        <f t="shared" si="3"/>
        <v>2609.9779957174951</v>
      </c>
      <c r="F17" s="46">
        <f t="shared" si="1"/>
        <v>0.12490172846570223</v>
      </c>
      <c r="G17" s="107">
        <f t="shared" si="4"/>
        <v>2609.9779957174951</v>
      </c>
      <c r="H17" s="46">
        <f t="shared" si="2"/>
        <v>0.12678165153836982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768.40749999999991</v>
      </c>
      <c r="D18" s="46">
        <f t="shared" si="0"/>
        <v>3.4589877461862865E-2</v>
      </c>
      <c r="E18" s="107">
        <f t="shared" si="3"/>
        <v>768.40749999999991</v>
      </c>
      <c r="F18" s="46">
        <f t="shared" si="1"/>
        <v>3.6772503474545568E-2</v>
      </c>
      <c r="G18" s="107">
        <f t="shared" si="4"/>
        <v>768.40749999999991</v>
      </c>
      <c r="H18" s="46">
        <f t="shared" si="2"/>
        <v>3.7325974419829808E-2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2677.3254918681814</v>
      </c>
      <c r="D19" s="46">
        <f t="shared" si="0"/>
        <v>0.12051985527111868</v>
      </c>
      <c r="E19" s="107">
        <f t="shared" si="3"/>
        <v>2677.3254918681814</v>
      </c>
      <c r="F19" s="46">
        <f t="shared" si="1"/>
        <v>0.12812467467094235</v>
      </c>
      <c r="G19" s="107">
        <f t="shared" si="4"/>
        <v>2677.3254918681814</v>
      </c>
      <c r="H19" s="46">
        <f t="shared" si="2"/>
        <v>0.13005310700771402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3130.2999999999997</v>
      </c>
      <c r="D20" s="46">
        <f t="shared" si="0"/>
        <v>0.14091051091884102</v>
      </c>
      <c r="E20" s="107">
        <f t="shared" si="3"/>
        <v>3130.2999999999997</v>
      </c>
      <c r="F20" s="46">
        <f t="shared" si="1"/>
        <v>0.14980198348710808</v>
      </c>
      <c r="G20" s="107">
        <f t="shared" si="4"/>
        <v>3130.2999999999997</v>
      </c>
      <c r="H20" s="46">
        <f t="shared" si="2"/>
        <v>0.15205668571219472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460.21466666666663</v>
      </c>
      <c r="D21" s="46">
        <f t="shared" si="0"/>
        <v>2.0716571514661251E-2</v>
      </c>
      <c r="E21" s="107">
        <f t="shared" si="3"/>
        <v>460.21466666666663</v>
      </c>
      <c r="F21" s="46">
        <f t="shared" si="1"/>
        <v>2.2023790019015731E-2</v>
      </c>
      <c r="G21" s="107">
        <f t="shared" si="4"/>
        <v>460.21466666666663</v>
      </c>
      <c r="H21" s="46">
        <f t="shared" si="2"/>
        <v>2.2355274871250611E-2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3.9144309422901591E-3</v>
      </c>
      <c r="E22" s="106">
        <f t="shared" si="3"/>
        <v>86.958333333333329</v>
      </c>
      <c r="F22" s="40">
        <f t="shared" si="1"/>
        <v>4.1614320717076447E-3</v>
      </c>
      <c r="G22" s="106">
        <f>E22</f>
        <v>86.958333333333329</v>
      </c>
      <c r="H22" s="40">
        <f t="shared" si="2"/>
        <v>4.2240666906440058E-3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5353.4737482933479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4034.9173794223561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4610.945507929855</v>
      </c>
      <c r="H25" s="108">
        <f>IFERROR(G25/$G$26,0)</f>
        <v>0.22398015906952881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22214.808388587357</v>
      </c>
      <c r="D26" s="45">
        <f>D9+D15+D22+D23</f>
        <v>1</v>
      </c>
      <c r="E26" s="129">
        <f>E9+E15+E22+E24</f>
        <v>20896.252019716365</v>
      </c>
      <c r="F26" s="45">
        <f>F9+F15+F22+F24</f>
        <v>0.99999999999999989</v>
      </c>
      <c r="G26" s="129">
        <f>G9+G15+G22+G25</f>
        <v>20586.401612914771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12.91558627243451</v>
      </c>
      <c r="D27" s="45"/>
      <c r="E27" s="129">
        <f>G214</f>
        <v>12.148983732393235</v>
      </c>
      <c r="F27" s="45"/>
      <c r="G27" s="129">
        <f>G239</f>
        <v>11.968838147043472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28</v>
      </c>
      <c r="F36" s="262">
        <v>1</v>
      </c>
      <c r="G36" s="259">
        <v>498889</v>
      </c>
      <c r="H36" s="193"/>
      <c r="I36" s="4"/>
    </row>
    <row r="37" spans="1:9" s="2" customFormat="1" ht="52.5" customHeight="1" x14ac:dyDescent="0.2">
      <c r="A37" s="386" t="s">
        <v>291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86</v>
      </c>
      <c r="F42" s="161">
        <f>(E42/F39)+C48</f>
        <v>5.3</v>
      </c>
      <c r="G42" s="186">
        <f>E42*E43</f>
        <v>1720</v>
      </c>
      <c r="H42" s="193"/>
      <c r="I42" s="6">
        <f>26+33+20+7</f>
        <v>86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17458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0.60227272727272718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0.60227272727272718</v>
      </c>
      <c r="G60" s="239">
        <f>F59*F60</f>
        <v>1755.9791965909087</v>
      </c>
      <c r="H60" s="239">
        <f>G60/G$42</f>
        <v>1.020918137552854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0.60227272727272718</v>
      </c>
      <c r="G67" s="239">
        <f>F66*F67</f>
        <v>1387.0148837090906</v>
      </c>
      <c r="H67" s="239">
        <f>G67/G$42</f>
        <v>0.80640400215644803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0.60227272727272718</v>
      </c>
      <c r="G77" s="239">
        <f>F76*F77</f>
        <v>2423.8785715909089</v>
      </c>
      <c r="H77" s="239">
        <f>G77/G$42</f>
        <v>1.4092317276691331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0.60227272727272718</v>
      </c>
      <c r="G84" s="239">
        <f>F83*F84</f>
        <v>1906.9643491636359</v>
      </c>
      <c r="H84" s="239">
        <f>G84/G$42</f>
        <v>1.1087002030021138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0.60227272727272718</v>
      </c>
      <c r="G92" s="239">
        <f>SUM(F88:F91)*F92</f>
        <v>177.35727272727271</v>
      </c>
      <c r="H92" s="239">
        <f>G92/G$42</f>
        <v>0.10311469344608878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0.60227272727272718</v>
      </c>
      <c r="G98" s="239">
        <f>SUM(F96:F97)*F98</f>
        <v>1108.181818181818</v>
      </c>
      <c r="H98" s="239">
        <f>G98/G$42</f>
        <v>0.64429175475687095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0.60227272727272718</v>
      </c>
      <c r="G104" s="239">
        <f>SUM(F102:F103)*F104</f>
        <v>30.715909090909086</v>
      </c>
      <c r="H104" s="239">
        <f>G104/G$42</f>
        <v>1.7858086680761096E-2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5496.112768181817</v>
      </c>
      <c r="H105" s="243">
        <f>G105/G$42</f>
        <v>3.1954144001057077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4610.2342328727264</v>
      </c>
      <c r="H106" s="239">
        <f>G106/G$42</f>
        <v>2.6803687400422826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498889</v>
      </c>
      <c r="F111" s="9">
        <f>D111*E111</f>
        <v>498889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498889</v>
      </c>
      <c r="F113" s="201">
        <f>D113*E113/100</f>
        <v>325175.85020000004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325175.85020000004</v>
      </c>
      <c r="F114" s="38">
        <f>IFERROR(E114/D114,0)</f>
        <v>2709.7987516666672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2709.7987516666672</v>
      </c>
      <c r="F115" s="160">
        <f>D115*E115</f>
        <v>2709.7987516666672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0.60227272727272718</v>
      </c>
      <c r="G116" s="239">
        <f>F115*F116</f>
        <v>1632.0378845265152</v>
      </c>
      <c r="H116" s="239">
        <f>G116/G$42</f>
        <v>0.94885923518983439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498889</v>
      </c>
      <c r="F119" s="9">
        <f>D119*E119</f>
        <v>498889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498889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173713.14979999996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352559.86741000001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4333.5483702479169</v>
      </c>
      <c r="F124" s="38">
        <f>E124</f>
        <v>4333.5483702479169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4333.5483702479169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4333.5483702479169</v>
      </c>
      <c r="F126" s="39">
        <f>D126*E126</f>
        <v>4333.5483702479169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0.60227272727272718</v>
      </c>
      <c r="G127" s="239">
        <f>F126*F127</f>
        <v>2609.9779957174951</v>
      </c>
      <c r="H127" s="239">
        <f>G127/G$42</f>
        <v>1.5174290672776134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">
        <v>311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4988.8900000000003</v>
      </c>
      <c r="F132" s="9">
        <f t="shared" ref="F132:F137" si="5">D132*E132</f>
        <v>4988.8900000000003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9220.89</v>
      </c>
      <c r="F138" s="38">
        <f>E138/D138</f>
        <v>768.40749999999991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768.40749999999991</v>
      </c>
      <c r="H139" s="239">
        <f>G139/G$42</f>
        <v>0.44674854651162788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1720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1720</v>
      </c>
      <c r="E144" s="89">
        <f>IFERROR(+E143/D143,"-")</f>
        <v>1.330909090909091</v>
      </c>
      <c r="F144" s="11">
        <f>IFERROR(D144*E144,"-")</f>
        <v>2289.1636363636367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1720</v>
      </c>
      <c r="E146" s="86">
        <f>+D145*E145/10000</f>
        <v>1.9214999999999999E-2</v>
      </c>
      <c r="F146" s="11">
        <f>D146*E146</f>
        <v>33.049799999999998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1720</v>
      </c>
      <c r="E148" s="231">
        <f>+D147*E147/100000</f>
        <v>9.9360000000000008E-4</v>
      </c>
      <c r="F148" s="11">
        <f>D148*E148</f>
        <v>1.7089920000000001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1720</v>
      </c>
      <c r="E150" s="231">
        <f>+D149*E149/80000</f>
        <v>4.4412499999999991E-4</v>
      </c>
      <c r="F150" s="11">
        <f>D150*E150</f>
        <v>0.76389499999999988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1720</v>
      </c>
      <c r="E152" s="86">
        <f>+D151*E151/10000</f>
        <v>1.99E-3</v>
      </c>
      <c r="F152" s="11">
        <f>D152*E152</f>
        <v>3.4228000000000001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2328.1091233636362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2677.3254918681814</v>
      </c>
      <c r="H154" s="239">
        <f>G154/G$42</f>
        <v>1.5565845882954543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1720</v>
      </c>
      <c r="E158" s="270">
        <f>'lote 3.1'!E158</f>
        <v>1.35</v>
      </c>
      <c r="F158" s="9">
        <f>D158*E158</f>
        <v>2322</v>
      </c>
      <c r="G158" s="136"/>
      <c r="H158" s="136"/>
      <c r="I158" s="34">
        <f>F158*12</f>
        <v>27864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2722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3130.2999999999997</v>
      </c>
      <c r="H161" s="239">
        <f>G161/G$42</f>
        <v>1.8199418604651161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1745</v>
      </c>
      <c r="F165" s="9">
        <f>D165*E165</f>
        <v>10470</v>
      </c>
      <c r="G165" s="136"/>
      <c r="H165" s="136"/>
      <c r="J165" s="34"/>
      <c r="K165" s="34"/>
    </row>
    <row r="166" spans="1:11" x14ac:dyDescent="0.2">
      <c r="A166" s="421" t="s">
        <v>288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10470</v>
      </c>
      <c r="F167" s="11">
        <f>IFERROR(E167/D167,"-")</f>
        <v>0.23266666666666666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1720</v>
      </c>
      <c r="E168" s="11">
        <f>F167</f>
        <v>0.23266666666666666</v>
      </c>
      <c r="F168" s="38">
        <f>IFERROR(D168*E168,0)</f>
        <v>400.18666666666667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460.21466666666663</v>
      </c>
      <c r="H169" s="239">
        <f>G169/G$42</f>
        <v>0.26756666666666662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11278.263538778858</v>
      </c>
      <c r="H171" s="239">
        <f>G171/G$42</f>
        <v>6.5571299644063128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5.0557170542635657E-2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5.0557170542635657E-2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16861.334640294008</v>
      </c>
      <c r="H185" s="242">
        <f>G185/G$42</f>
        <v>9.8031015350546564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15975.456104984918</v>
      </c>
      <c r="H186" s="244">
        <f>G186/G$42</f>
        <v>9.2880558749912314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16861.334640294008</v>
      </c>
      <c r="F191" s="9">
        <f>D191*E191/100</f>
        <v>5353.4737482933479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5353.4737482933479</v>
      </c>
      <c r="H192" s="245">
        <f>G192/G$42</f>
        <v>3.1124847373798534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5353.4737482933479</v>
      </c>
      <c r="H194" s="244">
        <f>G194/G$42</f>
        <v>3.1124847373798534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22214.808388587357</v>
      </c>
      <c r="H196" s="244">
        <f>G196/G$42</f>
        <v>12.91558627243451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1720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12.91558627243451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16861.334640294008</v>
      </c>
      <c r="F205" s="9">
        <f>D205*E205/100</f>
        <v>4034.9173794223561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4034.9173794223561</v>
      </c>
      <c r="H206" s="245">
        <f>G206/G$42</f>
        <v>2.3458821973385793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4034.9173794223561</v>
      </c>
      <c r="H208" s="244">
        <f>G208/G$42</f>
        <v>2.3458821973385793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20896.252019716365</v>
      </c>
      <c r="H210" s="244">
        <f>G210/G$42</f>
        <v>12.148983732393235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1720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12.148983732393235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15975.456104984918</v>
      </c>
      <c r="F219" s="9">
        <f>D219*E219/100</f>
        <v>2704.6447185739466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2704.6447185739466</v>
      </c>
      <c r="H220" s="245">
        <f>G220/G$42</f>
        <v>1.5724678596360155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2704.6447185739466</v>
      </c>
      <c r="H222" s="244">
        <f>G222/G$42</f>
        <v>1.5724678596360155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18680.100823558863</v>
      </c>
      <c r="H224" s="244">
        <f>G224/G$42</f>
        <v>10.860523734627247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307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v>9.26</v>
      </c>
      <c r="E232" s="125">
        <f>G224</f>
        <v>18680.100823558863</v>
      </c>
      <c r="F232" s="9">
        <f>G235*(D232/100)</f>
        <v>1906.3007893559079</v>
      </c>
      <c r="G232" s="136"/>
      <c r="H232" s="136"/>
      <c r="I232" s="328">
        <f>G235*12</f>
        <v>247036.81935497725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1906.3007893559079</v>
      </c>
      <c r="H233" s="244">
        <f>G233/G$42</f>
        <v>1.1083144124162256</v>
      </c>
      <c r="I233" s="34"/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20586.401612914771</v>
      </c>
      <c r="H235" s="244">
        <f>G235/G$42</f>
        <v>11.968838147043472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1720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11.968838147043472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52"/>
  <sheetViews>
    <sheetView topLeftCell="A221" zoomScaleNormal="100" zoomScaleSheetLayoutView="110" workbookViewId="0">
      <selection activeCell="I242" sqref="I242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 lote 2.1'!B3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2</v>
      </c>
      <c r="C4" s="247" t="s">
        <v>158</v>
      </c>
      <c r="D4" s="315">
        <v>2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4381.3351784090901</v>
      </c>
      <c r="D9" s="40">
        <f t="shared" ref="D9:D23" si="0">IFERROR(C9/$C$26,0)</f>
        <v>0.28609345262343128</v>
      </c>
      <c r="E9" s="106">
        <f>G105</f>
        <v>4381.3351784090901</v>
      </c>
      <c r="F9" s="40">
        <f t="shared" ref="F9:F22" si="1">IFERROR(E9/$E$26,0)</f>
        <v>0.30414598872861348</v>
      </c>
      <c r="G9" s="106">
        <f>G106</f>
        <v>3675.1395535636361</v>
      </c>
      <c r="H9" s="40">
        <f t="shared" ref="H9:H22" si="2">IFERROR(G9/$G$26,0)</f>
        <v>0.2612278722854231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1399.8136048295453</v>
      </c>
      <c r="D10" s="26">
        <f t="shared" si="0"/>
        <v>9.1405357254669972E-2</v>
      </c>
      <c r="E10" s="107">
        <f t="shared" ref="E10:E22" si="3">C10</f>
        <v>1399.8136048295453</v>
      </c>
      <c r="F10" s="26">
        <f t="shared" si="1"/>
        <v>9.7173047835897419E-2</v>
      </c>
      <c r="G10" s="107">
        <f>G67</f>
        <v>1105.6863931454543</v>
      </c>
      <c r="H10" s="26">
        <f t="shared" si="2"/>
        <v>7.85918737742239E-2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1932.2428235795453</v>
      </c>
      <c r="D11" s="26">
        <f t="shared" si="0"/>
        <v>0.12617204532282511</v>
      </c>
      <c r="E11" s="107">
        <f t="shared" si="3"/>
        <v>1932.2428235795453</v>
      </c>
      <c r="F11" s="26">
        <f t="shared" si="1"/>
        <v>0.13413351869024615</v>
      </c>
      <c r="G11" s="107">
        <f>G84</f>
        <v>1520.1744104181814</v>
      </c>
      <c r="H11" s="26">
        <f t="shared" si="2"/>
        <v>0.10805356393915043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141.38386363636363</v>
      </c>
      <c r="D12" s="26">
        <f t="shared" si="0"/>
        <v>9.2321167054959571E-3</v>
      </c>
      <c r="E12" s="107">
        <f t="shared" si="3"/>
        <v>141.38386363636363</v>
      </c>
      <c r="F12" s="26">
        <f t="shared" si="1"/>
        <v>9.8146645360210772E-3</v>
      </c>
      <c r="G12" s="107">
        <f t="shared" ref="G12:G21" si="4">E12</f>
        <v>141.38386363636363</v>
      </c>
      <c r="H12" s="26">
        <f t="shared" si="2"/>
        <v>1.0049524741831049E-2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883.40909090909076</v>
      </c>
      <c r="D13" s="26">
        <f t="shared" si="0"/>
        <v>5.7685054122903277E-2</v>
      </c>
      <c r="E13" s="107">
        <f t="shared" si="3"/>
        <v>883.40909090909076</v>
      </c>
      <c r="F13" s="26">
        <f t="shared" si="1"/>
        <v>6.1324988950960266E-2</v>
      </c>
      <c r="G13" s="107">
        <f t="shared" si="4"/>
        <v>883.40909090909076</v>
      </c>
      <c r="H13" s="26">
        <f t="shared" si="2"/>
        <v>6.279246646620866E-2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24.48579545454545</v>
      </c>
      <c r="D14" s="26">
        <f t="shared" si="0"/>
        <v>1.5988792175369931E-3</v>
      </c>
      <c r="E14" s="107">
        <f>C14</f>
        <v>24.48579545454545</v>
      </c>
      <c r="F14" s="26">
        <f t="shared" si="1"/>
        <v>1.6997687154885726E-3</v>
      </c>
      <c r="G14" s="107">
        <f>E14</f>
        <v>24.48579545454545</v>
      </c>
      <c r="H14" s="26">
        <f t="shared" si="2"/>
        <v>1.7404433640090444E-3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7155.501321803089</v>
      </c>
      <c r="D15" s="40">
        <f t="shared" si="0"/>
        <v>0.46724160445298579</v>
      </c>
      <c r="E15" s="106">
        <f t="shared" si="3"/>
        <v>7155.501321803089</v>
      </c>
      <c r="F15" s="40">
        <f t="shared" si="1"/>
        <v>0.49672461378746768</v>
      </c>
      <c r="G15" s="106">
        <f t="shared" si="4"/>
        <v>7155.501321803089</v>
      </c>
      <c r="H15" s="40">
        <f t="shared" si="2"/>
        <v>0.50861099508932905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704.33492569128782</v>
      </c>
      <c r="D16" s="46">
        <f t="shared" si="0"/>
        <v>4.5991827260168053E-2</v>
      </c>
      <c r="E16" s="107">
        <f t="shared" si="3"/>
        <v>704.33492569128782</v>
      </c>
      <c r="F16" s="46">
        <f t="shared" si="1"/>
        <v>4.8893917869177281E-2</v>
      </c>
      <c r="G16" s="107">
        <f t="shared" si="4"/>
        <v>704.33492569128782</v>
      </c>
      <c r="H16" s="46">
        <f t="shared" si="2"/>
        <v>5.006392582731644E-2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1126.3823438773316</v>
      </c>
      <c r="D17" s="46">
        <f t="shared" si="0"/>
        <v>7.3550778612411827E-2</v>
      </c>
      <c r="E17" s="107">
        <f t="shared" si="3"/>
        <v>1126.3823438773316</v>
      </c>
      <c r="F17" s="46">
        <f t="shared" si="1"/>
        <v>7.8191842832125033E-2</v>
      </c>
      <c r="G17" s="107">
        <f t="shared" si="4"/>
        <v>1126.3823438773316</v>
      </c>
      <c r="H17" s="46">
        <f t="shared" si="2"/>
        <v>8.0062936055211281E-2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577.73833333333334</v>
      </c>
      <c r="D18" s="46">
        <f t="shared" si="0"/>
        <v>3.7725293264656755E-2</v>
      </c>
      <c r="E18" s="107">
        <f t="shared" si="3"/>
        <v>577.73833333333334</v>
      </c>
      <c r="F18" s="46">
        <f t="shared" si="1"/>
        <v>4.010576444459394E-2</v>
      </c>
      <c r="G18" s="107">
        <f t="shared" si="4"/>
        <v>577.73833333333334</v>
      </c>
      <c r="H18" s="46">
        <f t="shared" si="2"/>
        <v>4.106547611451946E-2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2007.9941189011363</v>
      </c>
      <c r="D19" s="46">
        <f t="shared" si="0"/>
        <v>0.13111847118087153</v>
      </c>
      <c r="E19" s="107">
        <f t="shared" si="3"/>
        <v>2007.9941189011363</v>
      </c>
      <c r="F19" s="46">
        <f t="shared" si="1"/>
        <v>0.13939206469845736</v>
      </c>
      <c r="G19" s="107">
        <f t="shared" si="4"/>
        <v>2007.9941189011363</v>
      </c>
      <c r="H19" s="46">
        <f t="shared" si="2"/>
        <v>0.14272764982041494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2462.7249999999999</v>
      </c>
      <c r="D20" s="46">
        <f t="shared" si="0"/>
        <v>0.16081159496404393</v>
      </c>
      <c r="E20" s="107">
        <f t="shared" si="3"/>
        <v>2462.7249999999999</v>
      </c>
      <c r="F20" s="46">
        <f t="shared" si="1"/>
        <v>0.17095882866547879</v>
      </c>
      <c r="G20" s="107">
        <f t="shared" si="4"/>
        <v>2462.7249999999999</v>
      </c>
      <c r="H20" s="46">
        <f t="shared" si="2"/>
        <v>0.17504979127943723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276.32659999999998</v>
      </c>
      <c r="D21" s="46">
        <f t="shared" si="0"/>
        <v>1.8043639170833684E-2</v>
      </c>
      <c r="E21" s="107">
        <f t="shared" si="3"/>
        <v>276.32659999999998</v>
      </c>
      <c r="F21" s="46">
        <f t="shared" si="1"/>
        <v>1.9182195277635258E-2</v>
      </c>
      <c r="G21" s="107">
        <f t="shared" si="4"/>
        <v>276.32659999999998</v>
      </c>
      <c r="H21" s="46">
        <f t="shared" si="2"/>
        <v>1.9641215992429743E-2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5.6782256560307465E-3</v>
      </c>
      <c r="E22" s="106">
        <f t="shared" si="3"/>
        <v>86.958333333333329</v>
      </c>
      <c r="F22" s="40">
        <f t="shared" si="1"/>
        <v>6.0365224738324116E-3</v>
      </c>
      <c r="G22" s="106">
        <f>E22</f>
        <v>86.958333333333329</v>
      </c>
      <c r="H22" s="40">
        <f t="shared" si="2"/>
        <v>6.18097355571886E-3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3690.5548596507001</v>
      </c>
      <c r="D23" s="40">
        <f t="shared" si="0"/>
        <v>0.24098671726755216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2781.5741036674417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3151.112224772477</v>
      </c>
      <c r="H25" s="108">
        <f>IFERROR(G25/$G$26,0)</f>
        <v>0.22398015906952876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15314.349693196213</v>
      </c>
      <c r="D26" s="45">
        <f>D9+D15+D22+D23</f>
        <v>0.99999999999999989</v>
      </c>
      <c r="E26" s="129">
        <f>E9+E15+E22+E24</f>
        <v>14405.368937212956</v>
      </c>
      <c r="F26" s="45">
        <f>F9+F15+F22+F24</f>
        <v>1</v>
      </c>
      <c r="G26" s="129">
        <f>G9+G15+G22+G25</f>
        <v>14068.711433472537</v>
      </c>
      <c r="H26" s="45">
        <f>H9+H15+H22+H25</f>
        <v>0.99999999999999978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11.871588909454429</v>
      </c>
      <c r="D27" s="45"/>
      <c r="E27" s="129">
        <f>G214</f>
        <v>11.166952664506168</v>
      </c>
      <c r="F27" s="45"/>
      <c r="G27" s="129">
        <f>G239</f>
        <v>10.905977855405066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10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10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10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10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16</v>
      </c>
      <c r="F36" s="262">
        <v>1</v>
      </c>
      <c r="G36" s="259">
        <v>270086</v>
      </c>
      <c r="H36" s="193"/>
      <c r="I36" s="4"/>
    </row>
    <row r="37" spans="1:10" s="2" customFormat="1" ht="52.5" customHeight="1" x14ac:dyDescent="0.2">
      <c r="A37" s="386" t="s">
        <v>306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10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 lote 1.1'!G38</f>
        <v>7.32</v>
      </c>
      <c r="H38" s="193"/>
      <c r="I38" s="4"/>
    </row>
    <row r="39" spans="1:10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10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10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10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64.5</v>
      </c>
      <c r="F42" s="161">
        <f>(E42/F39)+C48</f>
        <v>4.2249999999999996</v>
      </c>
      <c r="G42" s="186">
        <f>E42*E43</f>
        <v>1290</v>
      </c>
      <c r="H42" s="193"/>
      <c r="I42" s="6">
        <v>64.5</v>
      </c>
      <c r="J42" s="2" t="s">
        <v>319</v>
      </c>
    </row>
    <row r="43" spans="1:10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13093.5</v>
      </c>
    </row>
    <row r="44" spans="1:10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10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10" s="6" customFormat="1" ht="15.75" customHeight="1" thickBot="1" x14ac:dyDescent="0.25">
      <c r="A46" s="400" t="s">
        <v>98</v>
      </c>
      <c r="B46" s="394"/>
      <c r="C46" s="232">
        <f>F42/8.8</f>
        <v>0.4801136363636363</v>
      </c>
      <c r="D46" s="380" t="s">
        <v>143</v>
      </c>
      <c r="E46" s="411"/>
      <c r="F46" s="411"/>
      <c r="G46" s="185"/>
      <c r="H46" s="193"/>
      <c r="I46" s="4"/>
    </row>
    <row r="47" spans="1:10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10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0.4801136363636363</v>
      </c>
      <c r="G60" s="239">
        <f>F59*F60</f>
        <v>1399.8136048295453</v>
      </c>
      <c r="H60" s="239">
        <f>G60/G$42</f>
        <v>1.0851268254492599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0.4801136363636363</v>
      </c>
      <c r="G67" s="239">
        <f>F66*F67</f>
        <v>1105.6863931454543</v>
      </c>
      <c r="H67" s="239">
        <f>G67/G$42</f>
        <v>0.85712123499647619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0.4801136363636363</v>
      </c>
      <c r="G77" s="239">
        <f>F76*F77</f>
        <v>1932.2428235795453</v>
      </c>
      <c r="H77" s="239">
        <f>G77/G$42</f>
        <v>1.4978626539376321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0.4801136363636363</v>
      </c>
      <c r="G84" s="239">
        <f>F83*F84</f>
        <v>1520.1744104181814</v>
      </c>
      <c r="H84" s="239">
        <f>G84/G$42</f>
        <v>1.17842977551797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0.4801136363636363</v>
      </c>
      <c r="G92" s="239">
        <f>SUM(F88:F91)*F92</f>
        <v>141.38386363636363</v>
      </c>
      <c r="H92" s="239">
        <f>G92/G$42</f>
        <v>0.10959989429175475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0.4801136363636363</v>
      </c>
      <c r="G98" s="239">
        <f>SUM(F96:F97)*F98</f>
        <v>883.40909090909076</v>
      </c>
      <c r="H98" s="239">
        <f>G98/G$42</f>
        <v>0.68481324876673699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0.4801136363636363</v>
      </c>
      <c r="G104" s="239">
        <f>SUM(F102:F103)*F104</f>
        <v>24.48579545454545</v>
      </c>
      <c r="H104" s="239">
        <f>G104/G$42</f>
        <v>1.898123678646934E-2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4381.3351784090901</v>
      </c>
      <c r="H105" s="243">
        <f>G105/G$42</f>
        <v>3.3963838592318529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3675.1395535636361</v>
      </c>
      <c r="H106" s="239">
        <f>G106/G$42</f>
        <v>2.848945390359408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270086</v>
      </c>
      <c r="F111" s="9">
        <f>D111*E111</f>
        <v>270086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270086</v>
      </c>
      <c r="F113" s="201">
        <f>D113*E113/100</f>
        <v>176042.05480000001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176042.05480000001</v>
      </c>
      <c r="F114" s="38">
        <f>IFERROR(E114/D114,0)</f>
        <v>1467.0171233333335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1467.0171233333335</v>
      </c>
      <c r="F115" s="160">
        <f>D115*E115</f>
        <v>1467.0171233333335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0.4801136363636363</v>
      </c>
      <c r="G116" s="239">
        <f>F115*F116</f>
        <v>704.33492569128782</v>
      </c>
      <c r="H116" s="239">
        <f>G116/G$42</f>
        <v>0.54599606642735488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270086</v>
      </c>
      <c r="F119" s="9">
        <f>D119*E119</f>
        <v>270086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270086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94043.945199999987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190867.07533999998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2346.0744677208331</v>
      </c>
      <c r="F124" s="38">
        <f>E124</f>
        <v>2346.0744677208331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2346.0744677208331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2346.0744677208331</v>
      </c>
      <c r="F126" s="39">
        <f>D126*E126</f>
        <v>2346.0744677208331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0.4801136363636363</v>
      </c>
      <c r="G127" s="239">
        <f>F126*F127</f>
        <v>1126.3823438773316</v>
      </c>
      <c r="H127" s="239">
        <f>G127/G$42</f>
        <v>0.87316460765684611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 lote 1.1'!A130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04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2700.86</v>
      </c>
      <c r="F132" s="9">
        <f t="shared" ref="F132:F137" si="5">D132*E132</f>
        <v>2700.86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6932.8600000000006</v>
      </c>
      <c r="F138" s="38">
        <f>E138/D138</f>
        <v>577.73833333333334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577.73833333333334</v>
      </c>
      <c r="H139" s="239">
        <f>G139/G$42</f>
        <v>0.447859173126615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1290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1290</v>
      </c>
      <c r="E144" s="89">
        <f>IFERROR(+E143/D143,"-")</f>
        <v>1.330909090909091</v>
      </c>
      <c r="F144" s="11">
        <f>IFERROR(D144*E144,"-")</f>
        <v>1716.8727272727274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1290</v>
      </c>
      <c r="E146" s="86">
        <f>+D145*E145/10000</f>
        <v>1.9214999999999999E-2</v>
      </c>
      <c r="F146" s="11">
        <f>D146*E146</f>
        <v>24.78735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1290</v>
      </c>
      <c r="E148" s="231">
        <f>+D147*E147/100000</f>
        <v>9.9360000000000008E-4</v>
      </c>
      <c r="F148" s="11">
        <f>D148*E148</f>
        <v>1.2817440000000002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1290</v>
      </c>
      <c r="E150" s="231">
        <f>+D149*E149/80000</f>
        <v>4.4412499999999991E-4</v>
      </c>
      <c r="F150" s="11">
        <f>D150*E150</f>
        <v>0.57292124999999994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1290</v>
      </c>
      <c r="E152" s="86">
        <f>+D151*E151/10000</f>
        <v>1.99E-3</v>
      </c>
      <c r="F152" s="11">
        <f>D152*E152</f>
        <v>2.5670999999999999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1746.0818425227274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2007.9941189011363</v>
      </c>
      <c r="H154" s="239">
        <f>G154/G$42</f>
        <v>1.5565845882954545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1290</v>
      </c>
      <c r="E158" s="270">
        <f>'lote 3.1'!E158</f>
        <v>1.35</v>
      </c>
      <c r="F158" s="9">
        <f>D158*E158</f>
        <v>1741.5000000000002</v>
      </c>
      <c r="G158" s="136"/>
      <c r="H158" s="136"/>
      <c r="I158" s="34">
        <f>F158*12</f>
        <v>20898.000000000004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2141.5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2462.7249999999999</v>
      </c>
      <c r="H161" s="239">
        <f>G161/G$42</f>
        <v>1.9090891472868217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1397</v>
      </c>
      <c r="F165" s="9">
        <f>D165*E165</f>
        <v>8382</v>
      </c>
      <c r="G165" s="136"/>
      <c r="H165" s="136"/>
      <c r="J165" s="34"/>
      <c r="K165" s="34"/>
    </row>
    <row r="166" spans="1:11" x14ac:dyDescent="0.2">
      <c r="A166" s="421" t="s">
        <v>318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8382</v>
      </c>
      <c r="F167" s="11">
        <f>IFERROR(E167/D167,"-")</f>
        <v>0.18626666666666666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1290</v>
      </c>
      <c r="E168" s="11">
        <f>F167</f>
        <v>0.18626666666666666</v>
      </c>
      <c r="F168" s="38">
        <f>IFERROR(D168*E168,0)</f>
        <v>240.28399999999999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276.32659999999998</v>
      </c>
      <c r="H169" s="239">
        <f>G169/G$42</f>
        <v>0.21420666666666666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7155.501321803089</v>
      </c>
      <c r="H171" s="239">
        <f>G171/G$42</f>
        <v>5.5469002494597586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6.7409560723514214E-2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6.7409560723514214E-2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11623.794833545513</v>
      </c>
      <c r="H185" s="242">
        <f>G185/G$42</f>
        <v>9.0106936694151258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10917.59920870006</v>
      </c>
      <c r="H186" s="244">
        <f>G186/G$42</f>
        <v>8.4632552005426813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11623.794833545513</v>
      </c>
      <c r="F191" s="9">
        <f>D191*E191/100</f>
        <v>3690.5548596507001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3690.5548596507001</v>
      </c>
      <c r="H192" s="245">
        <f>G192/G$42</f>
        <v>2.8608952400393024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3690.5548596507001</v>
      </c>
      <c r="H194" s="244">
        <f>G194/G$42</f>
        <v>2.8608952400393024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15314.349693196213</v>
      </c>
      <c r="H196" s="244">
        <f>G196/G$42</f>
        <v>11.871588909454429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1290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11.871588909454429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11623.794833545513</v>
      </c>
      <c r="F205" s="9">
        <f>D205*E205/100</f>
        <v>2781.5741036674417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2781.5741036674417</v>
      </c>
      <c r="H206" s="245">
        <f>G206/G$42</f>
        <v>2.15625899509104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2781.5741036674417</v>
      </c>
      <c r="H208" s="244">
        <f>G208/G$42</f>
        <v>2.15625899509104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14405.368937212956</v>
      </c>
      <c r="H210" s="244">
        <f>G210/G$42</f>
        <v>11.166952664506168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1290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11.166952664506168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10917.59920870006</v>
      </c>
      <c r="F219" s="9">
        <f>D219*E219/100</f>
        <v>1848.3495460329202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1848.3495460329202</v>
      </c>
      <c r="H220" s="245">
        <f>G220/G$42</f>
        <v>1.432829105451876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1848.3495460329202</v>
      </c>
      <c r="H222" s="244">
        <f>G222/G$42</f>
        <v>1.432829105451876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12765.948754732979</v>
      </c>
      <c r="H224" s="244">
        <f>G224/G$42</f>
        <v>9.8960843059945578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tr">
        <f>' lote 1.1'!A229:B229</f>
        <v>de R$ 360.000,01 até R$ 720.000,00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f>' lote 2.1'!D232</f>
        <v>9.26</v>
      </c>
      <c r="E232" s="125">
        <f>G224</f>
        <v>12765.948754732979</v>
      </c>
      <c r="F232" s="9">
        <f>G235*(D232/100)</f>
        <v>1302.7626787395568</v>
      </c>
      <c r="G232" s="136"/>
      <c r="H232" s="136"/>
      <c r="I232" s="328">
        <f>G235*12</f>
        <v>168824.53720167044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1302.7626787395568</v>
      </c>
      <c r="H233" s="244">
        <f>G233/G$42</f>
        <v>1.0098935494105092</v>
      </c>
      <c r="I233" s="34">
        <f>I232+' lote 2.1'!I232</f>
        <v>415861.35655664769</v>
      </c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  <c r="I234" s="4">
        <v>13.5</v>
      </c>
      <c r="J234" s="34">
        <f>I234*I233/100</f>
        <v>56141.283135147438</v>
      </c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14068.711433472536</v>
      </c>
      <c r="H235" s="244">
        <f>G235/G$42</f>
        <v>10.905977855405066</v>
      </c>
      <c r="I235" s="4">
        <v>17640</v>
      </c>
      <c r="J235" s="34">
        <f>J234-I235</f>
        <v>38501.283135147438</v>
      </c>
      <c r="K235" s="358">
        <f>J235/I233</f>
        <v>9.2582016886444893E-2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1290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10.905977855405066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52"/>
  <sheetViews>
    <sheetView topLeftCell="A222" zoomScaleNormal="100" zoomScaleSheetLayoutView="110" workbookViewId="0">
      <selection activeCell="I241" sqref="I241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9.570312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 lote 2.2'!B3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3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5185.0120454545458</v>
      </c>
      <c r="D9" s="40">
        <f t="shared" ref="D9:D23" si="0">IFERROR(C9/$C$26,0)</f>
        <v>0.28531495725573564</v>
      </c>
      <c r="E9" s="106">
        <f>G105</f>
        <v>5185.0120454545458</v>
      </c>
      <c r="F9" s="40">
        <f t="shared" ref="F9:F22" si="1">IFERROR(E9/$E$26,0)</f>
        <v>0.30331837019642682</v>
      </c>
      <c r="G9" s="106">
        <f>G106</f>
        <v>4349.2775781818191</v>
      </c>
      <c r="H9" s="40">
        <f t="shared" ref="H9:H22" si="2">IFERROR(G9/$G$26,0)</f>
        <v>0.2579738383697332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1656.5841477272725</v>
      </c>
      <c r="D10" s="26">
        <f t="shared" si="0"/>
        <v>9.115663206871126E-2</v>
      </c>
      <c r="E10" s="107">
        <f t="shared" ref="E10:E22" si="3">C10</f>
        <v>1656.5841477272725</v>
      </c>
      <c r="F10" s="26">
        <f t="shared" si="1"/>
        <v>9.6908628056586052E-2</v>
      </c>
      <c r="G10" s="107">
        <f>G67</f>
        <v>1308.5046072727271</v>
      </c>
      <c r="H10" s="26">
        <f t="shared" si="2"/>
        <v>7.7612879379324415E-2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2286.6778977272725</v>
      </c>
      <c r="D11" s="26">
        <f t="shared" si="0"/>
        <v>0.12582871571525872</v>
      </c>
      <c r="E11" s="107">
        <f t="shared" si="3"/>
        <v>2286.6778977272725</v>
      </c>
      <c r="F11" s="26">
        <f t="shared" si="1"/>
        <v>0.13376852493734639</v>
      </c>
      <c r="G11" s="107">
        <f>G84</f>
        <v>1799.0229709090906</v>
      </c>
      <c r="H11" s="26">
        <f t="shared" si="2"/>
        <v>0.10670757448292198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167.31818181818181</v>
      </c>
      <c r="D12" s="26">
        <f t="shared" si="0"/>
        <v>9.2069949838230226E-3</v>
      </c>
      <c r="E12" s="107">
        <f t="shared" si="3"/>
        <v>167.31818181818181</v>
      </c>
      <c r="F12" s="26">
        <f t="shared" si="1"/>
        <v>9.7879576302645297E-3</v>
      </c>
      <c r="G12" s="107">
        <f t="shared" ref="G12:G21" si="4">E12</f>
        <v>167.31818181818181</v>
      </c>
      <c r="H12" s="26">
        <f t="shared" si="2"/>
        <v>9.9243409547397788E-3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1045.4545454545453</v>
      </c>
      <c r="D13" s="26">
        <f>IFERROR(C13/$C$26,0)</f>
        <v>5.752808601682409E-2</v>
      </c>
      <c r="E13" s="107">
        <f t="shared" si="3"/>
        <v>1045.4545454545453</v>
      </c>
      <c r="F13" s="26">
        <f t="shared" si="1"/>
        <v>6.115811613585552E-2</v>
      </c>
      <c r="G13" s="107">
        <f t="shared" si="4"/>
        <v>1045.4545454545453</v>
      </c>
      <c r="H13" s="26">
        <f t="shared" si="2"/>
        <v>6.2010280347463975E-2</v>
      </c>
      <c r="I13" s="4"/>
    </row>
    <row r="14" spans="1:9" s="2" customFormat="1" ht="15.75" customHeight="1" x14ac:dyDescent="0.2">
      <c r="A14" s="337" t="s">
        <v>300</v>
      </c>
      <c r="B14" s="336"/>
      <c r="C14" s="107">
        <f>G104</f>
        <v>28.977272727272723</v>
      </c>
      <c r="D14" s="26">
        <f>IFERROR(C14/$C$26,0)</f>
        <v>1.5945284711184938E-3</v>
      </c>
      <c r="E14" s="107">
        <f>C14</f>
        <v>28.977272727272723</v>
      </c>
      <c r="F14" s="26">
        <f t="shared" si="1"/>
        <v>1.6951434363742563E-3</v>
      </c>
      <c r="G14" s="107">
        <f>E14</f>
        <v>28.977272727272723</v>
      </c>
      <c r="H14" s="26">
        <f t="shared" si="2"/>
        <v>1.7187632052829689E-3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8521.5336543716858</v>
      </c>
      <c r="D15" s="40">
        <f t="shared" si="0"/>
        <v>0.4689132810176968</v>
      </c>
      <c r="E15" s="106">
        <f t="shared" si="3"/>
        <v>8521.5336543716858</v>
      </c>
      <c r="F15" s="40">
        <f t="shared" si="1"/>
        <v>0.498501773372723</v>
      </c>
      <c r="G15" s="106">
        <f t="shared" si="4"/>
        <v>8521.5336543716858</v>
      </c>
      <c r="H15" s="40">
        <f t="shared" si="2"/>
        <v>0.50544779129367934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833.53245643939397</v>
      </c>
      <c r="D16" s="46">
        <f t="shared" si="0"/>
        <v>4.5866677858301008E-2</v>
      </c>
      <c r="E16" s="107">
        <f t="shared" si="3"/>
        <v>833.53245643939397</v>
      </c>
      <c r="F16" s="46">
        <f t="shared" si="1"/>
        <v>4.8760871522885163E-2</v>
      </c>
      <c r="G16" s="107">
        <f t="shared" si="4"/>
        <v>833.53245643939397</v>
      </c>
      <c r="H16" s="46">
        <f t="shared" si="2"/>
        <v>4.9440295158929434E-2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1332.9968566595642</v>
      </c>
      <c r="D17" s="46">
        <f t="shared" si="0"/>
        <v>7.3350637924412446E-2</v>
      </c>
      <c r="E17" s="107">
        <f t="shared" si="3"/>
        <v>1332.9968566595642</v>
      </c>
      <c r="F17" s="46">
        <f t="shared" si="1"/>
        <v>7.7979073239258775E-2</v>
      </c>
      <c r="G17" s="107">
        <f t="shared" si="4"/>
        <v>1332.9968566595642</v>
      </c>
      <c r="H17" s="46">
        <f t="shared" si="2"/>
        <v>7.9065617097497931E-2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577.73833333333334</v>
      </c>
      <c r="D18" s="46">
        <f t="shared" si="0"/>
        <v>3.1791129207598481E-2</v>
      </c>
      <c r="E18" s="107">
        <f t="shared" si="3"/>
        <v>577.73833333333334</v>
      </c>
      <c r="F18" s="46">
        <f t="shared" si="1"/>
        <v>3.3797153821521021E-2</v>
      </c>
      <c r="G18" s="107">
        <f t="shared" si="4"/>
        <v>577.73833333333334</v>
      </c>
      <c r="H18" s="46">
        <f t="shared" si="2"/>
        <v>3.4268076190629791E-2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2490.5353412727272</v>
      </c>
      <c r="D19" s="46">
        <f t="shared" si="0"/>
        <v>0.13704635171717008</v>
      </c>
      <c r="E19" s="107">
        <f t="shared" si="3"/>
        <v>2490.5353412727272</v>
      </c>
      <c r="F19" s="46">
        <f t="shared" si="1"/>
        <v>0.14569399530974875</v>
      </c>
      <c r="G19" s="107">
        <f t="shared" si="4"/>
        <v>2490.5353412727272</v>
      </c>
      <c r="H19" s="46">
        <f t="shared" si="2"/>
        <v>0.14772406452204137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2944</v>
      </c>
      <c r="D20" s="46">
        <f t="shared" si="0"/>
        <v>0.16199909022337666</v>
      </c>
      <c r="E20" s="107">
        <f t="shared" si="3"/>
        <v>2944</v>
      </c>
      <c r="F20" s="46">
        <f t="shared" si="1"/>
        <v>0.17222125503856917</v>
      </c>
      <c r="G20" s="107">
        <f t="shared" si="4"/>
        <v>2944</v>
      </c>
      <c r="H20" s="46">
        <f t="shared" si="2"/>
        <v>0.17462094945845857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342.73066666666659</v>
      </c>
      <c r="D21" s="46">
        <f t="shared" si="0"/>
        <v>1.8859394086838097E-2</v>
      </c>
      <c r="E21" s="107">
        <f t="shared" si="3"/>
        <v>342.73066666666659</v>
      </c>
      <c r="F21" s="46">
        <f t="shared" si="1"/>
        <v>2.004942444074009E-2</v>
      </c>
      <c r="G21" s="107">
        <f t="shared" si="4"/>
        <v>342.73066666666659</v>
      </c>
      <c r="H21" s="46">
        <f t="shared" si="2"/>
        <v>2.0328788866122216E-2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4.7850444590153288E-3</v>
      </c>
      <c r="E22" s="106">
        <f t="shared" si="3"/>
        <v>86.958333333333329</v>
      </c>
      <c r="F22" s="40">
        <f t="shared" si="1"/>
        <v>5.0869814207638959E-3</v>
      </c>
      <c r="G22" s="106">
        <f>E22</f>
        <v>86.958333333333329</v>
      </c>
      <c r="H22" s="40">
        <f t="shared" si="2"/>
        <v>5.1578623403504735E-3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4379.4375305281619</v>
      </c>
      <c r="D23" s="40">
        <f t="shared" si="0"/>
        <v>0.24098671726755216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3300.7855151350836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3901.6050345265139</v>
      </c>
      <c r="H25" s="108">
        <f>IFERROR(G25/$G$26,0)</f>
        <v>0.23142050799623706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18172.941563687727</v>
      </c>
      <c r="D26" s="45">
        <f>D9+D15+D22+D23</f>
        <v>0.99999999999999989</v>
      </c>
      <c r="E26" s="129">
        <f>E9+E15+E22+E24</f>
        <v>17094.289548294648</v>
      </c>
      <c r="F26" s="45">
        <f>F9+F15+F22+F24</f>
        <v>1.0000000000000002</v>
      </c>
      <c r="G26" s="129">
        <f>G9+G15+G22+G25</f>
        <v>16859.37460041335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11.358088477304829</v>
      </c>
      <c r="D27" s="45"/>
      <c r="E27" s="129">
        <f>G214</f>
        <v>10.683930967684155</v>
      </c>
      <c r="F27" s="45"/>
      <c r="G27" s="129">
        <f>G239</f>
        <v>10.537109125258343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343"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356">
        <v>15</v>
      </c>
      <c r="F36" s="262">
        <v>1</v>
      </c>
      <c r="G36" s="259">
        <v>270086</v>
      </c>
      <c r="H36" s="193"/>
      <c r="I36" s="4"/>
    </row>
    <row r="37" spans="1:9" s="2" customFormat="1" ht="31.5" customHeight="1" x14ac:dyDescent="0.2">
      <c r="A37" s="386" t="s">
        <v>306</v>
      </c>
      <c r="B37" s="387"/>
      <c r="C37" s="179"/>
      <c r="D37" s="324" t="s">
        <v>252</v>
      </c>
      <c r="E37" s="320" t="s">
        <v>263</v>
      </c>
      <c r="F37" s="179"/>
      <c r="G37" s="179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79"/>
      <c r="E38" s="179"/>
      <c r="F38" s="263">
        <v>5.5</v>
      </c>
      <c r="G38" s="265">
        <f>' lote 2.2'!G38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79"/>
      <c r="D39" s="179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179"/>
      <c r="D40" s="179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79" t="s">
        <v>28</v>
      </c>
      <c r="D41" s="179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80</v>
      </c>
      <c r="F42" s="161">
        <f>(E42/F39)+C48</f>
        <v>5</v>
      </c>
      <c r="G42" s="186">
        <f>E42*E43</f>
        <v>1600</v>
      </c>
      <c r="H42" s="193"/>
      <c r="I42" s="6">
        <f>15+39+19+7</f>
        <v>80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16240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0.56818181818181812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294</v>
      </c>
      <c r="B57" s="338"/>
      <c r="C57" s="97"/>
      <c r="D57" s="344">
        <v>1</v>
      </c>
      <c r="E57" s="345">
        <v>150</v>
      </c>
      <c r="F57" s="346">
        <v>150</v>
      </c>
      <c r="G57" s="137"/>
      <c r="H57" s="193"/>
    </row>
    <row r="58" spans="1:9" x14ac:dyDescent="0.2">
      <c r="A58" s="406" t="s">
        <v>292</v>
      </c>
      <c r="B58" s="397"/>
      <c r="C58" s="105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0.56818181818181812</v>
      </c>
      <c r="G60" s="239">
        <f>F59*F60</f>
        <v>1656.5841477272725</v>
      </c>
      <c r="H60" s="239">
        <f>G60/G$42</f>
        <v>1.0353650923295452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">
        <v>294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0.56818181818181812</v>
      </c>
      <c r="G67" s="239">
        <f>F66*F67</f>
        <v>1308.5046072727271</v>
      </c>
      <c r="H67" s="239">
        <f>G67/G$42</f>
        <v>0.81781537954545447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2" t="s">
        <v>293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0.56818181818181812</v>
      </c>
      <c r="G77" s="239">
        <f>F76*F77</f>
        <v>2286.6778977272725</v>
      </c>
      <c r="H77" s="239">
        <f>G77/G$42</f>
        <v>1.4291736860795452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">
        <v>293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0.56818181818181812</v>
      </c>
      <c r="G84" s="239">
        <f>F83*F84</f>
        <v>1799.0229709090906</v>
      </c>
      <c r="H84" s="239">
        <f>G84/G$42</f>
        <v>1.1243893568181818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0.56818181818181812</v>
      </c>
      <c r="G92" s="239">
        <f>SUM(F88:F91)*F92</f>
        <v>167.31818181818181</v>
      </c>
      <c r="H92" s="239">
        <f>G92/G$42</f>
        <v>0.10457386363636363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16+30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0.56818181818181812</v>
      </c>
      <c r="G98" s="239">
        <f>SUM(F96:F97)*F98</f>
        <v>1045.4545454545453</v>
      </c>
      <c r="H98" s="239">
        <f>G98/G$42</f>
        <v>0.65340909090909083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299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0.56818181818181812</v>
      </c>
      <c r="G104" s="239">
        <f>SUM(F102:F103)*F104</f>
        <v>28.977272727272723</v>
      </c>
      <c r="H104" s="239">
        <f>G104/G$42</f>
        <v>1.8110795454545452E-2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5185.0120454545458</v>
      </c>
      <c r="H105" s="243">
        <f>G105/G$42</f>
        <v>3.2406325284090913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4349.2775781818191</v>
      </c>
      <c r="H106" s="239">
        <f>G106/G$42</f>
        <v>2.7182984863636368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270086</v>
      </c>
      <c r="F111" s="9">
        <f>D111*E111</f>
        <v>270086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v>65.180000000000007</v>
      </c>
      <c r="E113" s="201">
        <f>F111</f>
        <v>270086</v>
      </c>
      <c r="F113" s="201">
        <f>D113*E113/100</f>
        <v>176042.05480000001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176042.05480000001</v>
      </c>
      <c r="F114" s="38">
        <f>IFERROR(E114/D114,0)</f>
        <v>1467.0171233333335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1467.0171233333335</v>
      </c>
      <c r="F115" s="160">
        <f>D115*E115</f>
        <v>1467.0171233333335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0.56818181818181812</v>
      </c>
      <c r="G116" s="239">
        <f>F115*F116</f>
        <v>833.53245643939397</v>
      </c>
      <c r="H116" s="239">
        <f>G116/G$42</f>
        <v>0.52095778527462122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270086</v>
      </c>
      <c r="F119" s="9">
        <f>D119*E119</f>
        <v>270086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270086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94043.945199999987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190867.07533999998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2346.0744677208331</v>
      </c>
      <c r="F124" s="38">
        <f>E124</f>
        <v>2346.0744677208331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2346.0744677208331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2346.0744677208331</v>
      </c>
      <c r="F126" s="39">
        <f>D126*E126</f>
        <v>2346.0744677208331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0.56818181818181812</v>
      </c>
      <c r="G127" s="239">
        <f>F126*F127</f>
        <v>1332.9968566595642</v>
      </c>
      <c r="H127" s="239">
        <f>G127/G$42</f>
        <v>0.83312303541222765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 lote 2.2'!A130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2700.86</v>
      </c>
      <c r="F132" s="9">
        <f t="shared" ref="F132:F137" si="5">D132*E132</f>
        <v>2700.86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f>(53+250+15+67)*2</f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6932.8600000000006</v>
      </c>
      <c r="F138" s="38">
        <f>E138/D138</f>
        <v>577.73833333333334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577.73833333333334</v>
      </c>
      <c r="H139" s="239">
        <f>G139/G$42</f>
        <v>0.36108645833333336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1600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1600</v>
      </c>
      <c r="E144" s="89">
        <f>IFERROR(+E143/D143,"-")</f>
        <v>1.330909090909091</v>
      </c>
      <c r="F144" s="11">
        <f>IFERROR(D144*E144,"-")</f>
        <v>2129.4545454545455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1600</v>
      </c>
      <c r="E146" s="86">
        <f>+D145*E145/10000</f>
        <v>1.9214999999999999E-2</v>
      </c>
      <c r="F146" s="11">
        <f>D146*E146</f>
        <v>30.744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1600</v>
      </c>
      <c r="E148" s="231">
        <f>+D147*E147/100000</f>
        <v>9.9360000000000008E-4</v>
      </c>
      <c r="F148" s="11">
        <f>D148*E148</f>
        <v>1.5897600000000001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1600</v>
      </c>
      <c r="E150" s="231">
        <f>+D149*E149/80000</f>
        <v>4.4412499999999991E-4</v>
      </c>
      <c r="F150" s="11">
        <f>D150*E150</f>
        <v>0.7105999999999999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1600</v>
      </c>
      <c r="E152" s="86">
        <f>+D151*E151/10000</f>
        <v>1.99E-3</v>
      </c>
      <c r="F152" s="11">
        <f>D152*E152</f>
        <v>3.1840000000000002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2165.6829054545456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2490.5353412727272</v>
      </c>
      <c r="H154" s="239">
        <f>G154/G$42</f>
        <v>1.5565845882954545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1600</v>
      </c>
      <c r="E158" s="270">
        <v>1.35</v>
      </c>
      <c r="F158" s="9">
        <f>D158*E158</f>
        <v>2160</v>
      </c>
      <c r="G158" s="136"/>
      <c r="H158" s="136"/>
      <c r="I158" s="34">
        <f>F158*12</f>
        <v>25920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2560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2944</v>
      </c>
      <c r="H161" s="239">
        <f>G161/G$42</f>
        <v>1.84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1397</v>
      </c>
      <c r="F165" s="9">
        <f>D165*E165</f>
        <v>8382</v>
      </c>
      <c r="G165" s="136"/>
      <c r="H165" s="136"/>
      <c r="J165" s="34"/>
      <c r="K165" s="34"/>
    </row>
    <row r="166" spans="1:11" x14ac:dyDescent="0.2">
      <c r="A166" s="421" t="s">
        <v>262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8382</v>
      </c>
      <c r="F167" s="11">
        <f>IFERROR(E167/D167,"-")</f>
        <v>0.18626666666666666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1600</v>
      </c>
      <c r="E168" s="11">
        <f>F167</f>
        <v>0.18626666666666666</v>
      </c>
      <c r="F168" s="38">
        <f>IFERROR(D168*E168,0)</f>
        <v>298.02666666666664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342.73066666666659</v>
      </c>
      <c r="H169" s="239">
        <f>G169/G$42</f>
        <v>0.21420666666666663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8521.5336543716858</v>
      </c>
      <c r="H171" s="239">
        <f>G171/G$42</f>
        <v>5.3259585339823037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5.4348958333333329E-2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5.4348958333333329E-2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13793.504033159565</v>
      </c>
      <c r="H185" s="242">
        <f>G185/G$42</f>
        <v>8.6209400207247278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12957.769565886838</v>
      </c>
      <c r="H186" s="244">
        <f>G186/G$42</f>
        <v>8.0986059786792737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13793.504033159565</v>
      </c>
      <c r="F191" s="9">
        <f>D191*E191/100</f>
        <v>4379.4375305281619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4379.4375305281619</v>
      </c>
      <c r="H192" s="245">
        <f>G192/G$42</f>
        <v>2.7371484565801012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4379.4375305281619</v>
      </c>
      <c r="H194" s="244">
        <f>G194/G$42</f>
        <v>2.7371484565801012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18172.941563687727</v>
      </c>
      <c r="H196" s="244">
        <f>G196/G$42</f>
        <v>11.358088477304829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1600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11.358088477304829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13793.504033159565</v>
      </c>
      <c r="F205" s="9">
        <f>D205*E205/100</f>
        <v>3300.7855151350836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3300.7855151350836</v>
      </c>
      <c r="H206" s="245">
        <f>G206/G$42</f>
        <v>2.0629909469594274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3300.7855151350836</v>
      </c>
      <c r="H208" s="244">
        <f>G208/G$42</f>
        <v>2.0629909469594274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17094.289548294648</v>
      </c>
      <c r="H210" s="244">
        <f>G210/G$42</f>
        <v>10.683930967684155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1600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10.683930967684155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12957.769565886838</v>
      </c>
      <c r="F219" s="9">
        <f>D219*E219/100</f>
        <v>2193.7503875046414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2193.7503875046414</v>
      </c>
      <c r="H220" s="245">
        <f>G220/G$42</f>
        <v>1.3710939921904008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2193.7503875046414</v>
      </c>
      <c r="H222" s="244">
        <f>G222/G$42</f>
        <v>1.3710939921904008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15151.519953391478</v>
      </c>
      <c r="H224" s="244">
        <f>G224/G$42</f>
        <v>9.4696999708696747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282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5.75" thickBot="1" x14ac:dyDescent="0.3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  <c r="I231" s="131"/>
      <c r="J231" s="132"/>
      <c r="K231" s="131"/>
    </row>
    <row r="232" spans="1:11" ht="15.75" thickBot="1" x14ac:dyDescent="0.3">
      <c r="A232" s="405" t="s">
        <v>184</v>
      </c>
      <c r="B232" s="390"/>
      <c r="C232" s="124" t="s">
        <v>0</v>
      </c>
      <c r="D232" s="276">
        <v>10.130000000000001</v>
      </c>
      <c r="E232" s="125">
        <f>G224</f>
        <v>15151.519953391478</v>
      </c>
      <c r="F232" s="9">
        <f>G235*(D232/100)</f>
        <v>1707.8546470218723</v>
      </c>
      <c r="G232" s="136"/>
      <c r="H232" s="136"/>
      <c r="J232" s="133"/>
      <c r="K232" s="133"/>
    </row>
    <row r="233" spans="1:11" ht="15.75" thickBot="1" x14ac:dyDescent="0.3">
      <c r="A233" s="99"/>
      <c r="E233" s="27"/>
      <c r="F233" s="27"/>
      <c r="G233" s="244">
        <f>F232</f>
        <v>1707.8546470218723</v>
      </c>
      <c r="H233" s="244">
        <f>G233/G$42</f>
        <v>1.0674091543886701</v>
      </c>
      <c r="I233" s="131"/>
      <c r="J233" s="131"/>
      <c r="K233" s="131"/>
    </row>
    <row r="234" spans="1:11" ht="15.75" thickBot="1" x14ac:dyDescent="0.3">
      <c r="A234" s="126"/>
      <c r="B234" s="127"/>
      <c r="C234" s="127"/>
      <c r="D234" s="127"/>
      <c r="E234" s="128"/>
      <c r="F234" s="128"/>
      <c r="G234" s="152"/>
      <c r="H234" s="152"/>
      <c r="I234" s="133"/>
      <c r="J234" s="133"/>
      <c r="K234" s="290"/>
    </row>
    <row r="235" spans="1:11" ht="24.75" customHeight="1" thickBot="1" x14ac:dyDescent="0.3">
      <c r="A235" s="12" t="s">
        <v>185</v>
      </c>
      <c r="B235" s="13"/>
      <c r="C235" s="16"/>
      <c r="D235" s="16"/>
      <c r="E235" s="17"/>
      <c r="F235" s="18"/>
      <c r="G235" s="206">
        <f>E232/((100-D232)/100)</f>
        <v>16859.37460041335</v>
      </c>
      <c r="H235" s="244">
        <f>G235/G$42</f>
        <v>10.537109125258343</v>
      </c>
      <c r="I235" s="131">
        <f>G235*12</f>
        <v>202312.4952049602</v>
      </c>
      <c r="J235" s="133"/>
      <c r="K235" s="132"/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1600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10.537109125258343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C247:E247"/>
    <mergeCell ref="C248:E248"/>
    <mergeCell ref="C249:E249"/>
    <mergeCell ref="A1:H1"/>
    <mergeCell ref="D3:E3"/>
    <mergeCell ref="G3:H3"/>
    <mergeCell ref="C7:D7"/>
    <mergeCell ref="E7:F7"/>
    <mergeCell ref="G7:H7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43:B43"/>
    <mergeCell ref="D45:G45"/>
    <mergeCell ref="A46:B46"/>
    <mergeCell ref="D46:F46"/>
    <mergeCell ref="A47:B47"/>
    <mergeCell ref="D47:G47"/>
    <mergeCell ref="A35:B35"/>
    <mergeCell ref="A36:B36"/>
    <mergeCell ref="A38:B38"/>
    <mergeCell ref="A39:B39"/>
    <mergeCell ref="A41:B41"/>
    <mergeCell ref="A42:B42"/>
    <mergeCell ref="A37:B37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113:B113"/>
    <mergeCell ref="A114:B114"/>
    <mergeCell ref="A115:B115"/>
    <mergeCell ref="A118:B118"/>
    <mergeCell ref="A119:B119"/>
    <mergeCell ref="A120:B120"/>
    <mergeCell ref="A90:B90"/>
    <mergeCell ref="A91:B91"/>
    <mergeCell ref="A96:B96"/>
    <mergeCell ref="A97:B97"/>
    <mergeCell ref="A111:B111"/>
    <mergeCell ref="A112:B112"/>
    <mergeCell ref="A102:B102"/>
    <mergeCell ref="A103:B103"/>
    <mergeCell ref="A131:B131"/>
    <mergeCell ref="A132:B132"/>
    <mergeCell ref="A133:B133"/>
    <mergeCell ref="A134:B134"/>
    <mergeCell ref="A135:B135"/>
    <mergeCell ref="A136:B136"/>
    <mergeCell ref="A121:B121"/>
    <mergeCell ref="A122:B122"/>
    <mergeCell ref="A123:B123"/>
    <mergeCell ref="A124:B124"/>
    <mergeCell ref="A125:B125"/>
    <mergeCell ref="A126:B126"/>
    <mergeCell ref="A146:B146"/>
    <mergeCell ref="A147:B147"/>
    <mergeCell ref="A148:B148"/>
    <mergeCell ref="A149:B149"/>
    <mergeCell ref="A150:B150"/>
    <mergeCell ref="A151:B151"/>
    <mergeCell ref="A137:B137"/>
    <mergeCell ref="A138:B138"/>
    <mergeCell ref="A142:B142"/>
    <mergeCell ref="A143:B143"/>
    <mergeCell ref="A144:B144"/>
    <mergeCell ref="A145:B145"/>
    <mergeCell ref="A164:B164"/>
    <mergeCell ref="A165:B165"/>
    <mergeCell ref="A167:B167"/>
    <mergeCell ref="A168:B168"/>
    <mergeCell ref="A175:B175"/>
    <mergeCell ref="A176:B176"/>
    <mergeCell ref="A152:B152"/>
    <mergeCell ref="A153:B153"/>
    <mergeCell ref="A157:B157"/>
    <mergeCell ref="A158:B158"/>
    <mergeCell ref="A159:B159"/>
    <mergeCell ref="A160:B160"/>
    <mergeCell ref="A166:B166"/>
    <mergeCell ref="G239:H239"/>
    <mergeCell ref="A198:B198"/>
    <mergeCell ref="G200:H200"/>
    <mergeCell ref="A205:B205"/>
    <mergeCell ref="G214:H214"/>
    <mergeCell ref="A229:B229"/>
    <mergeCell ref="A232:B232"/>
    <mergeCell ref="A177:B177"/>
    <mergeCell ref="A178:B178"/>
    <mergeCell ref="A179:B179"/>
    <mergeCell ref="A180:B180"/>
    <mergeCell ref="A190:B190"/>
    <mergeCell ref="A191:B191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52"/>
  <sheetViews>
    <sheetView topLeftCell="A215" zoomScaleNormal="100" zoomScaleSheetLayoutView="110" workbookViewId="0">
      <selection activeCell="E241" sqref="E241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3.1'!B3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3</v>
      </c>
      <c r="C4" s="247" t="s">
        <v>158</v>
      </c>
      <c r="D4" s="315">
        <v>2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7077.5414420454517</v>
      </c>
      <c r="D9" s="40">
        <f t="shared" ref="D9:D23" si="0">IFERROR(C9/$C$26,0)</f>
        <v>0.2472919523506408</v>
      </c>
      <c r="E9" s="106">
        <f>G105</f>
        <v>7077.5414420454517</v>
      </c>
      <c r="F9" s="40">
        <f t="shared" ref="F9:F22" si="1">IFERROR(E9/$E$26,0)</f>
        <v>0.26289610846604478</v>
      </c>
      <c r="G9" s="106">
        <f>G106</f>
        <v>5936.7638942181793</v>
      </c>
      <c r="H9" s="40">
        <f t="shared" ref="H9:H22" si="2">IFERROR(G9/$G$26,0)</f>
        <v>0.2216890174063354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2261.2373616477271</v>
      </c>
      <c r="D10" s="26">
        <f t="shared" si="0"/>
        <v>7.9008481471847164E-2</v>
      </c>
      <c r="E10" s="107">
        <f t="shared" ref="E10:E22" si="3">C10</f>
        <v>2261.2373616477271</v>
      </c>
      <c r="F10" s="26">
        <f t="shared" si="1"/>
        <v>8.3993927490646839E-2</v>
      </c>
      <c r="G10" s="107">
        <f>G67</f>
        <v>1786.1087889272724</v>
      </c>
      <c r="H10" s="26">
        <f t="shared" si="2"/>
        <v>6.6696387030606569E-2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3121.3153303977269</v>
      </c>
      <c r="D11" s="26">
        <f t="shared" si="0"/>
        <v>0.10905992826415194</v>
      </c>
      <c r="E11" s="107">
        <f t="shared" si="3"/>
        <v>3121.3153303977269</v>
      </c>
      <c r="F11" s="26">
        <f t="shared" si="1"/>
        <v>0.11594162469782955</v>
      </c>
      <c r="G11" s="107">
        <f>G84</f>
        <v>2455.6663552909085</v>
      </c>
      <c r="H11" s="26">
        <f t="shared" si="2"/>
        <v>9.1698822975329136E-2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228.38931818181817</v>
      </c>
      <c r="D12" s="26">
        <f t="shared" si="0"/>
        <v>7.9800084325455812E-3</v>
      </c>
      <c r="E12" s="107">
        <f t="shared" si="3"/>
        <v>228.38931818181817</v>
      </c>
      <c r="F12" s="26">
        <f t="shared" si="1"/>
        <v>8.4835480592905695E-3</v>
      </c>
      <c r="G12" s="107">
        <f t="shared" ref="G12:G21" si="4">E12</f>
        <v>228.38931818181817</v>
      </c>
      <c r="H12" s="26">
        <f t="shared" si="2"/>
        <v>8.5284516002295703E-3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1427.0454545454545</v>
      </c>
      <c r="D13" s="26">
        <f t="shared" si="0"/>
        <v>4.9861503381838736E-2</v>
      </c>
      <c r="E13" s="107">
        <f t="shared" si="3"/>
        <v>1427.0454545454545</v>
      </c>
      <c r="F13" s="26">
        <f t="shared" si="1"/>
        <v>5.3007771084945157E-2</v>
      </c>
      <c r="G13" s="107">
        <f t="shared" si="4"/>
        <v>1427.0454545454545</v>
      </c>
      <c r="H13" s="26">
        <f t="shared" si="2"/>
        <v>5.3288341973724562E-2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39.553977272727273</v>
      </c>
      <c r="D14" s="26">
        <f t="shared" si="0"/>
        <v>1.3820308002574868E-3</v>
      </c>
      <c r="E14" s="107">
        <f>C14</f>
        <v>39.553977272727273</v>
      </c>
      <c r="F14" s="26">
        <f t="shared" si="1"/>
        <v>1.469237133332719E-3</v>
      </c>
      <c r="G14" s="107">
        <f>E14</f>
        <v>39.553977272727273</v>
      </c>
      <c r="H14" s="26">
        <f t="shared" si="2"/>
        <v>1.4770138264456265E-3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14558.600845319361</v>
      </c>
      <c r="D15" s="40">
        <f t="shared" si="0"/>
        <v>0.50868297360223269</v>
      </c>
      <c r="E15" s="106">
        <f t="shared" si="3"/>
        <v>14558.600845319361</v>
      </c>
      <c r="F15" s="40">
        <f t="shared" si="1"/>
        <v>0.54078093901471924</v>
      </c>
      <c r="G15" s="106">
        <f t="shared" si="4"/>
        <v>14558.600845319361</v>
      </c>
      <c r="H15" s="40">
        <f t="shared" si="2"/>
        <v>0.54364330024192831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2101.6336909232955</v>
      </c>
      <c r="D16" s="46">
        <f t="shared" si="0"/>
        <v>7.343186935887494E-2</v>
      </c>
      <c r="E16" s="107">
        <f t="shared" si="3"/>
        <v>2101.6336909232955</v>
      </c>
      <c r="F16" s="46">
        <f t="shared" si="1"/>
        <v>7.8065430388378709E-2</v>
      </c>
      <c r="G16" s="107">
        <f t="shared" si="4"/>
        <v>2101.6336909232955</v>
      </c>
      <c r="H16" s="46">
        <f t="shared" si="2"/>
        <v>7.8478631825426776E-2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3360.9622303343217</v>
      </c>
      <c r="D17" s="46">
        <f t="shared" si="0"/>
        <v>0.11743328082525992</v>
      </c>
      <c r="E17" s="107">
        <f t="shared" si="3"/>
        <v>3360.9622303343217</v>
      </c>
      <c r="F17" s="46">
        <f t="shared" si="1"/>
        <v>0.12484333695415148</v>
      </c>
      <c r="G17" s="107">
        <f t="shared" si="4"/>
        <v>3360.9622303343217</v>
      </c>
      <c r="H17" s="46">
        <f t="shared" si="2"/>
        <v>0.1255041345181781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768.40749999999991</v>
      </c>
      <c r="D18" s="46">
        <f t="shared" si="0"/>
        <v>2.6848446234029794E-2</v>
      </c>
      <c r="E18" s="107">
        <f t="shared" si="3"/>
        <v>768.40749999999991</v>
      </c>
      <c r="F18" s="46">
        <f t="shared" si="1"/>
        <v>2.8542586874311507E-2</v>
      </c>
      <c r="G18" s="107">
        <f t="shared" si="4"/>
        <v>768.40749999999991</v>
      </c>
      <c r="H18" s="46">
        <f t="shared" si="2"/>
        <v>2.869366319394313E-2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3626.8420907284094</v>
      </c>
      <c r="D19" s="46">
        <f t="shared" si="0"/>
        <v>0.12672322286317861</v>
      </c>
      <c r="E19" s="107">
        <f t="shared" si="3"/>
        <v>3626.8420907284094</v>
      </c>
      <c r="F19" s="46">
        <f t="shared" si="1"/>
        <v>0.13471947560900333</v>
      </c>
      <c r="G19" s="107">
        <f t="shared" si="4"/>
        <v>3626.8420907284094</v>
      </c>
      <c r="H19" s="46">
        <f t="shared" si="2"/>
        <v>0.13543254771586369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4077.3249999999998</v>
      </c>
      <c r="D20" s="46">
        <f t="shared" si="0"/>
        <v>0.14246326466252027</v>
      </c>
      <c r="E20" s="107">
        <f t="shared" si="3"/>
        <v>4077.3249999999998</v>
      </c>
      <c r="F20" s="46">
        <f t="shared" si="1"/>
        <v>0.15145271620501125</v>
      </c>
      <c r="G20" s="107">
        <f t="shared" si="4"/>
        <v>4077.3249999999998</v>
      </c>
      <c r="H20" s="46">
        <f t="shared" si="2"/>
        <v>0.15225435759313147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623.43033333333335</v>
      </c>
      <c r="D21" s="46">
        <f t="shared" si="0"/>
        <v>2.1782889658369126E-2</v>
      </c>
      <c r="E21" s="107">
        <f t="shared" si="3"/>
        <v>623.43033333333335</v>
      </c>
      <c r="F21" s="46">
        <f t="shared" si="1"/>
        <v>2.3157392983862924E-2</v>
      </c>
      <c r="G21" s="107">
        <f t="shared" si="4"/>
        <v>623.43033333333335</v>
      </c>
      <c r="H21" s="46">
        <f t="shared" si="2"/>
        <v>2.3279965395385085E-2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3.0383567795744331E-3</v>
      </c>
      <c r="E22" s="106">
        <f t="shared" si="3"/>
        <v>86.958333333333329</v>
      </c>
      <c r="F22" s="40">
        <f t="shared" si="1"/>
        <v>3.230077509149774E-3</v>
      </c>
      <c r="G22" s="106">
        <f>E22</f>
        <v>86.958333333333329</v>
      </c>
      <c r="H22" s="40">
        <f t="shared" si="2"/>
        <v>3.2471743554992692E-3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6897.0844470716602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5198.3379785330653</v>
      </c>
      <c r="F24" s="40">
        <f>IFERROR(E24/$E$26,0)</f>
        <v>0.19309287501008632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6197.3702275718906</v>
      </c>
      <c r="H25" s="108">
        <f>IFERROR(G25/$G$26,0)</f>
        <v>0.23142050799623706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28620.185067769802</v>
      </c>
      <c r="D26" s="45">
        <f>D9+D15+D22+D23</f>
        <v>1.0000000000000002</v>
      </c>
      <c r="E26" s="129">
        <f>E9+E15+E22+E24</f>
        <v>26921.438599231209</v>
      </c>
      <c r="F26" s="45">
        <f>F9+F15+F22+F24</f>
        <v>1</v>
      </c>
      <c r="G26" s="129">
        <f>G9+G15+G22+G25</f>
        <v>26779.693300442763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12.28334123080249</v>
      </c>
      <c r="D27" s="45"/>
      <c r="E27" s="129">
        <f>G214</f>
        <v>11.554265493232279</v>
      </c>
      <c r="F27" s="45"/>
      <c r="G27" s="129">
        <f>G239</f>
        <v>11.493430601048397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356">
        <v>28</v>
      </c>
      <c r="F36" s="262">
        <v>1</v>
      </c>
      <c r="G36" s="259">
        <v>498889</v>
      </c>
      <c r="H36" s="193"/>
      <c r="I36" s="4"/>
    </row>
    <row r="37" spans="1:9" s="2" customFormat="1" ht="52.5" customHeight="1" x14ac:dyDescent="0.2">
      <c r="A37" s="386" t="s">
        <v>291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357">
        <v>116.5</v>
      </c>
      <c r="F42" s="161">
        <f>(E42/F39)+C48</f>
        <v>6.8250000000000002</v>
      </c>
      <c r="G42" s="186">
        <f>E42*E43</f>
        <v>2330</v>
      </c>
      <c r="H42" s="193"/>
      <c r="I42" s="6">
        <f>23+53+34+6.5</f>
        <v>116.5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23649.5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0.77556818181818177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0.77556818181818177</v>
      </c>
      <c r="G60" s="239">
        <f>F59*F60</f>
        <v>2261.2373616477271</v>
      </c>
      <c r="H60" s="239">
        <f>G60/G$42</f>
        <v>0.97048813804623479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0.77556818181818177</v>
      </c>
      <c r="G67" s="239">
        <f>F66*F67</f>
        <v>1786.1087889272724</v>
      </c>
      <c r="H67" s="239">
        <f>G67/G$42</f>
        <v>0.7665702956769409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0.77556818181818177</v>
      </c>
      <c r="G77" s="239">
        <f>F76*F77</f>
        <v>3121.3153303977269</v>
      </c>
      <c r="H77" s="239">
        <f>G77/G$42</f>
        <v>1.3396203134754192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0.77556818181818177</v>
      </c>
      <c r="G84" s="239">
        <f>F83*F84</f>
        <v>2455.6663552909085</v>
      </c>
      <c r="H84" s="239">
        <f>G84/G$42</f>
        <v>1.0539340580647676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0.77556818181818177</v>
      </c>
      <c r="G92" s="239">
        <f>SUM(F88:F91)*F92</f>
        <v>228.38931818181817</v>
      </c>
      <c r="H92" s="239">
        <f>G92/G$42</f>
        <v>9.8021166601638704E-2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0.77556818181818177</v>
      </c>
      <c r="G98" s="239">
        <f>SUM(F96:F97)*F98</f>
        <v>1427.0454545454545</v>
      </c>
      <c r="H98" s="239">
        <f>G98/G$42</f>
        <v>0.61246586031993755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0.77556818181818177</v>
      </c>
      <c r="G104" s="239">
        <f>SUM(F102:F103)*F104</f>
        <v>39.553977272727273</v>
      </c>
      <c r="H104" s="239">
        <f>G104/G$42</f>
        <v>1.697595591104175E-2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7077.5414420454517</v>
      </c>
      <c r="H105" s="243">
        <f>G105/G$42</f>
        <v>3.037571434354271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5936.7638942181793</v>
      </c>
      <c r="H106" s="239">
        <f>G106/G$42</f>
        <v>2.5479673365743261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498889</v>
      </c>
      <c r="F111" s="9">
        <f>D111*E111</f>
        <v>498889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498889</v>
      </c>
      <c r="F113" s="201">
        <f>D113*E113/100</f>
        <v>325175.85020000004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325175.85020000004</v>
      </c>
      <c r="F114" s="38">
        <f>IFERROR(E114/D114,0)</f>
        <v>2709.7987516666672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2709.7987516666672</v>
      </c>
      <c r="F115" s="160">
        <f>D115*E115</f>
        <v>2709.7987516666672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0.77556818181818177</v>
      </c>
      <c r="G116" s="239">
        <f>F115*F116</f>
        <v>2101.6336909232955</v>
      </c>
      <c r="H116" s="239">
        <f>G116/G$42</f>
        <v>0.90198870855077062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498889</v>
      </c>
      <c r="F119" s="9">
        <f>D119*E119</f>
        <v>498889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f>'lote 3.1'!D120</f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498889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173713.14979999996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352559.86741000001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4333.5483702479169</v>
      </c>
      <c r="F124" s="38">
        <f>E124</f>
        <v>4333.5483702479169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4333.5483702479169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4333.5483702479169</v>
      </c>
      <c r="F126" s="39">
        <f>D126*E126</f>
        <v>4333.5483702479169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0.77556818181818177</v>
      </c>
      <c r="G127" s="239">
        <f>F126*F127</f>
        <v>3360.9622303343217</v>
      </c>
      <c r="H127" s="239">
        <f>G127/G$42</f>
        <v>1.4424730602293225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'lote 3.1'!A130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4988.8900000000003</v>
      </c>
      <c r="F132" s="9">
        <f t="shared" ref="F132:F137" si="5">D132*E132</f>
        <v>4988.8900000000003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9220.89</v>
      </c>
      <c r="F138" s="38">
        <f>E138/D138</f>
        <v>768.40749999999991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768.40749999999991</v>
      </c>
      <c r="H139" s="239">
        <f>G139/G$42</f>
        <v>0.32978862660944203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2330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2330</v>
      </c>
      <c r="E144" s="89">
        <f>IFERROR(+E143/D143,"-")</f>
        <v>1.330909090909091</v>
      </c>
      <c r="F144" s="11">
        <f>IFERROR(D144*E144,"-")</f>
        <v>3101.0181818181823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2330</v>
      </c>
      <c r="E146" s="86">
        <f>+D145*E145/10000</f>
        <v>1.9214999999999999E-2</v>
      </c>
      <c r="F146" s="11">
        <f>D146*E146</f>
        <v>44.770949999999999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2330</v>
      </c>
      <c r="E148" s="231">
        <f>+D147*E147/100000</f>
        <v>9.9360000000000008E-4</v>
      </c>
      <c r="F148" s="11">
        <f>D148*E148</f>
        <v>2.3150880000000003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2330</v>
      </c>
      <c r="E150" s="231">
        <f>+D149*E149/80000</f>
        <v>4.4412499999999991E-4</v>
      </c>
      <c r="F150" s="11">
        <f>D150*E150</f>
        <v>1.0348112499999997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2330</v>
      </c>
      <c r="E152" s="86">
        <f>+D151*E151/10000</f>
        <v>1.99E-3</v>
      </c>
      <c r="F152" s="11">
        <f>D152*E152</f>
        <v>4.6367000000000003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3153.7757310681823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3626.8420907284094</v>
      </c>
      <c r="H154" s="239">
        <f>G154/G$42</f>
        <v>1.5565845882954548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2330</v>
      </c>
      <c r="E158" s="270">
        <f>'lote 3.1'!E158</f>
        <v>1.35</v>
      </c>
      <c r="F158" s="9">
        <f>D158*E158</f>
        <v>3145.5</v>
      </c>
      <c r="G158" s="136"/>
      <c r="H158" s="136"/>
      <c r="I158" s="34">
        <f>F158*12</f>
        <v>37746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3545.5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4077.3249999999998</v>
      </c>
      <c r="H161" s="239">
        <f>G161/G$42</f>
        <v>1.7499248927038626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1745</v>
      </c>
      <c r="F165" s="9">
        <f>D165*E165</f>
        <v>10470</v>
      </c>
      <c r="G165" s="136"/>
      <c r="H165" s="136"/>
      <c r="J165" s="34"/>
      <c r="K165" s="34"/>
    </row>
    <row r="166" spans="1:11" x14ac:dyDescent="0.2">
      <c r="A166" s="421" t="s">
        <v>288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10470</v>
      </c>
      <c r="F167" s="11">
        <f>IFERROR(E167/D167,"-")</f>
        <v>0.23266666666666666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2330</v>
      </c>
      <c r="E168" s="11">
        <f>F167</f>
        <v>0.23266666666666666</v>
      </c>
      <c r="F168" s="38">
        <f>IFERROR(D168*E168,0)</f>
        <v>542.11333333333334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623.43033333333335</v>
      </c>
      <c r="H169" s="239">
        <f>G169/G$42</f>
        <v>0.26756666666666667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14558.600845319361</v>
      </c>
      <c r="H171" s="239">
        <f>G171/G$42</f>
        <v>6.2483265430555193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3.7321173104434904E-2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3.7321173104434904E-2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21723.100620698144</v>
      </c>
      <c r="H185" s="242">
        <f>G185/G$42</f>
        <v>9.323219150514225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20582.323072870873</v>
      </c>
      <c r="H186" s="244">
        <f>G186/G$42</f>
        <v>8.8336150527342809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21723.100620698144</v>
      </c>
      <c r="F191" s="9">
        <f>D191*E191/100</f>
        <v>6897.0844470716602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6897.0844470716602</v>
      </c>
      <c r="H192" s="245">
        <f>G192/G$42</f>
        <v>2.960122080288266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6897.0844470716602</v>
      </c>
      <c r="H194" s="244">
        <f>G194/G$42</f>
        <v>2.960122080288266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28620.185067769802</v>
      </c>
      <c r="H196" s="244">
        <f>G196/G$42</f>
        <v>12.28334123080249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2330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12.28334123080249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21723.100620698144</v>
      </c>
      <c r="F205" s="9">
        <f>D205*E205/100</f>
        <v>5198.3379785330653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5198.3379785330653</v>
      </c>
      <c r="H206" s="245">
        <f>G206/G$42</f>
        <v>2.2310463427180536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5198.3379785330653</v>
      </c>
      <c r="H208" s="244">
        <f>G208/G$42</f>
        <v>2.2310463427180536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26921.438599231209</v>
      </c>
      <c r="H210" s="244">
        <f>G210/G$42</f>
        <v>11.554265493232279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2330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11.554265493232279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20582.323072870873</v>
      </c>
      <c r="F219" s="9">
        <f>D219*E219/100</f>
        <v>3484.5872962370386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3484.5872962370386</v>
      </c>
      <c r="H220" s="245">
        <f>G220/G$42</f>
        <v>1.4955310284279135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3484.5872962370386</v>
      </c>
      <c r="H222" s="244">
        <f>G222/G$42</f>
        <v>1.4955310284279135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24066.910369107911</v>
      </c>
      <c r="H224" s="244">
        <f>G224/G$42</f>
        <v>10.329146081162193</v>
      </c>
      <c r="I224" s="34"/>
    </row>
    <row r="225" spans="1:12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2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2" x14ac:dyDescent="0.2">
      <c r="A227" s="153" t="s">
        <v>122</v>
      </c>
      <c r="B227" s="6"/>
      <c r="E227" s="27"/>
      <c r="F227" s="27"/>
      <c r="G227" s="43"/>
      <c r="H227" s="43"/>
    </row>
    <row r="228" spans="1:12" x14ac:dyDescent="0.2">
      <c r="A228" s="100" t="s">
        <v>120</v>
      </c>
      <c r="B228" s="6"/>
      <c r="E228" s="27"/>
      <c r="F228" s="27"/>
      <c r="G228" s="43"/>
      <c r="H228" s="43"/>
    </row>
    <row r="229" spans="1:12" x14ac:dyDescent="0.2">
      <c r="A229" s="426" t="str">
        <f>'lote 3.1'!A229</f>
        <v>De R$ 360.000,01 até R$ 720.000,00</v>
      </c>
      <c r="B229" s="415"/>
      <c r="E229" s="27"/>
      <c r="F229" s="27"/>
      <c r="G229" s="43"/>
      <c r="H229" s="43"/>
    </row>
    <row r="230" spans="1:12" ht="11.25" customHeight="1" thickBot="1" x14ac:dyDescent="0.25">
      <c r="A230" s="123"/>
      <c r="E230" s="27"/>
      <c r="F230" s="27"/>
      <c r="G230" s="43"/>
      <c r="H230" s="43"/>
    </row>
    <row r="231" spans="1:12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2" ht="13.5" thickBot="1" x14ac:dyDescent="0.25">
      <c r="A232" s="405" t="s">
        <v>184</v>
      </c>
      <c r="B232" s="390"/>
      <c r="C232" s="124" t="s">
        <v>0</v>
      </c>
      <c r="D232" s="330">
        <f>'lote 3.1'!D232</f>
        <v>10.130000000000001</v>
      </c>
      <c r="E232" s="125">
        <f>G224</f>
        <v>24066.910369107911</v>
      </c>
      <c r="F232" s="9">
        <f>G235*(D232/100)</f>
        <v>2712.782931334852</v>
      </c>
      <c r="G232" s="136"/>
      <c r="H232" s="136"/>
      <c r="I232" s="328">
        <f>G235*12</f>
        <v>321356.31960531313</v>
      </c>
      <c r="J232" s="34">
        <f>I233*J233/100</f>
        <v>70695.289999386907</v>
      </c>
      <c r="K232" s="34">
        <f>J232-K233</f>
        <v>53055.289999386907</v>
      </c>
      <c r="L232" s="4">
        <f>K232/I233*100</f>
        <v>10.131458757690009</v>
      </c>
    </row>
    <row r="233" spans="1:12" ht="13.5" thickBot="1" x14ac:dyDescent="0.25">
      <c r="A233" s="99"/>
      <c r="E233" s="27"/>
      <c r="F233" s="27"/>
      <c r="G233" s="244">
        <f>F232</f>
        <v>2712.782931334852</v>
      </c>
      <c r="H233" s="244">
        <f>G233/G$42</f>
        <v>1.1642845198862026</v>
      </c>
      <c r="I233" s="34">
        <f>I232+'lote 3.1'!I235</f>
        <v>523668.81481027335</v>
      </c>
      <c r="J233" s="4">
        <v>13.5</v>
      </c>
      <c r="K233" s="4">
        <v>17640</v>
      </c>
    </row>
    <row r="234" spans="1:12" ht="13.5" thickBot="1" x14ac:dyDescent="0.25">
      <c r="A234" s="126"/>
      <c r="B234" s="127"/>
      <c r="C234" s="127"/>
      <c r="D234" s="127"/>
      <c r="E234" s="128"/>
      <c r="F234" s="128"/>
      <c r="G234" s="152"/>
      <c r="H234" s="152"/>
    </row>
    <row r="235" spans="1:12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26779.693300442763</v>
      </c>
      <c r="H235" s="244">
        <f>G235/G$42</f>
        <v>11.493430601048397</v>
      </c>
    </row>
    <row r="236" spans="1:12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2" ht="16.149999999999999" customHeight="1" x14ac:dyDescent="0.2">
      <c r="A237" s="154" t="s">
        <v>186</v>
      </c>
      <c r="B237" s="215"/>
      <c r="C237" s="82"/>
      <c r="D237" s="82"/>
      <c r="E237" s="157">
        <f>E$198</f>
        <v>2330</v>
      </c>
      <c r="F237" s="156" t="s">
        <v>153</v>
      </c>
      <c r="G237" s="43"/>
      <c r="H237" s="43"/>
    </row>
    <row r="238" spans="1:12" ht="13.5" thickBot="1" x14ac:dyDescent="0.25">
      <c r="A238" s="99"/>
      <c r="E238" s="27"/>
      <c r="F238" s="27"/>
      <c r="G238" s="43"/>
      <c r="H238" s="43"/>
    </row>
    <row r="239" spans="1:12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11.493430601048397</v>
      </c>
      <c r="H239" s="425"/>
    </row>
    <row r="240" spans="1:12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C247:E247"/>
    <mergeCell ref="C248:E248"/>
    <mergeCell ref="C249:E249"/>
    <mergeCell ref="A1:H1"/>
    <mergeCell ref="D3:E3"/>
    <mergeCell ref="G3:H3"/>
    <mergeCell ref="C7:D7"/>
    <mergeCell ref="E7:F7"/>
    <mergeCell ref="G7:H7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43:B43"/>
    <mergeCell ref="D45:G45"/>
    <mergeCell ref="A46:B46"/>
    <mergeCell ref="D46:F46"/>
    <mergeCell ref="A47:B47"/>
    <mergeCell ref="D47:G47"/>
    <mergeCell ref="A35:B35"/>
    <mergeCell ref="A36:B36"/>
    <mergeCell ref="A38:B38"/>
    <mergeCell ref="A39:B39"/>
    <mergeCell ref="A41:B41"/>
    <mergeCell ref="A42:B42"/>
    <mergeCell ref="A37:B37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113:B113"/>
    <mergeCell ref="A114:B114"/>
    <mergeCell ref="A115:B115"/>
    <mergeCell ref="A118:B118"/>
    <mergeCell ref="A119:B119"/>
    <mergeCell ref="A120:B120"/>
    <mergeCell ref="A90:B90"/>
    <mergeCell ref="A91:B91"/>
    <mergeCell ref="A96:B96"/>
    <mergeCell ref="A97:B97"/>
    <mergeCell ref="A111:B111"/>
    <mergeCell ref="A112:B112"/>
    <mergeCell ref="A102:B102"/>
    <mergeCell ref="A103:B103"/>
    <mergeCell ref="A131:B131"/>
    <mergeCell ref="A132:B132"/>
    <mergeCell ref="A133:B133"/>
    <mergeCell ref="A134:B134"/>
    <mergeCell ref="A135:B135"/>
    <mergeCell ref="A136:B136"/>
    <mergeCell ref="A121:B121"/>
    <mergeCell ref="A122:B122"/>
    <mergeCell ref="A123:B123"/>
    <mergeCell ref="A124:B124"/>
    <mergeCell ref="A125:B125"/>
    <mergeCell ref="A126:B126"/>
    <mergeCell ref="A146:B146"/>
    <mergeCell ref="A147:B147"/>
    <mergeCell ref="A148:B148"/>
    <mergeCell ref="A149:B149"/>
    <mergeCell ref="A150:B150"/>
    <mergeCell ref="A151:B151"/>
    <mergeCell ref="A137:B137"/>
    <mergeCell ref="A138:B138"/>
    <mergeCell ref="A142:B142"/>
    <mergeCell ref="A143:B143"/>
    <mergeCell ref="A144:B144"/>
    <mergeCell ref="A145:B145"/>
    <mergeCell ref="A164:B164"/>
    <mergeCell ref="A165:B165"/>
    <mergeCell ref="A167:B167"/>
    <mergeCell ref="A168:B168"/>
    <mergeCell ref="A175:B175"/>
    <mergeCell ref="A176:B176"/>
    <mergeCell ref="A152:B152"/>
    <mergeCell ref="A153:B153"/>
    <mergeCell ref="A157:B157"/>
    <mergeCell ref="A158:B158"/>
    <mergeCell ref="A159:B159"/>
    <mergeCell ref="A160:B160"/>
    <mergeCell ref="A166:B166"/>
    <mergeCell ref="G239:H239"/>
    <mergeCell ref="A198:B198"/>
    <mergeCell ref="G200:H200"/>
    <mergeCell ref="A205:B205"/>
    <mergeCell ref="G214:H214"/>
    <mergeCell ref="A229:B229"/>
    <mergeCell ref="A232:B232"/>
    <mergeCell ref="A177:B177"/>
    <mergeCell ref="A178:B178"/>
    <mergeCell ref="A179:B179"/>
    <mergeCell ref="A180:B180"/>
    <mergeCell ref="A190:B190"/>
    <mergeCell ref="A191:B191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52"/>
  <sheetViews>
    <sheetView topLeftCell="A25" zoomScaleNormal="100" zoomScaleSheetLayoutView="110" workbookViewId="0">
      <selection sqref="A1:H1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3.1'!B3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4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5470.1877079545457</v>
      </c>
      <c r="D9" s="40">
        <f t="shared" ref="D9:D23" si="0">IFERROR(C9/$C$26,0)</f>
        <v>0.2799602600899046</v>
      </c>
      <c r="E9" s="106">
        <f>G105</f>
        <v>5470.1877079545457</v>
      </c>
      <c r="F9" s="40">
        <f t="shared" ref="F9:F22" si="1">IFERROR(E9/$E$26,0)</f>
        <v>0.29762579090490543</v>
      </c>
      <c r="G9" s="106">
        <f>G106</f>
        <v>4588.4878449818179</v>
      </c>
      <c r="H9" s="40">
        <f t="shared" ref="H9:H22" si="2">IFERROR(G9/$G$26,0)</f>
        <v>0.2623631327508979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1747.6962758522725</v>
      </c>
      <c r="D10" s="26">
        <f t="shared" si="0"/>
        <v>8.9445834415199113E-2</v>
      </c>
      <c r="E10" s="107">
        <f t="shared" ref="E10:E22" si="3">C10</f>
        <v>1747.6962758522725</v>
      </c>
      <c r="F10" s="26">
        <f t="shared" si="1"/>
        <v>9.508987883645996E-2</v>
      </c>
      <c r="G10" s="107">
        <f>G67</f>
        <v>1380.4723606727271</v>
      </c>
      <c r="H10" s="26">
        <f t="shared" si="2"/>
        <v>7.8933423266714403E-2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2412.4451821022726</v>
      </c>
      <c r="D11" s="26">
        <f t="shared" si="0"/>
        <v>0.12346720381310937</v>
      </c>
      <c r="E11" s="107">
        <f t="shared" si="3"/>
        <v>2412.4451821022726</v>
      </c>
      <c r="F11" s="26">
        <f t="shared" si="1"/>
        <v>0.13125800131023288</v>
      </c>
      <c r="G11" s="107">
        <f>G84</f>
        <v>1897.9692343090906</v>
      </c>
      <c r="H11" s="26">
        <f t="shared" si="2"/>
        <v>0.10852314989190717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176.5206818181818</v>
      </c>
      <c r="D12" s="26">
        <f t="shared" si="0"/>
        <v>9.0342011337567994E-3</v>
      </c>
      <c r="E12" s="107">
        <f t="shared" si="3"/>
        <v>176.5206818181818</v>
      </c>
      <c r="F12" s="26">
        <f t="shared" si="1"/>
        <v>9.6042604645562701E-3</v>
      </c>
      <c r="G12" s="107">
        <f t="shared" ref="G12:G21" si="4">E12</f>
        <v>176.5206818181818</v>
      </c>
      <c r="H12" s="26">
        <f t="shared" si="2"/>
        <v>1.0093198596525028E-2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1102.9545454545453</v>
      </c>
      <c r="D13" s="26">
        <f t="shared" si="0"/>
        <v>5.6448417842001192E-2</v>
      </c>
      <c r="E13" s="107">
        <f t="shared" si="3"/>
        <v>1102.9545454545453</v>
      </c>
      <c r="F13" s="26">
        <f t="shared" si="1"/>
        <v>6.0010320751098661E-2</v>
      </c>
      <c r="G13" s="107">
        <f t="shared" si="4"/>
        <v>1102.9545454545453</v>
      </c>
      <c r="H13" s="26">
        <f t="shared" si="2"/>
        <v>6.3065353903851026E-2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30.571022727272723</v>
      </c>
      <c r="D14" s="26">
        <f t="shared" si="0"/>
        <v>1.5646028858380765E-3</v>
      </c>
      <c r="E14" s="107">
        <f>C14</f>
        <v>30.571022727272723</v>
      </c>
      <c r="F14" s="26">
        <f t="shared" si="1"/>
        <v>1.6633295425576261E-3</v>
      </c>
      <c r="G14" s="107">
        <f>E14</f>
        <v>30.571022727272723</v>
      </c>
      <c r="H14" s="26">
        <f t="shared" si="2"/>
        <v>1.748007091900219E-3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9273.3342848981883</v>
      </c>
      <c r="D15" s="40">
        <f t="shared" si="0"/>
        <v>0.4746025578839787</v>
      </c>
      <c r="E15" s="106">
        <f t="shared" si="3"/>
        <v>9273.3342848981883</v>
      </c>
      <c r="F15" s="40">
        <f t="shared" si="1"/>
        <v>0.50455004438968931</v>
      </c>
      <c r="G15" s="106">
        <f t="shared" si="4"/>
        <v>9273.3342848981883</v>
      </c>
      <c r="H15" s="40">
        <f t="shared" si="2"/>
        <v>0.53023591131292125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879.37674154356068</v>
      </c>
      <c r="D16" s="46">
        <f t="shared" si="0"/>
        <v>4.5005867151788378E-2</v>
      </c>
      <c r="E16" s="107">
        <f t="shared" si="3"/>
        <v>879.37674154356068</v>
      </c>
      <c r="F16" s="46">
        <f t="shared" si="1"/>
        <v>4.784574354271056E-2</v>
      </c>
      <c r="G16" s="107">
        <f t="shared" si="4"/>
        <v>879.37674154356068</v>
      </c>
      <c r="H16" s="46">
        <f t="shared" si="2"/>
        <v>5.0281496775014221E-2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1406.3116837758403</v>
      </c>
      <c r="D17" s="46">
        <f t="shared" si="0"/>
        <v>7.1974017305628343E-2</v>
      </c>
      <c r="E17" s="107">
        <f t="shared" si="3"/>
        <v>1406.3116837758403</v>
      </c>
      <c r="F17" s="46">
        <f t="shared" si="1"/>
        <v>7.651558767059255E-2</v>
      </c>
      <c r="G17" s="107">
        <f t="shared" si="4"/>
        <v>1406.3116837758403</v>
      </c>
      <c r="H17" s="46">
        <f t="shared" si="2"/>
        <v>8.0410878582393097E-2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577.73833333333334</v>
      </c>
      <c r="D18" s="46">
        <f t="shared" si="0"/>
        <v>2.9568231055162174E-2</v>
      </c>
      <c r="E18" s="107">
        <f t="shared" si="3"/>
        <v>577.73833333333334</v>
      </c>
      <c r="F18" s="46">
        <f t="shared" si="1"/>
        <v>3.1433990490741685E-2</v>
      </c>
      <c r="G18" s="107">
        <f t="shared" si="4"/>
        <v>577.73833333333334</v>
      </c>
      <c r="H18" s="46">
        <f t="shared" si="2"/>
        <v>3.3034246611198435E-2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2777.4883262454546</v>
      </c>
      <c r="D19" s="46">
        <f t="shared" si="0"/>
        <v>0.14214984854753956</v>
      </c>
      <c r="E19" s="107">
        <f t="shared" si="3"/>
        <v>2777.4883262454546</v>
      </c>
      <c r="F19" s="46">
        <f t="shared" si="1"/>
        <v>0.15111952349018268</v>
      </c>
      <c r="G19" s="107">
        <f t="shared" si="4"/>
        <v>2777.4883262454546</v>
      </c>
      <c r="H19" s="46">
        <f t="shared" si="2"/>
        <v>0.15881278605755855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3250.2</v>
      </c>
      <c r="D20" s="46">
        <f t="shared" si="0"/>
        <v>0.16634289094339957</v>
      </c>
      <c r="E20" s="107">
        <f t="shared" si="3"/>
        <v>3250.2</v>
      </c>
      <c r="F20" s="46">
        <f t="shared" si="1"/>
        <v>0.17683915017988294</v>
      </c>
      <c r="G20" s="107">
        <f t="shared" si="4"/>
        <v>3250.2</v>
      </c>
      <c r="H20" s="46">
        <f t="shared" si="2"/>
        <v>0.18584175939346903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382.2192</v>
      </c>
      <c r="D21" s="46">
        <f t="shared" si="0"/>
        <v>1.9561702880460718E-2</v>
      </c>
      <c r="E21" s="107">
        <f t="shared" si="3"/>
        <v>382.2192</v>
      </c>
      <c r="F21" s="46">
        <f t="shared" si="1"/>
        <v>2.0796049015578955E-2</v>
      </c>
      <c r="G21" s="107">
        <f t="shared" si="4"/>
        <v>382.2192</v>
      </c>
      <c r="H21" s="46">
        <f t="shared" si="2"/>
        <v>2.1854743893287867E-2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4.4504647585645353E-3</v>
      </c>
      <c r="E22" s="106">
        <f t="shared" si="3"/>
        <v>86.958333333333329</v>
      </c>
      <c r="F22" s="40">
        <f t="shared" si="1"/>
        <v>4.7312896953189514E-3</v>
      </c>
      <c r="G22" s="106">
        <f>E22</f>
        <v>86.958333333333329</v>
      </c>
      <c r="H22" s="40">
        <f t="shared" si="2"/>
        <v>4.9721523784968342E-3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4708.6775035640758</v>
      </c>
      <c r="D23" s="40">
        <f t="shared" si="0"/>
        <v>0.24098671726755216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3548.9339420563256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3540.2920176309212</v>
      </c>
      <c r="H25" s="108">
        <f>IFERROR(G25/$G$26,0)</f>
        <v>0.20242880355768406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19539.157829750144</v>
      </c>
      <c r="D26" s="45">
        <f>D9+D15+D22+D23</f>
        <v>1</v>
      </c>
      <c r="E26" s="129">
        <f>E9+E15+E22+E24</f>
        <v>18379.414268242392</v>
      </c>
      <c r="F26" s="45">
        <f>F9+F15+F22+F24</f>
        <v>1</v>
      </c>
      <c r="G26" s="129">
        <f>G9+G15+G22+G25</f>
        <v>17489.072480844261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11.426408087573183</v>
      </c>
      <c r="D27" s="45"/>
      <c r="E27" s="129">
        <f>G214</f>
        <v>10.748195478504323</v>
      </c>
      <c r="F27" s="45"/>
      <c r="G27" s="129">
        <f>G239</f>
        <v>10.227527766575591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15</v>
      </c>
      <c r="F36" s="262">
        <v>1</v>
      </c>
      <c r="G36" s="259">
        <v>270086</v>
      </c>
      <c r="H36" s="193"/>
      <c r="I36" s="4"/>
    </row>
    <row r="37" spans="1:9" s="2" customFormat="1" ht="52.5" customHeight="1" x14ac:dyDescent="0.2">
      <c r="A37" s="386" t="s">
        <v>306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85.5</v>
      </c>
      <c r="F42" s="161">
        <f>(E42/F39)+C48</f>
        <v>5.2750000000000004</v>
      </c>
      <c r="G42" s="186">
        <f>E42*E43</f>
        <v>1710</v>
      </c>
      <c r="H42" s="193"/>
      <c r="I42" s="6">
        <f>30.5+41.5+13.5</f>
        <v>85.5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17356.5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0.59943181818181812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0.2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0.59943181818181812</v>
      </c>
      <c r="G60" s="239">
        <f>F59*F60</f>
        <v>1747.6962758522725</v>
      </c>
      <c r="H60" s="239">
        <f>G60/G$42</f>
        <v>1.0220446057615629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0.59943181818181812</v>
      </c>
      <c r="G67" s="239">
        <f>F66*F67</f>
        <v>1380.4723606727271</v>
      </c>
      <c r="H67" s="239">
        <f>G67/G$42</f>
        <v>0.80729377817118542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0.59943181818181812</v>
      </c>
      <c r="G77" s="239">
        <f>F76*F77</f>
        <v>2412.4451821022726</v>
      </c>
      <c r="H77" s="239">
        <f>G77/G$42</f>
        <v>1.4107866562001594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0.59943181818181812</v>
      </c>
      <c r="G84" s="239">
        <f>F83*F84</f>
        <v>1897.9692343090906</v>
      </c>
      <c r="H84" s="239">
        <f>G84/G$42</f>
        <v>1.1099235288357254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0.59943181818181812</v>
      </c>
      <c r="G92" s="239">
        <f>SUM(F88:F91)*F92</f>
        <v>176.5206818181818</v>
      </c>
      <c r="H92" s="239">
        <f>G92/G$42</f>
        <v>0.10322846889952152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0.59943181818181812</v>
      </c>
      <c r="G98" s="239">
        <f>SUM(F96:F97)*F98</f>
        <v>1102.9545454545453</v>
      </c>
      <c r="H98" s="239">
        <f>G98/G$42</f>
        <v>0.6450026581605528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0.59943181818181812</v>
      </c>
      <c r="G104" s="239">
        <f>SUM(F102:F103)*F104</f>
        <v>30.571022727272723</v>
      </c>
      <c r="H104" s="239">
        <f>G104/G$42</f>
        <v>1.7877791068580541E-2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5470.1877079545457</v>
      </c>
      <c r="H105" s="243">
        <f>G105/G$42</f>
        <v>3.1989401800903776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4588.4878449818179</v>
      </c>
      <c r="H106" s="239">
        <f>G106/G$42</f>
        <v>2.6833262251355658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270086</v>
      </c>
      <c r="F111" s="9">
        <f>D111*E111</f>
        <v>270086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270086</v>
      </c>
      <c r="F113" s="201">
        <f>D113*E113/100</f>
        <v>176042.05480000001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176042.05480000001</v>
      </c>
      <c r="F114" s="38">
        <f>IFERROR(E114/D114,0)</f>
        <v>1467.0171233333335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1467.0171233333335</v>
      </c>
      <c r="F115" s="160">
        <f>D115*E115</f>
        <v>1467.0171233333335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0.59943181818181812</v>
      </c>
      <c r="G116" s="239">
        <f>F115*F116</f>
        <v>879.37674154356068</v>
      </c>
      <c r="H116" s="239">
        <f>G116/G$42</f>
        <v>0.51425540441143902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270086</v>
      </c>
      <c r="F119" s="9">
        <f>D119*E119</f>
        <v>270086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f>'lote 3.1'!D120</f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270086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94043.945199999987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190867.07533999998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2346.0744677208331</v>
      </c>
      <c r="F124" s="38">
        <f>E124</f>
        <v>2346.0744677208331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2346.0744677208331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2346.0744677208331</v>
      </c>
      <c r="F126" s="39">
        <f>D126*E126</f>
        <v>2346.0744677208331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0.59943181818181812</v>
      </c>
      <c r="G127" s="239">
        <f>F126*F127</f>
        <v>1406.3116837758403</v>
      </c>
      <c r="H127" s="239">
        <f>G127/G$42</f>
        <v>0.82240449343616395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 lote 3.2'!A130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2700.86</v>
      </c>
      <c r="F132" s="9">
        <f t="shared" ref="F132:F137" si="5">D132*E132</f>
        <v>2700.86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6932.8600000000006</v>
      </c>
      <c r="F138" s="38">
        <f>E138/D138</f>
        <v>577.73833333333334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577.73833333333334</v>
      </c>
      <c r="H139" s="239">
        <f>G139/G$42</f>
        <v>0.33785867446393764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1710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1710</v>
      </c>
      <c r="E144" s="89">
        <f>IFERROR(+E143/D143,"-")</f>
        <v>1.330909090909091</v>
      </c>
      <c r="F144" s="11">
        <f>IFERROR(D144*E144,"-")</f>
        <v>2275.8545454545456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1710</v>
      </c>
      <c r="E146" s="86">
        <f>+D145*E145/10000</f>
        <v>1.9214999999999999E-2</v>
      </c>
      <c r="F146" s="11">
        <f>D146*E146</f>
        <v>32.85765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1710</v>
      </c>
      <c r="E148" s="231">
        <f>+D147*E147/100000</f>
        <v>9.9360000000000008E-4</v>
      </c>
      <c r="F148" s="11">
        <f>D148*E148</f>
        <v>1.6990560000000001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1710</v>
      </c>
      <c r="E150" s="231">
        <f>+D149*E149/80000</f>
        <v>4.4412499999999991E-4</v>
      </c>
      <c r="F150" s="11">
        <f>D150*E150</f>
        <v>0.75945374999999982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1710</v>
      </c>
      <c r="E152" s="86">
        <f>+D151*E151/10000</f>
        <v>1.99E-3</v>
      </c>
      <c r="F152" s="11">
        <f>D152*E152</f>
        <v>3.4028999999999998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2314.5736052045454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1.2</v>
      </c>
      <c r="G154" s="239">
        <f>F153*F154</f>
        <v>2777.4883262454546</v>
      </c>
      <c r="H154" s="239">
        <f>G154/G$42</f>
        <v>1.6242621790909091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1710</v>
      </c>
      <c r="E158" s="270">
        <f>'lote 3.1'!E158</f>
        <v>1.35</v>
      </c>
      <c r="F158" s="9">
        <f>D158*E158</f>
        <v>2308.5</v>
      </c>
      <c r="G158" s="136"/>
      <c r="H158" s="136"/>
      <c r="I158" s="34">
        <f>F158*12</f>
        <v>27702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2708.5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1.2</v>
      </c>
      <c r="G161" s="239">
        <f>F160*F161</f>
        <v>3250.2</v>
      </c>
      <c r="H161" s="239">
        <f>G161/G$42</f>
        <v>1.9007017543859648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1397</v>
      </c>
      <c r="F165" s="9">
        <f>D165*E165</f>
        <v>8382</v>
      </c>
      <c r="G165" s="136"/>
      <c r="H165" s="136"/>
      <c r="J165" s="34"/>
      <c r="K165" s="34"/>
    </row>
    <row r="166" spans="1:11" x14ac:dyDescent="0.2">
      <c r="A166" s="421" t="s">
        <v>318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8382</v>
      </c>
      <c r="F167" s="11">
        <f>IFERROR(E167/D167,"-")</f>
        <v>0.18626666666666666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1710</v>
      </c>
      <c r="E168" s="11">
        <f>F167</f>
        <v>0.18626666666666666</v>
      </c>
      <c r="F168" s="38">
        <f>IFERROR(D168*E168,0)</f>
        <v>318.51600000000002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1.2</v>
      </c>
      <c r="G169" s="239">
        <f>F168*F169</f>
        <v>382.2192</v>
      </c>
      <c r="H169" s="239">
        <f>G169/G$42</f>
        <v>0.22352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9273.3342848981883</v>
      </c>
      <c r="H171" s="239">
        <f>G171/G$42</f>
        <v>5.4230025057884141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5.0852826510721247E-2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5.0852826510721247E-2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14830.480326186067</v>
      </c>
      <c r="H185" s="242">
        <f>G185/G$42</f>
        <v>8.6727955123895129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13948.780463213339</v>
      </c>
      <c r="H186" s="244">
        <f>G186/G$42</f>
        <v>8.1571815574347006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14830.480326186067</v>
      </c>
      <c r="F191" s="9">
        <f>D191*E191/100</f>
        <v>4708.6775035640758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4708.6775035640758</v>
      </c>
      <c r="H192" s="245">
        <f>G192/G$42</f>
        <v>2.75361257518367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4708.6775035640758</v>
      </c>
      <c r="H194" s="244">
        <f>G194/G$42</f>
        <v>2.75361257518367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19539.157829750144</v>
      </c>
      <c r="H196" s="244">
        <f>G196/G$42</f>
        <v>11.426408087573183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1710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11.426408087573183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14830.480326186067</v>
      </c>
      <c r="F205" s="9">
        <f>D205*E205/100</f>
        <v>3548.9339420563256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3548.9339420563256</v>
      </c>
      <c r="H206" s="245">
        <f>G206/G$42</f>
        <v>2.0753999661148104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3548.9339420563256</v>
      </c>
      <c r="H208" s="244">
        <f>G208/G$42</f>
        <v>2.0753999661148104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18379.414268242392</v>
      </c>
      <c r="H210" s="244">
        <f>G210/G$42</f>
        <v>10.748195478504323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1710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10.748195478504323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13948.780463213339</v>
      </c>
      <c r="F219" s="9">
        <f>D219*E219/100</f>
        <v>2361.5285324220181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2361.5285324220181</v>
      </c>
      <c r="H220" s="245">
        <f>G220/G$42</f>
        <v>1.3810108376736947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2361.5285324220181</v>
      </c>
      <c r="H222" s="244">
        <f>G222/G$42</f>
        <v>1.3810108376736947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16310.308995635358</v>
      </c>
      <c r="H224" s="244">
        <f>G224/G$42</f>
        <v>9.5381923951083962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315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v>6.74</v>
      </c>
      <c r="E232" s="125">
        <f>G224</f>
        <v>16310.308995635358</v>
      </c>
      <c r="F232" s="9">
        <f>G235*(D232/100)</f>
        <v>1178.7634852089031</v>
      </c>
      <c r="G232" s="136"/>
      <c r="H232" s="136"/>
      <c r="I232" s="328">
        <f>G235*12</f>
        <v>209868.86977013113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1178.7634852089031</v>
      </c>
      <c r="H233" s="244">
        <f>G233/G$42</f>
        <v>0.68933537146719481</v>
      </c>
      <c r="I233" s="34">
        <v>11.2</v>
      </c>
      <c r="J233" s="4">
        <f>I233*I232/100</f>
        <v>23505.313414254688</v>
      </c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  <c r="I234" s="4">
        <v>9360</v>
      </c>
      <c r="J234" s="4">
        <f>J233-I234</f>
        <v>14145.313414254688</v>
      </c>
      <c r="K234" s="358">
        <f>J234/I232</f>
        <v>6.7400722316501807E-2</v>
      </c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17489.072480844261</v>
      </c>
      <c r="H235" s="244">
        <f>G235/G$42</f>
        <v>10.227527766575591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1710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10.227527766575591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52"/>
  <sheetViews>
    <sheetView topLeftCell="A222" zoomScaleNormal="100" zoomScaleSheetLayoutView="110" workbookViewId="0">
      <selection activeCell="E246" sqref="E246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3.1'!B3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6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5859.0636113636365</v>
      </c>
      <c r="D9" s="40">
        <f t="shared" ref="D9:D23" si="0">IFERROR(C9/$C$26,0)</f>
        <v>0.26249842536283891</v>
      </c>
      <c r="E9" s="106">
        <f>G105</f>
        <v>5859.0636113636365</v>
      </c>
      <c r="F9" s="40">
        <f t="shared" ref="F9:F22" si="1">IFERROR(E9/$E$26,0)</f>
        <v>0.27906211201124842</v>
      </c>
      <c r="G9" s="106">
        <f>G106</f>
        <v>4914.683663345455</v>
      </c>
      <c r="H9" s="40">
        <f t="shared" ref="H9:H22" si="2">IFERROR(G9/$G$26,0)</f>
        <v>0.24345637012411789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1871.9400869318183</v>
      </c>
      <c r="D10" s="26">
        <f t="shared" si="0"/>
        <v>8.3866869825435147E-2</v>
      </c>
      <c r="E10" s="107">
        <f t="shared" ref="E10:E22" si="3">C10</f>
        <v>1871.9400869318183</v>
      </c>
      <c r="F10" s="26">
        <f t="shared" si="1"/>
        <v>8.9158880815791805E-2</v>
      </c>
      <c r="G10" s="107">
        <f>G67</f>
        <v>1478.6102062181817</v>
      </c>
      <c r="H10" s="26">
        <f t="shared" si="2"/>
        <v>7.3245217452981168E-2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2583.9460244318184</v>
      </c>
      <c r="D11" s="26">
        <f t="shared" si="0"/>
        <v>0.11576623973161761</v>
      </c>
      <c r="E11" s="107">
        <f t="shared" si="3"/>
        <v>2583.9460244318184</v>
      </c>
      <c r="F11" s="26">
        <f t="shared" si="1"/>
        <v>0.12307110533882529</v>
      </c>
      <c r="G11" s="107">
        <f>G84</f>
        <v>2032.8959571272726</v>
      </c>
      <c r="H11" s="26">
        <f t="shared" si="2"/>
        <v>0.10070260966202332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189.06954545454548</v>
      </c>
      <c r="D12" s="26">
        <f t="shared" si="0"/>
        <v>8.4707149909804286E-3</v>
      </c>
      <c r="E12" s="107">
        <f t="shared" si="3"/>
        <v>189.06954545454548</v>
      </c>
      <c r="F12" s="26">
        <f t="shared" si="1"/>
        <v>9.0052182688749385E-3</v>
      </c>
      <c r="G12" s="107">
        <f t="shared" ref="G12:G21" si="4">E12</f>
        <v>189.06954545454548</v>
      </c>
      <c r="H12" s="26">
        <f t="shared" si="2"/>
        <v>9.3658490333124577E-3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1181.3636363636365</v>
      </c>
      <c r="D13" s="26">
        <f t="shared" si="0"/>
        <v>5.2927586197378383E-2</v>
      </c>
      <c r="E13" s="107">
        <f t="shared" si="3"/>
        <v>1181.3636363636365</v>
      </c>
      <c r="F13" s="26">
        <f t="shared" si="1"/>
        <v>5.6267324146732842E-2</v>
      </c>
      <c r="G13" s="107">
        <f t="shared" si="4"/>
        <v>1181.3636363636365</v>
      </c>
      <c r="H13" s="26">
        <f t="shared" si="2"/>
        <v>5.8520654106543467E-2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32.744318181818187</v>
      </c>
      <c r="D14" s="26">
        <f t="shared" si="0"/>
        <v>1.4670146174273358E-3</v>
      </c>
      <c r="E14" s="107">
        <f>C14</f>
        <v>32.744318181818187</v>
      </c>
      <c r="F14" s="26">
        <f t="shared" si="1"/>
        <v>1.5595834410235736E-3</v>
      </c>
      <c r="G14" s="107">
        <f>E14</f>
        <v>32.744318181818187</v>
      </c>
      <c r="H14" s="26">
        <f t="shared" si="2"/>
        <v>1.6220398692574549E-3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10995.440082179284</v>
      </c>
      <c r="D15" s="40">
        <f t="shared" si="0"/>
        <v>0.49261894036199971</v>
      </c>
      <c r="E15" s="106">
        <f t="shared" si="3"/>
        <v>10995.440082179284</v>
      </c>
      <c r="F15" s="40">
        <f t="shared" si="1"/>
        <v>0.52370326307345638</v>
      </c>
      <c r="G15" s="106">
        <f t="shared" si="4"/>
        <v>10995.440082179284</v>
      </c>
      <c r="H15" s="40">
        <f t="shared" si="2"/>
        <v>0.54467593718990492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1409.8697559280308</v>
      </c>
      <c r="D16" s="46">
        <f t="shared" si="0"/>
        <v>6.316514300681296E-2</v>
      </c>
      <c r="E16" s="107">
        <f t="shared" si="3"/>
        <v>1409.8697559280308</v>
      </c>
      <c r="F16" s="46">
        <f t="shared" si="1"/>
        <v>6.7150872195171518E-2</v>
      </c>
      <c r="G16" s="107">
        <f t="shared" si="4"/>
        <v>1409.8697559280308</v>
      </c>
      <c r="H16" s="46">
        <f t="shared" si="2"/>
        <v>6.984005413938843E-2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2254.683592021709</v>
      </c>
      <c r="D17" s="46">
        <f t="shared" si="0"/>
        <v>0.1010145872881863</v>
      </c>
      <c r="E17" s="107">
        <f t="shared" si="3"/>
        <v>2254.683592021709</v>
      </c>
      <c r="F17" s="46">
        <f t="shared" si="1"/>
        <v>0.10738862160266717</v>
      </c>
      <c r="G17" s="107">
        <f t="shared" si="4"/>
        <v>2254.683592021709</v>
      </c>
      <c r="H17" s="46">
        <f t="shared" si="2"/>
        <v>0.11168919928375647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689.56500000000005</v>
      </c>
      <c r="D18" s="46">
        <f t="shared" si="0"/>
        <v>3.089396850620604E-2</v>
      </c>
      <c r="E18" s="107">
        <f t="shared" si="3"/>
        <v>689.56500000000005</v>
      </c>
      <c r="F18" s="46">
        <f t="shared" si="1"/>
        <v>3.2843382156803401E-2</v>
      </c>
      <c r="G18" s="107">
        <f t="shared" si="4"/>
        <v>689.56500000000005</v>
      </c>
      <c r="H18" s="46">
        <f t="shared" si="2"/>
        <v>3.4158656663237023E-2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2895.2473342295461</v>
      </c>
      <c r="D19" s="46">
        <f t="shared" si="0"/>
        <v>0.12971319594434838</v>
      </c>
      <c r="E19" s="107">
        <f t="shared" si="3"/>
        <v>2895.2473342295461</v>
      </c>
      <c r="F19" s="46">
        <f t="shared" si="1"/>
        <v>0.13789811640174207</v>
      </c>
      <c r="G19" s="107">
        <f t="shared" si="4"/>
        <v>2895.2473342295461</v>
      </c>
      <c r="H19" s="46">
        <f t="shared" si="2"/>
        <v>0.14342050371625489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3347.6499999999996</v>
      </c>
      <c r="D20" s="46">
        <f t="shared" si="0"/>
        <v>0.14998179094037636</v>
      </c>
      <c r="E20" s="107">
        <f t="shared" si="3"/>
        <v>3347.6499999999996</v>
      </c>
      <c r="F20" s="46">
        <f t="shared" si="1"/>
        <v>0.15944566252234796</v>
      </c>
      <c r="G20" s="107">
        <f t="shared" si="4"/>
        <v>3347.6499999999996</v>
      </c>
      <c r="H20" s="46">
        <f t="shared" si="2"/>
        <v>0.16583096151731222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398.42439999999999</v>
      </c>
      <c r="D21" s="46">
        <f t="shared" si="0"/>
        <v>1.7850254676069748E-2</v>
      </c>
      <c r="E21" s="107">
        <f t="shared" si="3"/>
        <v>398.42439999999999</v>
      </c>
      <c r="F21" s="46">
        <f t="shared" si="1"/>
        <v>1.8976608194724354E-2</v>
      </c>
      <c r="G21" s="107">
        <f t="shared" si="4"/>
        <v>398.42439999999999</v>
      </c>
      <c r="H21" s="46">
        <f t="shared" si="2"/>
        <v>1.9736561869956003E-2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3.8959170076093863E-3</v>
      </c>
      <c r="E22" s="106">
        <f t="shared" si="3"/>
        <v>86.958333333333329</v>
      </c>
      <c r="F22" s="40">
        <f t="shared" si="1"/>
        <v>4.1417499052088811E-3</v>
      </c>
      <c r="G22" s="106">
        <f>E22</f>
        <v>86.958333333333329</v>
      </c>
      <c r="H22" s="40">
        <f t="shared" si="2"/>
        <v>4.3076140064252861E-3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5378.91419353321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4054.0918630314868</v>
      </c>
      <c r="F24" s="40">
        <f>IFERROR(E24/$E$26,0)</f>
        <v>0.19309287501008632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4190.0408164675737</v>
      </c>
      <c r="H25" s="108">
        <f>IFERROR(G25/$G$26,0)</f>
        <v>0.20756007867955184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22320.37622040946</v>
      </c>
      <c r="D26" s="45">
        <f>D9+D15+D22+D23</f>
        <v>1.0000000000000002</v>
      </c>
      <c r="E26" s="129">
        <f>E9+E15+E22+E24</f>
        <v>20995.55388990774</v>
      </c>
      <c r="F26" s="45">
        <f>F9+F15+F22+F24</f>
        <v>1</v>
      </c>
      <c r="G26" s="129">
        <f>G9+G15+G22+G25</f>
        <v>20187.122895325647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12.000202269037343</v>
      </c>
      <c r="D27" s="45"/>
      <c r="E27" s="129">
        <f>G214</f>
        <v>11.287932198875129</v>
      </c>
      <c r="F27" s="45"/>
      <c r="G27" s="129">
        <f>G239</f>
        <v>10.853291879207337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21</v>
      </c>
      <c r="F36" s="262">
        <v>1</v>
      </c>
      <c r="G36" s="259">
        <v>404278</v>
      </c>
      <c r="H36" s="193"/>
      <c r="I36" s="4"/>
    </row>
    <row r="37" spans="1:9" s="2" customFormat="1" ht="52.5" customHeight="1" x14ac:dyDescent="0.2">
      <c r="A37" s="386" t="s">
        <v>290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93</v>
      </c>
      <c r="F42" s="161">
        <f>(E42/F39)+C48</f>
        <v>5.65</v>
      </c>
      <c r="G42" s="186">
        <f>E42*E43</f>
        <v>1860</v>
      </c>
      <c r="H42" s="193"/>
      <c r="I42" s="6">
        <v>93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18879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0.64204545454545459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0.64204545454545459</v>
      </c>
      <c r="G60" s="239">
        <f>F59*F60</f>
        <v>1871.9400869318183</v>
      </c>
      <c r="H60" s="239">
        <f>G60/G$42</f>
        <v>1.0064194015762464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0.64204545454545459</v>
      </c>
      <c r="G67" s="239">
        <f>F66*F67</f>
        <v>1478.6102062181817</v>
      </c>
      <c r="H67" s="239">
        <f>G67/G$42</f>
        <v>0.79495172377321599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0.64204545454545459</v>
      </c>
      <c r="G77" s="239">
        <f>F76*F77</f>
        <v>2583.9460244318184</v>
      </c>
      <c r="H77" s="239">
        <f>G77/G$42</f>
        <v>1.3892182927052787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0.64204545454545459</v>
      </c>
      <c r="G84" s="239">
        <f>F83*F84</f>
        <v>2032.8959571272726</v>
      </c>
      <c r="H84" s="239">
        <f>G84/G$42</f>
        <v>1.0929548156598239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0.64204545454545459</v>
      </c>
      <c r="G92" s="239">
        <f>SUM(F88:F91)*F92</f>
        <v>189.06954545454548</v>
      </c>
      <c r="H92" s="239">
        <f>G92/G$42</f>
        <v>0.10165029325513197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0.64204545454545459</v>
      </c>
      <c r="G98" s="239">
        <f>SUM(F96:F97)*F98</f>
        <v>1181.3636363636365</v>
      </c>
      <c r="H98" s="239">
        <f>G98/G$42</f>
        <v>0.63514173998044976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0.64204545454545459</v>
      </c>
      <c r="G104" s="239">
        <f>SUM(F102:F103)*F104</f>
        <v>32.744318181818187</v>
      </c>
      <c r="H104" s="239">
        <f>G104/G$42</f>
        <v>1.7604472140762467E-2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5859.0636113636365</v>
      </c>
      <c r="H105" s="243">
        <f>G105/G$42</f>
        <v>3.1500341996578691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4914.683663345455</v>
      </c>
      <c r="H106" s="239">
        <f>G106/G$42</f>
        <v>2.6423030448093843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404278</v>
      </c>
      <c r="F111" s="9">
        <f>D111*E111</f>
        <v>404278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404278</v>
      </c>
      <c r="F113" s="201">
        <f>D113*E113/100</f>
        <v>263508.40040000004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263508.40040000004</v>
      </c>
      <c r="F114" s="38">
        <f>IFERROR(E114/D114,0)</f>
        <v>2195.9033366666672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2195.9033366666672</v>
      </c>
      <c r="F115" s="160">
        <f>D115*E115</f>
        <v>2195.9033366666672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0.64204545454545459</v>
      </c>
      <c r="G116" s="239">
        <f>F115*F116</f>
        <v>1409.8697559280308</v>
      </c>
      <c r="H116" s="239">
        <f>G116/G$42</f>
        <v>0.75799449243442518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404278</v>
      </c>
      <c r="F119" s="9">
        <f>D119*E119</f>
        <v>404278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f>'lote 3.1'!D120</f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404278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140769.59959999996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285699.21982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3511.7195769541663</v>
      </c>
      <c r="F124" s="38">
        <f>E124</f>
        <v>3511.7195769541663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3511.7195769541663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3511.7195769541663</v>
      </c>
      <c r="F126" s="39">
        <f>D126*E126</f>
        <v>3511.7195769541663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0.64204545454545459</v>
      </c>
      <c r="G127" s="239">
        <f>F126*F127</f>
        <v>2254.683592021709</v>
      </c>
      <c r="H127" s="239">
        <f>G127/G$42</f>
        <v>1.2121954795815639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 lote 4,1'!A130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4042.78</v>
      </c>
      <c r="F132" s="9">
        <f t="shared" ref="F132:F137" si="5">D132*E132</f>
        <v>4042.78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8274.7800000000007</v>
      </c>
      <c r="F138" s="38">
        <f>E138/D138</f>
        <v>689.56500000000005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689.56500000000005</v>
      </c>
      <c r="H139" s="239">
        <f>G139/G$42</f>
        <v>0.37073387096774196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1860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1860</v>
      </c>
      <c r="E144" s="89">
        <f>IFERROR(+E143/D143,"-")</f>
        <v>1.330909090909091</v>
      </c>
      <c r="F144" s="11">
        <f>IFERROR(D144*E144,"-")</f>
        <v>2475.4909090909096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1860</v>
      </c>
      <c r="E146" s="86">
        <f>+D145*E145/10000</f>
        <v>1.9214999999999999E-2</v>
      </c>
      <c r="F146" s="11">
        <f>D146*E146</f>
        <v>35.739899999999999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1860</v>
      </c>
      <c r="E148" s="231">
        <f>+D147*E147/100000</f>
        <v>9.9360000000000008E-4</v>
      </c>
      <c r="F148" s="11">
        <f>D148*E148</f>
        <v>1.8480960000000002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1860</v>
      </c>
      <c r="E150" s="231">
        <f>+D149*E149/80000</f>
        <v>4.4412499999999991E-4</v>
      </c>
      <c r="F150" s="11">
        <f>D150*E150</f>
        <v>0.82607249999999988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1860</v>
      </c>
      <c r="E152" s="86">
        <f>+D151*E151/10000</f>
        <v>1.99E-3</v>
      </c>
      <c r="F152" s="11">
        <f>D152*E152</f>
        <v>3.7014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2517.6063775909097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2895.2473342295461</v>
      </c>
      <c r="H154" s="239">
        <f>G154/G$42</f>
        <v>1.556584588295455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1860</v>
      </c>
      <c r="E158" s="270">
        <f>'lote 3.1'!E158</f>
        <v>1.35</v>
      </c>
      <c r="F158" s="9">
        <f>D158*E158</f>
        <v>2511</v>
      </c>
      <c r="G158" s="136"/>
      <c r="H158" s="136"/>
      <c r="I158" s="34">
        <f>F158*12</f>
        <v>30132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2911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3347.6499999999996</v>
      </c>
      <c r="H161" s="239">
        <f>G161/G$42</f>
        <v>1.799811827956989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1397</v>
      </c>
      <c r="F165" s="9">
        <f>D165*E165</f>
        <v>8382</v>
      </c>
      <c r="G165" s="136"/>
      <c r="H165" s="136"/>
      <c r="J165" s="34"/>
      <c r="K165" s="34"/>
    </row>
    <row r="166" spans="1:11" x14ac:dyDescent="0.2">
      <c r="A166" s="421" t="s">
        <v>318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8382</v>
      </c>
      <c r="F167" s="11">
        <f>IFERROR(E167/D167,"-")</f>
        <v>0.18626666666666666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1860</v>
      </c>
      <c r="E168" s="11">
        <f>F167</f>
        <v>0.18626666666666666</v>
      </c>
      <c r="F168" s="38">
        <f>IFERROR(D168*E168,0)</f>
        <v>346.45600000000002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398.42439999999999</v>
      </c>
      <c r="H169" s="239">
        <f>G169/G$42</f>
        <v>0.21420666666666666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10995.440082179284</v>
      </c>
      <c r="H171" s="239">
        <f>G171/G$42</f>
        <v>5.9115269259028409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4.6751792114695337E-2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4.6751792114695337E-2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16941.462026876252</v>
      </c>
      <c r="H185" s="242">
        <f>G185/G$42</f>
        <v>9.1083129176754039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15997.082078858073</v>
      </c>
      <c r="H186" s="244">
        <f>G186/G$42</f>
        <v>8.6005817628269217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16941.462026876252</v>
      </c>
      <c r="F191" s="9">
        <f>D191*E191/100</f>
        <v>5378.91419353321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5378.91419353321</v>
      </c>
      <c r="H192" s="245">
        <f>G192/G$42</f>
        <v>2.8918893513619408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5378.91419353321</v>
      </c>
      <c r="H194" s="244">
        <f>G194/G$42</f>
        <v>2.8918893513619408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22320.37622040946</v>
      </c>
      <c r="H196" s="244">
        <f>G196/G$42</f>
        <v>12.000202269037343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1860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12.000202269037343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16941.462026876252</v>
      </c>
      <c r="F205" s="9">
        <f>D205*E205/100</f>
        <v>4054.0918630314868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4054.0918630314868</v>
      </c>
      <c r="H206" s="245">
        <f>G206/G$42</f>
        <v>2.1796192811997241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4054.0918630314868</v>
      </c>
      <c r="H208" s="244">
        <f>G208/G$42</f>
        <v>2.1796192811997241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20995.55388990774</v>
      </c>
      <c r="H210" s="244">
        <f>G210/G$42</f>
        <v>11.287932198875129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1860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11.287932198875129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15997.082078858073</v>
      </c>
      <c r="F219" s="9">
        <f>D219*E219/100</f>
        <v>2708.3059959506713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2708.3059959506713</v>
      </c>
      <c r="H220" s="245">
        <f>G220/G$42</f>
        <v>1.4560784924465975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2708.3059959506713</v>
      </c>
      <c r="H222" s="244">
        <f>G222/G$42</f>
        <v>1.4560784924465975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18705.388074808743</v>
      </c>
      <c r="H224" s="244">
        <f>G224/G$42</f>
        <v>10.056660255273517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316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v>7.34</v>
      </c>
      <c r="E232" s="125">
        <f>G224</f>
        <v>18705.388074808743</v>
      </c>
      <c r="F232" s="9">
        <f>G235*(D232/100)</f>
        <v>1481.7348205169023</v>
      </c>
      <c r="G232" s="136"/>
      <c r="H232" s="136"/>
      <c r="I232" s="328">
        <f>G235*12</f>
        <v>242245.47474390775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1481.7348205169023</v>
      </c>
      <c r="H233" s="244">
        <f>G233/G$42</f>
        <v>0.79663162393381848</v>
      </c>
      <c r="I233" s="34">
        <v>11.2</v>
      </c>
      <c r="J233" s="4">
        <f>I233*I232/100</f>
        <v>27131.493171317667</v>
      </c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  <c r="I234" s="4">
        <v>9360</v>
      </c>
      <c r="J234" s="4">
        <f>J233-I234</f>
        <v>17771.493171317667</v>
      </c>
      <c r="K234" s="358">
        <f>J234/I232</f>
        <v>7.3361507330962444E-2</v>
      </c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20187.122895325647</v>
      </c>
      <c r="H235" s="244">
        <f>G235/G$42</f>
        <v>10.853291879207337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1860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10.853291879207337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52"/>
  <sheetViews>
    <sheetView topLeftCell="A221" zoomScaleNormal="100" zoomScaleSheetLayoutView="110" workbookViewId="0">
      <selection activeCell="J239" sqref="J239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3.1'!B3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7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7155.3166227272723</v>
      </c>
      <c r="D9" s="40">
        <f t="shared" ref="D9:D23" si="0">IFERROR(C9/$C$26,0)</f>
        <v>0.2622382165368492</v>
      </c>
      <c r="E9" s="106">
        <f>G105</f>
        <v>7155.3166227272723</v>
      </c>
      <c r="F9" s="40">
        <f t="shared" ref="F9:F22" si="1">IFERROR(E9/$E$26,0)</f>
        <v>0.27878548397264485</v>
      </c>
      <c r="G9" s="106">
        <f>G106</f>
        <v>6002.0030578909073</v>
      </c>
      <c r="H9" s="40">
        <f t="shared" ref="H9:H22" si="2">IFERROR(G9/$G$26,0)</f>
        <v>0.24131105152886209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2286.0861238636362</v>
      </c>
      <c r="D10" s="26">
        <f t="shared" si="0"/>
        <v>8.3783734470598087E-2</v>
      </c>
      <c r="E10" s="107">
        <f t="shared" ref="E10:E22" si="3">C10</f>
        <v>2286.0861238636362</v>
      </c>
      <c r="F10" s="26">
        <f t="shared" si="1"/>
        <v>8.9070499608660522E-2</v>
      </c>
      <c r="G10" s="107">
        <f>G67</f>
        <v>1805.7363580363633</v>
      </c>
      <c r="H10" s="26">
        <f t="shared" si="2"/>
        <v>7.259978629447289E-2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3155.6154988636363</v>
      </c>
      <c r="D11" s="26">
        <f t="shared" si="0"/>
        <v>0.11565148324388566</v>
      </c>
      <c r="E11" s="107">
        <f t="shared" si="3"/>
        <v>3155.6154988636363</v>
      </c>
      <c r="F11" s="26">
        <f t="shared" si="1"/>
        <v>0.12294910770097583</v>
      </c>
      <c r="G11" s="107">
        <f>G84</f>
        <v>2482.6516998545453</v>
      </c>
      <c r="H11" s="26">
        <f t="shared" si="2"/>
        <v>9.9815226099257734E-2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230.89909090909092</v>
      </c>
      <c r="D12" s="26">
        <f t="shared" si="0"/>
        <v>8.4623181604087799E-3</v>
      </c>
      <c r="E12" s="107">
        <f t="shared" si="3"/>
        <v>230.89909090909092</v>
      </c>
      <c r="F12" s="26">
        <f t="shared" si="1"/>
        <v>8.9962915971423911E-3</v>
      </c>
      <c r="G12" s="107">
        <f t="shared" ref="G12:G21" si="4">E12</f>
        <v>230.89909090909092</v>
      </c>
      <c r="H12" s="26">
        <f t="shared" si="2"/>
        <v>9.2833179001928778E-3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1442.7272727272727</v>
      </c>
      <c r="D13" s="26">
        <f t="shared" si="0"/>
        <v>5.2875120263352872E-2</v>
      </c>
      <c r="E13" s="107">
        <f t="shared" si="3"/>
        <v>1442.7272727272727</v>
      </c>
      <c r="F13" s="26">
        <f t="shared" si="1"/>
        <v>5.6211547605073353E-2</v>
      </c>
      <c r="G13" s="107">
        <f t="shared" si="4"/>
        <v>1442.7272727272727</v>
      </c>
      <c r="H13" s="26">
        <f t="shared" si="2"/>
        <v>5.8004974654831891E-2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39.98863636363636</v>
      </c>
      <c r="D14" s="26">
        <f t="shared" si="0"/>
        <v>1.4655603986038022E-3</v>
      </c>
      <c r="E14" s="107">
        <f>C14</f>
        <v>39.98863636363636</v>
      </c>
      <c r="F14" s="26">
        <f t="shared" si="1"/>
        <v>1.5580374607927939E-3</v>
      </c>
      <c r="G14" s="107">
        <f>E14</f>
        <v>39.98863636363636</v>
      </c>
      <c r="H14" s="26">
        <f t="shared" si="2"/>
        <v>1.6077465801067534E-3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13467.827600799668</v>
      </c>
      <c r="D15" s="40">
        <f t="shared" si="0"/>
        <v>0.49358809356409838</v>
      </c>
      <c r="E15" s="106">
        <f t="shared" si="3"/>
        <v>13467.827600799668</v>
      </c>
      <c r="F15" s="40">
        <f t="shared" si="1"/>
        <v>0.52473356997555043</v>
      </c>
      <c r="G15" s="106">
        <f t="shared" si="4"/>
        <v>13467.827600799668</v>
      </c>
      <c r="H15" s="40">
        <f t="shared" si="2"/>
        <v>0.54147517234028553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1721.7878435227276</v>
      </c>
      <c r="D16" s="46">
        <f t="shared" si="0"/>
        <v>6.3102528811384714E-2</v>
      </c>
      <c r="E16" s="107">
        <f t="shared" si="3"/>
        <v>1721.7878435227276</v>
      </c>
      <c r="F16" s="46">
        <f t="shared" si="1"/>
        <v>6.7084307035422702E-2</v>
      </c>
      <c r="G16" s="107">
        <f t="shared" si="4"/>
        <v>1721.7878435227276</v>
      </c>
      <c r="H16" s="46">
        <f t="shared" si="2"/>
        <v>6.9224629015114572E-2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2753.5073955663347</v>
      </c>
      <c r="D17" s="46">
        <f t="shared" si="0"/>
        <v>0.1009144537840338</v>
      </c>
      <c r="E17" s="107">
        <f t="shared" si="3"/>
        <v>2753.5073955663347</v>
      </c>
      <c r="F17" s="46">
        <f t="shared" si="1"/>
        <v>0.10728216966066693</v>
      </c>
      <c r="G17" s="107">
        <f t="shared" si="4"/>
        <v>2753.5073955663347</v>
      </c>
      <c r="H17" s="46">
        <f t="shared" si="2"/>
        <v>0.11070500274788227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689.56500000000005</v>
      </c>
      <c r="D18" s="46">
        <f t="shared" si="0"/>
        <v>2.5272158497062897E-2</v>
      </c>
      <c r="E18" s="107">
        <f t="shared" si="3"/>
        <v>689.56500000000005</v>
      </c>
      <c r="F18" s="46">
        <f t="shared" si="1"/>
        <v>2.6866835164915972E-2</v>
      </c>
      <c r="G18" s="107">
        <f t="shared" si="4"/>
        <v>689.56500000000005</v>
      </c>
      <c r="H18" s="46">
        <f t="shared" si="2"/>
        <v>2.7724020404943334E-2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3673.5396283772729</v>
      </c>
      <c r="D19" s="46">
        <f t="shared" si="0"/>
        <v>0.13463310309193763</v>
      </c>
      <c r="E19" s="107">
        <f t="shared" si="3"/>
        <v>3673.5396283772729</v>
      </c>
      <c r="F19" s="46">
        <f t="shared" si="1"/>
        <v>0.1431284703652286</v>
      </c>
      <c r="G19" s="107">
        <f t="shared" si="4"/>
        <v>3673.5396283772729</v>
      </c>
      <c r="H19" s="46">
        <f t="shared" si="2"/>
        <v>0.14769497816086874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4123.8999999999996</v>
      </c>
      <c r="D20" s="46">
        <f t="shared" si="0"/>
        <v>0.15113855028320414</v>
      </c>
      <c r="E20" s="107">
        <f t="shared" si="3"/>
        <v>4123.8999999999996</v>
      </c>
      <c r="F20" s="46">
        <f t="shared" si="1"/>
        <v>0.16067541353838574</v>
      </c>
      <c r="G20" s="107">
        <f t="shared" si="4"/>
        <v>4123.8999999999996</v>
      </c>
      <c r="H20" s="46">
        <f t="shared" si="2"/>
        <v>0.16580175581409409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505.52773333333329</v>
      </c>
      <c r="D21" s="46">
        <f t="shared" si="0"/>
        <v>1.8527299096475235E-2</v>
      </c>
      <c r="E21" s="107">
        <f t="shared" si="3"/>
        <v>505.52773333333329</v>
      </c>
      <c r="F21" s="46">
        <f t="shared" si="1"/>
        <v>1.969637421093046E-2</v>
      </c>
      <c r="G21" s="107">
        <f t="shared" si="4"/>
        <v>505.52773333333329</v>
      </c>
      <c r="H21" s="46">
        <f t="shared" si="2"/>
        <v>2.0324786197382528E-2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3.1869726315001882E-3</v>
      </c>
      <c r="E22" s="106">
        <f t="shared" si="3"/>
        <v>86.958333333333329</v>
      </c>
      <c r="F22" s="40">
        <f t="shared" si="1"/>
        <v>3.3880710417183071E-3</v>
      </c>
      <c r="G22" s="106">
        <f>E22</f>
        <v>86.958333333333329</v>
      </c>
      <c r="H22" s="40">
        <f t="shared" si="2"/>
        <v>3.4961673050592722E-3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6575.4575618031377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4955.927541856664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5315.6858484955128</v>
      </c>
      <c r="H25" s="108">
        <f>IFERROR(G25/$G$26,0)</f>
        <v>0.21371760882579321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27285.560118663412</v>
      </c>
      <c r="D26" s="45">
        <f>D9+D15+D22+D23</f>
        <v>0.99999999999999989</v>
      </c>
      <c r="E26" s="129">
        <f>E9+E15+E22+E24</f>
        <v>25666.030098716939</v>
      </c>
      <c r="F26" s="45">
        <f>F9+F15+F22+F24</f>
        <v>1</v>
      </c>
      <c r="G26" s="129">
        <f>G9+G15+G22+G25</f>
        <v>24872.474840519419</v>
      </c>
      <c r="H26" s="45">
        <f>H9+H15+H22+H25</f>
        <v>1.0000000000000002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11.561678016382801</v>
      </c>
      <c r="D27" s="45"/>
      <c r="E27" s="129">
        <f>G214</f>
        <v>10.875436482507178</v>
      </c>
      <c r="F27" s="45"/>
      <c r="G27" s="129">
        <f>G239</f>
        <v>10.53918425445738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20</v>
      </c>
      <c r="F36" s="262">
        <v>1</v>
      </c>
      <c r="G36" s="259">
        <v>404278</v>
      </c>
      <c r="H36" s="193"/>
      <c r="I36" s="4"/>
    </row>
    <row r="37" spans="1:9" s="2" customFormat="1" ht="52.5" customHeight="1" x14ac:dyDescent="0.2">
      <c r="A37" s="386" t="s">
        <v>290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118</v>
      </c>
      <c r="F42" s="161">
        <f>(E42/F39)+C48</f>
        <v>6.9</v>
      </c>
      <c r="G42" s="186">
        <f>E42*E43</f>
        <v>2360</v>
      </c>
      <c r="H42" s="193"/>
      <c r="I42" s="6">
        <f>22.5+50.5+27+18</f>
        <v>118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23954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0.78409090909090906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0.78409090909090906</v>
      </c>
      <c r="G60" s="239">
        <f>F59*F60</f>
        <v>2286.0861238636362</v>
      </c>
      <c r="H60" s="239">
        <f>G60/G$42</f>
        <v>0.96868056095916788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0.78409090909090906</v>
      </c>
      <c r="G67" s="239">
        <f>F66*F67</f>
        <v>1805.7363580363633</v>
      </c>
      <c r="H67" s="239">
        <f>G67/G$42</f>
        <v>0.76514252459167942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0.78409090909090906</v>
      </c>
      <c r="G77" s="239">
        <f>F76*F77</f>
        <v>3155.6154988636363</v>
      </c>
      <c r="H77" s="239">
        <f>G77/G$42</f>
        <v>1.3371252113828966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0.78409090909090906</v>
      </c>
      <c r="G84" s="239">
        <f>F83*F84</f>
        <v>2482.6516998545453</v>
      </c>
      <c r="H84" s="239">
        <f>G84/G$42</f>
        <v>1.0519710592604006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0.78409090909090906</v>
      </c>
      <c r="G92" s="239">
        <f>SUM(F88:F91)*F92</f>
        <v>230.89909090909092</v>
      </c>
      <c r="H92" s="239">
        <f>G92/G$42</f>
        <v>9.7838597842835134E-2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0.78409090909090906</v>
      </c>
      <c r="G98" s="239">
        <f>SUM(F96:F97)*F98</f>
        <v>1442.7272727272727</v>
      </c>
      <c r="H98" s="239">
        <f>G98/G$42</f>
        <v>0.61132511556240365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0.78409090909090906</v>
      </c>
      <c r="G104" s="239">
        <f>SUM(F102:F103)*F104</f>
        <v>39.98863636363636</v>
      </c>
      <c r="H104" s="239">
        <f>G104/G$42</f>
        <v>1.6944337442218797E-2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7155.3166227272723</v>
      </c>
      <c r="H105" s="243">
        <f>G105/G$42</f>
        <v>3.0319138231895222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6002.0030578909073</v>
      </c>
      <c r="H106" s="239">
        <f>G106/G$42</f>
        <v>2.5432216346995369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404278</v>
      </c>
      <c r="F111" s="9">
        <f>D111*E111</f>
        <v>404278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404278</v>
      </c>
      <c r="F113" s="201">
        <f>D113*E113/100</f>
        <v>263508.40040000004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263508.40040000004</v>
      </c>
      <c r="F114" s="38">
        <f>IFERROR(E114/D114,0)</f>
        <v>2195.9033366666672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2195.9033366666672</v>
      </c>
      <c r="F115" s="160">
        <f>D115*E115</f>
        <v>2195.9033366666672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0.78409090909090906</v>
      </c>
      <c r="G116" s="239">
        <f>F115*F116</f>
        <v>1721.7878435227276</v>
      </c>
      <c r="H116" s="239">
        <f>G116/G$42</f>
        <v>0.72957112013674896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404278</v>
      </c>
      <c r="F119" s="9">
        <f>D119*E119</f>
        <v>404278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f>'lote 3.1'!D120</f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404278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140769.59959999996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285699.21982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3511.7195769541663</v>
      </c>
      <c r="F124" s="38">
        <f>E124</f>
        <v>3511.7195769541663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3511.7195769541663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3511.7195769541663</v>
      </c>
      <c r="F126" s="39">
        <f>D126*E126</f>
        <v>3511.7195769541663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0.78409090909090906</v>
      </c>
      <c r="G127" s="239">
        <f>F126*F127</f>
        <v>2753.5073955663347</v>
      </c>
      <c r="H127" s="239">
        <f>G127/G$42</f>
        <v>1.1667404218501418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 lote 4,1'!A130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4042.78</v>
      </c>
      <c r="F132" s="9">
        <f t="shared" ref="F132:F137" si="5">D132*E132</f>
        <v>4042.78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8274.7800000000007</v>
      </c>
      <c r="F138" s="38">
        <f>E138/D138</f>
        <v>689.56500000000005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689.56500000000005</v>
      </c>
      <c r="H139" s="239">
        <f>G139/G$42</f>
        <v>0.29218855932203391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2360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2360</v>
      </c>
      <c r="E144" s="89">
        <f>IFERROR(+E143/D143,"-")</f>
        <v>1.330909090909091</v>
      </c>
      <c r="F144" s="11">
        <f>IFERROR(D144*E144,"-")</f>
        <v>3140.945454545455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2360</v>
      </c>
      <c r="E146" s="86">
        <f>+D145*E145/10000</f>
        <v>1.9214999999999999E-2</v>
      </c>
      <c r="F146" s="11">
        <f>D146*E146</f>
        <v>45.3474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2360</v>
      </c>
      <c r="E148" s="231">
        <f>+D147*E147/100000</f>
        <v>9.9360000000000008E-4</v>
      </c>
      <c r="F148" s="11">
        <f>D148*E148</f>
        <v>2.3448960000000003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2360</v>
      </c>
      <c r="E150" s="231">
        <f>+D149*E149/80000</f>
        <v>4.4412499999999991E-4</v>
      </c>
      <c r="F150" s="11">
        <f>D150*E150</f>
        <v>1.0481349999999998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2360</v>
      </c>
      <c r="E152" s="86">
        <f>+D151*E151/10000</f>
        <v>1.99E-3</v>
      </c>
      <c r="F152" s="11">
        <f>D152*E152</f>
        <v>4.6963999999999997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3194.382285545455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3673.5396283772729</v>
      </c>
      <c r="H154" s="239">
        <f>G154/G$42</f>
        <v>1.5565845882954545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2360</v>
      </c>
      <c r="E158" s="270">
        <f>'lote 3.1'!E158</f>
        <v>1.35</v>
      </c>
      <c r="F158" s="9">
        <f>D158*E158</f>
        <v>3186</v>
      </c>
      <c r="G158" s="136"/>
      <c r="H158" s="136"/>
      <c r="I158" s="34">
        <f>F158*12</f>
        <v>38232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3586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4123.8999999999996</v>
      </c>
      <c r="H161" s="239">
        <f>G161/G$42</f>
        <v>1.7474152542372881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1397</v>
      </c>
      <c r="F165" s="9">
        <f>D165*E165</f>
        <v>8382</v>
      </c>
      <c r="G165" s="136"/>
      <c r="H165" s="136"/>
      <c r="J165" s="34"/>
      <c r="K165" s="34"/>
    </row>
    <row r="166" spans="1:11" x14ac:dyDescent="0.2">
      <c r="A166" s="421" t="s">
        <v>318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8382</v>
      </c>
      <c r="F167" s="11">
        <f>IFERROR(E167/D167,"-")</f>
        <v>0.18626666666666666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2360</v>
      </c>
      <c r="E168" s="11">
        <f>F167</f>
        <v>0.18626666666666666</v>
      </c>
      <c r="F168" s="38">
        <f>IFERROR(D168*E168,0)</f>
        <v>439.58933333333334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505.52773333333329</v>
      </c>
      <c r="H169" s="239">
        <f>G169/G$42</f>
        <v>0.21420666666666666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13467.827600799668</v>
      </c>
      <c r="H171" s="239">
        <f>G171/G$42</f>
        <v>5.7067066105083342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3.6846751412429379E-2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3.6846751412429379E-2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20710.102556860274</v>
      </c>
      <c r="H185" s="242">
        <f>G185/G$42</f>
        <v>8.7754671851102852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19556.788992023907</v>
      </c>
      <c r="H186" s="244">
        <f>G186/G$42</f>
        <v>8.2867749966202986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20710.102556860274</v>
      </c>
      <c r="F191" s="9">
        <f>D191*E191/100</f>
        <v>6575.4575618031377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6575.4575618031377</v>
      </c>
      <c r="H192" s="245">
        <f>G192/G$42</f>
        <v>2.7862108312725158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6575.4575618031377</v>
      </c>
      <c r="H194" s="244">
        <f>G194/G$42</f>
        <v>2.7862108312725158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27285.560118663412</v>
      </c>
      <c r="H196" s="244">
        <f>G196/G$42</f>
        <v>11.561678016382801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2360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11.561678016382801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20710.102556860274</v>
      </c>
      <c r="F205" s="9">
        <f>D205*E205/100</f>
        <v>4955.927541856664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4955.927541856664</v>
      </c>
      <c r="H206" s="245">
        <f>G206/G$42</f>
        <v>2.0999692973968913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4955.927541856664</v>
      </c>
      <c r="H208" s="244">
        <f>G208/G$42</f>
        <v>2.0999692973968913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25666.030098716939</v>
      </c>
      <c r="H210" s="244">
        <f>G210/G$42</f>
        <v>10.875436482507178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2360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10.875436482507178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19556.788992023907</v>
      </c>
      <c r="F219" s="9">
        <f>D219*E219/100</f>
        <v>3310.9643763496479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3310.9643763496479</v>
      </c>
      <c r="H220" s="245">
        <f>G220/G$42</f>
        <v>1.4029510069278168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3310.9643763496479</v>
      </c>
      <c r="H222" s="244">
        <f>G222/G$42</f>
        <v>1.4029510069278168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22867.753368373553</v>
      </c>
      <c r="H224" s="244">
        <f>G224/G$42</f>
        <v>9.689726003548115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316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v>8.06</v>
      </c>
      <c r="E232" s="125">
        <f>G224</f>
        <v>22867.753368373553</v>
      </c>
      <c r="F232" s="9">
        <f>G235*(D232/100)</f>
        <v>2004.7214721458652</v>
      </c>
      <c r="G232" s="136"/>
      <c r="H232" s="136"/>
      <c r="I232" s="328">
        <f>G235*12</f>
        <v>298469.69808623299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2004.7214721458652</v>
      </c>
      <c r="H233" s="244">
        <f>G233/G$42</f>
        <v>0.84945825090926486</v>
      </c>
      <c r="I233" s="34">
        <v>11.2</v>
      </c>
      <c r="J233" s="4">
        <f>I233*I232/100</f>
        <v>33428.606185658093</v>
      </c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  <c r="I234" s="4">
        <v>9360</v>
      </c>
      <c r="J234" s="4">
        <f>J233-I234</f>
        <v>24068.606185658093</v>
      </c>
      <c r="K234" s="358">
        <f>J234/I232</f>
        <v>8.0640032606272352E-2</v>
      </c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24872.474840519419</v>
      </c>
      <c r="H235" s="244">
        <f>G235/G$42</f>
        <v>10.53918425445738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2360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10.53918425445738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252"/>
  <sheetViews>
    <sheetView topLeftCell="A221" zoomScaleNormal="100" zoomScaleSheetLayoutView="110" workbookViewId="0">
      <selection activeCell="C247" sqref="C247:E247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12.855468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3.1'!B3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14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+G105</f>
        <v>6299.7896352272728</v>
      </c>
      <c r="D9" s="40">
        <f t="shared" ref="D9:D23" si="0">IFERROR(C9/$C$26,0)</f>
        <v>0.24734156579541194</v>
      </c>
      <c r="E9" s="106">
        <f>G105</f>
        <v>6299.7896352272728</v>
      </c>
      <c r="F9" s="40">
        <f t="shared" ref="F9:F22" si="1">IFERROR(E9/$E$26,0)</f>
        <v>0.26294885252598665</v>
      </c>
      <c r="G9" s="106">
        <f>G106</f>
        <v>5284.3722574909089</v>
      </c>
      <c r="H9" s="40">
        <f t="shared" ref="H9:H22" si="2">IFERROR(G9/$G$26,0)</f>
        <v>0.22738606944618392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2012.7497394886361</v>
      </c>
      <c r="D10" s="26">
        <f t="shared" si="0"/>
        <v>7.9024332707177236E-2</v>
      </c>
      <c r="E10" s="107">
        <f t="shared" ref="E10:E22" si="3">C10</f>
        <v>2012.7497394886361</v>
      </c>
      <c r="F10" s="26">
        <f t="shared" si="1"/>
        <v>8.4010778941100636E-2</v>
      </c>
      <c r="G10" s="107">
        <f>G67</f>
        <v>1589.8330978363633</v>
      </c>
      <c r="H10" s="26">
        <f t="shared" si="2"/>
        <v>6.8410377160693994E-2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2778.3136457386363</v>
      </c>
      <c r="D11" s="26">
        <f t="shared" si="0"/>
        <v>0.10908180863137067</v>
      </c>
      <c r="E11" s="107">
        <f t="shared" si="3"/>
        <v>2778.3136457386363</v>
      </c>
      <c r="F11" s="26">
        <f t="shared" si="1"/>
        <v>0.11596488571922121</v>
      </c>
      <c r="G11" s="107">
        <f>G84</f>
        <v>2185.8129096545454</v>
      </c>
      <c r="H11" s="26">
        <f t="shared" si="2"/>
        <v>9.4055335591945455E-2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203.2915909090909</v>
      </c>
      <c r="D12" s="26">
        <f t="shared" si="0"/>
        <v>7.9816094377698817E-3</v>
      </c>
      <c r="E12" s="107">
        <f t="shared" si="3"/>
        <v>203.2915909090909</v>
      </c>
      <c r="F12" s="26">
        <f t="shared" si="1"/>
        <v>8.4852500881641407E-3</v>
      </c>
      <c r="G12" s="107">
        <f t="shared" ref="G12:G21" si="4">E12</f>
        <v>203.2915909090909</v>
      </c>
      <c r="H12" s="26">
        <f t="shared" si="2"/>
        <v>8.7476191221676595E-3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1270.2272727272727</v>
      </c>
      <c r="D13" s="26">
        <f t="shared" si="0"/>
        <v>4.9871506946130746E-2</v>
      </c>
      <c r="E13" s="107">
        <f t="shared" si="3"/>
        <v>1270.2272727272727</v>
      </c>
      <c r="F13" s="26">
        <f t="shared" si="1"/>
        <v>5.3018405875516227E-2</v>
      </c>
      <c r="G13" s="107">
        <f t="shared" si="4"/>
        <v>1270.2272727272727</v>
      </c>
      <c r="H13" s="26">
        <f t="shared" si="2"/>
        <v>5.4657766859509967E-2</v>
      </c>
      <c r="I13" s="4"/>
    </row>
    <row r="14" spans="1:9" s="2" customFormat="1" ht="15.75" customHeight="1" x14ac:dyDescent="0.2">
      <c r="A14" s="337" t="s">
        <v>302</v>
      </c>
      <c r="B14" s="336"/>
      <c r="C14" s="107">
        <f>G104</f>
        <v>35.20738636363636</v>
      </c>
      <c r="D14" s="26">
        <f t="shared" si="0"/>
        <v>1.3823080729634064E-3</v>
      </c>
      <c r="E14" s="107">
        <f>C14</f>
        <v>35.20738636363636</v>
      </c>
      <c r="F14" s="26">
        <f t="shared" si="1"/>
        <v>1.4695319019844169E-3</v>
      </c>
      <c r="G14" s="107">
        <f>E14</f>
        <v>35.20738636363636</v>
      </c>
      <c r="H14" s="26">
        <f t="shared" si="2"/>
        <v>1.5149707118668522E-3</v>
      </c>
      <c r="I14" s="4"/>
    </row>
    <row r="15" spans="1:9" s="6" customFormat="1" ht="15.75" customHeight="1" x14ac:dyDescent="0.2">
      <c r="A15" s="363" t="str">
        <f>A108</f>
        <v>2. Veículos</v>
      </c>
      <c r="B15" s="364"/>
      <c r="C15" s="106">
        <f>+G171</f>
        <v>12945.320202758456</v>
      </c>
      <c r="D15" s="40">
        <f t="shared" si="0"/>
        <v>0.50825756954942247</v>
      </c>
      <c r="E15" s="106">
        <f t="shared" si="3"/>
        <v>12945.320202758456</v>
      </c>
      <c r="F15" s="40">
        <f t="shared" si="1"/>
        <v>0.54032869190782218</v>
      </c>
      <c r="G15" s="106">
        <f t="shared" si="4"/>
        <v>12945.320202758456</v>
      </c>
      <c r="H15" s="40">
        <f t="shared" si="2"/>
        <v>0.55703597990372766</v>
      </c>
      <c r="I15" s="4"/>
    </row>
    <row r="16" spans="1:9" s="2" customFormat="1" ht="15.75" customHeight="1" x14ac:dyDescent="0.2">
      <c r="A16" s="376" t="str">
        <f>A109</f>
        <v>2.1 Depreciação</v>
      </c>
      <c r="B16" s="364"/>
      <c r="C16" s="107">
        <f>G116</f>
        <v>1870.6849336789776</v>
      </c>
      <c r="D16" s="46">
        <f t="shared" si="0"/>
        <v>7.3446601775195977E-2</v>
      </c>
      <c r="E16" s="107">
        <f t="shared" si="3"/>
        <v>1870.6849336789776</v>
      </c>
      <c r="F16" s="46">
        <f t="shared" si="1"/>
        <v>7.8081092422190523E-2</v>
      </c>
      <c r="G16" s="107">
        <f t="shared" si="4"/>
        <v>1870.6849336789776</v>
      </c>
      <c r="H16" s="46">
        <f t="shared" si="2"/>
        <v>8.0495406741732514E-2</v>
      </c>
      <c r="I16" s="4"/>
    </row>
    <row r="17" spans="1:10" s="2" customFormat="1" ht="15.75" customHeight="1" x14ac:dyDescent="0.2">
      <c r="A17" s="376" t="str">
        <f>A117</f>
        <v>2.2 Remuneração do Capital</v>
      </c>
      <c r="B17" s="364"/>
      <c r="C17" s="107">
        <f>G127</f>
        <v>2991.6257215063742</v>
      </c>
      <c r="D17" s="46">
        <f t="shared" si="0"/>
        <v>0.11745684111315899</v>
      </c>
      <c r="E17" s="107">
        <f t="shared" si="3"/>
        <v>2991.6257215063742</v>
      </c>
      <c r="F17" s="46">
        <f t="shared" si="1"/>
        <v>0.12486838389944886</v>
      </c>
      <c r="G17" s="107">
        <f t="shared" si="4"/>
        <v>2991.6257215063742</v>
      </c>
      <c r="H17" s="46">
        <f t="shared" si="2"/>
        <v>0.12872938939968478</v>
      </c>
      <c r="I17" s="4"/>
    </row>
    <row r="18" spans="1:10" s="2" customFormat="1" ht="15.75" customHeight="1" x14ac:dyDescent="0.2">
      <c r="A18" s="376" t="str">
        <f>A129</f>
        <v>2.3. Impostos e Seguros</v>
      </c>
      <c r="B18" s="364"/>
      <c r="C18" s="107">
        <f>G139</f>
        <v>768.40749999999991</v>
      </c>
      <c r="D18" s="46">
        <f t="shared" si="0"/>
        <v>3.0169120752248955E-2</v>
      </c>
      <c r="E18" s="107">
        <f t="shared" si="3"/>
        <v>768.40749999999991</v>
      </c>
      <c r="F18" s="46">
        <f t="shared" si="1"/>
        <v>3.2072796410141206E-2</v>
      </c>
      <c r="G18" s="107">
        <f t="shared" si="4"/>
        <v>768.40749999999991</v>
      </c>
      <c r="H18" s="46">
        <f t="shared" si="2"/>
        <v>3.3064506557100581E-2</v>
      </c>
      <c r="I18" s="4"/>
    </row>
    <row r="19" spans="1:10" s="2" customFormat="1" ht="15.75" customHeight="1" x14ac:dyDescent="0.2">
      <c r="A19" s="376" t="str">
        <f>A140</f>
        <v>2.4. Consumos</v>
      </c>
      <c r="B19" s="364"/>
      <c r="C19" s="107">
        <f>G154</f>
        <v>3159.8667142397721</v>
      </c>
      <c r="D19" s="46">
        <f t="shared" si="0"/>
        <v>0.12406229827651583</v>
      </c>
      <c r="E19" s="107">
        <f t="shared" si="3"/>
        <v>3159.8667142397721</v>
      </c>
      <c r="F19" s="46">
        <f t="shared" si="1"/>
        <v>0.13189064631591188</v>
      </c>
      <c r="G19" s="107">
        <f t="shared" si="4"/>
        <v>3159.8667142397721</v>
      </c>
      <c r="H19" s="46">
        <f t="shared" si="2"/>
        <v>0.1359687843918036</v>
      </c>
      <c r="I19" s="4"/>
    </row>
    <row r="20" spans="1:10" s="2" customFormat="1" ht="15.75" customHeight="1" x14ac:dyDescent="0.2">
      <c r="A20" s="376" t="str">
        <f>A156</f>
        <v>2.5. Manutenção</v>
      </c>
      <c r="B20" s="364"/>
      <c r="C20" s="107">
        <f>G161</f>
        <v>3611.5749999999998</v>
      </c>
      <c r="D20" s="46">
        <f t="shared" si="0"/>
        <v>0.14179721343272095</v>
      </c>
      <c r="E20" s="107">
        <f t="shared" si="3"/>
        <v>3611.5749999999998</v>
      </c>
      <c r="F20" s="46">
        <f t="shared" si="1"/>
        <v>0.15074463705124655</v>
      </c>
      <c r="G20" s="107">
        <f t="shared" si="4"/>
        <v>3611.5749999999998</v>
      </c>
      <c r="H20" s="46">
        <f t="shared" si="2"/>
        <v>0.15540575185557212</v>
      </c>
      <c r="I20" s="4"/>
    </row>
    <row r="21" spans="1:10" s="2" customFormat="1" ht="15.75" customHeight="1" x14ac:dyDescent="0.2">
      <c r="A21" s="376" t="str">
        <f>A163</f>
        <v>2.6. Pneus</v>
      </c>
      <c r="B21" s="364"/>
      <c r="C21" s="107">
        <f>G169</f>
        <v>543.16033333333326</v>
      </c>
      <c r="D21" s="46">
        <f t="shared" si="0"/>
        <v>2.1325494199581765E-2</v>
      </c>
      <c r="E21" s="107">
        <f t="shared" si="3"/>
        <v>543.16033333333326</v>
      </c>
      <c r="F21" s="46">
        <f t="shared" si="1"/>
        <v>2.2671135808883223E-2</v>
      </c>
      <c r="G21" s="107">
        <f t="shared" si="4"/>
        <v>543.16033333333326</v>
      </c>
      <c r="H21" s="46">
        <f t="shared" si="2"/>
        <v>2.3372140957834141E-2</v>
      </c>
      <c r="I21" s="4"/>
    </row>
    <row r="22" spans="1:10" s="6" customFormat="1" ht="15.75" customHeight="1" x14ac:dyDescent="0.2">
      <c r="A22" s="363" t="str">
        <f>A173</f>
        <v>3. Ferramentas e Materiais de Consumo</v>
      </c>
      <c r="B22" s="364"/>
      <c r="C22" s="106">
        <f>+G183</f>
        <v>86.958333333333329</v>
      </c>
      <c r="D22" s="40">
        <f t="shared" si="0"/>
        <v>3.4141473876135369E-3</v>
      </c>
      <c r="E22" s="106">
        <f t="shared" si="3"/>
        <v>86.958333333333329</v>
      </c>
      <c r="F22" s="40">
        <f t="shared" si="1"/>
        <v>3.6295805561049263E-3</v>
      </c>
      <c r="G22" s="106">
        <f>E22</f>
        <v>86.958333333333329</v>
      </c>
      <c r="H22" s="40">
        <f t="shared" si="2"/>
        <v>3.7418093689800505E-3</v>
      </c>
      <c r="I22" s="4"/>
    </row>
    <row r="23" spans="1:10" s="6" customFormat="1" ht="15.75" customHeight="1" x14ac:dyDescent="0.2">
      <c r="A23" s="377" t="str">
        <f>A188</f>
        <v>4. Benefícios e Desp. Ind. - BDI - LUCRO REAL</v>
      </c>
      <c r="B23" s="364"/>
      <c r="C23" s="106">
        <f>+G194</f>
        <v>6137.9316443938014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A202</f>
        <v>5. Benefícios e Desp. Ind. - BDI - LUCRO PRESUMIDO</v>
      </c>
      <c r="B24" s="364"/>
      <c r="C24" s="115"/>
      <c r="D24" s="111"/>
      <c r="E24" s="106">
        <f>G208</f>
        <v>4626.163913396651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A216</f>
        <v>6. Benef. Desp. Ind. + Impostos - SIMPLES NACIONAL</v>
      </c>
      <c r="B25" s="379"/>
      <c r="C25" s="116"/>
      <c r="D25" s="117"/>
      <c r="E25" s="118"/>
      <c r="F25" s="109"/>
      <c r="G25" s="119">
        <f>G220+G233</f>
        <v>4922.9973975373632</v>
      </c>
      <c r="H25" s="108">
        <f>IFERROR(G25/$G$26,0)</f>
        <v>0.21183614128110834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25469.999815712861</v>
      </c>
      <c r="D26" s="45">
        <f>D9+D15+D22+D23</f>
        <v>1.0000000000000002</v>
      </c>
      <c r="E26" s="129">
        <f>E9+E15+E22+E24</f>
        <v>23958.23208471571</v>
      </c>
      <c r="F26" s="45">
        <f>F9+F15+F22+F24</f>
        <v>1.0000000000000002</v>
      </c>
      <c r="G26" s="129">
        <f>G9+G15+G22+G25</f>
        <v>23239.648191120061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G200</f>
        <v>12.546797938774809</v>
      </c>
      <c r="D27" s="45"/>
      <c r="E27" s="129">
        <f>G214</f>
        <v>11.802084770795917</v>
      </c>
      <c r="F27" s="45"/>
      <c r="G27" s="129">
        <f>G239</f>
        <v>11.448102557202001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24</v>
      </c>
      <c r="F36" s="262">
        <v>1</v>
      </c>
      <c r="G36" s="259">
        <v>498889</v>
      </c>
      <c r="H36" s="193"/>
      <c r="I36" s="4"/>
    </row>
    <row r="37" spans="1:9" s="2" customFormat="1" ht="52.5" customHeight="1" x14ac:dyDescent="0.2">
      <c r="A37" s="386" t="s">
        <v>291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101.5</v>
      </c>
      <c r="F42" s="161">
        <f>(E42/F39)+C48</f>
        <v>6.0750000000000002</v>
      </c>
      <c r="G42" s="186">
        <f>E42*E43</f>
        <v>2030</v>
      </c>
      <c r="H42" s="193"/>
      <c r="I42" s="6">
        <f>36+37+19+9.5</f>
        <v>101.5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20604.5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0.69034090909090906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293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0.69034090909090906</v>
      </c>
      <c r="G60" s="239">
        <f>F59*F60</f>
        <v>2012.7497394886361</v>
      </c>
      <c r="H60" s="239">
        <f>G60/G$42</f>
        <v>0.99150233472346605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0.69034090909090906</v>
      </c>
      <c r="G67" s="239">
        <f>F66*F67</f>
        <v>1589.8330978363633</v>
      </c>
      <c r="H67" s="239">
        <f>G67/G$42</f>
        <v>0.78316901371249426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A64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0.69034090909090906</v>
      </c>
      <c r="G77" s="239">
        <f>F76*F77</f>
        <v>2778.3136457386363</v>
      </c>
      <c r="H77" s="239">
        <f>G77/G$42</f>
        <v>1.3686274116939094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0.69034090909090906</v>
      </c>
      <c r="G84" s="239">
        <f>F83*F84</f>
        <v>2185.8129096545454</v>
      </c>
      <c r="H84" s="239">
        <f>G84/G$42</f>
        <v>1.0767551279086431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0.69034090909090906</v>
      </c>
      <c r="G92" s="239">
        <f>SUM(F88:F91)*F92</f>
        <v>203.2915909090909</v>
      </c>
      <c r="H92" s="239">
        <f>G92/G$42</f>
        <v>0.1001436408419167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0.69034090909090906</v>
      </c>
      <c r="G98" s="239">
        <f>SUM(F96:F97)*F98</f>
        <v>1270.2272727272727</v>
      </c>
      <c r="H98" s="239">
        <f>G98/G$42</f>
        <v>0.62572772055530679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0.69034090909090906</v>
      </c>
      <c r="G104" s="239">
        <f>SUM(F102:F103)*F104</f>
        <v>35.20738636363636</v>
      </c>
      <c r="H104" s="239">
        <f>G104/G$42</f>
        <v>1.7343540080609045E-2</v>
      </c>
    </row>
    <row r="105" spans="1:8" ht="13.5" thickBot="1" x14ac:dyDescent="0.25">
      <c r="A105" s="12" t="s">
        <v>106</v>
      </c>
      <c r="B105" s="13"/>
      <c r="C105" s="13"/>
      <c r="D105" s="13"/>
      <c r="E105" s="14"/>
      <c r="F105" s="15"/>
      <c r="G105" s="242">
        <f>SUM(G54:G99)-G67-G84+G104</f>
        <v>6299.7896352272728</v>
      </c>
      <c r="H105" s="243">
        <f>G105/G$42</f>
        <v>3.1033446478952085</v>
      </c>
    </row>
    <row r="106" spans="1:8" ht="13.5" thickBot="1" x14ac:dyDescent="0.25">
      <c r="A106" s="12" t="s">
        <v>107</v>
      </c>
      <c r="B106" s="13"/>
      <c r="C106" s="13"/>
      <c r="D106" s="13"/>
      <c r="E106" s="14"/>
      <c r="F106" s="15"/>
      <c r="G106" s="244">
        <f>SUM(G54:G99)-G60-G77+G104</f>
        <v>5284.3722574909089</v>
      </c>
      <c r="H106" s="239">
        <f>G106/G$42</f>
        <v>2.6031390430989698</v>
      </c>
    </row>
    <row r="107" spans="1:8" x14ac:dyDescent="0.2">
      <c r="A107" s="99"/>
      <c r="E107" s="27"/>
      <c r="F107" s="27"/>
      <c r="G107" s="135"/>
      <c r="H107" s="193"/>
    </row>
    <row r="108" spans="1:8" x14ac:dyDescent="0.2">
      <c r="A108" s="100" t="s">
        <v>211</v>
      </c>
      <c r="B108" s="6"/>
      <c r="E108" s="27"/>
      <c r="F108" s="27"/>
      <c r="G108" s="43"/>
      <c r="H108" s="193"/>
    </row>
    <row r="109" spans="1:8" ht="13.5" thickBot="1" x14ac:dyDescent="0.25">
      <c r="A109" s="100" t="s">
        <v>212</v>
      </c>
      <c r="B109" s="6"/>
      <c r="E109" s="27"/>
      <c r="F109" s="27"/>
      <c r="G109" s="43"/>
      <c r="H109" s="193"/>
    </row>
    <row r="110" spans="1:8" ht="13.5" thickBot="1" x14ac:dyDescent="0.25">
      <c r="A110" s="240" t="s">
        <v>27</v>
      </c>
      <c r="B110" s="241"/>
      <c r="C110" s="236" t="s">
        <v>28</v>
      </c>
      <c r="D110" s="236" t="s">
        <v>21</v>
      </c>
      <c r="E110" s="237" t="s">
        <v>92</v>
      </c>
      <c r="F110" s="237" t="s">
        <v>29</v>
      </c>
      <c r="G110" s="238" t="s">
        <v>30</v>
      </c>
      <c r="H110" s="238" t="s">
        <v>154</v>
      </c>
    </row>
    <row r="111" spans="1:8" x14ac:dyDescent="0.2">
      <c r="A111" s="405" t="s">
        <v>128</v>
      </c>
      <c r="B111" s="390"/>
      <c r="C111" s="8" t="s">
        <v>7</v>
      </c>
      <c r="D111" s="8">
        <v>1</v>
      </c>
      <c r="E111" s="187">
        <f>G36</f>
        <v>498889</v>
      </c>
      <c r="F111" s="9">
        <f>D111*E111</f>
        <v>498889</v>
      </c>
      <c r="G111" s="136"/>
      <c r="H111" s="136"/>
    </row>
    <row r="112" spans="1:8" x14ac:dyDescent="0.2">
      <c r="A112" s="418" t="s">
        <v>145</v>
      </c>
      <c r="B112" s="385"/>
      <c r="C112" s="10" t="s">
        <v>44</v>
      </c>
      <c r="D112" s="188">
        <f>C36</f>
        <v>10</v>
      </c>
      <c r="E112" s="33"/>
      <c r="F112" s="11"/>
      <c r="G112" s="137"/>
      <c r="H112" s="193"/>
    </row>
    <row r="113" spans="1:10" x14ac:dyDescent="0.2">
      <c r="A113" s="418" t="s">
        <v>137</v>
      </c>
      <c r="B113" s="385"/>
      <c r="C113" s="10" t="s">
        <v>0</v>
      </c>
      <c r="D113" s="262">
        <f>'lote 3.1'!D113</f>
        <v>65.180000000000007</v>
      </c>
      <c r="E113" s="201">
        <f>F111</f>
        <v>498889</v>
      </c>
      <c r="F113" s="201">
        <f>D113*E113/100</f>
        <v>325175.85020000004</v>
      </c>
      <c r="G113" s="137"/>
      <c r="H113" s="193"/>
    </row>
    <row r="114" spans="1:10" x14ac:dyDescent="0.2">
      <c r="A114" s="406" t="s">
        <v>146</v>
      </c>
      <c r="B114" s="385"/>
      <c r="C114" s="37" t="s">
        <v>5</v>
      </c>
      <c r="D114" s="37">
        <f>D112*12</f>
        <v>120</v>
      </c>
      <c r="E114" s="38">
        <f>F113</f>
        <v>325175.85020000004</v>
      </c>
      <c r="F114" s="38">
        <f>IFERROR(E114/D114,0)</f>
        <v>2709.7987516666672</v>
      </c>
      <c r="G114" s="137"/>
      <c r="H114" s="193"/>
    </row>
    <row r="115" spans="1:10" x14ac:dyDescent="0.2">
      <c r="A115" s="406" t="s">
        <v>96</v>
      </c>
      <c r="B115" s="385"/>
      <c r="C115" s="158" t="s">
        <v>7</v>
      </c>
      <c r="D115" s="200">
        <f>F36</f>
        <v>1</v>
      </c>
      <c r="E115" s="159">
        <f>F114</f>
        <v>2709.7987516666672</v>
      </c>
      <c r="F115" s="160">
        <f>D115*E115</f>
        <v>2709.7987516666672</v>
      </c>
      <c r="G115" s="137"/>
      <c r="H115" s="193"/>
    </row>
    <row r="116" spans="1:10" ht="13.5" thickBot="1" x14ac:dyDescent="0.25">
      <c r="A116" s="103"/>
      <c r="B116" s="90"/>
      <c r="C116" s="90"/>
      <c r="D116" s="90"/>
      <c r="E116" s="95" t="s">
        <v>86</v>
      </c>
      <c r="F116" s="250">
        <f>$C$46</f>
        <v>0.69034090909090906</v>
      </c>
      <c r="G116" s="239">
        <f>F115*F116</f>
        <v>1870.6849336789776</v>
      </c>
      <c r="H116" s="239">
        <f>G116/G$42</f>
        <v>0.92151967176304317</v>
      </c>
    </row>
    <row r="117" spans="1:10" ht="13.5" thickBot="1" x14ac:dyDescent="0.25">
      <c r="A117" s="100" t="s">
        <v>213</v>
      </c>
      <c r="B117" s="6"/>
      <c r="E117" s="27"/>
      <c r="F117" s="278"/>
      <c r="G117" s="135"/>
      <c r="H117" s="193"/>
    </row>
    <row r="118" spans="1:10" ht="13.5" thickBot="1" x14ac:dyDescent="0.25">
      <c r="A118" s="403" t="s">
        <v>27</v>
      </c>
      <c r="B118" s="412"/>
      <c r="C118" s="236" t="s">
        <v>28</v>
      </c>
      <c r="D118" s="236" t="s">
        <v>21</v>
      </c>
      <c r="E118" s="237" t="s">
        <v>92</v>
      </c>
      <c r="F118" s="237" t="s">
        <v>29</v>
      </c>
      <c r="G118" s="238" t="s">
        <v>30</v>
      </c>
      <c r="H118" s="238" t="s">
        <v>154</v>
      </c>
      <c r="J118" s="34"/>
    </row>
    <row r="119" spans="1:10" x14ac:dyDescent="0.2">
      <c r="A119" s="405" t="s">
        <v>147</v>
      </c>
      <c r="B119" s="390"/>
      <c r="C119" s="8" t="s">
        <v>7</v>
      </c>
      <c r="D119" s="8">
        <v>1</v>
      </c>
      <c r="E119" s="9">
        <f>E111</f>
        <v>498889</v>
      </c>
      <c r="F119" s="9">
        <f>D119*E119</f>
        <v>498889</v>
      </c>
      <c r="G119" s="143"/>
      <c r="H119" s="136"/>
      <c r="I119" s="2"/>
      <c r="J119" s="34"/>
    </row>
    <row r="120" spans="1:10" x14ac:dyDescent="0.2">
      <c r="A120" s="413" t="s">
        <v>88</v>
      </c>
      <c r="B120" s="385"/>
      <c r="C120" s="10" t="s">
        <v>0</v>
      </c>
      <c r="D120" s="268">
        <f>'lote 3.1'!D120</f>
        <v>14.75</v>
      </c>
      <c r="E120" s="11"/>
      <c r="F120" s="11"/>
      <c r="G120" s="142"/>
      <c r="H120" s="193"/>
      <c r="I120" s="2"/>
      <c r="J120" s="34"/>
    </row>
    <row r="121" spans="1:10" x14ac:dyDescent="0.2">
      <c r="A121" s="418" t="s">
        <v>219</v>
      </c>
      <c r="B121" s="385"/>
      <c r="C121" s="10" t="s">
        <v>20</v>
      </c>
      <c r="D121" s="48">
        <f>F119</f>
        <v>498889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218</v>
      </c>
      <c r="B122" s="385"/>
      <c r="C122" s="10"/>
      <c r="D122" s="48">
        <f>F111-F113</f>
        <v>173713.14979999996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210</v>
      </c>
      <c r="B123" s="385"/>
      <c r="C123" s="10" t="s">
        <v>20</v>
      </c>
      <c r="D123" s="33">
        <f>(D121-D122)*((D112+1)/(2*D112))+D122</f>
        <v>352559.86741000001</v>
      </c>
      <c r="E123" s="11"/>
      <c r="F123" s="11"/>
      <c r="G123" s="142"/>
      <c r="H123" s="193"/>
      <c r="I123" s="2"/>
      <c r="J123" s="34"/>
    </row>
    <row r="124" spans="1:10" x14ac:dyDescent="0.2">
      <c r="A124" s="406" t="s">
        <v>148</v>
      </c>
      <c r="B124" s="385"/>
      <c r="C124" s="37" t="s">
        <v>20</v>
      </c>
      <c r="D124" s="37"/>
      <c r="E124" s="161">
        <f>D120*D123/12/100</f>
        <v>4333.5483702479169</v>
      </c>
      <c r="F124" s="38">
        <f>E124</f>
        <v>4333.5483702479169</v>
      </c>
      <c r="G124" s="142"/>
      <c r="H124" s="193"/>
      <c r="J124" s="34"/>
    </row>
    <row r="125" spans="1:10" x14ac:dyDescent="0.2">
      <c r="A125" s="406" t="s">
        <v>149</v>
      </c>
      <c r="B125" s="397"/>
      <c r="C125" s="94"/>
      <c r="D125" s="94"/>
      <c r="E125" s="19"/>
      <c r="F125" s="160">
        <f>F124</f>
        <v>4333.5483702479169</v>
      </c>
      <c r="G125" s="142"/>
      <c r="H125" s="193"/>
      <c r="I125" s="34"/>
      <c r="J125" s="34"/>
    </row>
    <row r="126" spans="1:10" x14ac:dyDescent="0.2">
      <c r="A126" s="406" t="s">
        <v>96</v>
      </c>
      <c r="B126" s="385"/>
      <c r="C126" s="37" t="s">
        <v>7</v>
      </c>
      <c r="D126" s="10">
        <f>D115</f>
        <v>1</v>
      </c>
      <c r="E126" s="38">
        <f>F125</f>
        <v>4333.5483702479169</v>
      </c>
      <c r="F126" s="39">
        <f>D126*E126</f>
        <v>4333.5483702479169</v>
      </c>
      <c r="G126" s="142"/>
      <c r="H126" s="193"/>
      <c r="I126" s="34">
        <f>(I125*2)/12/100</f>
        <v>0</v>
      </c>
      <c r="J126" s="34"/>
    </row>
    <row r="127" spans="1:10" ht="13.5" thickBot="1" x14ac:dyDescent="0.25">
      <c r="A127" s="99"/>
      <c r="D127" s="97"/>
      <c r="E127" s="95" t="s">
        <v>86</v>
      </c>
      <c r="F127" s="250">
        <f>$C$46</f>
        <v>0.69034090909090906</v>
      </c>
      <c r="G127" s="239">
        <f>F126*F127</f>
        <v>2991.6257215063742</v>
      </c>
      <c r="H127" s="239">
        <f>G127/G$42</f>
        <v>1.4737072519735834</v>
      </c>
      <c r="J127" s="34"/>
    </row>
    <row r="128" spans="1:10" ht="11.25" customHeight="1" x14ac:dyDescent="0.2">
      <c r="A128" s="99"/>
      <c r="E128" s="27"/>
      <c r="F128" s="27"/>
      <c r="G128" s="135"/>
      <c r="H128" s="193"/>
      <c r="I128" s="208"/>
      <c r="J128" s="34"/>
    </row>
    <row r="129" spans="1:11" x14ac:dyDescent="0.2">
      <c r="A129" s="100" t="s">
        <v>214</v>
      </c>
      <c r="B129" s="6"/>
      <c r="E129" s="27"/>
      <c r="F129" s="27"/>
      <c r="G129" s="43"/>
      <c r="H129" s="193"/>
      <c r="J129" s="34"/>
    </row>
    <row r="130" spans="1:11" ht="13.5" thickBot="1" x14ac:dyDescent="0.25">
      <c r="A130" s="100" t="str">
        <f>' lote 6.1'!A130</f>
        <v>Despesas consideradas específicas para o transporte escolar municipal</v>
      </c>
      <c r="B130" s="6"/>
      <c r="E130" s="27"/>
      <c r="F130" s="27"/>
      <c r="G130" s="43"/>
      <c r="H130" s="43"/>
      <c r="J130" s="34"/>
    </row>
    <row r="131" spans="1:11" ht="13.5" thickBot="1" x14ac:dyDescent="0.25">
      <c r="A131" s="403" t="s">
        <v>27</v>
      </c>
      <c r="B131" s="412"/>
      <c r="C131" s="236" t="s">
        <v>28</v>
      </c>
      <c r="D131" s="236" t="s">
        <v>21</v>
      </c>
      <c r="E131" s="237" t="s">
        <v>92</v>
      </c>
      <c r="F131" s="237" t="s">
        <v>29</v>
      </c>
      <c r="G131" s="238" t="s">
        <v>30</v>
      </c>
      <c r="H131" s="238" t="s">
        <v>154</v>
      </c>
      <c r="J131" s="34"/>
    </row>
    <row r="132" spans="1:11" x14ac:dyDescent="0.2">
      <c r="A132" s="420" t="s">
        <v>8</v>
      </c>
      <c r="B132" s="390"/>
      <c r="C132" s="8" t="s">
        <v>7</v>
      </c>
      <c r="D132" s="9">
        <f>D115</f>
        <v>1</v>
      </c>
      <c r="E132" s="9">
        <f>0.01*($F$111)</f>
        <v>4988.8900000000003</v>
      </c>
      <c r="F132" s="9">
        <f t="shared" ref="F132:F137" si="5">D132*E132</f>
        <v>4988.8900000000003</v>
      </c>
      <c r="G132" s="136"/>
      <c r="H132" s="136"/>
      <c r="J132" s="34"/>
    </row>
    <row r="133" spans="1:11" x14ac:dyDescent="0.2">
      <c r="A133" s="413" t="s">
        <v>85</v>
      </c>
      <c r="B133" s="385"/>
      <c r="C133" s="10" t="s">
        <v>7</v>
      </c>
      <c r="D133" s="9">
        <f>D115</f>
        <v>1</v>
      </c>
      <c r="E133" s="262">
        <v>562</v>
      </c>
      <c r="F133" s="11">
        <f t="shared" si="5"/>
        <v>562</v>
      </c>
      <c r="G133" s="137"/>
      <c r="H133" s="193"/>
      <c r="J133" s="34"/>
    </row>
    <row r="134" spans="1:11" x14ac:dyDescent="0.2">
      <c r="A134" s="413" t="s">
        <v>9</v>
      </c>
      <c r="B134" s="385"/>
      <c r="C134" s="10" t="s">
        <v>7</v>
      </c>
      <c r="D134" s="9">
        <f>D115</f>
        <v>1</v>
      </c>
      <c r="E134" s="262">
        <v>1310</v>
      </c>
      <c r="F134" s="11">
        <f t="shared" si="5"/>
        <v>1310</v>
      </c>
      <c r="G134" s="144"/>
      <c r="H134" s="193"/>
      <c r="J134" s="34"/>
    </row>
    <row r="135" spans="1:11" x14ac:dyDescent="0.2">
      <c r="A135" s="418" t="s">
        <v>197</v>
      </c>
      <c r="B135" s="385"/>
      <c r="C135" s="10" t="s">
        <v>7</v>
      </c>
      <c r="D135" s="9">
        <v>1</v>
      </c>
      <c r="E135" s="262">
        <v>1171</v>
      </c>
      <c r="F135" s="11">
        <f t="shared" si="5"/>
        <v>1171</v>
      </c>
      <c r="G135" s="144"/>
      <c r="H135" s="193"/>
      <c r="J135" s="34"/>
    </row>
    <row r="136" spans="1:11" x14ac:dyDescent="0.2">
      <c r="A136" s="418" t="s">
        <v>208</v>
      </c>
      <c r="B136" s="385"/>
      <c r="C136" s="10" t="s">
        <v>7</v>
      </c>
      <c r="D136" s="9">
        <v>1</v>
      </c>
      <c r="E136" s="262">
        <v>419</v>
      </c>
      <c r="F136" s="11">
        <f t="shared" si="5"/>
        <v>419</v>
      </c>
      <c r="G136" s="144"/>
      <c r="H136" s="193"/>
      <c r="J136" s="34"/>
    </row>
    <row r="137" spans="1:11" x14ac:dyDescent="0.2">
      <c r="A137" s="418" t="s">
        <v>198</v>
      </c>
      <c r="B137" s="385"/>
      <c r="C137" s="10" t="s">
        <v>7</v>
      </c>
      <c r="D137" s="9">
        <v>1</v>
      </c>
      <c r="E137" s="262">
        <v>770</v>
      </c>
      <c r="F137" s="11">
        <f t="shared" si="5"/>
        <v>770</v>
      </c>
      <c r="G137" s="144"/>
      <c r="H137" s="193"/>
      <c r="J137" s="34"/>
    </row>
    <row r="138" spans="1:11" x14ac:dyDescent="0.2">
      <c r="A138" s="406" t="s">
        <v>10</v>
      </c>
      <c r="B138" s="385"/>
      <c r="C138" s="37" t="s">
        <v>5</v>
      </c>
      <c r="D138" s="37">
        <v>12</v>
      </c>
      <c r="E138" s="38">
        <f>SUM(F132:F137)</f>
        <v>9220.89</v>
      </c>
      <c r="F138" s="38">
        <f>E138/D138</f>
        <v>768.40749999999991</v>
      </c>
      <c r="G138" s="137"/>
      <c r="H138" s="193"/>
      <c r="J138" s="34"/>
    </row>
    <row r="139" spans="1:11" ht="13.5" thickBot="1" x14ac:dyDescent="0.25">
      <c r="A139" s="279"/>
      <c r="B139" s="82"/>
      <c r="C139" s="82"/>
      <c r="D139" s="82"/>
      <c r="E139" s="280" t="s">
        <v>86</v>
      </c>
      <c r="F139" s="250">
        <v>1</v>
      </c>
      <c r="G139" s="239">
        <f>F138*F139</f>
        <v>768.40749999999991</v>
      </c>
      <c r="H139" s="239">
        <f>G139/G$42</f>
        <v>0.37852586206896549</v>
      </c>
      <c r="J139" s="34"/>
    </row>
    <row r="140" spans="1:11" x14ac:dyDescent="0.2">
      <c r="A140" s="100" t="s">
        <v>215</v>
      </c>
      <c r="B140" s="6"/>
      <c r="C140" s="98"/>
      <c r="E140" s="27"/>
      <c r="F140" s="27"/>
      <c r="G140" s="43"/>
      <c r="H140" s="193"/>
      <c r="J140" s="34"/>
    </row>
    <row r="141" spans="1:11" ht="13.5" thickBot="1" x14ac:dyDescent="0.25">
      <c r="A141" s="102" t="s">
        <v>150</v>
      </c>
      <c r="B141" s="214"/>
      <c r="C141" s="190">
        <f>G42</f>
        <v>2030</v>
      </c>
      <c r="E141" s="27"/>
      <c r="F141" s="27"/>
      <c r="G141" s="43"/>
      <c r="H141" s="193"/>
      <c r="J141" s="34"/>
    </row>
    <row r="142" spans="1:11" ht="13.5" thickBot="1" x14ac:dyDescent="0.25">
      <c r="A142" s="403" t="s">
        <v>27</v>
      </c>
      <c r="B142" s="412"/>
      <c r="C142" s="236" t="s">
        <v>28</v>
      </c>
      <c r="D142" s="236" t="s">
        <v>95</v>
      </c>
      <c r="E142" s="237" t="s">
        <v>92</v>
      </c>
      <c r="F142" s="237" t="s">
        <v>29</v>
      </c>
      <c r="G142" s="238" t="s">
        <v>30</v>
      </c>
      <c r="H142" s="238" t="s">
        <v>154</v>
      </c>
      <c r="J142" s="34"/>
      <c r="K142" s="34"/>
    </row>
    <row r="143" spans="1:11" x14ac:dyDescent="0.2">
      <c r="A143" s="420" t="s">
        <v>11</v>
      </c>
      <c r="B143" s="390"/>
      <c r="C143" s="8" t="s">
        <v>12</v>
      </c>
      <c r="D143" s="187">
        <f>F38</f>
        <v>5.5</v>
      </c>
      <c r="E143" s="187">
        <f>G38</f>
        <v>7.32</v>
      </c>
      <c r="F143" s="9"/>
      <c r="G143" s="136"/>
      <c r="H143" s="136"/>
      <c r="J143" s="34"/>
      <c r="K143" s="34"/>
    </row>
    <row r="144" spans="1:11" x14ac:dyDescent="0.2">
      <c r="A144" s="413" t="s">
        <v>13</v>
      </c>
      <c r="B144" s="385"/>
      <c r="C144" s="10" t="s">
        <v>14</v>
      </c>
      <c r="D144" s="35">
        <f>C141</f>
        <v>2030</v>
      </c>
      <c r="E144" s="89">
        <f>IFERROR(+E143/D143,"-")</f>
        <v>1.330909090909091</v>
      </c>
      <c r="F144" s="11">
        <f>IFERROR(D144*E144,"-")</f>
        <v>2701.7454545454548</v>
      </c>
      <c r="G144" s="137"/>
      <c r="H144" s="193"/>
      <c r="J144" s="34"/>
      <c r="K144" s="34"/>
    </row>
    <row r="145" spans="1:11" x14ac:dyDescent="0.2">
      <c r="A145" s="418" t="s">
        <v>232</v>
      </c>
      <c r="B145" s="385"/>
      <c r="C145" s="92" t="s">
        <v>233</v>
      </c>
      <c r="D145" s="269">
        <v>10.5</v>
      </c>
      <c r="E145" s="262">
        <v>18.3</v>
      </c>
      <c r="F145" s="11"/>
      <c r="G145" s="137"/>
      <c r="H145" s="193"/>
      <c r="J145" s="34"/>
      <c r="K145" s="34"/>
    </row>
    <row r="146" spans="1:11" x14ac:dyDescent="0.2">
      <c r="A146" s="413" t="s">
        <v>15</v>
      </c>
      <c r="B146" s="385"/>
      <c r="C146" s="10" t="s">
        <v>14</v>
      </c>
      <c r="D146" s="35">
        <f>D144</f>
        <v>2030</v>
      </c>
      <c r="E146" s="86">
        <f>+D145*E145/10000</f>
        <v>1.9214999999999999E-2</v>
      </c>
      <c r="F146" s="11">
        <f>D146*E146</f>
        <v>39.006450000000001</v>
      </c>
      <c r="G146" s="137"/>
      <c r="H146" s="193"/>
      <c r="J146" s="34"/>
      <c r="K146" s="34"/>
    </row>
    <row r="147" spans="1:11" x14ac:dyDescent="0.2">
      <c r="A147" s="418" t="s">
        <v>234</v>
      </c>
      <c r="B147" s="385"/>
      <c r="C147" s="92" t="s">
        <v>235</v>
      </c>
      <c r="D147" s="269">
        <v>4.5999999999999996</v>
      </c>
      <c r="E147" s="262">
        <v>21.6</v>
      </c>
      <c r="F147" s="11"/>
      <c r="G147" s="137"/>
      <c r="H147" s="193"/>
      <c r="J147" s="34"/>
      <c r="K147" s="34"/>
    </row>
    <row r="148" spans="1:11" x14ac:dyDescent="0.2">
      <c r="A148" s="413" t="s">
        <v>16</v>
      </c>
      <c r="B148" s="385"/>
      <c r="C148" s="10" t="s">
        <v>14</v>
      </c>
      <c r="D148" s="35">
        <f>D144</f>
        <v>2030</v>
      </c>
      <c r="E148" s="231">
        <f>+D147*E147/100000</f>
        <v>9.9360000000000008E-4</v>
      </c>
      <c r="F148" s="11">
        <f>D148*E148</f>
        <v>2.0170080000000001</v>
      </c>
      <c r="G148" s="137"/>
      <c r="H148" s="193"/>
      <c r="J148" s="34"/>
      <c r="K148" s="34"/>
    </row>
    <row r="149" spans="1:11" x14ac:dyDescent="0.2">
      <c r="A149" s="418" t="s">
        <v>237</v>
      </c>
      <c r="B149" s="385"/>
      <c r="C149" s="92" t="s">
        <v>236</v>
      </c>
      <c r="D149" s="269">
        <v>1.7</v>
      </c>
      <c r="E149" s="262">
        <v>20.9</v>
      </c>
      <c r="F149" s="11"/>
      <c r="G149" s="137"/>
      <c r="H149" s="193"/>
      <c r="J149" s="34"/>
      <c r="K149" s="34"/>
    </row>
    <row r="150" spans="1:11" x14ac:dyDescent="0.2">
      <c r="A150" s="413" t="s">
        <v>17</v>
      </c>
      <c r="B150" s="385"/>
      <c r="C150" s="10" t="s">
        <v>14</v>
      </c>
      <c r="D150" s="35">
        <f>D144</f>
        <v>2030</v>
      </c>
      <c r="E150" s="231">
        <f>+D149*E149/80000</f>
        <v>4.4412499999999991E-4</v>
      </c>
      <c r="F150" s="11">
        <f>D150*E150</f>
        <v>0.90157374999999984</v>
      </c>
      <c r="G150" s="137"/>
      <c r="H150" s="193"/>
      <c r="J150" s="34"/>
      <c r="K150" s="34"/>
    </row>
    <row r="151" spans="1:11" x14ac:dyDescent="0.2">
      <c r="A151" s="418" t="s">
        <v>239</v>
      </c>
      <c r="B151" s="385"/>
      <c r="C151" s="92" t="s">
        <v>238</v>
      </c>
      <c r="D151" s="269">
        <v>1</v>
      </c>
      <c r="E151" s="262">
        <v>19.899999999999999</v>
      </c>
      <c r="F151" s="11"/>
      <c r="G151" s="137"/>
      <c r="H151" s="193"/>
      <c r="J151" s="34"/>
      <c r="K151" s="34"/>
    </row>
    <row r="152" spans="1:11" x14ac:dyDescent="0.2">
      <c r="A152" s="413" t="s">
        <v>18</v>
      </c>
      <c r="B152" s="385"/>
      <c r="C152" s="10" t="s">
        <v>14</v>
      </c>
      <c r="D152" s="35">
        <f>D144</f>
        <v>2030</v>
      </c>
      <c r="E152" s="86">
        <f>+D151*E151/10000</f>
        <v>1.99E-3</v>
      </c>
      <c r="F152" s="11">
        <f>D152*E152</f>
        <v>4.0396999999999998</v>
      </c>
      <c r="G152" s="137"/>
      <c r="H152" s="193"/>
      <c r="J152" s="34"/>
      <c r="K152" s="34"/>
    </row>
    <row r="153" spans="1:11" x14ac:dyDescent="0.2">
      <c r="A153" s="406" t="s">
        <v>94</v>
      </c>
      <c r="B153" s="385"/>
      <c r="C153" s="37" t="s">
        <v>45</v>
      </c>
      <c r="D153" s="87"/>
      <c r="E153" s="88">
        <f>IFERROR(E144+E146+E148+E150+E152,0)</f>
        <v>1.3535518159090909</v>
      </c>
      <c r="F153" s="38">
        <f>SUM(F143:F152)</f>
        <v>2747.7101862954542</v>
      </c>
      <c r="G153" s="137"/>
      <c r="H153" s="193"/>
      <c r="J153" s="34"/>
      <c r="K153" s="34"/>
    </row>
    <row r="154" spans="1:11" ht="13.5" thickBot="1" x14ac:dyDescent="0.25">
      <c r="A154" s="99"/>
      <c r="E154" s="255" t="s">
        <v>138</v>
      </c>
      <c r="F154" s="23">
        <f>$C$47+1</f>
        <v>1.1499999999999999</v>
      </c>
      <c r="G154" s="239">
        <f>F153*F154</f>
        <v>3159.8667142397721</v>
      </c>
      <c r="H154" s="239">
        <f>G154/G$42</f>
        <v>1.5565845882954543</v>
      </c>
      <c r="J154" s="34"/>
      <c r="K154" s="34"/>
    </row>
    <row r="155" spans="1:11" ht="11.25" customHeight="1" x14ac:dyDescent="0.2">
      <c r="A155" s="99"/>
      <c r="E155" s="27"/>
      <c r="F155" s="27"/>
      <c r="G155" s="135"/>
      <c r="H155" s="193"/>
      <c r="J155" s="34"/>
      <c r="K155" s="34"/>
    </row>
    <row r="156" spans="1:11" ht="13.5" thickBot="1" x14ac:dyDescent="0.25">
      <c r="A156" s="100" t="s">
        <v>216</v>
      </c>
      <c r="B156" s="6"/>
      <c r="E156" s="27"/>
      <c r="F156" s="27"/>
      <c r="G156" s="43"/>
      <c r="H156" s="193"/>
      <c r="J156" s="34"/>
      <c r="K156" s="34"/>
    </row>
    <row r="157" spans="1:11" ht="13.5" thickBot="1" x14ac:dyDescent="0.25">
      <c r="A157" s="403" t="s">
        <v>27</v>
      </c>
      <c r="B157" s="412"/>
      <c r="C157" s="236" t="s">
        <v>28</v>
      </c>
      <c r="D157" s="236" t="s">
        <v>21</v>
      </c>
      <c r="E157" s="237" t="s">
        <v>92</v>
      </c>
      <c r="F157" s="237" t="s">
        <v>29</v>
      </c>
      <c r="G157" s="238" t="s">
        <v>30</v>
      </c>
      <c r="H157" s="238" t="s">
        <v>154</v>
      </c>
      <c r="J157" s="34"/>
      <c r="K157" s="34"/>
    </row>
    <row r="158" spans="1:11" x14ac:dyDescent="0.2">
      <c r="A158" s="405" t="s">
        <v>188</v>
      </c>
      <c r="B158" s="390"/>
      <c r="C158" s="8" t="s">
        <v>45</v>
      </c>
      <c r="D158" s="35">
        <f>D144</f>
        <v>2030</v>
      </c>
      <c r="E158" s="270">
        <f>'lote 3.1'!E158</f>
        <v>1.35</v>
      </c>
      <c r="F158" s="9">
        <f>D158*E158</f>
        <v>2740.5</v>
      </c>
      <c r="G158" s="136"/>
      <c r="H158" s="136"/>
      <c r="I158" s="34">
        <f>F158*12</f>
        <v>32886</v>
      </c>
      <c r="J158" s="34"/>
      <c r="K158" s="34"/>
    </row>
    <row r="159" spans="1:11" s="165" customFormat="1" x14ac:dyDescent="0.2">
      <c r="A159" s="418" t="s">
        <v>139</v>
      </c>
      <c r="B159" s="385"/>
      <c r="C159" s="162" t="s">
        <v>140</v>
      </c>
      <c r="D159" s="272">
        <v>4</v>
      </c>
      <c r="E159" s="271">
        <f>'lote 3.1'!E159</f>
        <v>100</v>
      </c>
      <c r="F159" s="163">
        <f>D159*E159</f>
        <v>400</v>
      </c>
      <c r="G159" s="164"/>
      <c r="H159" s="196"/>
      <c r="I159" s="4"/>
    </row>
    <row r="160" spans="1:11" s="165" customFormat="1" x14ac:dyDescent="0.2">
      <c r="A160" s="406" t="s">
        <v>141</v>
      </c>
      <c r="B160" s="385"/>
      <c r="C160" s="92" t="s">
        <v>142</v>
      </c>
      <c r="D160" s="166"/>
      <c r="E160" s="23"/>
      <c r="F160" s="159">
        <f>SUM(F158:F159)</f>
        <v>3140.5</v>
      </c>
      <c r="G160" s="164"/>
      <c r="H160" s="196"/>
      <c r="I160" s="4"/>
    </row>
    <row r="161" spans="1:11" ht="13.5" thickBot="1" x14ac:dyDescent="0.25">
      <c r="A161" s="99"/>
      <c r="E161" s="255" t="s">
        <v>138</v>
      </c>
      <c r="F161" s="23">
        <f>$C$47+1</f>
        <v>1.1499999999999999</v>
      </c>
      <c r="G161" s="239">
        <f>F160*F161</f>
        <v>3611.5749999999998</v>
      </c>
      <c r="H161" s="239">
        <f>G161/G$42</f>
        <v>1.7791009852216748</v>
      </c>
      <c r="J161" s="34"/>
      <c r="K161" s="34"/>
    </row>
    <row r="162" spans="1:11" ht="11.25" customHeight="1" x14ac:dyDescent="0.2">
      <c r="A162" s="99"/>
      <c r="E162" s="27"/>
      <c r="F162" s="27"/>
      <c r="G162" s="135"/>
      <c r="H162" s="193"/>
      <c r="J162" s="34"/>
      <c r="K162" s="34"/>
    </row>
    <row r="163" spans="1:11" ht="13.5" thickBot="1" x14ac:dyDescent="0.25">
      <c r="A163" s="100" t="s">
        <v>217</v>
      </c>
      <c r="B163" s="6"/>
      <c r="E163" s="27"/>
      <c r="F163" s="27"/>
      <c r="G163" s="43"/>
      <c r="H163" s="193"/>
      <c r="J163" s="34"/>
      <c r="K163" s="34"/>
    </row>
    <row r="164" spans="1:11" ht="13.5" thickBot="1" x14ac:dyDescent="0.25">
      <c r="A164" s="403" t="s">
        <v>27</v>
      </c>
      <c r="B164" s="412"/>
      <c r="C164" s="236" t="s">
        <v>28</v>
      </c>
      <c r="D164" s="236" t="s">
        <v>21</v>
      </c>
      <c r="E164" s="237" t="s">
        <v>92</v>
      </c>
      <c r="F164" s="237" t="s">
        <v>29</v>
      </c>
      <c r="G164" s="238" t="s">
        <v>30</v>
      </c>
      <c r="H164" s="238" t="s">
        <v>154</v>
      </c>
      <c r="J164" s="34"/>
      <c r="K164" s="34"/>
    </row>
    <row r="165" spans="1:11" x14ac:dyDescent="0.2">
      <c r="A165" s="405" t="s">
        <v>260</v>
      </c>
      <c r="B165" s="390"/>
      <c r="C165" s="8" t="s">
        <v>7</v>
      </c>
      <c r="D165" s="273">
        <v>6</v>
      </c>
      <c r="E165" s="271">
        <v>1745</v>
      </c>
      <c r="F165" s="9">
        <f>D165*E165</f>
        <v>10470</v>
      </c>
      <c r="G165" s="136"/>
      <c r="H165" s="136"/>
      <c r="J165" s="34"/>
      <c r="K165" s="34"/>
    </row>
    <row r="166" spans="1:11" x14ac:dyDescent="0.2">
      <c r="A166" s="421" t="s">
        <v>288</v>
      </c>
      <c r="B166" s="422"/>
      <c r="C166" s="8"/>
      <c r="D166" s="273"/>
      <c r="E166" s="271"/>
      <c r="F166" s="9"/>
      <c r="G166" s="137"/>
      <c r="H166" s="43"/>
      <c r="J166" s="34"/>
      <c r="K166" s="34"/>
    </row>
    <row r="167" spans="1:11" x14ac:dyDescent="0.2">
      <c r="A167" s="418" t="s">
        <v>129</v>
      </c>
      <c r="B167" s="385"/>
      <c r="C167" s="10" t="s">
        <v>19</v>
      </c>
      <c r="D167" s="274">
        <v>45000</v>
      </c>
      <c r="E167" s="11">
        <f>F165</f>
        <v>10470</v>
      </c>
      <c r="F167" s="11">
        <f>IFERROR(E167/D167,"-")</f>
        <v>0.23266666666666666</v>
      </c>
      <c r="G167" s="137"/>
      <c r="H167" s="193"/>
      <c r="J167" s="34"/>
      <c r="K167" s="34"/>
    </row>
    <row r="168" spans="1:11" x14ac:dyDescent="0.2">
      <c r="A168" s="406" t="s">
        <v>25</v>
      </c>
      <c r="B168" s="385"/>
      <c r="C168" s="10" t="s">
        <v>14</v>
      </c>
      <c r="D168" s="35">
        <f>C141</f>
        <v>2030</v>
      </c>
      <c r="E168" s="11">
        <f>F167</f>
        <v>0.23266666666666666</v>
      </c>
      <c r="F168" s="38">
        <f>IFERROR(D168*E168,0)</f>
        <v>472.31333333333333</v>
      </c>
      <c r="G168" s="137"/>
      <c r="H168" s="193"/>
      <c r="J168" s="34"/>
      <c r="K168" s="34"/>
    </row>
    <row r="169" spans="1:11" ht="13.5" thickBot="1" x14ac:dyDescent="0.25">
      <c r="A169" s="99"/>
      <c r="E169" s="255" t="s">
        <v>138</v>
      </c>
      <c r="F169" s="23">
        <f>$C$47+1</f>
        <v>1.1499999999999999</v>
      </c>
      <c r="G169" s="239">
        <f>F168*F169</f>
        <v>543.16033333333326</v>
      </c>
      <c r="H169" s="239">
        <f>G169/G$42</f>
        <v>0.26756666666666662</v>
      </c>
      <c r="J169" s="34"/>
      <c r="K169" s="34"/>
    </row>
    <row r="170" spans="1:11" ht="11.25" customHeight="1" thickBot="1" x14ac:dyDescent="0.25">
      <c r="A170" s="99"/>
      <c r="E170" s="27"/>
      <c r="F170" s="27"/>
      <c r="G170" s="135"/>
      <c r="H170" s="193"/>
      <c r="J170" s="34"/>
      <c r="K170" s="34"/>
    </row>
    <row r="171" spans="1:11" ht="13.5" thickBot="1" x14ac:dyDescent="0.25">
      <c r="A171" s="12" t="s">
        <v>151</v>
      </c>
      <c r="B171" s="13"/>
      <c r="C171" s="13"/>
      <c r="D171" s="13"/>
      <c r="E171" s="14"/>
      <c r="F171" s="15"/>
      <c r="G171" s="245">
        <f>+SUM(G111:G170)</f>
        <v>12945.320202758456</v>
      </c>
      <c r="H171" s="239">
        <f>G171/G$42</f>
        <v>6.3770050259893871</v>
      </c>
    </row>
    <row r="172" spans="1:11" ht="11.25" customHeight="1" x14ac:dyDescent="0.2">
      <c r="A172" s="99"/>
      <c r="E172" s="27"/>
      <c r="F172" s="27"/>
      <c r="G172" s="135"/>
      <c r="H172" s="193"/>
    </row>
    <row r="173" spans="1:11" x14ac:dyDescent="0.2">
      <c r="A173" s="100" t="s">
        <v>168</v>
      </c>
      <c r="B173" s="6"/>
      <c r="C173" s="6"/>
      <c r="D173" s="6"/>
      <c r="E173" s="20"/>
      <c r="F173" s="20"/>
      <c r="G173" s="145"/>
      <c r="H173" s="193"/>
    </row>
    <row r="174" spans="1:11" ht="11.25" customHeight="1" thickBot="1" x14ac:dyDescent="0.25">
      <c r="A174" s="99"/>
      <c r="E174" s="27"/>
      <c r="F174" s="27"/>
      <c r="G174" s="43"/>
      <c r="H174" s="193"/>
    </row>
    <row r="175" spans="1:11" ht="13.5" thickBot="1" x14ac:dyDescent="0.25">
      <c r="A175" s="403" t="s">
        <v>27</v>
      </c>
      <c r="B175" s="412"/>
      <c r="C175" s="236" t="s">
        <v>28</v>
      </c>
      <c r="D175" s="236" t="s">
        <v>21</v>
      </c>
      <c r="E175" s="237" t="s">
        <v>92</v>
      </c>
      <c r="F175" s="237" t="s">
        <v>29</v>
      </c>
      <c r="G175" s="238" t="s">
        <v>30</v>
      </c>
      <c r="H175" s="238" t="s">
        <v>154</v>
      </c>
    </row>
    <row r="176" spans="1:11" x14ac:dyDescent="0.2">
      <c r="A176" s="405" t="s">
        <v>190</v>
      </c>
      <c r="B176" s="390"/>
      <c r="C176" s="92" t="s">
        <v>189</v>
      </c>
      <c r="D176" s="275">
        <f>1/12</f>
        <v>8.3333333333333329E-2</v>
      </c>
      <c r="E176" s="270">
        <v>21.9</v>
      </c>
      <c r="F176" s="11">
        <f>D176*E176</f>
        <v>1.8249999999999997</v>
      </c>
      <c r="G176" s="146"/>
      <c r="H176" s="136"/>
    </row>
    <row r="177" spans="1:8" x14ac:dyDescent="0.2">
      <c r="A177" s="418" t="s">
        <v>191</v>
      </c>
      <c r="B177" s="385"/>
      <c r="C177" s="92" t="s">
        <v>189</v>
      </c>
      <c r="D177" s="275">
        <f>3/12</f>
        <v>0.25</v>
      </c>
      <c r="E177" s="270">
        <v>21</v>
      </c>
      <c r="F177" s="11">
        <f>D177*E177</f>
        <v>5.25</v>
      </c>
      <c r="G177" s="147"/>
      <c r="H177" s="193"/>
    </row>
    <row r="178" spans="1:8" x14ac:dyDescent="0.2">
      <c r="A178" s="418" t="s">
        <v>192</v>
      </c>
      <c r="B178" s="385"/>
      <c r="C178" s="92" t="s">
        <v>189</v>
      </c>
      <c r="D178" s="275">
        <f>2/12</f>
        <v>0.16666666666666666</v>
      </c>
      <c r="E178" s="270">
        <v>11.3</v>
      </c>
      <c r="F178" s="11">
        <f>D178*E178</f>
        <v>1.8833333333333333</v>
      </c>
      <c r="G178" s="147"/>
      <c r="H178" s="193"/>
    </row>
    <row r="179" spans="1:8" x14ac:dyDescent="0.2">
      <c r="A179" s="418" t="s">
        <v>193</v>
      </c>
      <c r="B179" s="385"/>
      <c r="C179" s="92" t="s">
        <v>209</v>
      </c>
      <c r="D179" s="275">
        <f>4</f>
        <v>4</v>
      </c>
      <c r="E179" s="270">
        <v>15</v>
      </c>
      <c r="F179" s="11">
        <f>D179*E179</f>
        <v>60</v>
      </c>
      <c r="G179" s="147"/>
      <c r="H179" s="193"/>
    </row>
    <row r="180" spans="1:8" ht="13.5" thickBot="1" x14ac:dyDescent="0.25">
      <c r="A180" s="418" t="s">
        <v>194</v>
      </c>
      <c r="B180" s="385"/>
      <c r="C180" s="92" t="s">
        <v>189</v>
      </c>
      <c r="D180" s="275">
        <v>4</v>
      </c>
      <c r="E180" s="270">
        <v>4.5</v>
      </c>
      <c r="F180" s="11">
        <f t="shared" ref="F180" si="6">D180*E180</f>
        <v>18</v>
      </c>
      <c r="G180" s="147"/>
      <c r="H180" s="193"/>
    </row>
    <row r="181" spans="1:8" ht="13.5" thickBot="1" x14ac:dyDescent="0.25">
      <c r="A181" s="100"/>
      <c r="B181" s="6"/>
      <c r="C181" s="6"/>
      <c r="D181" s="6"/>
      <c r="E181" s="254" t="s">
        <v>86</v>
      </c>
      <c r="F181" s="250">
        <v>1</v>
      </c>
      <c r="G181" s="245">
        <f>SUM(F176:F180)*F181</f>
        <v>86.958333333333329</v>
      </c>
      <c r="H181" s="245">
        <f>G181/G$42</f>
        <v>4.2836617405582922E-2</v>
      </c>
    </row>
    <row r="182" spans="1:8" ht="11.25" customHeight="1" thickBot="1" x14ac:dyDescent="0.25">
      <c r="A182" s="99"/>
      <c r="E182" s="27"/>
      <c r="F182" s="27"/>
      <c r="G182" s="135"/>
      <c r="H182" s="135"/>
    </row>
    <row r="183" spans="1:8" ht="13.5" thickBot="1" x14ac:dyDescent="0.25">
      <c r="A183" s="12" t="s">
        <v>91</v>
      </c>
      <c r="B183" s="13"/>
      <c r="C183" s="13"/>
      <c r="D183" s="13"/>
      <c r="E183" s="14"/>
      <c r="F183" s="15"/>
      <c r="G183" s="245">
        <f>+G181</f>
        <v>86.958333333333329</v>
      </c>
      <c r="H183" s="245">
        <f>G183/G$42</f>
        <v>4.2836617405582922E-2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7.25" customHeight="1" thickBot="1" x14ac:dyDescent="0.25">
      <c r="A185" s="12" t="s">
        <v>126</v>
      </c>
      <c r="B185" s="13"/>
      <c r="C185" s="16"/>
      <c r="D185" s="16"/>
      <c r="E185" s="17"/>
      <c r="F185" s="18"/>
      <c r="G185" s="242">
        <f>+G105+G171+G183</f>
        <v>19332.068171319061</v>
      </c>
      <c r="H185" s="242">
        <f>G185/G$42</f>
        <v>9.5231862912901768</v>
      </c>
    </row>
    <row r="186" spans="1:8" ht="17.25" customHeight="1" thickBot="1" x14ac:dyDescent="0.25">
      <c r="A186" s="12" t="s">
        <v>127</v>
      </c>
      <c r="B186" s="13"/>
      <c r="C186" s="16"/>
      <c r="D186" s="16"/>
      <c r="E186" s="17"/>
      <c r="F186" s="18"/>
      <c r="G186" s="244">
        <f>+G106+G171+G183</f>
        <v>18316.650793582696</v>
      </c>
      <c r="H186" s="244">
        <f>G186/G$42</f>
        <v>9.0229806864939395</v>
      </c>
    </row>
    <row r="187" spans="1:8" ht="11.25" customHeight="1" x14ac:dyDescent="0.2">
      <c r="A187" s="99"/>
      <c r="E187" s="27"/>
      <c r="F187" s="27"/>
      <c r="G187" s="135"/>
      <c r="H187" s="135"/>
    </row>
    <row r="188" spans="1:8" x14ac:dyDescent="0.2">
      <c r="A188" s="100" t="s">
        <v>169</v>
      </c>
      <c r="B188" s="6"/>
      <c r="E188" s="27"/>
      <c r="F188" s="27"/>
      <c r="G188" s="43"/>
      <c r="H188" s="43"/>
    </row>
    <row r="189" spans="1:8" ht="11.25" customHeight="1" thickBot="1" x14ac:dyDescent="0.25">
      <c r="A189" s="99"/>
      <c r="E189" s="27"/>
      <c r="F189" s="27"/>
      <c r="G189" s="43"/>
      <c r="H189" s="43"/>
    </row>
    <row r="190" spans="1:8" ht="13.5" thickBot="1" x14ac:dyDescent="0.25">
      <c r="A190" s="403" t="s">
        <v>27</v>
      </c>
      <c r="B190" s="412"/>
      <c r="C190" s="236" t="s">
        <v>28</v>
      </c>
      <c r="D190" s="236" t="s">
        <v>21</v>
      </c>
      <c r="E190" s="237" t="s">
        <v>92</v>
      </c>
      <c r="F190" s="237" t="s">
        <v>29</v>
      </c>
      <c r="G190" s="238" t="s">
        <v>30</v>
      </c>
      <c r="H190" s="238" t="s">
        <v>154</v>
      </c>
    </row>
    <row r="191" spans="1:8" ht="13.5" thickBot="1" x14ac:dyDescent="0.25">
      <c r="A191" s="405" t="s">
        <v>170</v>
      </c>
      <c r="B191" s="390"/>
      <c r="C191" s="8" t="s">
        <v>0</v>
      </c>
      <c r="D191" s="44">
        <f>BDI!C11*100</f>
        <v>31.75</v>
      </c>
      <c r="E191" s="9">
        <f>+G185</f>
        <v>19332.068171319061</v>
      </c>
      <c r="F191" s="9">
        <f>D191*E191/100</f>
        <v>6137.9316443938014</v>
      </c>
      <c r="G191" s="136"/>
      <c r="H191" s="136"/>
    </row>
    <row r="192" spans="1:8" ht="13.5" thickBot="1" x14ac:dyDescent="0.25">
      <c r="A192" s="99"/>
      <c r="E192" s="27"/>
      <c r="F192" s="27"/>
      <c r="G192" s="245">
        <f>+F191</f>
        <v>6137.9316443938014</v>
      </c>
      <c r="H192" s="245">
        <f>G192/G$42</f>
        <v>3.0236116474846311</v>
      </c>
    </row>
    <row r="193" spans="1:8" ht="11.25" customHeight="1" thickBot="1" x14ac:dyDescent="0.25">
      <c r="A193" s="99"/>
      <c r="E193" s="27"/>
      <c r="F193" s="27"/>
      <c r="G193" s="135"/>
      <c r="H193" s="135"/>
    </row>
    <row r="194" spans="1:8" ht="13.5" thickBot="1" x14ac:dyDescent="0.25">
      <c r="A194" s="12" t="s">
        <v>171</v>
      </c>
      <c r="B194" s="13"/>
      <c r="C194" s="16"/>
      <c r="D194" s="16"/>
      <c r="E194" s="17"/>
      <c r="F194" s="18"/>
      <c r="G194" s="244">
        <f>G192</f>
        <v>6137.9316443938014</v>
      </c>
      <c r="H194" s="244">
        <f>G194/G$42</f>
        <v>3.0236116474846311</v>
      </c>
    </row>
    <row r="195" spans="1:8" ht="13.5" thickBot="1" x14ac:dyDescent="0.25">
      <c r="A195" s="100"/>
      <c r="B195" s="6"/>
      <c r="C195" s="6"/>
      <c r="D195" s="6"/>
      <c r="E195" s="20"/>
      <c r="F195" s="20"/>
      <c r="G195" s="148"/>
      <c r="H195" s="148"/>
    </row>
    <row r="196" spans="1:8" ht="24.75" customHeight="1" thickBot="1" x14ac:dyDescent="0.25">
      <c r="A196" s="12" t="s">
        <v>172</v>
      </c>
      <c r="B196" s="13"/>
      <c r="C196" s="16"/>
      <c r="D196" s="16"/>
      <c r="E196" s="17"/>
      <c r="F196" s="18"/>
      <c r="G196" s="206">
        <f>G185+G194</f>
        <v>25469.999815712861</v>
      </c>
      <c r="H196" s="244">
        <f>G196/G$42</f>
        <v>12.546797938774809</v>
      </c>
    </row>
    <row r="197" spans="1:8" ht="12.6" customHeight="1" x14ac:dyDescent="0.2">
      <c r="A197" s="104"/>
      <c r="B197" s="24"/>
      <c r="C197" s="24"/>
      <c r="D197" s="24"/>
      <c r="E197" s="25"/>
      <c r="F197" s="25"/>
      <c r="G197" s="149"/>
      <c r="H197" s="149"/>
    </row>
    <row r="198" spans="1:8" ht="16.149999999999999" customHeight="1" x14ac:dyDescent="0.2">
      <c r="A198" s="418" t="s">
        <v>173</v>
      </c>
      <c r="B198" s="397"/>
      <c r="C198" s="82"/>
      <c r="D198" s="82"/>
      <c r="E198" s="157">
        <f>C141</f>
        <v>2030</v>
      </c>
      <c r="F198" s="156" t="s">
        <v>153</v>
      </c>
      <c r="G198" s="43"/>
      <c r="H198" s="43"/>
    </row>
    <row r="199" spans="1:8" ht="13.5" thickBot="1" x14ac:dyDescent="0.25">
      <c r="A199" s="99"/>
      <c r="E199" s="27"/>
      <c r="F199" s="27"/>
      <c r="G199" s="43"/>
      <c r="H199" s="43"/>
    </row>
    <row r="200" spans="1:8" ht="25.5" customHeight="1" thickBot="1" x14ac:dyDescent="0.25">
      <c r="A200" s="12" t="s">
        <v>174</v>
      </c>
      <c r="B200" s="13"/>
      <c r="C200" s="13"/>
      <c r="D200" s="13"/>
      <c r="E200" s="14"/>
      <c r="F200" s="155" t="s">
        <v>154</v>
      </c>
      <c r="G200" s="424">
        <f>IFERROR(G196/E198,"-")</f>
        <v>12.546797938774809</v>
      </c>
      <c r="H200" s="425"/>
    </row>
    <row r="201" spans="1:8" ht="12.6" customHeight="1" x14ac:dyDescent="0.2">
      <c r="A201" s="100"/>
      <c r="B201" s="6"/>
      <c r="C201" s="6"/>
      <c r="D201" s="6"/>
      <c r="E201" s="20"/>
      <c r="F201" s="20"/>
      <c r="G201" s="150"/>
      <c r="H201" s="150"/>
    </row>
    <row r="202" spans="1:8" x14ac:dyDescent="0.2">
      <c r="A202" s="100" t="s">
        <v>175</v>
      </c>
      <c r="B202" s="6"/>
      <c r="E202" s="27"/>
      <c r="F202" s="27"/>
      <c r="G202" s="43"/>
      <c r="H202" s="43"/>
    </row>
    <row r="203" spans="1:8" ht="11.25" customHeight="1" thickBot="1" x14ac:dyDescent="0.25">
      <c r="A203" s="99"/>
      <c r="E203" s="27"/>
      <c r="F203" s="27"/>
      <c r="G203" s="43"/>
      <c r="H203" s="43"/>
    </row>
    <row r="204" spans="1:8" ht="13.5" thickBot="1" x14ac:dyDescent="0.25">
      <c r="A204" s="240" t="s">
        <v>27</v>
      </c>
      <c r="B204" s="241"/>
      <c r="C204" s="236" t="s">
        <v>28</v>
      </c>
      <c r="D204" s="236" t="s">
        <v>21</v>
      </c>
      <c r="E204" s="237" t="s">
        <v>92</v>
      </c>
      <c r="F204" s="237" t="s">
        <v>29</v>
      </c>
      <c r="G204" s="238" t="s">
        <v>30</v>
      </c>
      <c r="H204" s="238" t="s">
        <v>154</v>
      </c>
    </row>
    <row r="205" spans="1:8" ht="13.5" thickBot="1" x14ac:dyDescent="0.25">
      <c r="A205" s="405" t="s">
        <v>152</v>
      </c>
      <c r="B205" s="390"/>
      <c r="C205" s="8" t="s">
        <v>0</v>
      </c>
      <c r="D205" s="44">
        <f>BDI!C$24*100</f>
        <v>23.93</v>
      </c>
      <c r="E205" s="9">
        <f>G185</f>
        <v>19332.068171319061</v>
      </c>
      <c r="F205" s="9">
        <f>D205*E205/100</f>
        <v>4626.163913396651</v>
      </c>
      <c r="G205" s="136"/>
      <c r="H205" s="136"/>
    </row>
    <row r="206" spans="1:8" ht="13.5" thickBot="1" x14ac:dyDescent="0.25">
      <c r="A206" s="99"/>
      <c r="E206" s="27"/>
      <c r="F206" s="27"/>
      <c r="G206" s="245">
        <f>+F205</f>
        <v>4626.163913396651</v>
      </c>
      <c r="H206" s="245">
        <f>G206/G$42</f>
        <v>2.2788984795057394</v>
      </c>
    </row>
    <row r="207" spans="1:8" ht="11.25" customHeight="1" thickBot="1" x14ac:dyDescent="0.25">
      <c r="A207" s="99"/>
      <c r="E207" s="27"/>
      <c r="F207" s="27"/>
      <c r="G207" s="135"/>
      <c r="H207" s="135"/>
    </row>
    <row r="208" spans="1:8" ht="13.5" thickBot="1" x14ac:dyDescent="0.25">
      <c r="A208" s="12" t="s">
        <v>176</v>
      </c>
      <c r="B208" s="13"/>
      <c r="C208" s="16"/>
      <c r="D208" s="16"/>
      <c r="E208" s="17"/>
      <c r="F208" s="18"/>
      <c r="G208" s="244">
        <f>G206</f>
        <v>4626.163913396651</v>
      </c>
      <c r="H208" s="244">
        <f>G208/G$42</f>
        <v>2.2788984795057394</v>
      </c>
    </row>
    <row r="209" spans="1:9" ht="13.5" thickBot="1" x14ac:dyDescent="0.25">
      <c r="A209" s="100"/>
      <c r="B209" s="6"/>
      <c r="C209" s="6"/>
      <c r="D209" s="6"/>
      <c r="E209" s="20"/>
      <c r="F209" s="20"/>
      <c r="G209" s="148"/>
      <c r="H209" s="148"/>
    </row>
    <row r="210" spans="1:9" ht="24.75" customHeight="1" thickBot="1" x14ac:dyDescent="0.25">
      <c r="A210" s="12" t="s">
        <v>177</v>
      </c>
      <c r="B210" s="13"/>
      <c r="C210" s="16"/>
      <c r="D210" s="16"/>
      <c r="E210" s="17"/>
      <c r="F210" s="18"/>
      <c r="G210" s="206">
        <f>G185+G208</f>
        <v>23958.23208471571</v>
      </c>
      <c r="H210" s="244">
        <f>G210/G$42</f>
        <v>11.802084770795917</v>
      </c>
      <c r="I210" s="34"/>
    </row>
    <row r="211" spans="1:9" ht="12.6" customHeight="1" x14ac:dyDescent="0.2">
      <c r="A211" s="104"/>
      <c r="B211" s="24"/>
      <c r="C211" s="24"/>
      <c r="D211" s="24"/>
      <c r="E211" s="25"/>
      <c r="F211" s="25"/>
      <c r="G211" s="149"/>
      <c r="H211" s="149"/>
    </row>
    <row r="212" spans="1:9" ht="16.149999999999999" customHeight="1" x14ac:dyDescent="0.2">
      <c r="A212" s="154" t="s">
        <v>178</v>
      </c>
      <c r="B212" s="215"/>
      <c r="C212" s="82"/>
      <c r="D212" s="82"/>
      <c r="E212" s="157">
        <f>E$198</f>
        <v>2030</v>
      </c>
      <c r="F212" s="156" t="s">
        <v>153</v>
      </c>
      <c r="G212" s="43"/>
      <c r="H212" s="43"/>
    </row>
    <row r="213" spans="1:9" ht="13.5" thickBot="1" x14ac:dyDescent="0.25">
      <c r="A213" s="99"/>
      <c r="E213" s="27"/>
      <c r="F213" s="27"/>
      <c r="G213" s="43"/>
      <c r="H213" s="43"/>
    </row>
    <row r="214" spans="1:9" ht="25.5" customHeight="1" thickBot="1" x14ac:dyDescent="0.25">
      <c r="A214" s="12" t="s">
        <v>179</v>
      </c>
      <c r="B214" s="13"/>
      <c r="C214" s="13"/>
      <c r="D214" s="13"/>
      <c r="E214" s="14"/>
      <c r="F214" s="155" t="s">
        <v>154</v>
      </c>
      <c r="G214" s="424">
        <f>IFERROR(G210/E212,"-")</f>
        <v>11.802084770795917</v>
      </c>
      <c r="H214" s="425"/>
    </row>
    <row r="215" spans="1:9" x14ac:dyDescent="0.2">
      <c r="A215" s="120"/>
      <c r="B215" s="121"/>
      <c r="C215" s="121"/>
      <c r="D215" s="121"/>
      <c r="E215" s="122"/>
      <c r="F215" s="122"/>
      <c r="G215" s="135"/>
      <c r="H215" s="135"/>
    </row>
    <row r="216" spans="1:9" x14ac:dyDescent="0.2">
      <c r="A216" s="134" t="s">
        <v>180</v>
      </c>
      <c r="B216" s="216"/>
      <c r="E216" s="27"/>
      <c r="F216" s="27"/>
      <c r="G216" s="43"/>
      <c r="H216" s="43"/>
    </row>
    <row r="217" spans="1:9" ht="11.25" customHeight="1" thickBot="1" x14ac:dyDescent="0.25">
      <c r="A217" s="99"/>
      <c r="E217" s="27"/>
      <c r="F217" s="27"/>
      <c r="G217" s="43"/>
      <c r="H217" s="43"/>
    </row>
    <row r="218" spans="1:9" ht="13.5" thickBot="1" x14ac:dyDescent="0.25">
      <c r="A218" s="240" t="s">
        <v>27</v>
      </c>
      <c r="B218" s="241"/>
      <c r="C218" s="236" t="s">
        <v>28</v>
      </c>
      <c r="D218" s="236" t="s">
        <v>21</v>
      </c>
      <c r="E218" s="237" t="s">
        <v>92</v>
      </c>
      <c r="F218" s="237" t="s">
        <v>29</v>
      </c>
      <c r="G218" s="238" t="s">
        <v>30</v>
      </c>
      <c r="H218" s="238" t="s">
        <v>154</v>
      </c>
    </row>
    <row r="219" spans="1:9" ht="13.5" thickBot="1" x14ac:dyDescent="0.25">
      <c r="A219" s="101" t="s">
        <v>181</v>
      </c>
      <c r="B219" s="213"/>
      <c r="C219" s="8" t="s">
        <v>0</v>
      </c>
      <c r="D219" s="44">
        <f>BDI!C35*100</f>
        <v>16.93</v>
      </c>
      <c r="E219" s="9">
        <f>G186</f>
        <v>18316.650793582696</v>
      </c>
      <c r="F219" s="9">
        <f>D219*E219/100</f>
        <v>3101.0089793535503</v>
      </c>
      <c r="G219" s="136"/>
      <c r="H219" s="136"/>
    </row>
    <row r="220" spans="1:9" ht="13.5" thickBot="1" x14ac:dyDescent="0.25">
      <c r="A220" s="99"/>
      <c r="E220" s="27"/>
      <c r="F220" s="27"/>
      <c r="G220" s="245">
        <f>+F219</f>
        <v>3101.0089793535503</v>
      </c>
      <c r="H220" s="245">
        <f>G220/G$42</f>
        <v>1.5275906302234239</v>
      </c>
    </row>
    <row r="221" spans="1:9" ht="11.25" customHeight="1" thickBot="1" x14ac:dyDescent="0.25">
      <c r="A221" s="99"/>
      <c r="E221" s="27"/>
      <c r="F221" s="27"/>
      <c r="G221" s="135"/>
      <c r="H221" s="135"/>
    </row>
    <row r="222" spans="1:9" ht="13.5" thickBot="1" x14ac:dyDescent="0.25">
      <c r="A222" s="12" t="s">
        <v>182</v>
      </c>
      <c r="B222" s="13"/>
      <c r="C222" s="16"/>
      <c r="D222" s="16"/>
      <c r="E222" s="17"/>
      <c r="F222" s="18"/>
      <c r="G222" s="244">
        <f>G220</f>
        <v>3101.0089793535503</v>
      </c>
      <c r="H222" s="244">
        <f>G222/G$42</f>
        <v>1.5275906302234239</v>
      </c>
    </row>
    <row r="223" spans="1:9" ht="13.5" thickBot="1" x14ac:dyDescent="0.25">
      <c r="A223" s="100"/>
      <c r="B223" s="6"/>
      <c r="C223" s="6"/>
      <c r="D223" s="6"/>
      <c r="E223" s="20"/>
      <c r="F223" s="20"/>
      <c r="G223" s="148"/>
      <c r="H223" s="148"/>
    </row>
    <row r="224" spans="1:9" ht="24.75" customHeight="1" thickBot="1" x14ac:dyDescent="0.25">
      <c r="A224" s="12" t="s">
        <v>183</v>
      </c>
      <c r="B224" s="13"/>
      <c r="C224" s="16"/>
      <c r="D224" s="16"/>
      <c r="E224" s="17"/>
      <c r="F224" s="18"/>
      <c r="G224" s="244">
        <f>E219+G222</f>
        <v>21417.659772936247</v>
      </c>
      <c r="H224" s="244">
        <f>G224/G$42</f>
        <v>10.550571316717363</v>
      </c>
      <c r="I224" s="34"/>
    </row>
    <row r="225" spans="1:11" ht="12.6" customHeight="1" x14ac:dyDescent="0.2">
      <c r="A225" s="104"/>
      <c r="B225" s="24"/>
      <c r="C225" s="24"/>
      <c r="D225" s="24"/>
      <c r="E225" s="25"/>
      <c r="F225" s="25"/>
      <c r="G225" s="149"/>
      <c r="H225" s="149"/>
      <c r="I225" s="34"/>
    </row>
    <row r="226" spans="1:11" ht="12.6" customHeight="1" x14ac:dyDescent="0.2">
      <c r="A226" s="104" t="s">
        <v>125</v>
      </c>
      <c r="B226" s="24"/>
      <c r="C226" s="24"/>
      <c r="D226" s="24"/>
      <c r="E226" s="25"/>
      <c r="F226" s="25"/>
      <c r="G226" s="151"/>
      <c r="H226" s="151"/>
    </row>
    <row r="227" spans="1:11" x14ac:dyDescent="0.2">
      <c r="A227" s="153" t="s">
        <v>122</v>
      </c>
      <c r="B227" s="6"/>
      <c r="E227" s="27"/>
      <c r="F227" s="27"/>
      <c r="G227" s="43"/>
      <c r="H227" s="43"/>
    </row>
    <row r="228" spans="1:11" x14ac:dyDescent="0.2">
      <c r="A228" s="100" t="s">
        <v>120</v>
      </c>
      <c r="B228" s="6"/>
      <c r="E228" s="27"/>
      <c r="F228" s="27"/>
      <c r="G228" s="43"/>
      <c r="H228" s="43"/>
    </row>
    <row r="229" spans="1:11" x14ac:dyDescent="0.2">
      <c r="A229" s="426" t="s">
        <v>316</v>
      </c>
      <c r="B229" s="415"/>
      <c r="E229" s="27"/>
      <c r="F229" s="27"/>
      <c r="G229" s="43"/>
      <c r="H229" s="43"/>
    </row>
    <row r="230" spans="1:11" ht="11.25" customHeight="1" thickBot="1" x14ac:dyDescent="0.25">
      <c r="A230" s="123"/>
      <c r="E230" s="27"/>
      <c r="F230" s="27"/>
      <c r="G230" s="43"/>
      <c r="H230" s="43"/>
    </row>
    <row r="231" spans="1:11" ht="13.5" thickBot="1" x14ac:dyDescent="0.25">
      <c r="A231" s="240" t="s">
        <v>27</v>
      </c>
      <c r="B231" s="241"/>
      <c r="C231" s="236" t="s">
        <v>28</v>
      </c>
      <c r="D231" s="236" t="s">
        <v>21</v>
      </c>
      <c r="E231" s="237" t="s">
        <v>121</v>
      </c>
      <c r="F231" s="237" t="s">
        <v>29</v>
      </c>
      <c r="G231" s="238" t="s">
        <v>30</v>
      </c>
      <c r="H231" s="238" t="s">
        <v>154</v>
      </c>
    </row>
    <row r="232" spans="1:11" ht="13.5" thickBot="1" x14ac:dyDescent="0.25">
      <c r="A232" s="405" t="s">
        <v>184</v>
      </c>
      <c r="B232" s="390"/>
      <c r="C232" s="124" t="s">
        <v>0</v>
      </c>
      <c r="D232" s="330">
        <v>7.84</v>
      </c>
      <c r="E232" s="125">
        <f>G224</f>
        <v>21417.659772936247</v>
      </c>
      <c r="F232" s="9">
        <f>G235*(D232/100)</f>
        <v>1821.9884181838127</v>
      </c>
      <c r="G232" s="136"/>
      <c r="H232" s="136"/>
      <c r="I232" s="328">
        <f>G235*12</f>
        <v>278875.7782934407</v>
      </c>
      <c r="J232" s="34"/>
      <c r="K232" s="34"/>
    </row>
    <row r="233" spans="1:11" ht="13.5" thickBot="1" x14ac:dyDescent="0.25">
      <c r="A233" s="99"/>
      <c r="E233" s="27"/>
      <c r="F233" s="27"/>
      <c r="G233" s="244">
        <f>F232</f>
        <v>1821.9884181838127</v>
      </c>
      <c r="H233" s="244">
        <f>G233/G$42</f>
        <v>0.89753124048463673</v>
      </c>
      <c r="I233" s="34">
        <v>11.2</v>
      </c>
      <c r="J233" s="4">
        <f>I232*I233/100</f>
        <v>31234.087168865357</v>
      </c>
    </row>
    <row r="234" spans="1:11" ht="13.5" thickBot="1" x14ac:dyDescent="0.25">
      <c r="A234" s="126"/>
      <c r="B234" s="127"/>
      <c r="C234" s="127"/>
      <c r="D234" s="127"/>
      <c r="E234" s="128"/>
      <c r="F234" s="128"/>
      <c r="G234" s="152"/>
      <c r="H234" s="152"/>
      <c r="I234" s="4">
        <v>9360</v>
      </c>
      <c r="J234" s="4">
        <f>J233-I234</f>
        <v>21874.087168865357</v>
      </c>
      <c r="K234" s="358">
        <f>J234/I232</f>
        <v>7.8436669196307346E-2</v>
      </c>
    </row>
    <row r="235" spans="1:11" ht="24.75" customHeight="1" thickBot="1" x14ac:dyDescent="0.25">
      <c r="A235" s="12" t="s">
        <v>185</v>
      </c>
      <c r="B235" s="13"/>
      <c r="C235" s="16"/>
      <c r="D235" s="16"/>
      <c r="E235" s="17"/>
      <c r="F235" s="18"/>
      <c r="G235" s="206">
        <f>E232/((100-D232)/100)</f>
        <v>23239.648191120061</v>
      </c>
      <c r="H235" s="244">
        <f>G235/G$42</f>
        <v>11.448102557202001</v>
      </c>
    </row>
    <row r="236" spans="1:11" ht="12.6" customHeight="1" x14ac:dyDescent="0.2">
      <c r="A236" s="104"/>
      <c r="B236" s="24"/>
      <c r="C236" s="24"/>
      <c r="D236" s="24"/>
      <c r="E236" s="25"/>
      <c r="F236" s="25"/>
      <c r="G236" s="149"/>
      <c r="H236" s="149"/>
    </row>
    <row r="237" spans="1:11" ht="16.149999999999999" customHeight="1" x14ac:dyDescent="0.2">
      <c r="A237" s="154" t="s">
        <v>186</v>
      </c>
      <c r="B237" s="215"/>
      <c r="C237" s="82"/>
      <c r="D237" s="82"/>
      <c r="E237" s="157">
        <f>E$198</f>
        <v>2030</v>
      </c>
      <c r="F237" s="156" t="s">
        <v>153</v>
      </c>
      <c r="G237" s="43"/>
      <c r="H237" s="43"/>
    </row>
    <row r="238" spans="1:11" ht="13.5" thickBot="1" x14ac:dyDescent="0.25">
      <c r="A238" s="99"/>
      <c r="E238" s="27"/>
      <c r="F238" s="27"/>
      <c r="G238" s="43"/>
      <c r="H238" s="43"/>
    </row>
    <row r="239" spans="1:11" ht="25.5" customHeight="1" thickBot="1" x14ac:dyDescent="0.25">
      <c r="A239" s="12" t="s">
        <v>187</v>
      </c>
      <c r="B239" s="13"/>
      <c r="C239" s="13"/>
      <c r="D239" s="13"/>
      <c r="E239" s="14"/>
      <c r="F239" s="155" t="s">
        <v>154</v>
      </c>
      <c r="G239" s="424">
        <f>IFERROR(G235/E237,"-")</f>
        <v>11.448102557202001</v>
      </c>
      <c r="H239" s="425"/>
    </row>
    <row r="240" spans="1:11" ht="9" customHeight="1" x14ac:dyDescent="0.2">
      <c r="E240" s="4"/>
      <c r="F240" s="4"/>
      <c r="G240" s="4"/>
      <c r="H240" s="27"/>
    </row>
    <row r="241" spans="1:8" x14ac:dyDescent="0.2">
      <c r="H241" s="27"/>
    </row>
    <row r="242" spans="1:8" x14ac:dyDescent="0.2">
      <c r="H242" s="27"/>
    </row>
    <row r="243" spans="1:8" x14ac:dyDescent="0.2">
      <c r="A243" s="6"/>
      <c r="B243" s="6"/>
      <c r="C243" s="6"/>
      <c r="D243" s="6"/>
      <c r="E243" s="317"/>
      <c r="F243" s="317"/>
      <c r="G243" s="317"/>
      <c r="H243" s="20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423"/>
      <c r="D247" s="423"/>
      <c r="E247" s="423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H250" s="27"/>
    </row>
    <row r="251" spans="1:8" x14ac:dyDescent="0.2">
      <c r="H251" s="27"/>
    </row>
    <row r="252" spans="1:8" x14ac:dyDescent="0.2">
      <c r="H252" s="27"/>
    </row>
  </sheetData>
  <mergeCells count="134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119:B119"/>
    <mergeCell ref="A120:B120"/>
    <mergeCell ref="A121:B121"/>
    <mergeCell ref="A122:B122"/>
    <mergeCell ref="A123:B123"/>
    <mergeCell ref="A124:B124"/>
    <mergeCell ref="A111:B111"/>
    <mergeCell ref="A112:B112"/>
    <mergeCell ref="A113:B113"/>
    <mergeCell ref="A114:B114"/>
    <mergeCell ref="A115:B115"/>
    <mergeCell ref="A118:B118"/>
    <mergeCell ref="A135:B135"/>
    <mergeCell ref="A136:B136"/>
    <mergeCell ref="A137:B137"/>
    <mergeCell ref="A138:B138"/>
    <mergeCell ref="A142:B142"/>
    <mergeCell ref="A143:B143"/>
    <mergeCell ref="A125:B125"/>
    <mergeCell ref="A126:B126"/>
    <mergeCell ref="A131:B131"/>
    <mergeCell ref="A132:B132"/>
    <mergeCell ref="A133:B133"/>
    <mergeCell ref="A134:B134"/>
    <mergeCell ref="A150:B150"/>
    <mergeCell ref="A151:B151"/>
    <mergeCell ref="A152:B152"/>
    <mergeCell ref="A153:B153"/>
    <mergeCell ref="A157:B157"/>
    <mergeCell ref="A158:B158"/>
    <mergeCell ref="A144:B144"/>
    <mergeCell ref="A145:B145"/>
    <mergeCell ref="A146:B146"/>
    <mergeCell ref="A147:B147"/>
    <mergeCell ref="A148:B148"/>
    <mergeCell ref="A149:B149"/>
    <mergeCell ref="A168:B168"/>
    <mergeCell ref="A175:B175"/>
    <mergeCell ref="A176:B176"/>
    <mergeCell ref="A177:B177"/>
    <mergeCell ref="A178:B178"/>
    <mergeCell ref="A179:B179"/>
    <mergeCell ref="A159:B159"/>
    <mergeCell ref="A160:B160"/>
    <mergeCell ref="A164:B164"/>
    <mergeCell ref="A165:B165"/>
    <mergeCell ref="A166:B166"/>
    <mergeCell ref="A167:B167"/>
    <mergeCell ref="C249:E249"/>
    <mergeCell ref="G214:H214"/>
    <mergeCell ref="A229:B229"/>
    <mergeCell ref="A232:B232"/>
    <mergeCell ref="G239:H239"/>
    <mergeCell ref="C247:E247"/>
    <mergeCell ref="C248:E248"/>
    <mergeCell ref="A180:B180"/>
    <mergeCell ref="A190:B190"/>
    <mergeCell ref="A191:B191"/>
    <mergeCell ref="A198:B198"/>
    <mergeCell ref="G200:H200"/>
    <mergeCell ref="A205:B205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39" max="16383" man="1"/>
    <brk id="200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253"/>
  <sheetViews>
    <sheetView topLeftCell="A223" zoomScaleNormal="100" zoomScaleSheetLayoutView="110" workbookViewId="0">
      <selection activeCell="E244" sqref="E244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2.28515625" style="4" bestFit="1" customWidth="1"/>
    <col min="10" max="10" width="11.28515625" style="4" bestFit="1" customWidth="1"/>
    <col min="11" max="11" width="10.5703125" style="4" bestFit="1" customWidth="1"/>
    <col min="12" max="16384" width="9.140625" style="4"/>
  </cols>
  <sheetData>
    <row r="1" spans="1:12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12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12" s="91" customFormat="1" ht="23.25" customHeight="1" thickBot="1" x14ac:dyDescent="0.25">
      <c r="A3" s="248" t="s">
        <v>97</v>
      </c>
      <c r="B3" s="256" t="str">
        <f>' lote 14.1'!B3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12" s="3" customFormat="1" ht="18.75" thickBot="1" x14ac:dyDescent="0.3">
      <c r="A4" s="249" t="s">
        <v>309</v>
      </c>
      <c r="B4" s="314">
        <v>16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12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12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12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12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12" s="6" customFormat="1" ht="15.75" customHeight="1" x14ac:dyDescent="0.2">
      <c r="A9" s="363" t="str">
        <f>A51</f>
        <v>1. Mão-de-obra</v>
      </c>
      <c r="B9" s="364"/>
      <c r="C9" s="106">
        <f>+G106</f>
        <v>6273.8645749999996</v>
      </c>
      <c r="D9" s="40">
        <f t="shared" ref="D9:D23" si="0">IFERROR(C9/$C$26,0)</f>
        <v>0.25368405180849907</v>
      </c>
      <c r="E9" s="106">
        <f>G106</f>
        <v>6273.8645749999996</v>
      </c>
      <c r="F9" s="40">
        <f t="shared" ref="F9:F22" si="1">IFERROR(E9/$E$26,0)</f>
        <v>0.26969155027652514</v>
      </c>
      <c r="G9" s="106">
        <f>G107</f>
        <v>5262.6258695999995</v>
      </c>
      <c r="H9" s="40">
        <f t="shared" ref="H9:H22" si="2">IFERROR(G9/$G$26,0)</f>
        <v>0.22394435116878103</v>
      </c>
      <c r="I9" s="4"/>
    </row>
    <row r="10" spans="1:12" s="2" customFormat="1" ht="15.75" customHeight="1" x14ac:dyDescent="0.2">
      <c r="A10" s="365" t="s">
        <v>155</v>
      </c>
      <c r="B10" s="364"/>
      <c r="C10" s="107">
        <f>G60</f>
        <v>2004.4668187499997</v>
      </c>
      <c r="D10" s="26">
        <f t="shared" si="0"/>
        <v>8.1050723715405074E-2</v>
      </c>
      <c r="E10" s="107">
        <f t="shared" ref="E10:E22" si="3">C10</f>
        <v>2004.4668187499997</v>
      </c>
      <c r="F10" s="26">
        <f t="shared" si="1"/>
        <v>8.6165035499916248E-2</v>
      </c>
      <c r="G10" s="107">
        <f>G67</f>
        <v>1583.2905747999996</v>
      </c>
      <c r="H10" s="26">
        <f t="shared" si="2"/>
        <v>6.7374916870574023E-2</v>
      </c>
      <c r="I10" s="4"/>
      <c r="J10" s="6"/>
      <c r="K10" s="6"/>
      <c r="L10" s="6"/>
    </row>
    <row r="11" spans="1:12" s="2" customFormat="1" ht="15.75" customHeight="1" x14ac:dyDescent="0.2">
      <c r="A11" s="366" t="s">
        <v>156</v>
      </c>
      <c r="B11" s="364"/>
      <c r="C11" s="107">
        <f>G77</f>
        <v>2766.8802562499995</v>
      </c>
      <c r="D11" s="26">
        <f t="shared" si="0"/>
        <v>0.11187895210097647</v>
      </c>
      <c r="E11" s="107">
        <f t="shared" si="3"/>
        <v>2766.8802562499995</v>
      </c>
      <c r="F11" s="26">
        <f t="shared" si="1"/>
        <v>0.11893852932545512</v>
      </c>
      <c r="G11" s="107">
        <f>G84</f>
        <v>2176.8177947999993</v>
      </c>
      <c r="H11" s="26">
        <f t="shared" si="2"/>
        <v>9.2631712903086402E-2</v>
      </c>
      <c r="I11" s="4"/>
      <c r="J11" s="6"/>
      <c r="K11" s="6"/>
      <c r="L11" s="6"/>
    </row>
    <row r="12" spans="1:12" s="2" customFormat="1" ht="15.75" customHeight="1" x14ac:dyDescent="0.2">
      <c r="A12" s="367" t="str">
        <f>A86</f>
        <v>1.3. Vale Transporte</v>
      </c>
      <c r="B12" s="364"/>
      <c r="C12" s="107">
        <f>G92</f>
        <v>202.45499999999998</v>
      </c>
      <c r="D12" s="26">
        <f t="shared" si="0"/>
        <v>8.186278823031445E-3</v>
      </c>
      <c r="E12" s="107">
        <f t="shared" si="3"/>
        <v>202.45499999999998</v>
      </c>
      <c r="F12" s="26">
        <f t="shared" si="1"/>
        <v>8.7028341397110721E-3</v>
      </c>
      <c r="G12" s="107">
        <f t="shared" ref="G12:G21" si="4">E12</f>
        <v>202.45499999999998</v>
      </c>
      <c r="H12" s="26">
        <f t="shared" si="2"/>
        <v>8.6152150541002927E-3</v>
      </c>
      <c r="I12" s="4"/>
      <c r="J12" s="6"/>
      <c r="K12" s="6"/>
      <c r="L12" s="6"/>
    </row>
    <row r="13" spans="1:12" s="2" customFormat="1" ht="15.75" customHeight="1" x14ac:dyDescent="0.2">
      <c r="A13" s="367" t="str">
        <f>A94</f>
        <v>1.4. Vale-refeição (diário)</v>
      </c>
      <c r="B13" s="364"/>
      <c r="C13" s="107">
        <f>G98</f>
        <v>1264.9999999999998</v>
      </c>
      <c r="D13" s="26">
        <f t="shared" si="0"/>
        <v>5.1150343094192668E-2</v>
      </c>
      <c r="E13" s="107">
        <f t="shared" si="3"/>
        <v>1264.9999999999998</v>
      </c>
      <c r="F13" s="26">
        <f t="shared" si="1"/>
        <v>5.4377936759944207E-2</v>
      </c>
      <c r="G13" s="107">
        <f t="shared" si="4"/>
        <v>1264.9999999999998</v>
      </c>
      <c r="H13" s="26">
        <f t="shared" si="2"/>
        <v>5.3830466244038769E-2</v>
      </c>
      <c r="I13" s="4"/>
      <c r="J13" s="6"/>
      <c r="K13" s="6"/>
      <c r="L13" s="6"/>
    </row>
    <row r="14" spans="1:12" s="2" customFormat="1" ht="15.75" customHeight="1" x14ac:dyDescent="0.2">
      <c r="A14" s="337" t="s">
        <v>305</v>
      </c>
      <c r="B14" s="336"/>
      <c r="C14" s="107">
        <f>G104</f>
        <v>35.062499999999993</v>
      </c>
      <c r="D14" s="26">
        <f t="shared" si="0"/>
        <v>1.4177540748933838E-3</v>
      </c>
      <c r="E14" s="107">
        <f>C14</f>
        <v>35.062499999999993</v>
      </c>
      <c r="F14" s="26">
        <f t="shared" si="1"/>
        <v>1.5072145514984535E-3</v>
      </c>
      <c r="G14" s="107">
        <f>E14</f>
        <v>35.062499999999993</v>
      </c>
      <c r="H14" s="26">
        <f t="shared" si="2"/>
        <v>1.4920400969815094E-3</v>
      </c>
      <c r="I14" s="4"/>
      <c r="J14" s="6"/>
      <c r="K14" s="6"/>
      <c r="L14" s="6"/>
    </row>
    <row r="15" spans="1:12" s="6" customFormat="1" ht="15.75" customHeight="1" x14ac:dyDescent="0.2">
      <c r="A15" s="363" t="str">
        <f>A109</f>
        <v>2. Veículos</v>
      </c>
      <c r="B15" s="364"/>
      <c r="C15" s="106">
        <f>+G172</f>
        <v>12410.347421618111</v>
      </c>
      <c r="D15" s="40">
        <f t="shared" si="0"/>
        <v>0.50181306603470033</v>
      </c>
      <c r="E15" s="106">
        <f t="shared" si="3"/>
        <v>12410.347421618111</v>
      </c>
      <c r="F15" s="40">
        <f t="shared" si="1"/>
        <v>0.53347753933730147</v>
      </c>
      <c r="G15" s="106">
        <f t="shared" si="4"/>
        <v>12410.347421618111</v>
      </c>
      <c r="H15" s="40">
        <f t="shared" si="2"/>
        <v>0.52810655174403753</v>
      </c>
      <c r="I15" s="4"/>
    </row>
    <row r="16" spans="1:12" s="2" customFormat="1" ht="15.75" customHeight="1" x14ac:dyDescent="0.2">
      <c r="A16" s="376" t="str">
        <f>A110</f>
        <v>2.1 Depreciação</v>
      </c>
      <c r="B16" s="364"/>
      <c r="C16" s="107">
        <f>G117</f>
        <v>1509.6835439583335</v>
      </c>
      <c r="D16" s="46">
        <f t="shared" si="0"/>
        <v>6.1044135365316582E-2</v>
      </c>
      <c r="E16" s="107">
        <f t="shared" si="3"/>
        <v>1509.6835439583335</v>
      </c>
      <c r="F16" s="46">
        <f t="shared" si="1"/>
        <v>6.4896028680549195E-2</v>
      </c>
      <c r="G16" s="107">
        <f t="shared" si="4"/>
        <v>1509.6835439583335</v>
      </c>
      <c r="H16" s="46">
        <f t="shared" si="2"/>
        <v>6.4242663282395182E-2</v>
      </c>
      <c r="I16" s="4"/>
    </row>
    <row r="17" spans="1:10" s="2" customFormat="1" ht="15.75" customHeight="1" x14ac:dyDescent="0.2">
      <c r="A17" s="376" t="str">
        <f>A118</f>
        <v>2.2 Remuneração do Capital</v>
      </c>
      <c r="B17" s="364"/>
      <c r="C17" s="107">
        <f>G128</f>
        <v>2414.3072091559889</v>
      </c>
      <c r="D17" s="46">
        <f t="shared" si="0"/>
        <v>9.7622641962934104E-2</v>
      </c>
      <c r="E17" s="107">
        <f t="shared" si="3"/>
        <v>2414.3072091559889</v>
      </c>
      <c r="F17" s="46">
        <f t="shared" si="1"/>
        <v>0.10378264406210418</v>
      </c>
      <c r="G17" s="107">
        <f t="shared" si="4"/>
        <v>2414.3072091559889</v>
      </c>
      <c r="H17" s="46">
        <f t="shared" si="2"/>
        <v>0.10273777290530509</v>
      </c>
      <c r="I17" s="4"/>
    </row>
    <row r="18" spans="1:10" s="2" customFormat="1" ht="15.75" customHeight="1" x14ac:dyDescent="0.2">
      <c r="A18" s="376" t="str">
        <f>A130</f>
        <v>2.3. Impostos e Seguros</v>
      </c>
      <c r="B18" s="364"/>
      <c r="C18" s="107">
        <f>G140</f>
        <v>689.56500000000005</v>
      </c>
      <c r="D18" s="46">
        <f t="shared" si="0"/>
        <v>2.7882597893871128E-2</v>
      </c>
      <c r="E18" s="107">
        <f t="shared" si="3"/>
        <v>689.56500000000005</v>
      </c>
      <c r="F18" s="46">
        <f t="shared" si="1"/>
        <v>2.9641993645747777E-2</v>
      </c>
      <c r="G18" s="107">
        <f t="shared" si="4"/>
        <v>689.56500000000005</v>
      </c>
      <c r="H18" s="46">
        <f t="shared" si="2"/>
        <v>2.9343561624957E-2</v>
      </c>
      <c r="I18" s="4"/>
    </row>
    <row r="19" spans="1:10" s="2" customFormat="1" ht="15.75" customHeight="1" x14ac:dyDescent="0.2">
      <c r="A19" s="376" t="str">
        <f>A141</f>
        <v>2.4. Consumos</v>
      </c>
      <c r="B19" s="364"/>
      <c r="C19" s="107">
        <f>G155</f>
        <v>3417.7183351704548</v>
      </c>
      <c r="D19" s="46">
        <f t="shared" si="0"/>
        <v>0.13819562485634923</v>
      </c>
      <c r="E19" s="107">
        <f t="shared" si="3"/>
        <v>3417.7183351704548</v>
      </c>
      <c r="F19" s="46">
        <f t="shared" si="1"/>
        <v>0.14691578774166072</v>
      </c>
      <c r="G19" s="107">
        <f t="shared" si="4"/>
        <v>3417.7183351704548</v>
      </c>
      <c r="H19" s="46">
        <f t="shared" si="2"/>
        <v>0.14543665729092931</v>
      </c>
      <c r="I19" s="4"/>
    </row>
    <row r="20" spans="1:10" s="2" customFormat="1" ht="15.75" customHeight="1" x14ac:dyDescent="0.2">
      <c r="A20" s="376" t="str">
        <f>A157</f>
        <v>2.5. Manutenção</v>
      </c>
      <c r="B20" s="364"/>
      <c r="C20" s="107">
        <f>G162</f>
        <v>3908.75</v>
      </c>
      <c r="D20" s="46">
        <f t="shared" si="0"/>
        <v>0.15805051665567244</v>
      </c>
      <c r="E20" s="107">
        <f t="shared" si="3"/>
        <v>3908.75</v>
      </c>
      <c r="F20" s="46">
        <f t="shared" si="1"/>
        <v>0.16802352593710035</v>
      </c>
      <c r="G20" s="107">
        <f t="shared" si="4"/>
        <v>3908.75</v>
      </c>
      <c r="H20" s="46">
        <f t="shared" si="2"/>
        <v>0.1663318853212542</v>
      </c>
      <c r="I20" s="4"/>
    </row>
    <row r="21" spans="1:10" s="2" customFormat="1" ht="15.75" customHeight="1" x14ac:dyDescent="0.2">
      <c r="A21" s="376" t="str">
        <f>A164</f>
        <v>2.6. Pneus</v>
      </c>
      <c r="B21" s="364"/>
      <c r="C21" s="107">
        <f>G170</f>
        <v>470.32333333333332</v>
      </c>
      <c r="D21" s="46">
        <f t="shared" si="0"/>
        <v>1.9017549300556796E-2</v>
      </c>
      <c r="E21" s="107">
        <f t="shared" si="3"/>
        <v>470.32333333333332</v>
      </c>
      <c r="F21" s="46">
        <f t="shared" si="1"/>
        <v>2.0217559270139261E-2</v>
      </c>
      <c r="G21" s="107">
        <f t="shared" si="4"/>
        <v>470.32333333333332</v>
      </c>
      <c r="H21" s="46">
        <f t="shared" si="2"/>
        <v>2.0014011319196678E-2</v>
      </c>
      <c r="I21" s="4"/>
    </row>
    <row r="22" spans="1:10" s="6" customFormat="1" ht="15.75" customHeight="1" x14ac:dyDescent="0.2">
      <c r="A22" s="363" t="str">
        <f>A174</f>
        <v>3. Ferramentas e Materiais de Consumo</v>
      </c>
      <c r="B22" s="364"/>
      <c r="C22" s="106">
        <f>+G184</f>
        <v>86.958333333333329</v>
      </c>
      <c r="D22" s="40">
        <f t="shared" si="0"/>
        <v>3.5161648892483568E-3</v>
      </c>
      <c r="E22" s="106">
        <f t="shared" si="3"/>
        <v>86.958333333333329</v>
      </c>
      <c r="F22" s="40">
        <f t="shared" si="1"/>
        <v>3.7380353760870745E-3</v>
      </c>
      <c r="G22" s="106">
        <f>E22</f>
        <v>86.958333333333329</v>
      </c>
      <c r="H22" s="40">
        <f t="shared" si="2"/>
        <v>3.7004012862749975E-3</v>
      </c>
      <c r="I22" s="4"/>
    </row>
    <row r="23" spans="1:10" s="6" customFormat="1" ht="15.75" customHeight="1" x14ac:dyDescent="0.2">
      <c r="A23" s="377" t="str">
        <f>A189</f>
        <v>4. Benefícios e Desp. Ind. - BDI - LUCRO REAL</v>
      </c>
      <c r="B23" s="364"/>
      <c r="C23" s="106">
        <f>+G195</f>
        <v>5959.8465797595845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A203</f>
        <v>5. Benefícios e Desp. Ind. - BDI - LUCRO PRESUMIDO</v>
      </c>
      <c r="B24" s="364"/>
      <c r="C24" s="115"/>
      <c r="D24" s="111"/>
      <c r="E24" s="106">
        <f>G209</f>
        <v>4491.9410599573803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A217</f>
        <v>6. Benef. Desp. Ind. + Impostos - SIMPLES NACIONAL</v>
      </c>
      <c r="B25" s="379"/>
      <c r="C25" s="116"/>
      <c r="D25" s="117"/>
      <c r="E25" s="118"/>
      <c r="F25" s="109"/>
      <c r="G25" s="119">
        <f>G221+G234</f>
        <v>5739.7719497248981</v>
      </c>
      <c r="H25" s="108">
        <f>IFERROR(G25/$G$26,0)</f>
        <v>0.24424869580090655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24731.01690971103</v>
      </c>
      <c r="D26" s="45">
        <f>D9+D15+D22+D23</f>
        <v>0.99999999999999989</v>
      </c>
      <c r="E26" s="129">
        <f>E9+E15+E22+E24</f>
        <v>23263.111389908823</v>
      </c>
      <c r="F26" s="45">
        <f>F9+F15+F22+F24</f>
        <v>1</v>
      </c>
      <c r="G26" s="129">
        <f>G9+G15+G22+G25</f>
        <v>23499.70357427634</v>
      </c>
      <c r="H26" s="45">
        <f>H9+H15+H22+H25</f>
        <v>1.0000000000000002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G201</f>
        <v>12.243077678074767</v>
      </c>
      <c r="D27" s="45"/>
      <c r="E27" s="129">
        <f>G215</f>
        <v>11.516391777182585</v>
      </c>
      <c r="F27" s="45"/>
      <c r="G27" s="129">
        <f>G240</f>
        <v>11.633516620928882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253</v>
      </c>
      <c r="B36" s="385"/>
      <c r="C36" s="261">
        <v>10</v>
      </c>
      <c r="D36" s="183">
        <f>1/C36</f>
        <v>0.1</v>
      </c>
      <c r="E36" s="356">
        <v>18</v>
      </c>
      <c r="F36" s="262">
        <v>1</v>
      </c>
      <c r="G36" s="259">
        <v>404278</v>
      </c>
      <c r="H36" s="193"/>
      <c r="I36" s="4"/>
    </row>
    <row r="37" spans="1:9" s="2" customFormat="1" ht="39" customHeight="1" thickBot="1" x14ac:dyDescent="0.25">
      <c r="A37" s="386" t="s">
        <v>290</v>
      </c>
      <c r="B37" s="387"/>
      <c r="C37" s="319"/>
      <c r="D37" s="321" t="s">
        <v>252</v>
      </c>
      <c r="E37" s="320" t="s">
        <v>254</v>
      </c>
      <c r="F37" s="181"/>
      <c r="G37" s="181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165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165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thickBot="1" x14ac:dyDescent="0.25">
      <c r="A42" s="384" t="s">
        <v>162</v>
      </c>
      <c r="B42" s="385"/>
      <c r="C42" s="182" t="s">
        <v>153</v>
      </c>
      <c r="D42" s="183"/>
      <c r="E42" s="357">
        <v>101</v>
      </c>
      <c r="F42" s="184">
        <f>(E42/F39)+C48</f>
        <v>6.05</v>
      </c>
      <c r="G42" s="186">
        <f>E42*E43</f>
        <v>2020</v>
      </c>
      <c r="H42" s="193"/>
      <c r="I42" s="6">
        <f>22+41+26+12</f>
        <v>101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20503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0.68749999999999989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355">
        <v>0.25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295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0.68749999999999989</v>
      </c>
      <c r="G60" s="239">
        <f>F59*F60</f>
        <v>2004.4668187499997</v>
      </c>
      <c r="H60" s="239">
        <f>G60/G$42</f>
        <v>0.992310306311881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por assiduidade (verba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0.68749999999999989</v>
      </c>
      <c r="G67" s="239">
        <f>F66*F67</f>
        <v>1583.2905747999996</v>
      </c>
      <c r="H67" s="239">
        <f>G67/G$42</f>
        <v>0.7838072152475245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por assiduidade (verba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0.68749999999999989</v>
      </c>
      <c r="G77" s="239">
        <f>F76*F77</f>
        <v>2766.8802562499995</v>
      </c>
      <c r="H77" s="239">
        <f>G77/G$42</f>
        <v>1.3697427011138612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A74</f>
        <v>Prêmio por assiduidade (verba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0.68749999999999989</v>
      </c>
      <c r="G84" s="239">
        <f>F83*F84</f>
        <v>2176.8177947999993</v>
      </c>
      <c r="H84" s="239">
        <f>G84/G$42</f>
        <v>1.0776325716831681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0.68749999999999989</v>
      </c>
      <c r="G92" s="239">
        <f>SUM(F88:F91)*F92</f>
        <v>202.45499999999998</v>
      </c>
      <c r="H92" s="239">
        <f>G92/G$42</f>
        <v>0.10022524752475247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0.68749999999999989</v>
      </c>
      <c r="G98" s="239">
        <f>SUM(F96:F97)*F98</f>
        <v>1264.9999999999998</v>
      </c>
      <c r="H98" s="239">
        <f>G98/G$42</f>
        <v>0.62623762376237613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304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0.68749999999999989</v>
      </c>
      <c r="G104" s="239">
        <f>SUM(F102:F103)*F104</f>
        <v>35.062499999999993</v>
      </c>
      <c r="H104" s="239">
        <f>G104/G$42</f>
        <v>1.7357673267326731E-2</v>
      </c>
    </row>
    <row r="105" spans="1:8" ht="13.5" thickBot="1" x14ac:dyDescent="0.25">
      <c r="A105" s="99"/>
      <c r="E105" s="27"/>
      <c r="F105" s="27"/>
      <c r="G105" s="135"/>
      <c r="H105" s="198"/>
    </row>
    <row r="106" spans="1:8" ht="13.5" thickBot="1" x14ac:dyDescent="0.25">
      <c r="A106" s="12" t="s">
        <v>106</v>
      </c>
      <c r="B106" s="13"/>
      <c r="C106" s="13"/>
      <c r="D106" s="13"/>
      <c r="E106" s="14"/>
      <c r="F106" s="15"/>
      <c r="G106" s="242">
        <f>SUM(G54:G99)-G67-G84+G104</f>
        <v>6273.8645749999996</v>
      </c>
      <c r="H106" s="243">
        <f>G106/G$42</f>
        <v>3.1058735519801979</v>
      </c>
    </row>
    <row r="107" spans="1:8" ht="13.5" thickBot="1" x14ac:dyDescent="0.25">
      <c r="A107" s="12" t="s">
        <v>107</v>
      </c>
      <c r="B107" s="13"/>
      <c r="C107" s="13"/>
      <c r="D107" s="13"/>
      <c r="E107" s="14"/>
      <c r="F107" s="15"/>
      <c r="G107" s="244">
        <f>SUM(G54:G99)-G60-G77+G104</f>
        <v>5262.6258695999995</v>
      </c>
      <c r="H107" s="239">
        <f>G107/G$42</f>
        <v>2.6052603314851481</v>
      </c>
    </row>
    <row r="108" spans="1:8" x14ac:dyDescent="0.2">
      <c r="A108" s="99"/>
      <c r="E108" s="27"/>
      <c r="F108" s="27"/>
      <c r="G108" s="135"/>
      <c r="H108" s="193"/>
    </row>
    <row r="109" spans="1:8" x14ac:dyDescent="0.2">
      <c r="A109" s="100" t="s">
        <v>211</v>
      </c>
      <c r="B109" s="6"/>
      <c r="E109" s="27"/>
      <c r="F109" s="27"/>
      <c r="G109" s="43"/>
      <c r="H109" s="193"/>
    </row>
    <row r="110" spans="1:8" ht="13.5" thickBot="1" x14ac:dyDescent="0.25">
      <c r="A110" s="100" t="s">
        <v>212</v>
      </c>
      <c r="B110" s="6"/>
      <c r="E110" s="27"/>
      <c r="F110" s="27"/>
      <c r="G110" s="43"/>
      <c r="H110" s="193"/>
    </row>
    <row r="111" spans="1:8" ht="13.5" thickBot="1" x14ac:dyDescent="0.25">
      <c r="A111" s="240" t="s">
        <v>27</v>
      </c>
      <c r="B111" s="241"/>
      <c r="C111" s="236" t="s">
        <v>28</v>
      </c>
      <c r="D111" s="236" t="s">
        <v>21</v>
      </c>
      <c r="E111" s="237" t="s">
        <v>92</v>
      </c>
      <c r="F111" s="237" t="s">
        <v>29</v>
      </c>
      <c r="G111" s="238" t="s">
        <v>30</v>
      </c>
      <c r="H111" s="238" t="s">
        <v>154</v>
      </c>
    </row>
    <row r="112" spans="1:8" x14ac:dyDescent="0.2">
      <c r="A112" s="405" t="s">
        <v>128</v>
      </c>
      <c r="B112" s="390"/>
      <c r="C112" s="8" t="s">
        <v>7</v>
      </c>
      <c r="D112" s="8">
        <v>1</v>
      </c>
      <c r="E112" s="187">
        <f>G36</f>
        <v>404278</v>
      </c>
      <c r="F112" s="9">
        <f>D112*E112</f>
        <v>404278</v>
      </c>
      <c r="G112" s="136"/>
      <c r="H112" s="136"/>
    </row>
    <row r="113" spans="1:10" x14ac:dyDescent="0.2">
      <c r="A113" s="418" t="s">
        <v>145</v>
      </c>
      <c r="B113" s="385"/>
      <c r="C113" s="10" t="s">
        <v>44</v>
      </c>
      <c r="D113" s="188">
        <v>10</v>
      </c>
      <c r="E113" s="33"/>
      <c r="F113" s="11"/>
      <c r="G113" s="137"/>
      <c r="H113" s="193"/>
    </row>
    <row r="114" spans="1:10" x14ac:dyDescent="0.2">
      <c r="A114" s="418" t="s">
        <v>137</v>
      </c>
      <c r="B114" s="385"/>
      <c r="C114" s="10" t="s">
        <v>0</v>
      </c>
      <c r="D114" s="262">
        <v>65.180000000000007</v>
      </c>
      <c r="E114" s="201">
        <f>F112</f>
        <v>404278</v>
      </c>
      <c r="F114" s="201">
        <f>D114*E114/100</f>
        <v>263508.40040000004</v>
      </c>
      <c r="G114" s="137"/>
      <c r="H114" s="193"/>
    </row>
    <row r="115" spans="1:10" x14ac:dyDescent="0.2">
      <c r="A115" s="406" t="s">
        <v>146</v>
      </c>
      <c r="B115" s="385"/>
      <c r="C115" s="37" t="s">
        <v>5</v>
      </c>
      <c r="D115" s="37">
        <f>D113*12</f>
        <v>120</v>
      </c>
      <c r="E115" s="38">
        <f>F114</f>
        <v>263508.40040000004</v>
      </c>
      <c r="F115" s="38">
        <f>IFERROR(E115/D115,0)</f>
        <v>2195.9033366666672</v>
      </c>
      <c r="G115" s="137"/>
      <c r="H115" s="193"/>
    </row>
    <row r="116" spans="1:10" x14ac:dyDescent="0.2">
      <c r="A116" s="406" t="s">
        <v>96</v>
      </c>
      <c r="B116" s="385"/>
      <c r="C116" s="158" t="s">
        <v>7</v>
      </c>
      <c r="D116" s="200">
        <f>F36</f>
        <v>1</v>
      </c>
      <c r="E116" s="159">
        <f>F115</f>
        <v>2195.9033366666672</v>
      </c>
      <c r="F116" s="160">
        <f>D116*E116</f>
        <v>2195.9033366666672</v>
      </c>
      <c r="G116" s="137"/>
      <c r="H116" s="193"/>
    </row>
    <row r="117" spans="1:10" ht="13.5" thickBot="1" x14ac:dyDescent="0.25">
      <c r="A117" s="103"/>
      <c r="B117" s="90"/>
      <c r="C117" s="90"/>
      <c r="D117" s="90"/>
      <c r="E117" s="95" t="s">
        <v>86</v>
      </c>
      <c r="F117" s="250">
        <f>$C$46</f>
        <v>0.68749999999999989</v>
      </c>
      <c r="G117" s="239">
        <f>F116*F117</f>
        <v>1509.6835439583335</v>
      </c>
      <c r="H117" s="239">
        <f>G117/G$42</f>
        <v>0.7473680910684819</v>
      </c>
    </row>
    <row r="118" spans="1:10" ht="13.5" thickBot="1" x14ac:dyDescent="0.25">
      <c r="A118" s="100" t="s">
        <v>213</v>
      </c>
      <c r="B118" s="6"/>
      <c r="E118" s="27"/>
      <c r="F118" s="278"/>
      <c r="G118" s="135"/>
      <c r="H118" s="193"/>
    </row>
    <row r="119" spans="1:10" ht="13.5" thickBot="1" x14ac:dyDescent="0.25">
      <c r="A119" s="403" t="s">
        <v>27</v>
      </c>
      <c r="B119" s="412"/>
      <c r="C119" s="236" t="s">
        <v>28</v>
      </c>
      <c r="D119" s="236" t="s">
        <v>21</v>
      </c>
      <c r="E119" s="237" t="s">
        <v>92</v>
      </c>
      <c r="F119" s="237" t="s">
        <v>29</v>
      </c>
      <c r="G119" s="238" t="s">
        <v>30</v>
      </c>
      <c r="H119" s="238" t="s">
        <v>154</v>
      </c>
      <c r="J119" s="34"/>
    </row>
    <row r="120" spans="1:10" x14ac:dyDescent="0.2">
      <c r="A120" s="405" t="s">
        <v>147</v>
      </c>
      <c r="B120" s="390"/>
      <c r="C120" s="8" t="s">
        <v>7</v>
      </c>
      <c r="D120" s="8">
        <v>1</v>
      </c>
      <c r="E120" s="9">
        <f>E112</f>
        <v>404278</v>
      </c>
      <c r="F120" s="9">
        <f>D120*E120</f>
        <v>404278</v>
      </c>
      <c r="G120" s="143"/>
      <c r="H120" s="136"/>
      <c r="I120" s="2"/>
      <c r="J120" s="34"/>
    </row>
    <row r="121" spans="1:10" x14ac:dyDescent="0.2">
      <c r="A121" s="413" t="s">
        <v>88</v>
      </c>
      <c r="B121" s="385"/>
      <c r="C121" s="10" t="s">
        <v>0</v>
      </c>
      <c r="D121" s="268">
        <f>' lote 14.1'!D120</f>
        <v>14.75</v>
      </c>
      <c r="E121" s="11"/>
      <c r="F121" s="11"/>
      <c r="G121" s="142"/>
      <c r="H121" s="193"/>
      <c r="I121" s="2"/>
      <c r="J121" s="34"/>
    </row>
    <row r="122" spans="1:10" x14ac:dyDescent="0.2">
      <c r="A122" s="418" t="s">
        <v>219</v>
      </c>
      <c r="B122" s="385"/>
      <c r="C122" s="10" t="s">
        <v>20</v>
      </c>
      <c r="D122" s="48">
        <f>F120</f>
        <v>404278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218</v>
      </c>
      <c r="B123" s="385"/>
      <c r="C123" s="10"/>
      <c r="D123" s="48">
        <f>F112-F114</f>
        <v>140769.59959999996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210</v>
      </c>
      <c r="B124" s="385"/>
      <c r="C124" s="10" t="s">
        <v>20</v>
      </c>
      <c r="D124" s="33">
        <f>(D122-D123)*((D113+1)/(2*D113))+D123</f>
        <v>285699.21982</v>
      </c>
      <c r="E124" s="11"/>
      <c r="F124" s="11"/>
      <c r="G124" s="142"/>
      <c r="H124" s="193"/>
      <c r="I124" s="2"/>
      <c r="J124" s="34"/>
    </row>
    <row r="125" spans="1:10" x14ac:dyDescent="0.2">
      <c r="A125" s="406" t="s">
        <v>148</v>
      </c>
      <c r="B125" s="385"/>
      <c r="C125" s="37" t="s">
        <v>20</v>
      </c>
      <c r="D125" s="37"/>
      <c r="E125" s="161">
        <f>D121*D124/12/100</f>
        <v>3511.7195769541663</v>
      </c>
      <c r="F125" s="38">
        <f>E125</f>
        <v>3511.7195769541663</v>
      </c>
      <c r="G125" s="142"/>
      <c r="H125" s="193"/>
      <c r="J125" s="34"/>
    </row>
    <row r="126" spans="1:10" x14ac:dyDescent="0.2">
      <c r="A126" s="406" t="s">
        <v>149</v>
      </c>
      <c r="B126" s="397"/>
      <c r="C126" s="94"/>
      <c r="D126" s="94"/>
      <c r="E126" s="19"/>
      <c r="F126" s="160">
        <f>F125</f>
        <v>3511.7195769541663</v>
      </c>
      <c r="G126" s="142"/>
      <c r="H126" s="193"/>
      <c r="I126" s="34"/>
      <c r="J126" s="34"/>
    </row>
    <row r="127" spans="1:10" x14ac:dyDescent="0.2">
      <c r="A127" s="406" t="s">
        <v>96</v>
      </c>
      <c r="B127" s="385"/>
      <c r="C127" s="37" t="s">
        <v>7</v>
      </c>
      <c r="D127" s="10">
        <f>D116</f>
        <v>1</v>
      </c>
      <c r="E127" s="38">
        <f>F126</f>
        <v>3511.7195769541663</v>
      </c>
      <c r="F127" s="39">
        <f>D127*E127</f>
        <v>3511.7195769541663</v>
      </c>
      <c r="G127" s="142"/>
      <c r="H127" s="193"/>
      <c r="I127" s="34">
        <f>(I126*2)/12/100</f>
        <v>0</v>
      </c>
      <c r="J127" s="34"/>
    </row>
    <row r="128" spans="1:10" ht="13.5" thickBot="1" x14ac:dyDescent="0.25">
      <c r="A128" s="99"/>
      <c r="D128" s="97"/>
      <c r="E128" s="95" t="s">
        <v>86</v>
      </c>
      <c r="F128" s="250">
        <f>$C$46</f>
        <v>0.68749999999999989</v>
      </c>
      <c r="G128" s="239">
        <f>F127*F128</f>
        <v>2414.3072091559889</v>
      </c>
      <c r="H128" s="239">
        <f>G128/G$42</f>
        <v>1.1952015886910836</v>
      </c>
      <c r="J128" s="34"/>
    </row>
    <row r="129" spans="1:11" ht="11.25" customHeight="1" x14ac:dyDescent="0.2">
      <c r="A129" s="99"/>
      <c r="E129" s="27"/>
      <c r="F129" s="27"/>
      <c r="G129" s="135"/>
      <c r="H129" s="193"/>
      <c r="I129" s="208"/>
      <c r="J129" s="34"/>
    </row>
    <row r="130" spans="1:11" x14ac:dyDescent="0.2">
      <c r="A130" s="100" t="s">
        <v>214</v>
      </c>
      <c r="B130" s="6"/>
      <c r="E130" s="27"/>
      <c r="F130" s="27"/>
      <c r="G130" s="43"/>
      <c r="H130" s="193"/>
      <c r="J130" s="34"/>
    </row>
    <row r="131" spans="1:11" ht="13.5" thickBot="1" x14ac:dyDescent="0.25">
      <c r="A131" s="100" t="str">
        <f>' lote 14.1'!A130</f>
        <v>Despesas consideradas específicas para o transporte escolar municipal</v>
      </c>
      <c r="B131" s="6"/>
      <c r="E131" s="27"/>
      <c r="F131" s="27"/>
      <c r="G131" s="43"/>
      <c r="H131" s="43"/>
      <c r="J131" s="34"/>
    </row>
    <row r="132" spans="1:11" ht="13.5" thickBot="1" x14ac:dyDescent="0.25">
      <c r="A132" s="403" t="s">
        <v>27</v>
      </c>
      <c r="B132" s="412"/>
      <c r="C132" s="236" t="s">
        <v>28</v>
      </c>
      <c r="D132" s="236" t="s">
        <v>21</v>
      </c>
      <c r="E132" s="237" t="s">
        <v>92</v>
      </c>
      <c r="F132" s="237" t="s">
        <v>29</v>
      </c>
      <c r="G132" s="238" t="s">
        <v>30</v>
      </c>
      <c r="H132" s="238" t="s">
        <v>154</v>
      </c>
      <c r="J132" s="34"/>
    </row>
    <row r="133" spans="1:11" x14ac:dyDescent="0.2">
      <c r="A133" s="420" t="s">
        <v>8</v>
      </c>
      <c r="B133" s="390"/>
      <c r="C133" s="8" t="s">
        <v>7</v>
      </c>
      <c r="D133" s="9">
        <f>D116</f>
        <v>1</v>
      </c>
      <c r="E133" s="9">
        <f>0.01*($F$112)</f>
        <v>4042.78</v>
      </c>
      <c r="F133" s="9">
        <f t="shared" ref="F133:F138" si="5">D133*E133</f>
        <v>4042.78</v>
      </c>
      <c r="G133" s="136"/>
      <c r="H133" s="136"/>
      <c r="I133" s="165" t="s">
        <v>255</v>
      </c>
      <c r="J133" s="34"/>
    </row>
    <row r="134" spans="1:11" x14ac:dyDescent="0.2">
      <c r="A134" s="413" t="s">
        <v>85</v>
      </c>
      <c r="B134" s="385"/>
      <c r="C134" s="10" t="s">
        <v>7</v>
      </c>
      <c r="D134" s="9">
        <f>D116</f>
        <v>1</v>
      </c>
      <c r="E134" s="262">
        <v>562</v>
      </c>
      <c r="F134" s="11">
        <f t="shared" si="5"/>
        <v>562</v>
      </c>
      <c r="G134" s="137"/>
      <c r="H134" s="193"/>
      <c r="J134" s="34"/>
    </row>
    <row r="135" spans="1:11" x14ac:dyDescent="0.2">
      <c r="A135" s="413" t="s">
        <v>9</v>
      </c>
      <c r="B135" s="385"/>
      <c r="C135" s="10" t="s">
        <v>7</v>
      </c>
      <c r="D135" s="9">
        <f>D116</f>
        <v>1</v>
      </c>
      <c r="E135" s="262">
        <v>1310</v>
      </c>
      <c r="F135" s="11">
        <f t="shared" si="5"/>
        <v>1310</v>
      </c>
      <c r="G135" s="144"/>
      <c r="H135" s="193"/>
      <c r="J135" s="34"/>
    </row>
    <row r="136" spans="1:11" x14ac:dyDescent="0.2">
      <c r="A136" s="418" t="s">
        <v>197</v>
      </c>
      <c r="B136" s="385"/>
      <c r="C136" s="10" t="s">
        <v>7</v>
      </c>
      <c r="D136" s="9">
        <v>1</v>
      </c>
      <c r="E136" s="262">
        <v>1171</v>
      </c>
      <c r="F136" s="11">
        <f t="shared" si="5"/>
        <v>1171</v>
      </c>
      <c r="G136" s="144"/>
      <c r="H136" s="193"/>
      <c r="I136" s="34"/>
      <c r="J136" s="34"/>
      <c r="K136" s="34"/>
    </row>
    <row r="137" spans="1:11" x14ac:dyDescent="0.2">
      <c r="A137" s="418" t="s">
        <v>208</v>
      </c>
      <c r="B137" s="385"/>
      <c r="C137" s="10" t="s">
        <v>7</v>
      </c>
      <c r="D137" s="9">
        <v>1</v>
      </c>
      <c r="E137" s="262">
        <v>419</v>
      </c>
      <c r="F137" s="11">
        <f t="shared" si="5"/>
        <v>419</v>
      </c>
      <c r="G137" s="144"/>
      <c r="H137" s="193"/>
      <c r="J137" s="34"/>
    </row>
    <row r="138" spans="1:11" x14ac:dyDescent="0.2">
      <c r="A138" s="418" t="s">
        <v>198</v>
      </c>
      <c r="B138" s="385"/>
      <c r="C138" s="10" t="s">
        <v>7</v>
      </c>
      <c r="D138" s="9">
        <v>1</v>
      </c>
      <c r="E138" s="262">
        <v>770</v>
      </c>
      <c r="F138" s="11">
        <f t="shared" si="5"/>
        <v>770</v>
      </c>
      <c r="G138" s="144"/>
      <c r="H138" s="193"/>
      <c r="J138" s="34"/>
    </row>
    <row r="139" spans="1:11" x14ac:dyDescent="0.2">
      <c r="A139" s="406" t="s">
        <v>10</v>
      </c>
      <c r="B139" s="385"/>
      <c r="C139" s="37" t="s">
        <v>5</v>
      </c>
      <c r="D139" s="37">
        <v>12</v>
      </c>
      <c r="E139" s="38">
        <f>SUM(F133:F138)</f>
        <v>8274.7800000000007</v>
      </c>
      <c r="F139" s="38">
        <f>E139/D139</f>
        <v>689.56500000000005</v>
      </c>
      <c r="G139" s="137"/>
      <c r="H139" s="193"/>
      <c r="J139" s="34"/>
    </row>
    <row r="140" spans="1:11" ht="13.5" thickBot="1" x14ac:dyDescent="0.25">
      <c r="A140" s="279"/>
      <c r="B140" s="82"/>
      <c r="C140" s="82"/>
      <c r="D140" s="82"/>
      <c r="E140" s="280" t="s">
        <v>86</v>
      </c>
      <c r="F140" s="250">
        <v>1</v>
      </c>
      <c r="G140" s="239">
        <f>F139*F140</f>
        <v>689.56500000000005</v>
      </c>
      <c r="H140" s="239">
        <f>G140/G$42</f>
        <v>0.34136881188118817</v>
      </c>
      <c r="J140" s="34"/>
    </row>
    <row r="141" spans="1:11" x14ac:dyDescent="0.2">
      <c r="A141" s="100" t="s">
        <v>215</v>
      </c>
      <c r="B141" s="6"/>
      <c r="C141" s="98"/>
      <c r="E141" s="27"/>
      <c r="F141" s="27"/>
      <c r="G141" s="43"/>
      <c r="H141" s="193"/>
      <c r="J141" s="34"/>
    </row>
    <row r="142" spans="1:11" ht="13.5" thickBot="1" x14ac:dyDescent="0.25">
      <c r="A142" s="102" t="s">
        <v>150</v>
      </c>
      <c r="B142" s="214"/>
      <c r="C142" s="190">
        <f>G42</f>
        <v>2020</v>
      </c>
      <c r="E142" s="27"/>
      <c r="F142" s="27"/>
      <c r="G142" s="43"/>
      <c r="H142" s="193"/>
      <c r="J142" s="34"/>
    </row>
    <row r="143" spans="1:11" ht="13.5" thickBot="1" x14ac:dyDescent="0.25">
      <c r="A143" s="403" t="s">
        <v>27</v>
      </c>
      <c r="B143" s="412"/>
      <c r="C143" s="236" t="s">
        <v>28</v>
      </c>
      <c r="D143" s="236" t="s">
        <v>95</v>
      </c>
      <c r="E143" s="237" t="s">
        <v>92</v>
      </c>
      <c r="F143" s="237" t="s">
        <v>29</v>
      </c>
      <c r="G143" s="238" t="s">
        <v>30</v>
      </c>
      <c r="H143" s="238" t="s">
        <v>154</v>
      </c>
      <c r="J143" s="34"/>
      <c r="K143" s="34"/>
    </row>
    <row r="144" spans="1:11" x14ac:dyDescent="0.2">
      <c r="A144" s="420" t="s">
        <v>11</v>
      </c>
      <c r="B144" s="390"/>
      <c r="C144" s="8" t="s">
        <v>12</v>
      </c>
      <c r="D144" s="187">
        <f>F38</f>
        <v>5.5</v>
      </c>
      <c r="E144" s="187">
        <f>G38</f>
        <v>7.32</v>
      </c>
      <c r="F144" s="9"/>
      <c r="G144" s="136"/>
      <c r="H144" s="136"/>
      <c r="J144" s="34"/>
      <c r="K144" s="34"/>
    </row>
    <row r="145" spans="1:11" x14ac:dyDescent="0.2">
      <c r="A145" s="413" t="s">
        <v>13</v>
      </c>
      <c r="B145" s="385"/>
      <c r="C145" s="10" t="s">
        <v>14</v>
      </c>
      <c r="D145" s="35">
        <f>C142</f>
        <v>2020</v>
      </c>
      <c r="E145" s="89">
        <f>IFERROR(+E144/D144,"-")</f>
        <v>1.330909090909091</v>
      </c>
      <c r="F145" s="11">
        <f>IFERROR(D145*E145,"-")</f>
        <v>2688.4363636363637</v>
      </c>
      <c r="G145" s="137"/>
      <c r="H145" s="193"/>
      <c r="J145" s="34"/>
      <c r="K145" s="34"/>
    </row>
    <row r="146" spans="1:11" x14ac:dyDescent="0.2">
      <c r="A146" s="418" t="s">
        <v>232</v>
      </c>
      <c r="B146" s="385"/>
      <c r="C146" s="92" t="s">
        <v>233</v>
      </c>
      <c r="D146" s="269">
        <v>10.5</v>
      </c>
      <c r="E146" s="262">
        <v>18.3</v>
      </c>
      <c r="F146" s="11"/>
      <c r="G146" s="137"/>
      <c r="H146" s="193"/>
      <c r="J146" s="34"/>
      <c r="K146" s="34"/>
    </row>
    <row r="147" spans="1:11" x14ac:dyDescent="0.2">
      <c r="A147" s="413" t="s">
        <v>15</v>
      </c>
      <c r="B147" s="385"/>
      <c r="C147" s="10" t="s">
        <v>14</v>
      </c>
      <c r="D147" s="35">
        <f>D145</f>
        <v>2020</v>
      </c>
      <c r="E147" s="86">
        <f>+D146*E146/10000</f>
        <v>1.9214999999999999E-2</v>
      </c>
      <c r="F147" s="11">
        <f>D147*E147</f>
        <v>38.814299999999996</v>
      </c>
      <c r="G147" s="137"/>
      <c r="H147" s="193"/>
      <c r="J147" s="34"/>
      <c r="K147" s="34"/>
    </row>
    <row r="148" spans="1:11" x14ac:dyDescent="0.2">
      <c r="A148" s="418" t="s">
        <v>234</v>
      </c>
      <c r="B148" s="385"/>
      <c r="C148" s="92" t="s">
        <v>235</v>
      </c>
      <c r="D148" s="269">
        <v>4.5999999999999996</v>
      </c>
      <c r="E148" s="262">
        <v>21.6</v>
      </c>
      <c r="F148" s="11"/>
      <c r="G148" s="137"/>
      <c r="H148" s="193"/>
      <c r="J148" s="34"/>
      <c r="K148" s="34"/>
    </row>
    <row r="149" spans="1:11" x14ac:dyDescent="0.2">
      <c r="A149" s="413" t="s">
        <v>16</v>
      </c>
      <c r="B149" s="385"/>
      <c r="C149" s="10" t="s">
        <v>14</v>
      </c>
      <c r="D149" s="35">
        <f>D145</f>
        <v>2020</v>
      </c>
      <c r="E149" s="231">
        <f>+D148*E148/100000</f>
        <v>9.9360000000000008E-4</v>
      </c>
      <c r="F149" s="11">
        <f>D149*E149</f>
        <v>2.007072</v>
      </c>
      <c r="G149" s="137"/>
      <c r="H149" s="193"/>
      <c r="J149" s="34"/>
      <c r="K149" s="34"/>
    </row>
    <row r="150" spans="1:11" x14ac:dyDescent="0.2">
      <c r="A150" s="418" t="s">
        <v>237</v>
      </c>
      <c r="B150" s="385"/>
      <c r="C150" s="92" t="s">
        <v>236</v>
      </c>
      <c r="D150" s="269">
        <v>1.7</v>
      </c>
      <c r="E150" s="262">
        <v>20.9</v>
      </c>
      <c r="F150" s="11"/>
      <c r="G150" s="137"/>
      <c r="H150" s="193"/>
      <c r="J150" s="34"/>
      <c r="K150" s="34"/>
    </row>
    <row r="151" spans="1:11" x14ac:dyDescent="0.2">
      <c r="A151" s="413" t="s">
        <v>17</v>
      </c>
      <c r="B151" s="385"/>
      <c r="C151" s="10" t="s">
        <v>14</v>
      </c>
      <c r="D151" s="35">
        <f>D145</f>
        <v>2020</v>
      </c>
      <c r="E151" s="231">
        <f>+D150*E150/80000</f>
        <v>4.4412499999999991E-4</v>
      </c>
      <c r="F151" s="11">
        <f>D151*E151</f>
        <v>0.89713249999999978</v>
      </c>
      <c r="G151" s="137"/>
      <c r="H151" s="193"/>
      <c r="J151" s="34"/>
      <c r="K151" s="34"/>
    </row>
    <row r="152" spans="1:11" x14ac:dyDescent="0.2">
      <c r="A152" s="418" t="s">
        <v>239</v>
      </c>
      <c r="B152" s="385"/>
      <c r="C152" s="92" t="s">
        <v>238</v>
      </c>
      <c r="D152" s="269">
        <v>1</v>
      </c>
      <c r="E152" s="262">
        <v>19.899999999999999</v>
      </c>
      <c r="F152" s="11"/>
      <c r="G152" s="137"/>
      <c r="H152" s="193"/>
      <c r="J152" s="34"/>
      <c r="K152" s="34"/>
    </row>
    <row r="153" spans="1:11" x14ac:dyDescent="0.2">
      <c r="A153" s="413" t="s">
        <v>18</v>
      </c>
      <c r="B153" s="385"/>
      <c r="C153" s="10" t="s">
        <v>14</v>
      </c>
      <c r="D153" s="35">
        <f>D145</f>
        <v>2020</v>
      </c>
      <c r="E153" s="86">
        <f>+D152*E152/10000</f>
        <v>1.99E-3</v>
      </c>
      <c r="F153" s="11">
        <f>D153*E153</f>
        <v>4.0198</v>
      </c>
      <c r="G153" s="137"/>
      <c r="H153" s="193"/>
      <c r="J153" s="34"/>
      <c r="K153" s="34"/>
    </row>
    <row r="154" spans="1:11" x14ac:dyDescent="0.2">
      <c r="A154" s="406" t="s">
        <v>94</v>
      </c>
      <c r="B154" s="385"/>
      <c r="C154" s="37" t="s">
        <v>45</v>
      </c>
      <c r="D154" s="87"/>
      <c r="E154" s="88">
        <f>IFERROR(E145+E147+E149+E151+E153,0)</f>
        <v>1.3535518159090909</v>
      </c>
      <c r="F154" s="38">
        <f>SUM(F144:F153)</f>
        <v>2734.1746681363638</v>
      </c>
      <c r="G154" s="137"/>
      <c r="H154" s="193"/>
      <c r="J154" s="34"/>
      <c r="K154" s="34"/>
    </row>
    <row r="155" spans="1:11" ht="13.5" thickBot="1" x14ac:dyDescent="0.25">
      <c r="A155" s="99"/>
      <c r="E155" s="255" t="s">
        <v>138</v>
      </c>
      <c r="F155" s="23">
        <f>$C$47+1</f>
        <v>1.25</v>
      </c>
      <c r="G155" s="239">
        <f>F154*F155</f>
        <v>3417.7183351704548</v>
      </c>
      <c r="H155" s="239">
        <f>G155/G$42</f>
        <v>1.6919397698863639</v>
      </c>
      <c r="J155" s="34"/>
      <c r="K155" s="34"/>
    </row>
    <row r="156" spans="1:11" ht="11.25" customHeight="1" x14ac:dyDescent="0.2">
      <c r="A156" s="99"/>
      <c r="E156" s="27"/>
      <c r="F156" s="27"/>
      <c r="G156" s="135"/>
      <c r="H156" s="193"/>
      <c r="J156" s="34"/>
      <c r="K156" s="34"/>
    </row>
    <row r="157" spans="1:11" ht="13.5" thickBot="1" x14ac:dyDescent="0.25">
      <c r="A157" s="100" t="s">
        <v>216</v>
      </c>
      <c r="B157" s="6"/>
      <c r="E157" s="27"/>
      <c r="F157" s="27"/>
      <c r="G157" s="43"/>
      <c r="H157" s="193"/>
      <c r="J157" s="34"/>
      <c r="K157" s="34"/>
    </row>
    <row r="158" spans="1:11" ht="13.5" thickBot="1" x14ac:dyDescent="0.25">
      <c r="A158" s="403" t="s">
        <v>27</v>
      </c>
      <c r="B158" s="412"/>
      <c r="C158" s="236" t="s">
        <v>28</v>
      </c>
      <c r="D158" s="236" t="s">
        <v>21</v>
      </c>
      <c r="E158" s="237" t="s">
        <v>92</v>
      </c>
      <c r="F158" s="237" t="s">
        <v>29</v>
      </c>
      <c r="G158" s="238" t="s">
        <v>30</v>
      </c>
      <c r="H158" s="238" t="s">
        <v>154</v>
      </c>
      <c r="J158" s="34"/>
      <c r="K158" s="34"/>
    </row>
    <row r="159" spans="1:11" x14ac:dyDescent="0.2">
      <c r="A159" s="405" t="s">
        <v>188</v>
      </c>
      <c r="B159" s="390"/>
      <c r="C159" s="8" t="s">
        <v>45</v>
      </c>
      <c r="D159" s="35">
        <f>D145</f>
        <v>2020</v>
      </c>
      <c r="E159" s="270">
        <v>1.35</v>
      </c>
      <c r="F159" s="9">
        <f>D159*E159</f>
        <v>2727</v>
      </c>
      <c r="G159" s="136"/>
      <c r="H159" s="136"/>
      <c r="I159" s="34">
        <f>F159*12</f>
        <v>32724</v>
      </c>
      <c r="J159" s="34"/>
      <c r="K159" s="34"/>
    </row>
    <row r="160" spans="1:11" s="165" customFormat="1" x14ac:dyDescent="0.2">
      <c r="A160" s="418" t="s">
        <v>139</v>
      </c>
      <c r="B160" s="385"/>
      <c r="C160" s="162" t="s">
        <v>140</v>
      </c>
      <c r="D160" s="272">
        <v>4</v>
      </c>
      <c r="E160" s="271">
        <v>100</v>
      </c>
      <c r="F160" s="163">
        <f>D160*E160</f>
        <v>400</v>
      </c>
      <c r="G160" s="164"/>
      <c r="H160" s="196"/>
      <c r="I160" s="4"/>
    </row>
    <row r="161" spans="1:11" s="165" customFormat="1" x14ac:dyDescent="0.2">
      <c r="A161" s="406" t="s">
        <v>141</v>
      </c>
      <c r="B161" s="385"/>
      <c r="C161" s="92" t="s">
        <v>142</v>
      </c>
      <c r="D161" s="166"/>
      <c r="E161" s="23"/>
      <c r="F161" s="159">
        <f>SUM(F159:F160)</f>
        <v>3127</v>
      </c>
      <c r="G161" s="164"/>
      <c r="H161" s="196"/>
      <c r="I161" s="4"/>
    </row>
    <row r="162" spans="1:11" ht="13.5" thickBot="1" x14ac:dyDescent="0.25">
      <c r="A162" s="99"/>
      <c r="E162" s="255" t="s">
        <v>138</v>
      </c>
      <c r="F162" s="23">
        <f>$C$47+1</f>
        <v>1.25</v>
      </c>
      <c r="G162" s="239">
        <f>F161*F162</f>
        <v>3908.75</v>
      </c>
      <c r="H162" s="239">
        <f>G162/G$42</f>
        <v>1.9350247524752475</v>
      </c>
      <c r="J162" s="34"/>
      <c r="K162" s="34"/>
    </row>
    <row r="163" spans="1:11" ht="11.25" customHeight="1" x14ac:dyDescent="0.2">
      <c r="A163" s="99"/>
      <c r="E163" s="27"/>
      <c r="F163" s="27"/>
      <c r="G163" s="135"/>
      <c r="H163" s="193"/>
      <c r="J163" s="34"/>
      <c r="K163" s="34"/>
    </row>
    <row r="164" spans="1:11" ht="13.5" thickBot="1" x14ac:dyDescent="0.25">
      <c r="A164" s="100" t="s">
        <v>217</v>
      </c>
      <c r="B164" s="6"/>
      <c r="E164" s="27"/>
      <c r="F164" s="27"/>
      <c r="G164" s="43"/>
      <c r="H164" s="193"/>
      <c r="J164" s="34"/>
      <c r="K164" s="34"/>
    </row>
    <row r="165" spans="1:11" ht="13.5" thickBot="1" x14ac:dyDescent="0.25">
      <c r="A165" s="403" t="s">
        <v>27</v>
      </c>
      <c r="B165" s="412"/>
      <c r="C165" s="236" t="s">
        <v>28</v>
      </c>
      <c r="D165" s="236" t="s">
        <v>21</v>
      </c>
      <c r="E165" s="237" t="s">
        <v>92</v>
      </c>
      <c r="F165" s="237" t="s">
        <v>29</v>
      </c>
      <c r="G165" s="238" t="s">
        <v>30</v>
      </c>
      <c r="H165" s="238" t="s">
        <v>154</v>
      </c>
      <c r="J165" s="34"/>
      <c r="K165" s="34"/>
    </row>
    <row r="166" spans="1:11" x14ac:dyDescent="0.2">
      <c r="A166" s="405" t="s">
        <v>256</v>
      </c>
      <c r="B166" s="390"/>
      <c r="C166" s="8" t="s">
        <v>7</v>
      </c>
      <c r="D166" s="273">
        <v>6</v>
      </c>
      <c r="E166" s="271">
        <v>1397</v>
      </c>
      <c r="F166" s="9">
        <f>D166*E166</f>
        <v>8382</v>
      </c>
      <c r="G166" s="136"/>
      <c r="H166" s="136"/>
      <c r="J166" s="34"/>
      <c r="K166" s="34"/>
    </row>
    <row r="167" spans="1:11" x14ac:dyDescent="0.2">
      <c r="A167" s="427" t="s">
        <v>264</v>
      </c>
      <c r="B167" s="428"/>
      <c r="C167" s="8"/>
      <c r="D167" s="9"/>
      <c r="E167" s="9"/>
      <c r="F167" s="9"/>
      <c r="G167" s="137"/>
      <c r="H167" s="43"/>
      <c r="J167" s="34"/>
      <c r="K167" s="34"/>
    </row>
    <row r="168" spans="1:11" x14ac:dyDescent="0.2">
      <c r="A168" s="418" t="s">
        <v>129</v>
      </c>
      <c r="B168" s="385"/>
      <c r="C168" s="10" t="s">
        <v>19</v>
      </c>
      <c r="D168" s="274">
        <v>45000</v>
      </c>
      <c r="E168" s="11">
        <f>F166</f>
        <v>8382</v>
      </c>
      <c r="F168" s="11">
        <f>IFERROR(E168/D168,"-")</f>
        <v>0.18626666666666666</v>
      </c>
      <c r="G168" s="137"/>
      <c r="H168" s="193"/>
      <c r="J168" s="34"/>
      <c r="K168" s="34"/>
    </row>
    <row r="169" spans="1:11" x14ac:dyDescent="0.2">
      <c r="A169" s="406" t="s">
        <v>25</v>
      </c>
      <c r="B169" s="385"/>
      <c r="C169" s="10" t="s">
        <v>14</v>
      </c>
      <c r="D169" s="35">
        <f>C142</f>
        <v>2020</v>
      </c>
      <c r="E169" s="11">
        <f>F168</f>
        <v>0.18626666666666666</v>
      </c>
      <c r="F169" s="38">
        <f>IFERROR(D169*E169,0)</f>
        <v>376.25866666666667</v>
      </c>
      <c r="G169" s="137"/>
      <c r="H169" s="193"/>
      <c r="J169" s="34"/>
      <c r="K169" s="34"/>
    </row>
    <row r="170" spans="1:11" ht="13.5" thickBot="1" x14ac:dyDescent="0.25">
      <c r="A170" s="99"/>
      <c r="E170" s="255" t="s">
        <v>138</v>
      </c>
      <c r="F170" s="23">
        <f>$C$47+1</f>
        <v>1.25</v>
      </c>
      <c r="G170" s="239">
        <f>F169*F170</f>
        <v>470.32333333333332</v>
      </c>
      <c r="H170" s="239">
        <f>G170/G$42</f>
        <v>0.23283333333333334</v>
      </c>
      <c r="J170" s="34"/>
      <c r="K170" s="34"/>
    </row>
    <row r="171" spans="1:11" ht="11.25" customHeight="1" thickBot="1" x14ac:dyDescent="0.25">
      <c r="A171" s="99"/>
      <c r="E171" s="27"/>
      <c r="F171" s="27"/>
      <c r="G171" s="135"/>
      <c r="H171" s="193"/>
      <c r="J171" s="34"/>
      <c r="K171" s="34"/>
    </row>
    <row r="172" spans="1:11" ht="13.5" thickBot="1" x14ac:dyDescent="0.25">
      <c r="A172" s="12" t="s">
        <v>151</v>
      </c>
      <c r="B172" s="13"/>
      <c r="C172" s="13"/>
      <c r="D172" s="13"/>
      <c r="E172" s="14"/>
      <c r="F172" s="15"/>
      <c r="G172" s="245">
        <f>+SUM(G112:G171)</f>
        <v>12410.347421618111</v>
      </c>
      <c r="H172" s="239">
        <f>G172/G$42</f>
        <v>6.1437363473356985</v>
      </c>
    </row>
    <row r="173" spans="1:11" ht="11.25" customHeight="1" x14ac:dyDescent="0.2">
      <c r="A173" s="99"/>
      <c r="E173" s="27"/>
      <c r="F173" s="27"/>
      <c r="G173" s="135"/>
      <c r="H173" s="193"/>
    </row>
    <row r="174" spans="1:11" x14ac:dyDescent="0.2">
      <c r="A174" s="100" t="s">
        <v>168</v>
      </c>
      <c r="B174" s="6"/>
      <c r="C174" s="6"/>
      <c r="D174" s="6"/>
      <c r="E174" s="20"/>
      <c r="F174" s="20"/>
      <c r="G174" s="145"/>
      <c r="H174" s="193"/>
    </row>
    <row r="175" spans="1:11" ht="11.25" customHeight="1" thickBot="1" x14ac:dyDescent="0.25">
      <c r="A175" s="99"/>
      <c r="E175" s="27"/>
      <c r="F175" s="27"/>
      <c r="G175" s="43"/>
      <c r="H175" s="193"/>
    </row>
    <row r="176" spans="1:11" ht="13.5" thickBot="1" x14ac:dyDescent="0.25">
      <c r="A176" s="403" t="s">
        <v>27</v>
      </c>
      <c r="B176" s="412"/>
      <c r="C176" s="236" t="s">
        <v>28</v>
      </c>
      <c r="D176" s="236" t="s">
        <v>21</v>
      </c>
      <c r="E176" s="237" t="s">
        <v>92</v>
      </c>
      <c r="F176" s="237" t="s">
        <v>29</v>
      </c>
      <c r="G176" s="238" t="s">
        <v>30</v>
      </c>
      <c r="H176" s="238" t="s">
        <v>154</v>
      </c>
    </row>
    <row r="177" spans="1:8" x14ac:dyDescent="0.2">
      <c r="A177" s="405" t="s">
        <v>190</v>
      </c>
      <c r="B177" s="390"/>
      <c r="C177" s="92" t="s">
        <v>189</v>
      </c>
      <c r="D177" s="275">
        <f>1/12</f>
        <v>8.3333333333333329E-2</v>
      </c>
      <c r="E177" s="270">
        <v>21.9</v>
      </c>
      <c r="F177" s="11">
        <f>D177*E177</f>
        <v>1.8249999999999997</v>
      </c>
      <c r="G177" s="146"/>
      <c r="H177" s="136"/>
    </row>
    <row r="178" spans="1:8" x14ac:dyDescent="0.2">
      <c r="A178" s="418" t="s">
        <v>191</v>
      </c>
      <c r="B178" s="385"/>
      <c r="C178" s="92" t="s">
        <v>189</v>
      </c>
      <c r="D178" s="275">
        <f>3/12</f>
        <v>0.25</v>
      </c>
      <c r="E178" s="270">
        <v>21</v>
      </c>
      <c r="F178" s="11">
        <f>D178*E178</f>
        <v>5.25</v>
      </c>
      <c r="G178" s="147"/>
      <c r="H178" s="193"/>
    </row>
    <row r="179" spans="1:8" x14ac:dyDescent="0.2">
      <c r="A179" s="418" t="s">
        <v>192</v>
      </c>
      <c r="B179" s="385"/>
      <c r="C179" s="92" t="s">
        <v>189</v>
      </c>
      <c r="D179" s="275">
        <f>2/12</f>
        <v>0.16666666666666666</v>
      </c>
      <c r="E179" s="270">
        <v>11.3</v>
      </c>
      <c r="F179" s="11">
        <f>D179*E179</f>
        <v>1.8833333333333333</v>
      </c>
      <c r="G179" s="147"/>
      <c r="H179" s="193"/>
    </row>
    <row r="180" spans="1:8" x14ac:dyDescent="0.2">
      <c r="A180" s="418" t="s">
        <v>193</v>
      </c>
      <c r="B180" s="385"/>
      <c r="C180" s="92" t="s">
        <v>209</v>
      </c>
      <c r="D180" s="275">
        <f>4</f>
        <v>4</v>
      </c>
      <c r="E180" s="270">
        <v>15</v>
      </c>
      <c r="F180" s="11">
        <f>D180*E180</f>
        <v>60</v>
      </c>
      <c r="G180" s="147"/>
      <c r="H180" s="193"/>
    </row>
    <row r="181" spans="1:8" ht="13.5" thickBot="1" x14ac:dyDescent="0.25">
      <c r="A181" s="418" t="s">
        <v>194</v>
      </c>
      <c r="B181" s="385"/>
      <c r="C181" s="92" t="s">
        <v>189</v>
      </c>
      <c r="D181" s="275">
        <v>4</v>
      </c>
      <c r="E181" s="270">
        <v>4.5</v>
      </c>
      <c r="F181" s="11">
        <f t="shared" ref="F181" si="6">D181*E181</f>
        <v>18</v>
      </c>
      <c r="G181" s="147"/>
      <c r="H181" s="193"/>
    </row>
    <row r="182" spans="1:8" ht="13.5" thickBot="1" x14ac:dyDescent="0.25">
      <c r="A182" s="100"/>
      <c r="B182" s="6"/>
      <c r="C182" s="6"/>
      <c r="D182" s="6"/>
      <c r="E182" s="254" t="s">
        <v>86</v>
      </c>
      <c r="F182" s="250">
        <v>1</v>
      </c>
      <c r="G182" s="245">
        <f>SUM(F177:F181)*F182</f>
        <v>86.958333333333329</v>
      </c>
      <c r="H182" s="245">
        <f>G182/G$42</f>
        <v>4.3048679867986793E-2</v>
      </c>
    </row>
    <row r="183" spans="1:8" ht="11.25" customHeight="1" thickBot="1" x14ac:dyDescent="0.25">
      <c r="A183" s="99"/>
      <c r="E183" s="27"/>
      <c r="F183" s="27"/>
      <c r="G183" s="135"/>
      <c r="H183" s="135"/>
    </row>
    <row r="184" spans="1:8" ht="13.5" thickBot="1" x14ac:dyDescent="0.25">
      <c r="A184" s="12" t="s">
        <v>91</v>
      </c>
      <c r="B184" s="13"/>
      <c r="C184" s="13"/>
      <c r="D184" s="13"/>
      <c r="E184" s="14"/>
      <c r="F184" s="15"/>
      <c r="G184" s="245">
        <f>+G182</f>
        <v>86.958333333333329</v>
      </c>
      <c r="H184" s="245">
        <f>G184/G$42</f>
        <v>4.3048679867986793E-2</v>
      </c>
    </row>
    <row r="185" spans="1:8" ht="11.25" customHeight="1" thickBot="1" x14ac:dyDescent="0.25">
      <c r="A185" s="99"/>
      <c r="E185" s="27"/>
      <c r="F185" s="27"/>
      <c r="G185" s="135"/>
      <c r="H185" s="135"/>
    </row>
    <row r="186" spans="1:8" ht="17.25" customHeight="1" thickBot="1" x14ac:dyDescent="0.25">
      <c r="A186" s="12" t="s">
        <v>126</v>
      </c>
      <c r="B186" s="13"/>
      <c r="C186" s="16"/>
      <c r="D186" s="16"/>
      <c r="E186" s="17"/>
      <c r="F186" s="18"/>
      <c r="G186" s="242">
        <f>+G106+G172+G184</f>
        <v>18771.170329951445</v>
      </c>
      <c r="H186" s="242">
        <f>G186/G$42</f>
        <v>9.2926585791838843</v>
      </c>
    </row>
    <row r="187" spans="1:8" ht="17.25" customHeight="1" thickBot="1" x14ac:dyDescent="0.25">
      <c r="A187" s="12" t="s">
        <v>127</v>
      </c>
      <c r="B187" s="13"/>
      <c r="C187" s="16"/>
      <c r="D187" s="16"/>
      <c r="E187" s="17"/>
      <c r="F187" s="18"/>
      <c r="G187" s="244">
        <f>+G107+G172+G184</f>
        <v>17759.931624551442</v>
      </c>
      <c r="H187" s="244">
        <f>G187/G$42</f>
        <v>8.7920453586888332</v>
      </c>
    </row>
    <row r="188" spans="1:8" ht="11.25" customHeight="1" x14ac:dyDescent="0.2">
      <c r="A188" s="99"/>
      <c r="E188" s="27"/>
      <c r="F188" s="27"/>
      <c r="G188" s="135"/>
      <c r="H188" s="135"/>
    </row>
    <row r="189" spans="1:8" x14ac:dyDescent="0.2">
      <c r="A189" s="100" t="s">
        <v>169</v>
      </c>
      <c r="B189" s="6"/>
      <c r="E189" s="27"/>
      <c r="F189" s="27"/>
      <c r="G189" s="43"/>
      <c r="H189" s="43"/>
    </row>
    <row r="190" spans="1:8" ht="11.25" customHeight="1" thickBot="1" x14ac:dyDescent="0.25">
      <c r="A190" s="99"/>
      <c r="E190" s="27"/>
      <c r="F190" s="27"/>
      <c r="G190" s="43"/>
      <c r="H190" s="43"/>
    </row>
    <row r="191" spans="1:8" ht="13.5" thickBot="1" x14ac:dyDescent="0.25">
      <c r="A191" s="403" t="s">
        <v>27</v>
      </c>
      <c r="B191" s="412"/>
      <c r="C191" s="236" t="s">
        <v>28</v>
      </c>
      <c r="D191" s="236" t="s">
        <v>21</v>
      </c>
      <c r="E191" s="237" t="s">
        <v>92</v>
      </c>
      <c r="F191" s="237" t="s">
        <v>29</v>
      </c>
      <c r="G191" s="238" t="s">
        <v>30</v>
      </c>
      <c r="H191" s="238" t="s">
        <v>154</v>
      </c>
    </row>
    <row r="192" spans="1:8" ht="13.5" thickBot="1" x14ac:dyDescent="0.25">
      <c r="A192" s="405" t="s">
        <v>170</v>
      </c>
      <c r="B192" s="390"/>
      <c r="C192" s="8" t="s">
        <v>0</v>
      </c>
      <c r="D192" s="44">
        <f>BDI!C11*100</f>
        <v>31.75</v>
      </c>
      <c r="E192" s="9">
        <f>+G186</f>
        <v>18771.170329951445</v>
      </c>
      <c r="F192" s="9">
        <f>D192*E192/100</f>
        <v>5959.8465797595845</v>
      </c>
      <c r="G192" s="136"/>
      <c r="H192" s="136"/>
    </row>
    <row r="193" spans="1:8" ht="13.5" thickBot="1" x14ac:dyDescent="0.25">
      <c r="A193" s="99"/>
      <c r="E193" s="27"/>
      <c r="F193" s="27"/>
      <c r="G193" s="245">
        <f>+F192</f>
        <v>5959.8465797595845</v>
      </c>
      <c r="H193" s="245">
        <f>G193/G$42</f>
        <v>2.9504190988908836</v>
      </c>
    </row>
    <row r="194" spans="1:8" ht="11.25" customHeight="1" thickBot="1" x14ac:dyDescent="0.25">
      <c r="A194" s="99"/>
      <c r="E194" s="27"/>
      <c r="F194" s="27"/>
      <c r="G194" s="135"/>
      <c r="H194" s="135"/>
    </row>
    <row r="195" spans="1:8" ht="13.5" thickBot="1" x14ac:dyDescent="0.25">
      <c r="A195" s="12" t="s">
        <v>171</v>
      </c>
      <c r="B195" s="13"/>
      <c r="C195" s="16"/>
      <c r="D195" s="16"/>
      <c r="E195" s="17"/>
      <c r="F195" s="18"/>
      <c r="G195" s="244">
        <f>G193</f>
        <v>5959.8465797595845</v>
      </c>
      <c r="H195" s="244">
        <f>G195/G$42</f>
        <v>2.9504190988908836</v>
      </c>
    </row>
    <row r="196" spans="1:8" ht="13.5" thickBot="1" x14ac:dyDescent="0.25">
      <c r="A196" s="100"/>
      <c r="B196" s="6"/>
      <c r="C196" s="6"/>
      <c r="D196" s="6"/>
      <c r="E196" s="20"/>
      <c r="F196" s="20"/>
      <c r="G196" s="148"/>
      <c r="H196" s="148"/>
    </row>
    <row r="197" spans="1:8" ht="24.75" customHeight="1" thickBot="1" x14ac:dyDescent="0.25">
      <c r="A197" s="12" t="s">
        <v>172</v>
      </c>
      <c r="B197" s="13"/>
      <c r="C197" s="16"/>
      <c r="D197" s="16"/>
      <c r="E197" s="17"/>
      <c r="F197" s="18"/>
      <c r="G197" s="206">
        <f>G186+G195</f>
        <v>24731.01690971103</v>
      </c>
      <c r="H197" s="244">
        <f>G197/G$42</f>
        <v>12.243077678074767</v>
      </c>
    </row>
    <row r="198" spans="1:8" ht="12.6" customHeight="1" x14ac:dyDescent="0.2">
      <c r="A198" s="104"/>
      <c r="B198" s="24"/>
      <c r="C198" s="24"/>
      <c r="D198" s="24"/>
      <c r="E198" s="25"/>
      <c r="F198" s="25"/>
      <c r="G198" s="149"/>
      <c r="H198" s="149"/>
    </row>
    <row r="199" spans="1:8" ht="16.149999999999999" customHeight="1" x14ac:dyDescent="0.2">
      <c r="A199" s="418" t="s">
        <v>173</v>
      </c>
      <c r="B199" s="397"/>
      <c r="C199" s="82"/>
      <c r="D199" s="82"/>
      <c r="E199" s="157">
        <f>C142</f>
        <v>2020</v>
      </c>
      <c r="F199" s="156" t="s">
        <v>153</v>
      </c>
      <c r="G199" s="43"/>
      <c r="H199" s="43"/>
    </row>
    <row r="200" spans="1:8" ht="13.5" thickBot="1" x14ac:dyDescent="0.25">
      <c r="A200" s="99"/>
      <c r="E200" s="27"/>
      <c r="F200" s="27"/>
      <c r="G200" s="43"/>
      <c r="H200" s="43"/>
    </row>
    <row r="201" spans="1:8" ht="25.5" customHeight="1" thickBot="1" x14ac:dyDescent="0.25">
      <c r="A201" s="12" t="s">
        <v>174</v>
      </c>
      <c r="B201" s="13"/>
      <c r="C201" s="13"/>
      <c r="D201" s="13"/>
      <c r="E201" s="14"/>
      <c r="F201" s="155" t="s">
        <v>154</v>
      </c>
      <c r="G201" s="424">
        <f>IFERROR(G197/E199,"-")</f>
        <v>12.243077678074767</v>
      </c>
      <c r="H201" s="425"/>
    </row>
    <row r="202" spans="1:8" ht="12.6" customHeight="1" x14ac:dyDescent="0.2">
      <c r="A202" s="100"/>
      <c r="B202" s="6"/>
      <c r="C202" s="6"/>
      <c r="D202" s="6"/>
      <c r="E202" s="20"/>
      <c r="F202" s="20"/>
      <c r="G202" s="150"/>
      <c r="H202" s="150"/>
    </row>
    <row r="203" spans="1:8" x14ac:dyDescent="0.2">
      <c r="A203" s="100" t="s">
        <v>175</v>
      </c>
      <c r="B203" s="6"/>
      <c r="E203" s="27"/>
      <c r="F203" s="27"/>
      <c r="G203" s="43"/>
      <c r="H203" s="43"/>
    </row>
    <row r="204" spans="1:8" ht="11.25" customHeight="1" thickBot="1" x14ac:dyDescent="0.25">
      <c r="A204" s="99"/>
      <c r="E204" s="27"/>
      <c r="F204" s="27"/>
      <c r="G204" s="43"/>
      <c r="H204" s="43"/>
    </row>
    <row r="205" spans="1:8" ht="13.5" thickBot="1" x14ac:dyDescent="0.25">
      <c r="A205" s="240" t="s">
        <v>27</v>
      </c>
      <c r="B205" s="241"/>
      <c r="C205" s="236" t="s">
        <v>28</v>
      </c>
      <c r="D205" s="236" t="s">
        <v>21</v>
      </c>
      <c r="E205" s="237" t="s">
        <v>92</v>
      </c>
      <c r="F205" s="237" t="s">
        <v>29</v>
      </c>
      <c r="G205" s="238" t="s">
        <v>30</v>
      </c>
      <c r="H205" s="238" t="s">
        <v>154</v>
      </c>
    </row>
    <row r="206" spans="1:8" ht="13.5" thickBot="1" x14ac:dyDescent="0.25">
      <c r="A206" s="405" t="s">
        <v>152</v>
      </c>
      <c r="B206" s="390"/>
      <c r="C206" s="8" t="s">
        <v>0</v>
      </c>
      <c r="D206" s="44">
        <f>BDI!C$24*100</f>
        <v>23.93</v>
      </c>
      <c r="E206" s="9">
        <f>G186</f>
        <v>18771.170329951445</v>
      </c>
      <c r="F206" s="9">
        <f>D206*E206/100</f>
        <v>4491.9410599573803</v>
      </c>
      <c r="G206" s="136"/>
      <c r="H206" s="136"/>
    </row>
    <row r="207" spans="1:8" ht="13.5" thickBot="1" x14ac:dyDescent="0.25">
      <c r="A207" s="99"/>
      <c r="E207" s="27"/>
      <c r="F207" s="27"/>
      <c r="G207" s="245">
        <f>+F206</f>
        <v>4491.9410599573803</v>
      </c>
      <c r="H207" s="245">
        <f>G207/G$42</f>
        <v>2.2237331979987029</v>
      </c>
    </row>
    <row r="208" spans="1:8" ht="11.25" customHeight="1" thickBot="1" x14ac:dyDescent="0.25">
      <c r="A208" s="99"/>
      <c r="E208" s="27"/>
      <c r="F208" s="27"/>
      <c r="G208" s="135"/>
      <c r="H208" s="135"/>
    </row>
    <row r="209" spans="1:9" ht="13.5" thickBot="1" x14ac:dyDescent="0.25">
      <c r="A209" s="12" t="s">
        <v>176</v>
      </c>
      <c r="B209" s="13"/>
      <c r="C209" s="16"/>
      <c r="D209" s="16"/>
      <c r="E209" s="17"/>
      <c r="F209" s="18"/>
      <c r="G209" s="244">
        <f>G207</f>
        <v>4491.9410599573803</v>
      </c>
      <c r="H209" s="244">
        <f>G209/G$42</f>
        <v>2.2237331979987029</v>
      </c>
    </row>
    <row r="210" spans="1:9" ht="13.5" thickBot="1" x14ac:dyDescent="0.25">
      <c r="A210" s="100"/>
      <c r="B210" s="6"/>
      <c r="C210" s="6"/>
      <c r="D210" s="6"/>
      <c r="E210" s="20"/>
      <c r="F210" s="20"/>
      <c r="G210" s="148"/>
      <c r="H210" s="148"/>
    </row>
    <row r="211" spans="1:9" ht="24.75" customHeight="1" thickBot="1" x14ac:dyDescent="0.25">
      <c r="A211" s="12" t="s">
        <v>177</v>
      </c>
      <c r="B211" s="13"/>
      <c r="C211" s="16"/>
      <c r="D211" s="16"/>
      <c r="E211" s="17"/>
      <c r="F211" s="18"/>
      <c r="G211" s="206">
        <f>G186+G209</f>
        <v>23263.111389908823</v>
      </c>
      <c r="H211" s="244">
        <f>G211/G$42</f>
        <v>11.516391777182585</v>
      </c>
      <c r="I211" s="34"/>
    </row>
    <row r="212" spans="1:9" ht="12.6" customHeight="1" x14ac:dyDescent="0.2">
      <c r="A212" s="104"/>
      <c r="B212" s="24"/>
      <c r="C212" s="24"/>
      <c r="D212" s="24"/>
      <c r="E212" s="25"/>
      <c r="F212" s="25"/>
      <c r="G212" s="149"/>
      <c r="H212" s="149"/>
    </row>
    <row r="213" spans="1:9" ht="16.149999999999999" customHeight="1" x14ac:dyDescent="0.2">
      <c r="A213" s="154" t="s">
        <v>178</v>
      </c>
      <c r="B213" s="215"/>
      <c r="C213" s="82"/>
      <c r="D213" s="82"/>
      <c r="E213" s="157">
        <f>E$199</f>
        <v>2020</v>
      </c>
      <c r="F213" s="156" t="s">
        <v>153</v>
      </c>
      <c r="G213" s="43"/>
      <c r="H213" s="43"/>
    </row>
    <row r="214" spans="1:9" ht="13.5" thickBot="1" x14ac:dyDescent="0.25">
      <c r="A214" s="99"/>
      <c r="E214" s="27"/>
      <c r="F214" s="27"/>
      <c r="G214" s="43"/>
      <c r="H214" s="43"/>
    </row>
    <row r="215" spans="1:9" ht="25.5" customHeight="1" thickBot="1" x14ac:dyDescent="0.25">
      <c r="A215" s="12" t="s">
        <v>179</v>
      </c>
      <c r="B215" s="13"/>
      <c r="C215" s="13"/>
      <c r="D215" s="13"/>
      <c r="E215" s="14"/>
      <c r="F215" s="155" t="s">
        <v>154</v>
      </c>
      <c r="G215" s="424">
        <f>IFERROR(G211/E213,"-")</f>
        <v>11.516391777182585</v>
      </c>
      <c r="H215" s="425"/>
    </row>
    <row r="216" spans="1:9" x14ac:dyDescent="0.2">
      <c r="A216" s="120"/>
      <c r="B216" s="121"/>
      <c r="C216" s="121"/>
      <c r="D216" s="121"/>
      <c r="E216" s="122"/>
      <c r="F216" s="122"/>
      <c r="G216" s="135"/>
      <c r="H216" s="135"/>
    </row>
    <row r="217" spans="1:9" x14ac:dyDescent="0.2">
      <c r="A217" s="134" t="s">
        <v>180</v>
      </c>
      <c r="B217" s="216"/>
      <c r="E217" s="27"/>
      <c r="F217" s="27"/>
      <c r="G217" s="43"/>
      <c r="H217" s="43"/>
    </row>
    <row r="218" spans="1:9" ht="11.25" customHeight="1" thickBot="1" x14ac:dyDescent="0.25">
      <c r="A218" s="99"/>
      <c r="E218" s="27"/>
      <c r="F218" s="27"/>
      <c r="G218" s="43"/>
      <c r="H218" s="43"/>
    </row>
    <row r="219" spans="1:9" ht="13.5" thickBot="1" x14ac:dyDescent="0.25">
      <c r="A219" s="240" t="s">
        <v>27</v>
      </c>
      <c r="B219" s="241"/>
      <c r="C219" s="236" t="s">
        <v>28</v>
      </c>
      <c r="D219" s="236" t="s">
        <v>21</v>
      </c>
      <c r="E219" s="237" t="s">
        <v>92</v>
      </c>
      <c r="F219" s="237" t="s">
        <v>29</v>
      </c>
      <c r="G219" s="238" t="s">
        <v>30</v>
      </c>
      <c r="H219" s="238" t="s">
        <v>154</v>
      </c>
    </row>
    <row r="220" spans="1:9" ht="13.5" thickBot="1" x14ac:dyDescent="0.25">
      <c r="A220" s="101" t="s">
        <v>181</v>
      </c>
      <c r="B220" s="213"/>
      <c r="C220" s="8" t="s">
        <v>0</v>
      </c>
      <c r="D220" s="44">
        <f>BDI!C35*100</f>
        <v>16.93</v>
      </c>
      <c r="E220" s="9">
        <f>G187</f>
        <v>17759.931624551442</v>
      </c>
      <c r="F220" s="9">
        <f>D220*E220/100</f>
        <v>3006.7564240365591</v>
      </c>
      <c r="G220" s="136"/>
      <c r="H220" s="136"/>
    </row>
    <row r="221" spans="1:9" ht="13.5" thickBot="1" x14ac:dyDescent="0.25">
      <c r="A221" s="99"/>
      <c r="E221" s="27"/>
      <c r="F221" s="27"/>
      <c r="G221" s="245">
        <f>+F220</f>
        <v>3006.7564240365591</v>
      </c>
      <c r="H221" s="245">
        <f>G221/G$42</f>
        <v>1.4884932792260193</v>
      </c>
    </row>
    <row r="222" spans="1:9" ht="11.25" customHeight="1" thickBot="1" x14ac:dyDescent="0.25">
      <c r="A222" s="99"/>
      <c r="E222" s="27"/>
      <c r="F222" s="27"/>
      <c r="G222" s="135"/>
      <c r="H222" s="135"/>
    </row>
    <row r="223" spans="1:9" ht="13.5" thickBot="1" x14ac:dyDescent="0.25">
      <c r="A223" s="12" t="s">
        <v>182</v>
      </c>
      <c r="B223" s="13"/>
      <c r="C223" s="16"/>
      <c r="D223" s="16"/>
      <c r="E223" s="17"/>
      <c r="F223" s="18"/>
      <c r="G223" s="244">
        <f>G221</f>
        <v>3006.7564240365591</v>
      </c>
      <c r="H223" s="244">
        <f>G223/G$42</f>
        <v>1.4884932792260193</v>
      </c>
    </row>
    <row r="224" spans="1:9" ht="13.5" thickBot="1" x14ac:dyDescent="0.25">
      <c r="A224" s="100"/>
      <c r="B224" s="6"/>
      <c r="C224" s="6"/>
      <c r="D224" s="6"/>
      <c r="E224" s="20"/>
      <c r="F224" s="20"/>
      <c r="G224" s="148"/>
      <c r="H224" s="148"/>
    </row>
    <row r="225" spans="1:11" ht="24.75" customHeight="1" thickBot="1" x14ac:dyDescent="0.25">
      <c r="A225" s="12" t="s">
        <v>183</v>
      </c>
      <c r="B225" s="13"/>
      <c r="C225" s="16"/>
      <c r="D225" s="16"/>
      <c r="E225" s="17"/>
      <c r="F225" s="18"/>
      <c r="G225" s="244">
        <f>E220+G223</f>
        <v>20766.688048588003</v>
      </c>
      <c r="H225" s="244">
        <f>G225/G$42</f>
        <v>10.280538637914853</v>
      </c>
      <c r="I225" s="34"/>
    </row>
    <row r="226" spans="1:11" ht="12.6" customHeight="1" x14ac:dyDescent="0.2">
      <c r="A226" s="104"/>
      <c r="B226" s="24"/>
      <c r="C226" s="24"/>
      <c r="D226" s="24"/>
      <c r="E226" s="25"/>
      <c r="F226" s="25"/>
      <c r="G226" s="149"/>
      <c r="H226" s="149"/>
      <c r="I226" s="34"/>
    </row>
    <row r="227" spans="1:11" ht="12.6" customHeight="1" x14ac:dyDescent="0.2">
      <c r="A227" s="104" t="s">
        <v>125</v>
      </c>
      <c r="B227" s="24"/>
      <c r="C227" s="24"/>
      <c r="D227" s="24"/>
      <c r="E227" s="25"/>
      <c r="F227" s="25"/>
      <c r="G227" s="151"/>
      <c r="H227" s="151"/>
    </row>
    <row r="228" spans="1:11" x14ac:dyDescent="0.2">
      <c r="A228" s="153" t="s">
        <v>122</v>
      </c>
      <c r="B228" s="6"/>
      <c r="E228" s="27"/>
      <c r="F228" s="27"/>
      <c r="G228" s="43"/>
      <c r="H228" s="43"/>
    </row>
    <row r="229" spans="1:11" x14ac:dyDescent="0.2">
      <c r="A229" s="100" t="s">
        <v>120</v>
      </c>
      <c r="B229" s="6"/>
      <c r="E229" s="27"/>
      <c r="F229" s="27"/>
      <c r="G229" s="43"/>
      <c r="H229" s="43"/>
    </row>
    <row r="230" spans="1:11" x14ac:dyDescent="0.2">
      <c r="A230" s="426" t="s">
        <v>308</v>
      </c>
      <c r="B230" s="415"/>
      <c r="E230" s="27"/>
      <c r="F230" s="27"/>
      <c r="G230" s="43"/>
      <c r="H230" s="43"/>
    </row>
    <row r="231" spans="1:11" ht="11.25" customHeight="1" thickBot="1" x14ac:dyDescent="0.25">
      <c r="A231" s="123"/>
      <c r="E231" s="27"/>
      <c r="F231" s="27"/>
      <c r="G231" s="43"/>
      <c r="H231" s="43"/>
    </row>
    <row r="232" spans="1:11" ht="15.75" thickBot="1" x14ac:dyDescent="0.3">
      <c r="A232" s="240" t="s">
        <v>27</v>
      </c>
      <c r="B232" s="241"/>
      <c r="C232" s="236" t="s">
        <v>28</v>
      </c>
      <c r="D232" s="236" t="s">
        <v>21</v>
      </c>
      <c r="E232" s="237" t="s">
        <v>121</v>
      </c>
      <c r="F232" s="237" t="s">
        <v>29</v>
      </c>
      <c r="G232" s="238" t="s">
        <v>30</v>
      </c>
      <c r="H232" s="238" t="s">
        <v>154</v>
      </c>
      <c r="I232" s="131"/>
      <c r="J232" s="132"/>
      <c r="K232" s="131"/>
    </row>
    <row r="233" spans="1:11" ht="15.75" thickBot="1" x14ac:dyDescent="0.3">
      <c r="A233" s="405" t="s">
        <v>184</v>
      </c>
      <c r="B233" s="390"/>
      <c r="C233" s="124" t="s">
        <v>0</v>
      </c>
      <c r="D233" s="276">
        <v>11.63</v>
      </c>
      <c r="E233" s="125">
        <f>G225</f>
        <v>20766.688048588003</v>
      </c>
      <c r="F233" s="9">
        <f>G236*(D233/100)</f>
        <v>2733.0155256883386</v>
      </c>
      <c r="G233" s="136"/>
      <c r="H233" s="136"/>
      <c r="J233" s="133"/>
      <c r="K233" s="133"/>
    </row>
    <row r="234" spans="1:11" ht="15.75" thickBot="1" x14ac:dyDescent="0.3">
      <c r="A234" s="99"/>
      <c r="E234" s="27"/>
      <c r="F234" s="27"/>
      <c r="G234" s="244">
        <f>F233</f>
        <v>2733.0155256883386</v>
      </c>
      <c r="H234" s="244">
        <f>G234/G$42</f>
        <v>1.3529779830140289</v>
      </c>
      <c r="I234" s="131"/>
      <c r="J234" s="131"/>
      <c r="K234" s="131"/>
    </row>
    <row r="235" spans="1:11" ht="15.75" thickBot="1" x14ac:dyDescent="0.3">
      <c r="A235" s="126"/>
      <c r="B235" s="127"/>
      <c r="C235" s="127"/>
      <c r="D235" s="127"/>
      <c r="E235" s="128"/>
      <c r="F235" s="128"/>
      <c r="G235" s="152"/>
      <c r="H235" s="152"/>
      <c r="I235" s="133"/>
      <c r="J235" s="133"/>
      <c r="K235" s="316"/>
    </row>
    <row r="236" spans="1:11" ht="24.75" customHeight="1" thickBot="1" x14ac:dyDescent="0.3">
      <c r="A236" s="12" t="s">
        <v>185</v>
      </c>
      <c r="B236" s="13"/>
      <c r="C236" s="16"/>
      <c r="D236" s="16"/>
      <c r="E236" s="17"/>
      <c r="F236" s="18"/>
      <c r="G236" s="206">
        <f>E233/((100-D233)/100)</f>
        <v>23499.70357427634</v>
      </c>
      <c r="H236" s="244">
        <f>G236/G$42</f>
        <v>11.633516620928882</v>
      </c>
      <c r="I236" s="131">
        <f>G236*12</f>
        <v>281996.44289131608</v>
      </c>
      <c r="J236" s="133"/>
      <c r="K236" s="132"/>
    </row>
    <row r="237" spans="1:11" ht="12.6" customHeight="1" x14ac:dyDescent="0.2">
      <c r="A237" s="104"/>
      <c r="B237" s="24"/>
      <c r="C237" s="24"/>
      <c r="D237" s="24"/>
      <c r="E237" s="25"/>
      <c r="F237" s="25"/>
      <c r="G237" s="149"/>
      <c r="H237" s="149"/>
    </row>
    <row r="238" spans="1:11" ht="16.149999999999999" customHeight="1" x14ac:dyDescent="0.2">
      <c r="A238" s="154" t="s">
        <v>186</v>
      </c>
      <c r="B238" s="215"/>
      <c r="C238" s="82"/>
      <c r="D238" s="82"/>
      <c r="E238" s="157">
        <f>E$199</f>
        <v>2020</v>
      </c>
      <c r="F238" s="156" t="s">
        <v>153</v>
      </c>
      <c r="G238" s="43"/>
      <c r="H238" s="43"/>
    </row>
    <row r="239" spans="1:11" ht="13.5" thickBot="1" x14ac:dyDescent="0.25">
      <c r="A239" s="99"/>
      <c r="E239" s="27"/>
      <c r="F239" s="27"/>
      <c r="G239" s="43"/>
      <c r="H239" s="43"/>
    </row>
    <row r="240" spans="1:11" ht="25.5" customHeight="1" thickBot="1" x14ac:dyDescent="0.25">
      <c r="A240" s="12" t="s">
        <v>187</v>
      </c>
      <c r="B240" s="13"/>
      <c r="C240" s="13"/>
      <c r="D240" s="13"/>
      <c r="E240" s="14"/>
      <c r="F240" s="155" t="s">
        <v>154</v>
      </c>
      <c r="G240" s="424">
        <f>IFERROR(G236/E238,"-")</f>
        <v>11.633516620928882</v>
      </c>
      <c r="H240" s="425"/>
    </row>
    <row r="241" spans="1:8" ht="9" customHeight="1" x14ac:dyDescent="0.2">
      <c r="E241" s="4"/>
      <c r="F241" s="4"/>
      <c r="G241" s="4"/>
      <c r="H241" s="27"/>
    </row>
    <row r="242" spans="1:8" x14ac:dyDescent="0.2">
      <c r="H242" s="27"/>
    </row>
    <row r="243" spans="1:8" x14ac:dyDescent="0.2">
      <c r="H243" s="27"/>
    </row>
    <row r="244" spans="1:8" x14ac:dyDescent="0.2">
      <c r="A244" s="6"/>
      <c r="B244" s="6"/>
      <c r="C244" s="6"/>
      <c r="D244" s="6"/>
      <c r="E244" s="317"/>
      <c r="F244" s="317"/>
      <c r="G244" s="317"/>
      <c r="H244" s="20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423"/>
      <c r="D248" s="423"/>
      <c r="E248" s="423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H251" s="27"/>
    </row>
    <row r="252" spans="1:8" x14ac:dyDescent="0.2">
      <c r="H252" s="27"/>
    </row>
    <row r="253" spans="1:8" x14ac:dyDescent="0.2">
      <c r="H253" s="27"/>
    </row>
  </sheetData>
  <mergeCells count="134">
    <mergeCell ref="C248:E248"/>
    <mergeCell ref="C249:E249"/>
    <mergeCell ref="C250:E250"/>
    <mergeCell ref="A9:B9"/>
    <mergeCell ref="A10:B10"/>
    <mergeCell ref="A11:B11"/>
    <mergeCell ref="A12:B12"/>
    <mergeCell ref="A13:B13"/>
    <mergeCell ref="A15:B15"/>
    <mergeCell ref="A25:B25"/>
    <mergeCell ref="A26:B26"/>
    <mergeCell ref="A27:B27"/>
    <mergeCell ref="A36:B36"/>
    <mergeCell ref="A38:B38"/>
    <mergeCell ref="A39:B39"/>
    <mergeCell ref="A41:B41"/>
    <mergeCell ref="A42:B42"/>
    <mergeCell ref="A43:B43"/>
    <mergeCell ref="A29:G29"/>
    <mergeCell ref="A30:B30"/>
    <mergeCell ref="A31:B31"/>
    <mergeCell ref="A32:B32"/>
    <mergeCell ref="A33:B33"/>
    <mergeCell ref="A35:B35"/>
    <mergeCell ref="A1:H1"/>
    <mergeCell ref="G3:H3"/>
    <mergeCell ref="C7:D7"/>
    <mergeCell ref="E7:F7"/>
    <mergeCell ref="G7:H7"/>
    <mergeCell ref="A8:B8"/>
    <mergeCell ref="A22:B22"/>
    <mergeCell ref="A23:B23"/>
    <mergeCell ref="A24:B24"/>
    <mergeCell ref="A16:B16"/>
    <mergeCell ref="A17:B17"/>
    <mergeCell ref="A18:B18"/>
    <mergeCell ref="A19:B19"/>
    <mergeCell ref="A20:B20"/>
    <mergeCell ref="A21:B21"/>
    <mergeCell ref="A50:G50"/>
    <mergeCell ref="A53:B53"/>
    <mergeCell ref="A54:B54"/>
    <mergeCell ref="A55:B55"/>
    <mergeCell ref="A56:B56"/>
    <mergeCell ref="A58:B58"/>
    <mergeCell ref="D45:G45"/>
    <mergeCell ref="A46:B46"/>
    <mergeCell ref="D46:F46"/>
    <mergeCell ref="A47:B47"/>
    <mergeCell ref="D47:G47"/>
    <mergeCell ref="A48:B48"/>
    <mergeCell ref="D48:G48"/>
    <mergeCell ref="A72:B72"/>
    <mergeCell ref="A73:B73"/>
    <mergeCell ref="A75:B75"/>
    <mergeCell ref="A76:B76"/>
    <mergeCell ref="A80:B80"/>
    <mergeCell ref="A82:B82"/>
    <mergeCell ref="A59:B59"/>
    <mergeCell ref="A63:B63"/>
    <mergeCell ref="A65:B65"/>
    <mergeCell ref="A66:B66"/>
    <mergeCell ref="A70:B70"/>
    <mergeCell ref="A71:B71"/>
    <mergeCell ref="A96:B96"/>
    <mergeCell ref="A97:B97"/>
    <mergeCell ref="A112:B112"/>
    <mergeCell ref="A113:B113"/>
    <mergeCell ref="A83:B83"/>
    <mergeCell ref="A87:B87"/>
    <mergeCell ref="A88:B88"/>
    <mergeCell ref="A89:B89"/>
    <mergeCell ref="A90:B90"/>
    <mergeCell ref="A91:B91"/>
    <mergeCell ref="A102:B102"/>
    <mergeCell ref="A103:B103"/>
    <mergeCell ref="A122:B122"/>
    <mergeCell ref="A123:B123"/>
    <mergeCell ref="A124:B124"/>
    <mergeCell ref="A125:B125"/>
    <mergeCell ref="A126:B126"/>
    <mergeCell ref="A127:B127"/>
    <mergeCell ref="A114:B114"/>
    <mergeCell ref="A115:B115"/>
    <mergeCell ref="A116:B116"/>
    <mergeCell ref="A119:B119"/>
    <mergeCell ref="A120:B120"/>
    <mergeCell ref="A121:B121"/>
    <mergeCell ref="A138:B138"/>
    <mergeCell ref="A139:B139"/>
    <mergeCell ref="A143:B143"/>
    <mergeCell ref="A144:B144"/>
    <mergeCell ref="A145:B145"/>
    <mergeCell ref="A132:B132"/>
    <mergeCell ref="A133:B133"/>
    <mergeCell ref="A134:B134"/>
    <mergeCell ref="A135:B135"/>
    <mergeCell ref="A136:B136"/>
    <mergeCell ref="A137:B137"/>
    <mergeCell ref="A153:B153"/>
    <mergeCell ref="A154:B154"/>
    <mergeCell ref="A158:B158"/>
    <mergeCell ref="A159:B159"/>
    <mergeCell ref="A160:B160"/>
    <mergeCell ref="A146:B146"/>
    <mergeCell ref="A147:B147"/>
    <mergeCell ref="A148:B148"/>
    <mergeCell ref="A149:B149"/>
    <mergeCell ref="A150:B150"/>
    <mergeCell ref="A151:B151"/>
    <mergeCell ref="A37:B37"/>
    <mergeCell ref="A167:B167"/>
    <mergeCell ref="A233:B233"/>
    <mergeCell ref="G240:H240"/>
    <mergeCell ref="D3:E3"/>
    <mergeCell ref="A192:B192"/>
    <mergeCell ref="A199:B199"/>
    <mergeCell ref="G201:H201"/>
    <mergeCell ref="A206:B206"/>
    <mergeCell ref="G215:H215"/>
    <mergeCell ref="A230:B230"/>
    <mergeCell ref="A177:B177"/>
    <mergeCell ref="A178:B178"/>
    <mergeCell ref="A179:B179"/>
    <mergeCell ref="A180:B180"/>
    <mergeCell ref="A181:B181"/>
    <mergeCell ref="A191:B191"/>
    <mergeCell ref="A161:B161"/>
    <mergeCell ref="A165:B165"/>
    <mergeCell ref="A166:B166"/>
    <mergeCell ref="A168:B168"/>
    <mergeCell ref="A169:B169"/>
    <mergeCell ref="A176:B176"/>
    <mergeCell ref="A152:B152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0" max="16383" man="1"/>
    <brk id="201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254"/>
  <sheetViews>
    <sheetView topLeftCell="A222" zoomScaleNormal="100" zoomScaleSheetLayoutView="110" workbookViewId="0">
      <selection activeCell="H245" sqref="H245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1" width="9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16.1'!B3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16</v>
      </c>
      <c r="C4" s="247" t="s">
        <v>158</v>
      </c>
      <c r="D4" s="315">
        <v>2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+G107</f>
        <v>6559.0402374999994</v>
      </c>
      <c r="D9" s="40">
        <f t="shared" ref="D9:D23" si="0">IFERROR(C9/$C$26,0)</f>
        <v>0.253585148602052</v>
      </c>
      <c r="E9" s="106">
        <f>G107</f>
        <v>6559.0402374999994</v>
      </c>
      <c r="F9" s="40">
        <f t="shared" ref="F9:F22" si="1">IFERROR(E9/$E$26,0)</f>
        <v>0.26958640626418423</v>
      </c>
      <c r="G9" s="106">
        <f>G108</f>
        <v>5501.8361364000002</v>
      </c>
      <c r="H9" s="40">
        <f t="shared" ref="H9:H22" si="2">IFERROR(G9/$G$26,0)</f>
        <v>0.22385207326111589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2095.5789468749999</v>
      </c>
      <c r="D10" s="26">
        <f t="shared" si="0"/>
        <v>8.1019124659795702E-2</v>
      </c>
      <c r="E10" s="107">
        <f t="shared" ref="E10:E22" si="3">C10</f>
        <v>2095.5789468749999</v>
      </c>
      <c r="F10" s="26">
        <f t="shared" si="1"/>
        <v>8.6131442539563341E-2</v>
      </c>
      <c r="G10" s="107">
        <f>G67</f>
        <v>1655.2583281999998</v>
      </c>
      <c r="H10" s="26">
        <f t="shared" si="2"/>
        <v>6.7347154543346374E-2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2892.6475406250001</v>
      </c>
      <c r="D11" s="26">
        <f t="shared" si="0"/>
        <v>0.11183533411625163</v>
      </c>
      <c r="E11" s="107">
        <f t="shared" si="3"/>
        <v>2892.6475406250001</v>
      </c>
      <c r="F11" s="26">
        <f t="shared" si="1"/>
        <v>0.11889215903991086</v>
      </c>
      <c r="G11" s="107">
        <f>G84</f>
        <v>2275.7640581999999</v>
      </c>
      <c r="H11" s="26">
        <f t="shared" si="2"/>
        <v>9.2593543328343741E-2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211.65750000000003</v>
      </c>
      <c r="D12" s="26">
        <f t="shared" si="0"/>
        <v>8.1830872577016763E-3</v>
      </c>
      <c r="E12" s="107">
        <f t="shared" si="3"/>
        <v>211.65750000000003</v>
      </c>
      <c r="F12" s="26">
        <f t="shared" si="1"/>
        <v>8.6994411861711935E-3</v>
      </c>
      <c r="G12" s="107">
        <f t="shared" ref="G12:G21" si="4">E12</f>
        <v>211.65750000000003</v>
      </c>
      <c r="H12" s="26">
        <f t="shared" si="2"/>
        <v>8.6116650917318367E-3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1322.5</v>
      </c>
      <c r="D13" s="26">
        <f t="shared" si="0"/>
        <v>5.1130401229866493E-2</v>
      </c>
      <c r="E13" s="107">
        <f t="shared" si="3"/>
        <v>1322.5</v>
      </c>
      <c r="F13" s="26">
        <f t="shared" si="1"/>
        <v>5.4356736561243527E-2</v>
      </c>
      <c r="G13" s="107">
        <f t="shared" si="4"/>
        <v>1322.5</v>
      </c>
      <c r="H13" s="26">
        <f t="shared" si="2"/>
        <v>5.3808285006746052E-2</v>
      </c>
      <c r="I13" s="4"/>
    </row>
    <row r="14" spans="1:9" s="2" customFormat="1" ht="15.75" customHeight="1" x14ac:dyDescent="0.2">
      <c r="A14" s="337" t="s">
        <v>303</v>
      </c>
      <c r="B14" s="336"/>
      <c r="C14" s="107">
        <f>G104</f>
        <v>36.65625</v>
      </c>
      <c r="D14" s="26">
        <f t="shared" si="0"/>
        <v>1.4172013384365168E-3</v>
      </c>
      <c r="E14" s="107">
        <f>C14</f>
        <v>36.65625</v>
      </c>
      <c r="F14" s="26">
        <f t="shared" si="1"/>
        <v>1.5066269372953369E-3</v>
      </c>
      <c r="G14" s="107">
        <f>E14</f>
        <v>36.65625</v>
      </c>
      <c r="H14" s="26">
        <f t="shared" si="2"/>
        <v>1.4914252909478526E-3</v>
      </c>
      <c r="I14" s="4"/>
    </row>
    <row r="15" spans="1:9" s="6" customFormat="1" ht="15.75" customHeight="1" x14ac:dyDescent="0.2">
      <c r="A15" s="363" t="str">
        <f>A110</f>
        <v>2. Veículos</v>
      </c>
      <c r="B15" s="364"/>
      <c r="C15" s="106">
        <f>+G173</f>
        <v>12986.060679022927</v>
      </c>
      <c r="D15" s="40">
        <f t="shared" si="0"/>
        <v>0.50206615721272951</v>
      </c>
      <c r="E15" s="106">
        <f t="shared" si="3"/>
        <v>12986.060679022927</v>
      </c>
      <c r="F15" s="40">
        <f t="shared" si="1"/>
        <v>0.53374660060338186</v>
      </c>
      <c r="G15" s="106">
        <f t="shared" si="4"/>
        <v>12986.060679022927</v>
      </c>
      <c r="H15" s="40">
        <f t="shared" si="2"/>
        <v>0.52836117514689129</v>
      </c>
      <c r="I15" s="4"/>
    </row>
    <row r="16" spans="1:9" s="2" customFormat="1" ht="15.75" customHeight="1" x14ac:dyDescent="0.2">
      <c r="A16" s="376" t="str">
        <f>A111</f>
        <v>2.1 Depreciação</v>
      </c>
      <c r="B16" s="364"/>
      <c r="C16" s="107">
        <f>G118</f>
        <v>1578.305523229167</v>
      </c>
      <c r="D16" s="46">
        <f t="shared" si="0"/>
        <v>6.1020336231396348E-2</v>
      </c>
      <c r="E16" s="107">
        <f t="shared" si="3"/>
        <v>1578.305523229167</v>
      </c>
      <c r="F16" s="46">
        <f t="shared" si="1"/>
        <v>6.4870727818013951E-2</v>
      </c>
      <c r="G16" s="107">
        <f t="shared" si="4"/>
        <v>1578.305523229167</v>
      </c>
      <c r="H16" s="46">
        <f t="shared" si="2"/>
        <v>6.4216191623165567E-2</v>
      </c>
      <c r="I16" s="4"/>
    </row>
    <row r="17" spans="1:10" s="2" customFormat="1" ht="15.75" customHeight="1" x14ac:dyDescent="0.2">
      <c r="A17" s="376" t="str">
        <f>A119</f>
        <v>2.2 Remuneração do Capital</v>
      </c>
      <c r="B17" s="364"/>
      <c r="C17" s="107">
        <f>G129</f>
        <v>2524.0484459358072</v>
      </c>
      <c r="D17" s="46">
        <f t="shared" si="0"/>
        <v>9.7584582052414964E-2</v>
      </c>
      <c r="E17" s="107">
        <f t="shared" si="3"/>
        <v>2524.0484459358072</v>
      </c>
      <c r="F17" s="46">
        <f t="shared" si="1"/>
        <v>0.10374218256601044</v>
      </c>
      <c r="G17" s="107">
        <f t="shared" si="4"/>
        <v>2524.0484459358072</v>
      </c>
      <c r="H17" s="46">
        <f t="shared" si="2"/>
        <v>0.10269543905463015</v>
      </c>
      <c r="I17" s="4"/>
    </row>
    <row r="18" spans="1:10" s="2" customFormat="1" ht="15.75" customHeight="1" x14ac:dyDescent="0.2">
      <c r="A18" s="376" t="str">
        <f>A131</f>
        <v>2.3. Impostos e Seguros</v>
      </c>
      <c r="B18" s="364"/>
      <c r="C18" s="107">
        <f>G141</f>
        <v>689.56500000000005</v>
      </c>
      <c r="D18" s="46">
        <f t="shared" si="0"/>
        <v>2.6659913137295189E-2</v>
      </c>
      <c r="E18" s="107">
        <f t="shared" si="3"/>
        <v>689.56500000000005</v>
      </c>
      <c r="F18" s="46">
        <f t="shared" si="1"/>
        <v>2.8342157313311075E-2</v>
      </c>
      <c r="G18" s="107">
        <f t="shared" si="4"/>
        <v>689.56500000000005</v>
      </c>
      <c r="H18" s="46">
        <f t="shared" si="2"/>
        <v>2.80561890742358E-2</v>
      </c>
      <c r="I18" s="4"/>
    </row>
    <row r="19" spans="1:10" s="2" customFormat="1" ht="15.75" customHeight="1" x14ac:dyDescent="0.2">
      <c r="A19" s="376" t="str">
        <f>A142</f>
        <v>2.4. Consumos</v>
      </c>
      <c r="B19" s="364"/>
      <c r="C19" s="107">
        <f>G156</f>
        <v>3603.8317098579541</v>
      </c>
      <c r="D19" s="46">
        <f t="shared" si="0"/>
        <v>0.13933108604155237</v>
      </c>
      <c r="E19" s="107">
        <f t="shared" si="3"/>
        <v>3603.8317098579541</v>
      </c>
      <c r="F19" s="46">
        <f t="shared" si="1"/>
        <v>0.14812289668340614</v>
      </c>
      <c r="G19" s="107">
        <f t="shared" si="4"/>
        <v>3603.8317098579541</v>
      </c>
      <c r="H19" s="46">
        <f t="shared" si="2"/>
        <v>0.1466283582309155</v>
      </c>
      <c r="I19" s="4"/>
    </row>
    <row r="20" spans="1:10" s="2" customFormat="1" ht="15.75" customHeight="1" x14ac:dyDescent="0.2">
      <c r="A20" s="376" t="str">
        <f>A158</f>
        <v>2.5. Manutenção</v>
      </c>
      <c r="B20" s="364"/>
      <c r="C20" s="107">
        <f>G163</f>
        <v>4094.375</v>
      </c>
      <c r="D20" s="46">
        <f t="shared" si="0"/>
        <v>0.15829643594369347</v>
      </c>
      <c r="E20" s="107">
        <f t="shared" si="3"/>
        <v>4094.375</v>
      </c>
      <c r="F20" s="46">
        <f t="shared" si="1"/>
        <v>0.16828496276592927</v>
      </c>
      <c r="G20" s="107">
        <f t="shared" si="4"/>
        <v>4094.375</v>
      </c>
      <c r="H20" s="46">
        <f t="shared" si="2"/>
        <v>0.16658699200339952</v>
      </c>
      <c r="I20" s="4"/>
    </row>
    <row r="21" spans="1:10" s="2" customFormat="1" ht="15.75" customHeight="1" x14ac:dyDescent="0.2">
      <c r="A21" s="376" t="str">
        <f>A165</f>
        <v>2.6. Pneus</v>
      </c>
      <c r="B21" s="364"/>
      <c r="C21" s="107">
        <f>G171</f>
        <v>495.935</v>
      </c>
      <c r="D21" s="46">
        <f t="shared" si="0"/>
        <v>1.9173803806377194E-2</v>
      </c>
      <c r="E21" s="107">
        <f t="shared" si="3"/>
        <v>495.935</v>
      </c>
      <c r="F21" s="46">
        <f t="shared" si="1"/>
        <v>2.0383673456711007E-2</v>
      </c>
      <c r="G21" s="107">
        <f t="shared" si="4"/>
        <v>495.935</v>
      </c>
      <c r="H21" s="46">
        <f t="shared" si="2"/>
        <v>2.0178005160544878E-2</v>
      </c>
      <c r="I21" s="4"/>
    </row>
    <row r="22" spans="1:10" s="6" customFormat="1" ht="15.75" customHeight="1" x14ac:dyDescent="0.2">
      <c r="A22" s="363" t="str">
        <f>A175</f>
        <v>3. Ferramentas e Materiais de Consumo</v>
      </c>
      <c r="B22" s="364"/>
      <c r="C22" s="106">
        <f>+G185</f>
        <v>86.958333333333329</v>
      </c>
      <c r="D22" s="40">
        <f t="shared" si="0"/>
        <v>3.3619769176663943E-3</v>
      </c>
      <c r="E22" s="106">
        <f t="shared" si="3"/>
        <v>86.958333333333329</v>
      </c>
      <c r="F22" s="40">
        <f t="shared" si="1"/>
        <v>3.5741181223476761E-3</v>
      </c>
      <c r="G22" s="106">
        <f>E22</f>
        <v>86.958333333333329</v>
      </c>
      <c r="H22" s="40">
        <f t="shared" si="2"/>
        <v>3.538055791086295E-3</v>
      </c>
      <c r="I22" s="4"/>
    </row>
    <row r="23" spans="1:10" s="6" customFormat="1" ht="15.75" customHeight="1" x14ac:dyDescent="0.2">
      <c r="A23" s="377" t="str">
        <f>A190</f>
        <v>4. Benefícios e Desp. Ind. - BDI - LUCRO REAL</v>
      </c>
      <c r="B23" s="364"/>
      <c r="C23" s="106">
        <f>+G196</f>
        <v>6233.1788118293625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A204</f>
        <v>5. Benefícios e Desp. Ind. - BDI - LUCRO PRESUMIDO</v>
      </c>
      <c r="B24" s="364"/>
      <c r="C24" s="115"/>
      <c r="D24" s="111"/>
      <c r="E24" s="106">
        <f>G210</f>
        <v>4697.9517784906029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A218</f>
        <v>6. Benef. Desp. Ind. + Impostos - SIMPLES NACIONAL</v>
      </c>
      <c r="B25" s="379"/>
      <c r="C25" s="116"/>
      <c r="D25" s="117"/>
      <c r="E25" s="118"/>
      <c r="F25" s="109"/>
      <c r="G25" s="119">
        <f>G222+G235</f>
        <v>6003.144314229703</v>
      </c>
      <c r="H25" s="108">
        <f>IFERROR(G25/$G$26,0)</f>
        <v>0.24424869580090658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25865.238061685621</v>
      </c>
      <c r="D26" s="45">
        <f>D9+D15+D22+D23</f>
        <v>1.0000000000000002</v>
      </c>
      <c r="E26" s="129">
        <f>E9+E15+E22+E24</f>
        <v>24330.01102834686</v>
      </c>
      <c r="F26" s="45">
        <f>F9+F15+F22+F24</f>
        <v>1.0000000000000002</v>
      </c>
      <c r="G26" s="129">
        <f>G9+G15+G22+G25</f>
        <v>24577.999462985961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G202</f>
        <v>12.143304254312499</v>
      </c>
      <c r="D27" s="45"/>
      <c r="E27" s="129">
        <f>G216</f>
        <v>11.422540388895239</v>
      </c>
      <c r="F27" s="45"/>
      <c r="G27" s="129">
        <f>G241</f>
        <v>11.538966884030968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289</v>
      </c>
      <c r="B31" s="396"/>
      <c r="C31" s="168"/>
      <c r="D31" s="168"/>
      <c r="E31" s="169"/>
      <c r="F31" s="257">
        <v>1</v>
      </c>
      <c r="G31" s="258">
        <f>'lote 16.1'!G31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16.1'!G32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253</v>
      </c>
      <c r="B36" s="385"/>
      <c r="C36" s="261">
        <v>10</v>
      </c>
      <c r="D36" s="183">
        <f>1/C36</f>
        <v>0.1</v>
      </c>
      <c r="E36" s="356">
        <v>21</v>
      </c>
      <c r="F36" s="262">
        <v>1</v>
      </c>
      <c r="G36" s="259">
        <v>404278</v>
      </c>
      <c r="H36" s="193"/>
      <c r="I36" s="4"/>
    </row>
    <row r="37" spans="1:9" s="2" customFormat="1" ht="54" customHeight="1" x14ac:dyDescent="0.2">
      <c r="A37" s="386" t="s">
        <v>290</v>
      </c>
      <c r="B37" s="387"/>
      <c r="C37" s="318"/>
      <c r="D37" s="322" t="str">
        <f>'lote 16.1'!D37</f>
        <v>tipo de combustível</v>
      </c>
      <c r="E37" s="323" t="s">
        <v>257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16.1'!G38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357">
        <v>106.5</v>
      </c>
      <c r="F42" s="161">
        <f>(E42/F39)+C48</f>
        <v>6.3250000000000002</v>
      </c>
      <c r="G42" s="186">
        <f>E42*E43</f>
        <v>2130</v>
      </c>
      <c r="H42" s="193"/>
      <c r="I42" s="6">
        <f>28+41+22+15.5</f>
        <v>106.5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I42*170</f>
        <v>18105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0.71875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0.25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296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0.71875</v>
      </c>
      <c r="G60" s="239">
        <f>F59*F60</f>
        <v>2095.5789468749999</v>
      </c>
      <c r="H60" s="239">
        <f>G60/G$42</f>
        <v>0.98383988116197185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por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0.71875</v>
      </c>
      <c r="G67" s="239">
        <f>F66*F67</f>
        <v>1655.2583281999998</v>
      </c>
      <c r="H67" s="239">
        <f>G67/G$42</f>
        <v>0.7771165860093896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por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0.71875</v>
      </c>
      <c r="G77" s="239">
        <f>F76*F77</f>
        <v>2892.6475406250001</v>
      </c>
      <c r="H77" s="239">
        <f>G77/G$42</f>
        <v>1.358050488556338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A57</f>
        <v>PrÊmio por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0.71875</v>
      </c>
      <c r="G84" s="239">
        <f>F83*F84</f>
        <v>2275.7640581999999</v>
      </c>
      <c r="H84" s="239">
        <f>G84/G$42</f>
        <v>1.0684338301408449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16.1'!E88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0.71875</v>
      </c>
      <c r="G92" s="239">
        <f>SUM(F88:F91)*F92</f>
        <v>211.65750000000003</v>
      </c>
      <c r="H92" s="239">
        <f>G92/G$42</f>
        <v>9.9369718309859162E-2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16.1'!E96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0.71875</v>
      </c>
      <c r="G98" s="239">
        <f>SUM(F96:F97)*F98</f>
        <v>1322.5</v>
      </c>
      <c r="H98" s="239">
        <f>G98/G$42</f>
        <v>0.62089201877934275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299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16.1'!E102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0.71875</v>
      </c>
      <c r="G104" s="239">
        <f>SUM(F102:F103)*F104</f>
        <v>36.65625</v>
      </c>
      <c r="H104" s="239">
        <f>G104/G$42</f>
        <v>1.7209507042253522E-2</v>
      </c>
    </row>
    <row r="105" spans="1:8" ht="13.5" thickBot="1" x14ac:dyDescent="0.25">
      <c r="A105" s="99"/>
      <c r="E105" s="27"/>
      <c r="F105" s="27"/>
      <c r="G105" s="135"/>
      <c r="H105" s="198"/>
    </row>
    <row r="106" spans="1:8" ht="13.5" thickBot="1" x14ac:dyDescent="0.25">
      <c r="A106" s="99"/>
      <c r="E106" s="27"/>
      <c r="F106" s="27"/>
      <c r="G106" s="135"/>
      <c r="H106" s="198"/>
    </row>
    <row r="107" spans="1:8" ht="13.5" thickBot="1" x14ac:dyDescent="0.25">
      <c r="A107" s="12" t="s">
        <v>106</v>
      </c>
      <c r="B107" s="13"/>
      <c r="C107" s="13"/>
      <c r="D107" s="13"/>
      <c r="E107" s="14"/>
      <c r="F107" s="15"/>
      <c r="G107" s="242">
        <f>SUM(G54:G99)-G67-G84+G104</f>
        <v>6559.0402374999994</v>
      </c>
      <c r="H107" s="243">
        <f>G107/G$42</f>
        <v>3.0793616138497648</v>
      </c>
    </row>
    <row r="108" spans="1:8" ht="13.5" thickBot="1" x14ac:dyDescent="0.25">
      <c r="A108" s="12" t="s">
        <v>107</v>
      </c>
      <c r="B108" s="13"/>
      <c r="C108" s="13"/>
      <c r="D108" s="13"/>
      <c r="E108" s="14"/>
      <c r="F108" s="15"/>
      <c r="G108" s="244">
        <f>SUM(G54:G99)-G60-G77+G104</f>
        <v>5501.8361364000002</v>
      </c>
      <c r="H108" s="239">
        <f>G108/G$42</f>
        <v>2.5830216602816902</v>
      </c>
    </row>
    <row r="109" spans="1:8" x14ac:dyDescent="0.2">
      <c r="A109" s="99"/>
      <c r="E109" s="27"/>
      <c r="F109" s="27"/>
      <c r="G109" s="135"/>
      <c r="H109" s="193"/>
    </row>
    <row r="110" spans="1:8" x14ac:dyDescent="0.2">
      <c r="A110" s="100" t="s">
        <v>211</v>
      </c>
      <c r="B110" s="6"/>
      <c r="E110" s="27"/>
      <c r="F110" s="27"/>
      <c r="G110" s="43"/>
      <c r="H110" s="193"/>
    </row>
    <row r="111" spans="1:8" ht="13.5" thickBot="1" x14ac:dyDescent="0.25">
      <c r="A111" s="100" t="s">
        <v>212</v>
      </c>
      <c r="B111" s="6"/>
      <c r="E111" s="27"/>
      <c r="F111" s="27"/>
      <c r="G111" s="43"/>
      <c r="H111" s="193"/>
    </row>
    <row r="112" spans="1:8" ht="13.5" thickBot="1" x14ac:dyDescent="0.25">
      <c r="A112" s="240" t="s">
        <v>27</v>
      </c>
      <c r="B112" s="241"/>
      <c r="C112" s="236" t="s">
        <v>28</v>
      </c>
      <c r="D112" s="236" t="s">
        <v>21</v>
      </c>
      <c r="E112" s="237" t="s">
        <v>92</v>
      </c>
      <c r="F112" s="237" t="s">
        <v>29</v>
      </c>
      <c r="G112" s="238" t="s">
        <v>30</v>
      </c>
      <c r="H112" s="238" t="s">
        <v>154</v>
      </c>
    </row>
    <row r="113" spans="1:10" x14ac:dyDescent="0.2">
      <c r="A113" s="405" t="s">
        <v>128</v>
      </c>
      <c r="B113" s="390"/>
      <c r="C113" s="8" t="s">
        <v>7</v>
      </c>
      <c r="D113" s="8">
        <v>1</v>
      </c>
      <c r="E113" s="187">
        <f>G36</f>
        <v>404278</v>
      </c>
      <c r="F113" s="9">
        <f>D113*E113</f>
        <v>404278</v>
      </c>
      <c r="G113" s="136"/>
      <c r="H113" s="136"/>
    </row>
    <row r="114" spans="1:10" x14ac:dyDescent="0.2">
      <c r="A114" s="418" t="s">
        <v>145</v>
      </c>
      <c r="B114" s="385"/>
      <c r="C114" s="10" t="s">
        <v>44</v>
      </c>
      <c r="D114" s="188">
        <v>10</v>
      </c>
      <c r="E114" s="33"/>
      <c r="F114" s="11"/>
      <c r="G114" s="137"/>
      <c r="H114" s="193"/>
    </row>
    <row r="115" spans="1:10" x14ac:dyDescent="0.2">
      <c r="A115" s="418" t="s">
        <v>137</v>
      </c>
      <c r="B115" s="385"/>
      <c r="C115" s="10" t="s">
        <v>0</v>
      </c>
      <c r="D115" s="262">
        <f>'lote 16.1'!D114</f>
        <v>65.180000000000007</v>
      </c>
      <c r="E115" s="201">
        <f>F113</f>
        <v>404278</v>
      </c>
      <c r="F115" s="201">
        <f>D115*E115/100</f>
        <v>263508.40040000004</v>
      </c>
      <c r="G115" s="137"/>
      <c r="H115" s="193"/>
    </row>
    <row r="116" spans="1:10" x14ac:dyDescent="0.2">
      <c r="A116" s="406" t="s">
        <v>146</v>
      </c>
      <c r="B116" s="385"/>
      <c r="C116" s="37" t="s">
        <v>5</v>
      </c>
      <c r="D116" s="37">
        <f>D114*12</f>
        <v>120</v>
      </c>
      <c r="E116" s="38">
        <f>F115</f>
        <v>263508.40040000004</v>
      </c>
      <c r="F116" s="38">
        <f>IFERROR(E116/D116,0)</f>
        <v>2195.9033366666672</v>
      </c>
      <c r="G116" s="137"/>
      <c r="H116" s="193"/>
    </row>
    <row r="117" spans="1:10" x14ac:dyDescent="0.2">
      <c r="A117" s="406" t="s">
        <v>96</v>
      </c>
      <c r="B117" s="385"/>
      <c r="C117" s="158" t="s">
        <v>7</v>
      </c>
      <c r="D117" s="200">
        <f>F36</f>
        <v>1</v>
      </c>
      <c r="E117" s="159">
        <f>F116</f>
        <v>2195.9033366666672</v>
      </c>
      <c r="F117" s="160">
        <f>D117*E117</f>
        <v>2195.9033366666672</v>
      </c>
      <c r="G117" s="137"/>
      <c r="H117" s="193"/>
    </row>
    <row r="118" spans="1:10" ht="13.5" thickBot="1" x14ac:dyDescent="0.25">
      <c r="A118" s="103"/>
      <c r="B118" s="90"/>
      <c r="C118" s="90"/>
      <c r="D118" s="90"/>
      <c r="E118" s="95" t="s">
        <v>86</v>
      </c>
      <c r="F118" s="250">
        <f>$C$46</f>
        <v>0.71875</v>
      </c>
      <c r="G118" s="239">
        <f>F117*F118</f>
        <v>1578.305523229167</v>
      </c>
      <c r="H118" s="239">
        <f>G118/G$42</f>
        <v>0.74098850855829435</v>
      </c>
    </row>
    <row r="119" spans="1:10" ht="13.5" thickBot="1" x14ac:dyDescent="0.25">
      <c r="A119" s="100" t="s">
        <v>213</v>
      </c>
      <c r="B119" s="6"/>
      <c r="E119" s="27"/>
      <c r="F119" s="278"/>
      <c r="G119" s="135"/>
      <c r="H119" s="193"/>
    </row>
    <row r="120" spans="1:10" ht="13.5" thickBot="1" x14ac:dyDescent="0.25">
      <c r="A120" s="403" t="s">
        <v>27</v>
      </c>
      <c r="B120" s="412"/>
      <c r="C120" s="236" t="s">
        <v>28</v>
      </c>
      <c r="D120" s="236" t="s">
        <v>21</v>
      </c>
      <c r="E120" s="237" t="s">
        <v>92</v>
      </c>
      <c r="F120" s="237" t="s">
        <v>29</v>
      </c>
      <c r="G120" s="238" t="s">
        <v>30</v>
      </c>
      <c r="H120" s="238" t="s">
        <v>154</v>
      </c>
      <c r="J120" s="34"/>
    </row>
    <row r="121" spans="1:10" x14ac:dyDescent="0.2">
      <c r="A121" s="405" t="s">
        <v>147</v>
      </c>
      <c r="B121" s="390"/>
      <c r="C121" s="8" t="s">
        <v>7</v>
      </c>
      <c r="D121" s="8">
        <v>1</v>
      </c>
      <c r="E121" s="9">
        <f>E113</f>
        <v>404278</v>
      </c>
      <c r="F121" s="9">
        <f>D121*E121</f>
        <v>404278</v>
      </c>
      <c r="G121" s="143"/>
      <c r="H121" s="136"/>
      <c r="I121" s="2"/>
      <c r="J121" s="34"/>
    </row>
    <row r="122" spans="1:10" x14ac:dyDescent="0.2">
      <c r="A122" s="413" t="s">
        <v>88</v>
      </c>
      <c r="B122" s="385"/>
      <c r="C122" s="10" t="s">
        <v>0</v>
      </c>
      <c r="D122" s="268">
        <f>'lote 16.1'!D121</f>
        <v>14.75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219</v>
      </c>
      <c r="B123" s="385"/>
      <c r="C123" s="10" t="s">
        <v>20</v>
      </c>
      <c r="D123" s="48">
        <f>F121</f>
        <v>404278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218</v>
      </c>
      <c r="B124" s="385"/>
      <c r="C124" s="10"/>
      <c r="D124" s="48">
        <f>F113-F115</f>
        <v>140769.59959999996</v>
      </c>
      <c r="E124" s="11"/>
      <c r="F124" s="11"/>
      <c r="G124" s="142"/>
      <c r="H124" s="193"/>
      <c r="I124" s="2"/>
      <c r="J124" s="34"/>
    </row>
    <row r="125" spans="1:10" x14ac:dyDescent="0.2">
      <c r="A125" s="418" t="s">
        <v>210</v>
      </c>
      <c r="B125" s="385"/>
      <c r="C125" s="10" t="s">
        <v>20</v>
      </c>
      <c r="D125" s="33">
        <f>(D123-D124)*((D114+1)/(2*D114))+D124</f>
        <v>285699.21982</v>
      </c>
      <c r="E125" s="11"/>
      <c r="F125" s="11"/>
      <c r="G125" s="142"/>
      <c r="H125" s="193"/>
      <c r="I125" s="2"/>
      <c r="J125" s="34"/>
    </row>
    <row r="126" spans="1:10" x14ac:dyDescent="0.2">
      <c r="A126" s="406" t="s">
        <v>148</v>
      </c>
      <c r="B126" s="385"/>
      <c r="C126" s="37" t="s">
        <v>20</v>
      </c>
      <c r="D126" s="37"/>
      <c r="E126" s="161">
        <f>D122*D125/12/100</f>
        <v>3511.7195769541663</v>
      </c>
      <c r="F126" s="38">
        <f>E126</f>
        <v>3511.7195769541663</v>
      </c>
      <c r="G126" s="142"/>
      <c r="H126" s="193"/>
      <c r="J126" s="34"/>
    </row>
    <row r="127" spans="1:10" x14ac:dyDescent="0.2">
      <c r="A127" s="406" t="s">
        <v>149</v>
      </c>
      <c r="B127" s="397"/>
      <c r="C127" s="94"/>
      <c r="D127" s="94"/>
      <c r="E127" s="19"/>
      <c r="F127" s="160">
        <f>F126</f>
        <v>3511.7195769541663</v>
      </c>
      <c r="G127" s="142"/>
      <c r="H127" s="193"/>
      <c r="I127" s="34"/>
      <c r="J127" s="34"/>
    </row>
    <row r="128" spans="1:10" x14ac:dyDescent="0.2">
      <c r="A128" s="406" t="s">
        <v>96</v>
      </c>
      <c r="B128" s="385"/>
      <c r="C128" s="37" t="s">
        <v>7</v>
      </c>
      <c r="D128" s="10">
        <f>D117</f>
        <v>1</v>
      </c>
      <c r="E128" s="38">
        <f>F127</f>
        <v>3511.7195769541663</v>
      </c>
      <c r="F128" s="39">
        <f>D128*E128</f>
        <v>3511.7195769541663</v>
      </c>
      <c r="G128" s="142"/>
      <c r="H128" s="193"/>
      <c r="I128" s="34">
        <f>(I127*2)/12/100</f>
        <v>0</v>
      </c>
      <c r="J128" s="34"/>
    </row>
    <row r="129" spans="1:11" ht="13.5" thickBot="1" x14ac:dyDescent="0.25">
      <c r="A129" s="99"/>
      <c r="D129" s="97"/>
      <c r="E129" s="95" t="s">
        <v>86</v>
      </c>
      <c r="F129" s="250">
        <f>$C$46</f>
        <v>0.71875</v>
      </c>
      <c r="G129" s="239">
        <f>F128*F129</f>
        <v>2524.0484459358072</v>
      </c>
      <c r="H129" s="239">
        <f>G129/G$42</f>
        <v>1.1849992703923977</v>
      </c>
      <c r="J129" s="34"/>
    </row>
    <row r="130" spans="1:11" ht="11.25" customHeight="1" x14ac:dyDescent="0.2">
      <c r="A130" s="99"/>
      <c r="E130" s="27"/>
      <c r="F130" s="27"/>
      <c r="G130" s="135"/>
      <c r="H130" s="193"/>
      <c r="I130" s="208"/>
      <c r="J130" s="34"/>
    </row>
    <row r="131" spans="1:11" x14ac:dyDescent="0.2">
      <c r="A131" s="100" t="s">
        <v>214</v>
      </c>
      <c r="B131" s="6"/>
      <c r="E131" s="27"/>
      <c r="F131" s="27"/>
      <c r="G131" s="43"/>
      <c r="H131" s="193"/>
      <c r="J131" s="34"/>
    </row>
    <row r="132" spans="1:11" ht="13.5" thickBot="1" x14ac:dyDescent="0.25">
      <c r="A132" s="100" t="str">
        <f>'lote 16.1'!A131</f>
        <v>Despesas consideradas específicas para o transporte escolar municipal</v>
      </c>
      <c r="B132" s="6"/>
      <c r="E132" s="27"/>
      <c r="F132" s="27"/>
      <c r="G132" s="43"/>
      <c r="H132" s="43"/>
      <c r="J132" s="34"/>
    </row>
    <row r="133" spans="1:11" ht="13.5" thickBot="1" x14ac:dyDescent="0.25">
      <c r="A133" s="403" t="s">
        <v>27</v>
      </c>
      <c r="B133" s="412"/>
      <c r="C133" s="236" t="s">
        <v>28</v>
      </c>
      <c r="D133" s="236" t="s">
        <v>21</v>
      </c>
      <c r="E133" s="237" t="s">
        <v>92</v>
      </c>
      <c r="F133" s="237" t="s">
        <v>29</v>
      </c>
      <c r="G133" s="238" t="s">
        <v>30</v>
      </c>
      <c r="H133" s="238" t="s">
        <v>154</v>
      </c>
      <c r="J133" s="34"/>
    </row>
    <row r="134" spans="1:11" x14ac:dyDescent="0.2">
      <c r="A134" s="420" t="s">
        <v>8</v>
      </c>
      <c r="B134" s="390"/>
      <c r="C134" s="8" t="s">
        <v>7</v>
      </c>
      <c r="D134" s="9">
        <f>D117</f>
        <v>1</v>
      </c>
      <c r="E134" s="9">
        <f>0.01*($F$113)</f>
        <v>4042.78</v>
      </c>
      <c r="F134" s="9">
        <f t="shared" ref="F134:F139" si="5">D134*E134</f>
        <v>4042.78</v>
      </c>
      <c r="G134" s="136"/>
      <c r="H134" s="136"/>
      <c r="J134" s="34"/>
    </row>
    <row r="135" spans="1:11" x14ac:dyDescent="0.2">
      <c r="A135" s="413" t="s">
        <v>85</v>
      </c>
      <c r="B135" s="385"/>
      <c r="C135" s="10" t="s">
        <v>7</v>
      </c>
      <c r="D135" s="9">
        <f>D117</f>
        <v>1</v>
      </c>
      <c r="E135" s="262">
        <v>562</v>
      </c>
      <c r="F135" s="11">
        <f t="shared" si="5"/>
        <v>562</v>
      </c>
      <c r="G135" s="137"/>
      <c r="H135" s="193"/>
      <c r="J135" s="34"/>
    </row>
    <row r="136" spans="1:11" x14ac:dyDescent="0.2">
      <c r="A136" s="413" t="s">
        <v>9</v>
      </c>
      <c r="B136" s="385"/>
      <c r="C136" s="10" t="s">
        <v>7</v>
      </c>
      <c r="D136" s="9">
        <f>D117</f>
        <v>1</v>
      </c>
      <c r="E136" s="262">
        <v>1310</v>
      </c>
      <c r="F136" s="11">
        <f t="shared" si="5"/>
        <v>1310</v>
      </c>
      <c r="G136" s="144"/>
      <c r="H136" s="193"/>
      <c r="J136" s="34"/>
    </row>
    <row r="137" spans="1:11" x14ac:dyDescent="0.2">
      <c r="A137" s="418" t="s">
        <v>197</v>
      </c>
      <c r="B137" s="385"/>
      <c r="C137" s="10" t="s">
        <v>7</v>
      </c>
      <c r="D137" s="9">
        <v>1</v>
      </c>
      <c r="E137" s="262">
        <v>1171</v>
      </c>
      <c r="F137" s="11">
        <f>E137</f>
        <v>1171</v>
      </c>
      <c r="G137" s="144"/>
      <c r="H137" s="193"/>
      <c r="J137" s="34"/>
    </row>
    <row r="138" spans="1:11" x14ac:dyDescent="0.2">
      <c r="A138" s="418" t="s">
        <v>208</v>
      </c>
      <c r="B138" s="385"/>
      <c r="C138" s="10" t="s">
        <v>7</v>
      </c>
      <c r="D138" s="9">
        <v>1</v>
      </c>
      <c r="E138" s="262">
        <v>419</v>
      </c>
      <c r="F138" s="11">
        <f t="shared" si="5"/>
        <v>419</v>
      </c>
      <c r="G138" s="144"/>
      <c r="H138" s="193"/>
      <c r="J138" s="34"/>
    </row>
    <row r="139" spans="1:11" x14ac:dyDescent="0.2">
      <c r="A139" s="418" t="s">
        <v>198</v>
      </c>
      <c r="B139" s="385"/>
      <c r="C139" s="10" t="s">
        <v>7</v>
      </c>
      <c r="D139" s="9">
        <v>1</v>
      </c>
      <c r="E139" s="262">
        <v>770</v>
      </c>
      <c r="F139" s="11">
        <f t="shared" si="5"/>
        <v>770</v>
      </c>
      <c r="G139" s="144"/>
      <c r="H139" s="193"/>
      <c r="J139" s="34"/>
    </row>
    <row r="140" spans="1:11" x14ac:dyDescent="0.2">
      <c r="A140" s="406" t="s">
        <v>10</v>
      </c>
      <c r="B140" s="385"/>
      <c r="C140" s="37" t="s">
        <v>5</v>
      </c>
      <c r="D140" s="37">
        <v>12</v>
      </c>
      <c r="E140" s="38">
        <f>SUM(F134:F139)</f>
        <v>8274.7800000000007</v>
      </c>
      <c r="F140" s="38">
        <f>E140/D140</f>
        <v>689.56500000000005</v>
      </c>
      <c r="G140" s="137"/>
      <c r="H140" s="193"/>
      <c r="J140" s="34"/>
    </row>
    <row r="141" spans="1:11" ht="13.5" thickBot="1" x14ac:dyDescent="0.25">
      <c r="A141" s="279"/>
      <c r="B141" s="82"/>
      <c r="C141" s="82"/>
      <c r="D141" s="82"/>
      <c r="E141" s="280" t="s">
        <v>86</v>
      </c>
      <c r="F141" s="250">
        <v>1</v>
      </c>
      <c r="G141" s="239">
        <f>F140*F141</f>
        <v>689.56500000000005</v>
      </c>
      <c r="H141" s="239">
        <f>G141/G$42</f>
        <v>0.32373943661971832</v>
      </c>
      <c r="J141" s="34"/>
    </row>
    <row r="142" spans="1:11" x14ac:dyDescent="0.2">
      <c r="A142" s="100" t="s">
        <v>215</v>
      </c>
      <c r="B142" s="6"/>
      <c r="C142" s="98"/>
      <c r="E142" s="27"/>
      <c r="F142" s="27"/>
      <c r="G142" s="43"/>
      <c r="H142" s="193"/>
      <c r="J142" s="34"/>
    </row>
    <row r="143" spans="1:11" ht="13.5" thickBot="1" x14ac:dyDescent="0.25">
      <c r="A143" s="102" t="s">
        <v>150</v>
      </c>
      <c r="B143" s="214"/>
      <c r="C143" s="190">
        <f>G42</f>
        <v>2130</v>
      </c>
      <c r="E143" s="27"/>
      <c r="F143" s="27"/>
      <c r="G143" s="43"/>
      <c r="H143" s="193"/>
      <c r="J143" s="34"/>
    </row>
    <row r="144" spans="1:11" ht="13.5" thickBot="1" x14ac:dyDescent="0.25">
      <c r="A144" s="403" t="s">
        <v>27</v>
      </c>
      <c r="B144" s="412"/>
      <c r="C144" s="236" t="s">
        <v>28</v>
      </c>
      <c r="D144" s="236" t="s">
        <v>95</v>
      </c>
      <c r="E144" s="237" t="s">
        <v>92</v>
      </c>
      <c r="F144" s="237" t="s">
        <v>29</v>
      </c>
      <c r="G144" s="238" t="s">
        <v>30</v>
      </c>
      <c r="H144" s="238" t="s">
        <v>154</v>
      </c>
      <c r="J144" s="34"/>
      <c r="K144" s="34"/>
    </row>
    <row r="145" spans="1:11" x14ac:dyDescent="0.2">
      <c r="A145" s="420" t="s">
        <v>11</v>
      </c>
      <c r="B145" s="390"/>
      <c r="C145" s="8" t="s">
        <v>12</v>
      </c>
      <c r="D145" s="187">
        <f>F38</f>
        <v>5.5</v>
      </c>
      <c r="E145" s="187">
        <f>G38</f>
        <v>7.32</v>
      </c>
      <c r="F145" s="9"/>
      <c r="G145" s="136"/>
      <c r="H145" s="136"/>
      <c r="J145" s="34"/>
      <c r="K145" s="34"/>
    </row>
    <row r="146" spans="1:11" x14ac:dyDescent="0.2">
      <c r="A146" s="413" t="s">
        <v>13</v>
      </c>
      <c r="B146" s="385"/>
      <c r="C146" s="10" t="s">
        <v>14</v>
      </c>
      <c r="D146" s="35">
        <f>C143</f>
        <v>2130</v>
      </c>
      <c r="E146" s="89">
        <f>IFERROR(+E145/D145,"-")</f>
        <v>1.330909090909091</v>
      </c>
      <c r="F146" s="11">
        <f>IFERROR(D146*E146,"-")</f>
        <v>2834.8363636363638</v>
      </c>
      <c r="G146" s="137"/>
      <c r="H146" s="193"/>
      <c r="J146" s="34"/>
      <c r="K146" s="34"/>
    </row>
    <row r="147" spans="1:11" x14ac:dyDescent="0.2">
      <c r="A147" s="418" t="s">
        <v>232</v>
      </c>
      <c r="B147" s="385"/>
      <c r="C147" s="92" t="s">
        <v>233</v>
      </c>
      <c r="D147" s="269">
        <v>10.5</v>
      </c>
      <c r="E147" s="262">
        <v>18.3</v>
      </c>
      <c r="F147" s="11"/>
      <c r="G147" s="137"/>
      <c r="H147" s="193"/>
      <c r="J147" s="34"/>
      <c r="K147" s="34"/>
    </row>
    <row r="148" spans="1:11" x14ac:dyDescent="0.2">
      <c r="A148" s="413" t="s">
        <v>15</v>
      </c>
      <c r="B148" s="385"/>
      <c r="C148" s="10" t="s">
        <v>14</v>
      </c>
      <c r="D148" s="35">
        <f>D146</f>
        <v>2130</v>
      </c>
      <c r="E148" s="86">
        <f>+D147*E147/10000</f>
        <v>1.9214999999999999E-2</v>
      </c>
      <c r="F148" s="11">
        <f>D148*E148</f>
        <v>40.927949999999996</v>
      </c>
      <c r="G148" s="137"/>
      <c r="H148" s="193"/>
      <c r="J148" s="34"/>
      <c r="K148" s="34"/>
    </row>
    <row r="149" spans="1:11" x14ac:dyDescent="0.2">
      <c r="A149" s="418" t="s">
        <v>234</v>
      </c>
      <c r="B149" s="385"/>
      <c r="C149" s="92" t="s">
        <v>235</v>
      </c>
      <c r="D149" s="269">
        <v>4.5999999999999996</v>
      </c>
      <c r="E149" s="262">
        <v>21.6</v>
      </c>
      <c r="F149" s="11"/>
      <c r="G149" s="137"/>
      <c r="H149" s="193"/>
      <c r="J149" s="34"/>
      <c r="K149" s="34"/>
    </row>
    <row r="150" spans="1:11" x14ac:dyDescent="0.2">
      <c r="A150" s="413" t="s">
        <v>16</v>
      </c>
      <c r="B150" s="385"/>
      <c r="C150" s="10" t="s">
        <v>14</v>
      </c>
      <c r="D150" s="35">
        <f>D146</f>
        <v>2130</v>
      </c>
      <c r="E150" s="231">
        <f>+D149*E149/100000</f>
        <v>9.9360000000000008E-4</v>
      </c>
      <c r="F150" s="11">
        <f>D150*E150</f>
        <v>2.116368</v>
      </c>
      <c r="G150" s="137"/>
      <c r="H150" s="193"/>
      <c r="J150" s="34"/>
      <c r="K150" s="34"/>
    </row>
    <row r="151" spans="1:11" x14ac:dyDescent="0.2">
      <c r="A151" s="418" t="s">
        <v>237</v>
      </c>
      <c r="B151" s="385"/>
      <c r="C151" s="92" t="s">
        <v>236</v>
      </c>
      <c r="D151" s="269">
        <v>1.7</v>
      </c>
      <c r="E151" s="262">
        <v>20.9</v>
      </c>
      <c r="F151" s="11"/>
      <c r="G151" s="137"/>
      <c r="H151" s="193"/>
      <c r="J151" s="34"/>
      <c r="K151" s="34"/>
    </row>
    <row r="152" spans="1:11" x14ac:dyDescent="0.2">
      <c r="A152" s="413" t="s">
        <v>17</v>
      </c>
      <c r="B152" s="385"/>
      <c r="C152" s="10" t="s">
        <v>14</v>
      </c>
      <c r="D152" s="35">
        <f>D146</f>
        <v>2130</v>
      </c>
      <c r="E152" s="231">
        <f>+D151*E151/80000</f>
        <v>4.4412499999999991E-4</v>
      </c>
      <c r="F152" s="11">
        <f>D152*E152</f>
        <v>0.94598624999999981</v>
      </c>
      <c r="G152" s="137"/>
      <c r="H152" s="193"/>
      <c r="J152" s="34"/>
      <c r="K152" s="34"/>
    </row>
    <row r="153" spans="1:11" x14ac:dyDescent="0.2">
      <c r="A153" s="418" t="s">
        <v>239</v>
      </c>
      <c r="B153" s="385"/>
      <c r="C153" s="92" t="s">
        <v>238</v>
      </c>
      <c r="D153" s="269">
        <v>1</v>
      </c>
      <c r="E153" s="262">
        <v>19.899999999999999</v>
      </c>
      <c r="F153" s="11"/>
      <c r="G153" s="137"/>
      <c r="H153" s="193"/>
      <c r="J153" s="34"/>
      <c r="K153" s="34"/>
    </row>
    <row r="154" spans="1:11" x14ac:dyDescent="0.2">
      <c r="A154" s="413" t="s">
        <v>18</v>
      </c>
      <c r="B154" s="385"/>
      <c r="C154" s="10" t="s">
        <v>14</v>
      </c>
      <c r="D154" s="35">
        <f>D146</f>
        <v>2130</v>
      </c>
      <c r="E154" s="86">
        <f>+D153*E153/10000</f>
        <v>1.99E-3</v>
      </c>
      <c r="F154" s="11">
        <f>D154*E154</f>
        <v>4.2386999999999997</v>
      </c>
      <c r="G154" s="137"/>
      <c r="H154" s="193"/>
      <c r="J154" s="34"/>
      <c r="K154" s="34"/>
    </row>
    <row r="155" spans="1:11" x14ac:dyDescent="0.2">
      <c r="A155" s="406" t="s">
        <v>94</v>
      </c>
      <c r="B155" s="385"/>
      <c r="C155" s="37" t="s">
        <v>45</v>
      </c>
      <c r="D155" s="87"/>
      <c r="E155" s="88">
        <f>IFERROR(E146+E148+E150+E152+E154,0)</f>
        <v>1.3535518159090909</v>
      </c>
      <c r="F155" s="38">
        <f>SUM(F145:F154)</f>
        <v>2883.0653678863632</v>
      </c>
      <c r="G155" s="137"/>
      <c r="H155" s="193"/>
      <c r="J155" s="34"/>
      <c r="K155" s="34"/>
    </row>
    <row r="156" spans="1:11" ht="13.5" thickBot="1" x14ac:dyDescent="0.25">
      <c r="A156" s="99"/>
      <c r="E156" s="255" t="s">
        <v>138</v>
      </c>
      <c r="F156" s="23">
        <f>$C$47+1</f>
        <v>1.25</v>
      </c>
      <c r="G156" s="239">
        <f>F155*F156</f>
        <v>3603.8317098579541</v>
      </c>
      <c r="H156" s="239">
        <f>G156/G$42</f>
        <v>1.6919397698863634</v>
      </c>
      <c r="J156" s="34"/>
      <c r="K156" s="34"/>
    </row>
    <row r="157" spans="1:11" ht="11.25" customHeight="1" x14ac:dyDescent="0.2">
      <c r="A157" s="99"/>
      <c r="E157" s="27"/>
      <c r="F157" s="27"/>
      <c r="G157" s="135"/>
      <c r="H157" s="193"/>
      <c r="J157" s="34"/>
      <c r="K157" s="34"/>
    </row>
    <row r="158" spans="1:11" ht="13.5" thickBot="1" x14ac:dyDescent="0.25">
      <c r="A158" s="100" t="s">
        <v>216</v>
      </c>
      <c r="B158" s="6"/>
      <c r="E158" s="27"/>
      <c r="F158" s="27"/>
      <c r="G158" s="43"/>
      <c r="H158" s="193"/>
      <c r="J158" s="34"/>
      <c r="K158" s="34"/>
    </row>
    <row r="159" spans="1:11" ht="13.5" thickBot="1" x14ac:dyDescent="0.25">
      <c r="A159" s="403" t="s">
        <v>27</v>
      </c>
      <c r="B159" s="412"/>
      <c r="C159" s="236" t="s">
        <v>28</v>
      </c>
      <c r="D159" s="236" t="s">
        <v>21</v>
      </c>
      <c r="E159" s="237" t="s">
        <v>92</v>
      </c>
      <c r="F159" s="237" t="s">
        <v>29</v>
      </c>
      <c r="G159" s="238" t="s">
        <v>30</v>
      </c>
      <c r="H159" s="238" t="s">
        <v>154</v>
      </c>
      <c r="J159" s="34"/>
      <c r="K159" s="34"/>
    </row>
    <row r="160" spans="1:11" x14ac:dyDescent="0.2">
      <c r="A160" s="405" t="s">
        <v>188</v>
      </c>
      <c r="B160" s="390"/>
      <c r="C160" s="8" t="s">
        <v>45</v>
      </c>
      <c r="D160" s="35">
        <f>D146</f>
        <v>2130</v>
      </c>
      <c r="E160" s="270">
        <f>'lote 16.1'!E159</f>
        <v>1.35</v>
      </c>
      <c r="F160" s="9">
        <f>D160*E160</f>
        <v>2875.5</v>
      </c>
      <c r="G160" s="136"/>
      <c r="H160" s="136"/>
      <c r="I160" s="34">
        <f>F160*12</f>
        <v>34506</v>
      </c>
      <c r="J160" s="34"/>
      <c r="K160" s="34"/>
    </row>
    <row r="161" spans="1:11" s="165" customFormat="1" x14ac:dyDescent="0.2">
      <c r="A161" s="418" t="s">
        <v>139</v>
      </c>
      <c r="B161" s="385"/>
      <c r="C161" s="162" t="s">
        <v>140</v>
      </c>
      <c r="D161" s="272">
        <v>4</v>
      </c>
      <c r="E161" s="271">
        <f>'lote 16.1'!E160</f>
        <v>100</v>
      </c>
      <c r="F161" s="163">
        <f>D161*E161</f>
        <v>400</v>
      </c>
      <c r="G161" s="164"/>
      <c r="H161" s="196"/>
      <c r="I161" s="4"/>
    </row>
    <row r="162" spans="1:11" s="165" customFormat="1" x14ac:dyDescent="0.2">
      <c r="A162" s="406" t="s">
        <v>141</v>
      </c>
      <c r="B162" s="385"/>
      <c r="C162" s="92" t="s">
        <v>142</v>
      </c>
      <c r="D162" s="166"/>
      <c r="E162" s="23"/>
      <c r="F162" s="159">
        <f>SUM(F160:F161)</f>
        <v>3275.5</v>
      </c>
      <c r="G162" s="164"/>
      <c r="H162" s="196"/>
      <c r="I162" s="4"/>
    </row>
    <row r="163" spans="1:11" ht="13.5" thickBot="1" x14ac:dyDescent="0.25">
      <c r="A163" s="99"/>
      <c r="E163" s="255" t="s">
        <v>138</v>
      </c>
      <c r="F163" s="23">
        <f>$C$47+1</f>
        <v>1.25</v>
      </c>
      <c r="G163" s="239">
        <f>F162*F163</f>
        <v>4094.375</v>
      </c>
      <c r="H163" s="239">
        <f>G163/G$42</f>
        <v>1.9222417840375587</v>
      </c>
      <c r="J163" s="34"/>
      <c r="K163" s="34"/>
    </row>
    <row r="164" spans="1:11" ht="11.25" customHeight="1" x14ac:dyDescent="0.2">
      <c r="A164" s="99"/>
      <c r="E164" s="27"/>
      <c r="F164" s="27"/>
      <c r="G164" s="135"/>
      <c r="H164" s="193"/>
      <c r="J164" s="34"/>
      <c r="K164" s="34"/>
    </row>
    <row r="165" spans="1:11" ht="13.5" thickBot="1" x14ac:dyDescent="0.25">
      <c r="A165" s="100" t="s">
        <v>217</v>
      </c>
      <c r="B165" s="6"/>
      <c r="E165" s="27"/>
      <c r="F165" s="27"/>
      <c r="G165" s="43"/>
      <c r="H165" s="193"/>
      <c r="J165" s="34"/>
      <c r="K165" s="34"/>
    </row>
    <row r="166" spans="1:11" ht="13.5" thickBot="1" x14ac:dyDescent="0.25">
      <c r="A166" s="403" t="s">
        <v>27</v>
      </c>
      <c r="B166" s="412"/>
      <c r="C166" s="236" t="s">
        <v>28</v>
      </c>
      <c r="D166" s="236" t="s">
        <v>21</v>
      </c>
      <c r="E166" s="237" t="s">
        <v>92</v>
      </c>
      <c r="F166" s="237" t="s">
        <v>29</v>
      </c>
      <c r="G166" s="238" t="s">
        <v>30</v>
      </c>
      <c r="H166" s="238" t="s">
        <v>154</v>
      </c>
      <c r="J166" s="34"/>
      <c r="K166" s="34"/>
    </row>
    <row r="167" spans="1:11" x14ac:dyDescent="0.2">
      <c r="A167" s="405" t="s">
        <v>256</v>
      </c>
      <c r="B167" s="390"/>
      <c r="C167" s="8" t="s">
        <v>7</v>
      </c>
      <c r="D167" s="273">
        <v>6</v>
      </c>
      <c r="E167" s="271">
        <v>1397</v>
      </c>
      <c r="F167" s="9">
        <f>D167*E167</f>
        <v>8382</v>
      </c>
      <c r="G167" s="136"/>
      <c r="H167" s="136"/>
      <c r="J167" s="34"/>
      <c r="K167" s="34"/>
    </row>
    <row r="168" spans="1:11" x14ac:dyDescent="0.2">
      <c r="A168" s="427" t="s">
        <v>258</v>
      </c>
      <c r="B168" s="428"/>
      <c r="C168" s="8"/>
      <c r="D168" s="9"/>
      <c r="E168" s="9"/>
      <c r="F168" s="9"/>
      <c r="G168" s="137"/>
      <c r="H168" s="43"/>
      <c r="J168" s="34"/>
      <c r="K168" s="34"/>
    </row>
    <row r="169" spans="1:11" x14ac:dyDescent="0.2">
      <c r="A169" s="418" t="s">
        <v>129</v>
      </c>
      <c r="B169" s="385"/>
      <c r="C169" s="10" t="s">
        <v>19</v>
      </c>
      <c r="D169" s="274">
        <v>45000</v>
      </c>
      <c r="E169" s="11">
        <f>F167</f>
        <v>8382</v>
      </c>
      <c r="F169" s="11">
        <f>IFERROR(E169/D169,"-")</f>
        <v>0.18626666666666666</v>
      </c>
      <c r="G169" s="137"/>
      <c r="H169" s="193"/>
      <c r="J169" s="34"/>
      <c r="K169" s="34"/>
    </row>
    <row r="170" spans="1:11" x14ac:dyDescent="0.2">
      <c r="A170" s="406" t="s">
        <v>25</v>
      </c>
      <c r="B170" s="385"/>
      <c r="C170" s="10" t="s">
        <v>14</v>
      </c>
      <c r="D170" s="35">
        <f>C143</f>
        <v>2130</v>
      </c>
      <c r="E170" s="11">
        <f>F169</f>
        <v>0.18626666666666666</v>
      </c>
      <c r="F170" s="38">
        <f>IFERROR(D170*E170,0)</f>
        <v>396.74799999999999</v>
      </c>
      <c r="G170" s="137"/>
      <c r="H170" s="193"/>
      <c r="J170" s="34"/>
      <c r="K170" s="34"/>
    </row>
    <row r="171" spans="1:11" ht="13.5" thickBot="1" x14ac:dyDescent="0.25">
      <c r="A171" s="99"/>
      <c r="E171" s="255" t="s">
        <v>138</v>
      </c>
      <c r="F171" s="23">
        <f>$C$47+1</f>
        <v>1.25</v>
      </c>
      <c r="G171" s="239">
        <f>F170*F171</f>
        <v>495.935</v>
      </c>
      <c r="H171" s="239">
        <f>G171/G$42</f>
        <v>0.23283333333333334</v>
      </c>
      <c r="J171" s="34"/>
      <c r="K171" s="34"/>
    </row>
    <row r="172" spans="1:11" ht="11.25" customHeight="1" thickBot="1" x14ac:dyDescent="0.25">
      <c r="A172" s="99"/>
      <c r="E172" s="27"/>
      <c r="F172" s="27"/>
      <c r="G172" s="135"/>
      <c r="H172" s="193"/>
      <c r="J172" s="34"/>
      <c r="K172" s="34"/>
    </row>
    <row r="173" spans="1:11" ht="13.5" thickBot="1" x14ac:dyDescent="0.25">
      <c r="A173" s="12" t="s">
        <v>151</v>
      </c>
      <c r="B173" s="13"/>
      <c r="C173" s="13"/>
      <c r="D173" s="13"/>
      <c r="E173" s="14"/>
      <c r="F173" s="15"/>
      <c r="G173" s="245">
        <f>+SUM(G113:G172)</f>
        <v>12986.060679022927</v>
      </c>
      <c r="H173" s="239">
        <f>G173/G$42</f>
        <v>6.0967421028276654</v>
      </c>
    </row>
    <row r="174" spans="1:11" ht="11.25" customHeight="1" x14ac:dyDescent="0.2">
      <c r="A174" s="99"/>
      <c r="E174" s="27"/>
      <c r="F174" s="27"/>
      <c r="G174" s="135"/>
      <c r="H174" s="193"/>
    </row>
    <row r="175" spans="1:11" x14ac:dyDescent="0.2">
      <c r="A175" s="100" t="s">
        <v>168</v>
      </c>
      <c r="B175" s="6"/>
      <c r="C175" s="6"/>
      <c r="D175" s="6"/>
      <c r="E175" s="20"/>
      <c r="F175" s="20"/>
      <c r="G175" s="145"/>
      <c r="H175" s="193"/>
    </row>
    <row r="176" spans="1:11" ht="11.25" customHeight="1" thickBot="1" x14ac:dyDescent="0.25">
      <c r="A176" s="99"/>
      <c r="E176" s="27"/>
      <c r="F176" s="27"/>
      <c r="G176" s="43"/>
      <c r="H176" s="193"/>
    </row>
    <row r="177" spans="1:8" ht="13.5" thickBot="1" x14ac:dyDescent="0.25">
      <c r="A177" s="403" t="s">
        <v>27</v>
      </c>
      <c r="B177" s="412"/>
      <c r="C177" s="236" t="s">
        <v>28</v>
      </c>
      <c r="D177" s="236" t="s">
        <v>21</v>
      </c>
      <c r="E177" s="237" t="s">
        <v>92</v>
      </c>
      <c r="F177" s="237" t="s">
        <v>29</v>
      </c>
      <c r="G177" s="238" t="s">
        <v>30</v>
      </c>
      <c r="H177" s="238" t="s">
        <v>154</v>
      </c>
    </row>
    <row r="178" spans="1:8" x14ac:dyDescent="0.2">
      <c r="A178" s="405" t="s">
        <v>190</v>
      </c>
      <c r="B178" s="390"/>
      <c r="C178" s="92" t="s">
        <v>189</v>
      </c>
      <c r="D178" s="275">
        <f>1/12</f>
        <v>8.3333333333333329E-2</v>
      </c>
      <c r="E178" s="270">
        <v>21.9</v>
      </c>
      <c r="F178" s="11">
        <f>D178*E178</f>
        <v>1.8249999999999997</v>
      </c>
      <c r="G178" s="146"/>
      <c r="H178" s="136"/>
    </row>
    <row r="179" spans="1:8" x14ac:dyDescent="0.2">
      <c r="A179" s="418" t="s">
        <v>191</v>
      </c>
      <c r="B179" s="385"/>
      <c r="C179" s="92" t="s">
        <v>189</v>
      </c>
      <c r="D179" s="275">
        <f>3/12</f>
        <v>0.25</v>
      </c>
      <c r="E179" s="270">
        <v>21</v>
      </c>
      <c r="F179" s="11">
        <f>D179*E179</f>
        <v>5.25</v>
      </c>
      <c r="G179" s="147"/>
      <c r="H179" s="193"/>
    </row>
    <row r="180" spans="1:8" x14ac:dyDescent="0.2">
      <c r="A180" s="418" t="s">
        <v>192</v>
      </c>
      <c r="B180" s="385"/>
      <c r="C180" s="92" t="s">
        <v>189</v>
      </c>
      <c r="D180" s="275">
        <f>2/12</f>
        <v>0.16666666666666666</v>
      </c>
      <c r="E180" s="270">
        <v>11.3</v>
      </c>
      <c r="F180" s="11">
        <f>D180*E180</f>
        <v>1.8833333333333333</v>
      </c>
      <c r="G180" s="147"/>
      <c r="H180" s="193"/>
    </row>
    <row r="181" spans="1:8" x14ac:dyDescent="0.2">
      <c r="A181" s="418" t="s">
        <v>193</v>
      </c>
      <c r="B181" s="385"/>
      <c r="C181" s="92" t="s">
        <v>209</v>
      </c>
      <c r="D181" s="275">
        <f>4</f>
        <v>4</v>
      </c>
      <c r="E181" s="270">
        <v>15</v>
      </c>
      <c r="F181" s="11">
        <f>D181*E181</f>
        <v>60</v>
      </c>
      <c r="G181" s="147"/>
      <c r="H181" s="193"/>
    </row>
    <row r="182" spans="1:8" ht="13.5" thickBot="1" x14ac:dyDescent="0.25">
      <c r="A182" s="418" t="s">
        <v>194</v>
      </c>
      <c r="B182" s="385"/>
      <c r="C182" s="92" t="s">
        <v>189</v>
      </c>
      <c r="D182" s="275">
        <v>4</v>
      </c>
      <c r="E182" s="270">
        <v>4.5</v>
      </c>
      <c r="F182" s="11">
        <f t="shared" ref="F182" si="6">D182*E182</f>
        <v>18</v>
      </c>
      <c r="G182" s="147"/>
      <c r="H182" s="193"/>
    </row>
    <row r="183" spans="1:8" ht="13.5" thickBot="1" x14ac:dyDescent="0.25">
      <c r="A183" s="100"/>
      <c r="B183" s="6"/>
      <c r="C183" s="6"/>
      <c r="D183" s="6"/>
      <c r="E183" s="254" t="s">
        <v>86</v>
      </c>
      <c r="F183" s="250">
        <v>1</v>
      </c>
      <c r="G183" s="245">
        <f>SUM(F178:F182)*F183</f>
        <v>86.958333333333329</v>
      </c>
      <c r="H183" s="245">
        <f>G183/G$42</f>
        <v>4.0825508607198746E-2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3.5" thickBot="1" x14ac:dyDescent="0.25">
      <c r="A185" s="12" t="s">
        <v>91</v>
      </c>
      <c r="B185" s="13"/>
      <c r="C185" s="13"/>
      <c r="D185" s="13"/>
      <c r="E185" s="14"/>
      <c r="F185" s="15"/>
      <c r="G185" s="245">
        <f>+G183</f>
        <v>86.958333333333329</v>
      </c>
      <c r="H185" s="245">
        <f>G185/G$42</f>
        <v>4.0825508607198746E-2</v>
      </c>
    </row>
    <row r="186" spans="1:8" ht="11.25" customHeight="1" thickBot="1" x14ac:dyDescent="0.25">
      <c r="A186" s="99"/>
      <c r="E186" s="27"/>
      <c r="F186" s="27"/>
      <c r="G186" s="135"/>
      <c r="H186" s="135"/>
    </row>
    <row r="187" spans="1:8" ht="17.25" customHeight="1" thickBot="1" x14ac:dyDescent="0.25">
      <c r="A187" s="12" t="s">
        <v>126</v>
      </c>
      <c r="B187" s="13"/>
      <c r="C187" s="16"/>
      <c r="D187" s="16"/>
      <c r="E187" s="17"/>
      <c r="F187" s="18"/>
      <c r="G187" s="242">
        <f>+G107+G173+G185</f>
        <v>19632.059249856258</v>
      </c>
      <c r="H187" s="242">
        <f>G187/G$42</f>
        <v>9.2169292252846287</v>
      </c>
    </row>
    <row r="188" spans="1:8" ht="17.25" customHeight="1" thickBot="1" x14ac:dyDescent="0.25">
      <c r="A188" s="12" t="s">
        <v>127</v>
      </c>
      <c r="B188" s="13"/>
      <c r="C188" s="16"/>
      <c r="D188" s="16"/>
      <c r="E188" s="17"/>
      <c r="F188" s="18"/>
      <c r="G188" s="244">
        <f>+G108+G173+G185</f>
        <v>18574.855148756258</v>
      </c>
      <c r="H188" s="244">
        <f>G188/G$42</f>
        <v>8.7205892717165536</v>
      </c>
    </row>
    <row r="189" spans="1:8" ht="11.25" customHeight="1" x14ac:dyDescent="0.2">
      <c r="A189" s="99"/>
      <c r="E189" s="27"/>
      <c r="F189" s="27"/>
      <c r="G189" s="135"/>
      <c r="H189" s="135"/>
    </row>
    <row r="190" spans="1:8" x14ac:dyDescent="0.2">
      <c r="A190" s="100" t="s">
        <v>169</v>
      </c>
      <c r="B190" s="6"/>
      <c r="E190" s="27"/>
      <c r="F190" s="27"/>
      <c r="G190" s="43"/>
      <c r="H190" s="43"/>
    </row>
    <row r="191" spans="1:8" ht="11.25" customHeight="1" thickBot="1" x14ac:dyDescent="0.25">
      <c r="A191" s="99"/>
      <c r="E191" s="27"/>
      <c r="F191" s="27"/>
      <c r="G191" s="43"/>
      <c r="H191" s="43"/>
    </row>
    <row r="192" spans="1:8" ht="13.5" thickBot="1" x14ac:dyDescent="0.25">
      <c r="A192" s="403" t="s">
        <v>27</v>
      </c>
      <c r="B192" s="412"/>
      <c r="C192" s="236" t="s">
        <v>28</v>
      </c>
      <c r="D192" s="236" t="s">
        <v>21</v>
      </c>
      <c r="E192" s="237" t="s">
        <v>92</v>
      </c>
      <c r="F192" s="237" t="s">
        <v>29</v>
      </c>
      <c r="G192" s="238" t="s">
        <v>30</v>
      </c>
      <c r="H192" s="238" t="s">
        <v>154</v>
      </c>
    </row>
    <row r="193" spans="1:8" ht="13.5" thickBot="1" x14ac:dyDescent="0.25">
      <c r="A193" s="405" t="s">
        <v>170</v>
      </c>
      <c r="B193" s="390"/>
      <c r="C193" s="8" t="s">
        <v>0</v>
      </c>
      <c r="D193" s="44">
        <f>BDI!C11*100</f>
        <v>31.75</v>
      </c>
      <c r="E193" s="9">
        <f>+G187</f>
        <v>19632.059249856258</v>
      </c>
      <c r="F193" s="9">
        <f>D193*E193/100</f>
        <v>6233.1788118293625</v>
      </c>
      <c r="G193" s="136"/>
      <c r="H193" s="136"/>
    </row>
    <row r="194" spans="1:8" ht="13.5" thickBot="1" x14ac:dyDescent="0.25">
      <c r="A194" s="99"/>
      <c r="E194" s="27"/>
      <c r="F194" s="27"/>
      <c r="G194" s="245">
        <f>+F193</f>
        <v>6233.1788118293625</v>
      </c>
      <c r="H194" s="245">
        <f>G194/G$42</f>
        <v>2.9263750290278696</v>
      </c>
    </row>
    <row r="195" spans="1:8" ht="11.25" customHeight="1" thickBot="1" x14ac:dyDescent="0.25">
      <c r="A195" s="99"/>
      <c r="E195" s="27"/>
      <c r="F195" s="27"/>
      <c r="G195" s="135"/>
      <c r="H195" s="135"/>
    </row>
    <row r="196" spans="1:8" ht="13.5" thickBot="1" x14ac:dyDescent="0.25">
      <c r="A196" s="12" t="s">
        <v>171</v>
      </c>
      <c r="B196" s="13"/>
      <c r="C196" s="16"/>
      <c r="D196" s="16"/>
      <c r="E196" s="17"/>
      <c r="F196" s="18"/>
      <c r="G196" s="244">
        <f>G194</f>
        <v>6233.1788118293625</v>
      </c>
      <c r="H196" s="244">
        <f>G196/G$42</f>
        <v>2.9263750290278696</v>
      </c>
    </row>
    <row r="197" spans="1:8" ht="13.5" thickBot="1" x14ac:dyDescent="0.25">
      <c r="A197" s="100"/>
      <c r="B197" s="6"/>
      <c r="C197" s="6"/>
      <c r="D197" s="6"/>
      <c r="E197" s="20"/>
      <c r="F197" s="20"/>
      <c r="G197" s="148"/>
      <c r="H197" s="148"/>
    </row>
    <row r="198" spans="1:8" ht="24.75" customHeight="1" thickBot="1" x14ac:dyDescent="0.25">
      <c r="A198" s="12" t="s">
        <v>172</v>
      </c>
      <c r="B198" s="13"/>
      <c r="C198" s="16"/>
      <c r="D198" s="16"/>
      <c r="E198" s="17"/>
      <c r="F198" s="18"/>
      <c r="G198" s="206">
        <f>G187+G196</f>
        <v>25865.238061685621</v>
      </c>
      <c r="H198" s="244">
        <f>G198/G$42</f>
        <v>12.143304254312499</v>
      </c>
    </row>
    <row r="199" spans="1:8" ht="12.6" customHeight="1" x14ac:dyDescent="0.2">
      <c r="A199" s="104"/>
      <c r="B199" s="24"/>
      <c r="C199" s="24"/>
      <c r="D199" s="24"/>
      <c r="E199" s="25"/>
      <c r="F199" s="25"/>
      <c r="G199" s="149"/>
      <c r="H199" s="149"/>
    </row>
    <row r="200" spans="1:8" ht="16.149999999999999" customHeight="1" x14ac:dyDescent="0.2">
      <c r="A200" s="418" t="s">
        <v>173</v>
      </c>
      <c r="B200" s="397"/>
      <c r="C200" s="82"/>
      <c r="D200" s="82"/>
      <c r="E200" s="157">
        <f>C143</f>
        <v>2130</v>
      </c>
      <c r="F200" s="156" t="s">
        <v>153</v>
      </c>
      <c r="G200" s="43"/>
      <c r="H200" s="43"/>
    </row>
    <row r="201" spans="1:8" ht="13.5" thickBot="1" x14ac:dyDescent="0.25">
      <c r="A201" s="99"/>
      <c r="E201" s="27"/>
      <c r="F201" s="27"/>
      <c r="G201" s="43"/>
      <c r="H201" s="43"/>
    </row>
    <row r="202" spans="1:8" ht="25.5" customHeight="1" thickBot="1" x14ac:dyDescent="0.25">
      <c r="A202" s="12" t="s">
        <v>174</v>
      </c>
      <c r="B202" s="13"/>
      <c r="C202" s="13"/>
      <c r="D202" s="13"/>
      <c r="E202" s="14"/>
      <c r="F202" s="155" t="s">
        <v>154</v>
      </c>
      <c r="G202" s="424">
        <f>IFERROR(G198/E200,"-")</f>
        <v>12.143304254312499</v>
      </c>
      <c r="H202" s="425"/>
    </row>
    <row r="203" spans="1:8" ht="12.6" customHeight="1" x14ac:dyDescent="0.2">
      <c r="A203" s="100"/>
      <c r="B203" s="6"/>
      <c r="C203" s="6"/>
      <c r="D203" s="6"/>
      <c r="E203" s="20"/>
      <c r="F203" s="20"/>
      <c r="G203" s="150"/>
      <c r="H203" s="150"/>
    </row>
    <row r="204" spans="1:8" x14ac:dyDescent="0.2">
      <c r="A204" s="100" t="s">
        <v>175</v>
      </c>
      <c r="B204" s="6"/>
      <c r="E204" s="27"/>
      <c r="F204" s="27"/>
      <c r="G204" s="43"/>
      <c r="H204" s="43"/>
    </row>
    <row r="205" spans="1:8" ht="11.25" customHeight="1" thickBot="1" x14ac:dyDescent="0.25">
      <c r="A205" s="99"/>
      <c r="E205" s="27"/>
      <c r="F205" s="27"/>
      <c r="G205" s="43"/>
      <c r="H205" s="43"/>
    </row>
    <row r="206" spans="1:8" ht="13.5" thickBot="1" x14ac:dyDescent="0.25">
      <c r="A206" s="240" t="s">
        <v>27</v>
      </c>
      <c r="B206" s="241"/>
      <c r="C206" s="236" t="s">
        <v>28</v>
      </c>
      <c r="D206" s="236" t="s">
        <v>21</v>
      </c>
      <c r="E206" s="237" t="s">
        <v>92</v>
      </c>
      <c r="F206" s="237" t="s">
        <v>29</v>
      </c>
      <c r="G206" s="238" t="s">
        <v>30</v>
      </c>
      <c r="H206" s="238" t="s">
        <v>154</v>
      </c>
    </row>
    <row r="207" spans="1:8" ht="13.5" thickBot="1" x14ac:dyDescent="0.25">
      <c r="A207" s="405" t="s">
        <v>152</v>
      </c>
      <c r="B207" s="390"/>
      <c r="C207" s="8" t="s">
        <v>0</v>
      </c>
      <c r="D207" s="44">
        <f>BDI!C$24*100</f>
        <v>23.93</v>
      </c>
      <c r="E207" s="9">
        <f>G187</f>
        <v>19632.059249856258</v>
      </c>
      <c r="F207" s="9">
        <f>D207*E207/100</f>
        <v>4697.9517784906029</v>
      </c>
      <c r="G207" s="136"/>
      <c r="H207" s="136"/>
    </row>
    <row r="208" spans="1:8" ht="13.5" thickBot="1" x14ac:dyDescent="0.25">
      <c r="A208" s="99"/>
      <c r="E208" s="27"/>
      <c r="F208" s="27"/>
      <c r="G208" s="245">
        <f>+F207</f>
        <v>4697.9517784906029</v>
      </c>
      <c r="H208" s="245">
        <f>G208/G$42</f>
        <v>2.2056111636106115</v>
      </c>
    </row>
    <row r="209" spans="1:9" ht="11.25" customHeight="1" thickBot="1" x14ac:dyDescent="0.25">
      <c r="A209" s="99"/>
      <c r="E209" s="27"/>
      <c r="F209" s="27"/>
      <c r="G209" s="135"/>
      <c r="H209" s="135"/>
    </row>
    <row r="210" spans="1:9" ht="13.5" thickBot="1" x14ac:dyDescent="0.25">
      <c r="A210" s="12" t="s">
        <v>176</v>
      </c>
      <c r="B210" s="13"/>
      <c r="C210" s="16"/>
      <c r="D210" s="16"/>
      <c r="E210" s="17"/>
      <c r="F210" s="18"/>
      <c r="G210" s="244">
        <f>G208</f>
        <v>4697.9517784906029</v>
      </c>
      <c r="H210" s="244">
        <f>G210/G$42</f>
        <v>2.2056111636106115</v>
      </c>
    </row>
    <row r="211" spans="1:9" ht="13.5" thickBot="1" x14ac:dyDescent="0.25">
      <c r="A211" s="100"/>
      <c r="B211" s="6"/>
      <c r="C211" s="6"/>
      <c r="D211" s="6"/>
      <c r="E211" s="20"/>
      <c r="F211" s="20"/>
      <c r="G211" s="148"/>
      <c r="H211" s="148"/>
    </row>
    <row r="212" spans="1:9" ht="24.75" customHeight="1" thickBot="1" x14ac:dyDescent="0.25">
      <c r="A212" s="12" t="s">
        <v>177</v>
      </c>
      <c r="B212" s="13"/>
      <c r="C212" s="16"/>
      <c r="D212" s="16"/>
      <c r="E212" s="17"/>
      <c r="F212" s="18"/>
      <c r="G212" s="206">
        <f>G187+G210</f>
        <v>24330.01102834686</v>
      </c>
      <c r="H212" s="244">
        <f>G212/G$42</f>
        <v>11.422540388895239</v>
      </c>
      <c r="I212" s="34"/>
    </row>
    <row r="213" spans="1:9" ht="12.6" customHeight="1" x14ac:dyDescent="0.2">
      <c r="A213" s="104"/>
      <c r="B213" s="24"/>
      <c r="C213" s="24"/>
      <c r="D213" s="24"/>
      <c r="E213" s="25"/>
      <c r="F213" s="25"/>
      <c r="G213" s="149"/>
      <c r="H213" s="149"/>
    </row>
    <row r="214" spans="1:9" ht="16.149999999999999" customHeight="1" x14ac:dyDescent="0.2">
      <c r="A214" s="154" t="s">
        <v>178</v>
      </c>
      <c r="B214" s="215"/>
      <c r="C214" s="82"/>
      <c r="D214" s="82"/>
      <c r="E214" s="157">
        <f>E$200</f>
        <v>2130</v>
      </c>
      <c r="F214" s="156" t="s">
        <v>153</v>
      </c>
      <c r="G214" s="43"/>
      <c r="H214" s="43"/>
    </row>
    <row r="215" spans="1:9" ht="13.5" thickBot="1" x14ac:dyDescent="0.25">
      <c r="A215" s="99"/>
      <c r="E215" s="27"/>
      <c r="F215" s="27"/>
      <c r="G215" s="43"/>
      <c r="H215" s="43"/>
    </row>
    <row r="216" spans="1:9" ht="25.5" customHeight="1" thickBot="1" x14ac:dyDescent="0.25">
      <c r="A216" s="12" t="s">
        <v>179</v>
      </c>
      <c r="B216" s="13"/>
      <c r="C216" s="13"/>
      <c r="D216" s="13"/>
      <c r="E216" s="14"/>
      <c r="F216" s="155" t="s">
        <v>154</v>
      </c>
      <c r="G216" s="424">
        <f>IFERROR(G212/E214,"-")</f>
        <v>11.422540388895239</v>
      </c>
      <c r="H216" s="425"/>
    </row>
    <row r="217" spans="1:9" x14ac:dyDescent="0.2">
      <c r="A217" s="120"/>
      <c r="B217" s="121"/>
      <c r="C217" s="121"/>
      <c r="D217" s="121"/>
      <c r="E217" s="122"/>
      <c r="F217" s="122"/>
      <c r="G217" s="135"/>
      <c r="H217" s="135"/>
    </row>
    <row r="218" spans="1:9" x14ac:dyDescent="0.2">
      <c r="A218" s="134" t="s">
        <v>180</v>
      </c>
      <c r="B218" s="216"/>
      <c r="E218" s="27"/>
      <c r="F218" s="27"/>
      <c r="G218" s="43"/>
      <c r="H218" s="43"/>
    </row>
    <row r="219" spans="1:9" ht="11.25" customHeight="1" thickBot="1" x14ac:dyDescent="0.25">
      <c r="A219" s="99"/>
      <c r="E219" s="27"/>
      <c r="F219" s="27"/>
      <c r="G219" s="43"/>
      <c r="H219" s="43"/>
    </row>
    <row r="220" spans="1:9" ht="13.5" thickBot="1" x14ac:dyDescent="0.25">
      <c r="A220" s="240" t="s">
        <v>27</v>
      </c>
      <c r="B220" s="241"/>
      <c r="C220" s="236" t="s">
        <v>28</v>
      </c>
      <c r="D220" s="236" t="s">
        <v>21</v>
      </c>
      <c r="E220" s="237" t="s">
        <v>92</v>
      </c>
      <c r="F220" s="237" t="s">
        <v>29</v>
      </c>
      <c r="G220" s="238" t="s">
        <v>30</v>
      </c>
      <c r="H220" s="238" t="s">
        <v>154</v>
      </c>
    </row>
    <row r="221" spans="1:9" ht="13.5" thickBot="1" x14ac:dyDescent="0.25">
      <c r="A221" s="101" t="s">
        <v>181</v>
      </c>
      <c r="B221" s="213"/>
      <c r="C221" s="8" t="s">
        <v>0</v>
      </c>
      <c r="D221" s="44">
        <f>BDI!C35*100</f>
        <v>16.93</v>
      </c>
      <c r="E221" s="9">
        <f>G188</f>
        <v>18574.855148756258</v>
      </c>
      <c r="F221" s="9">
        <f>D221*E221/100</f>
        <v>3144.7229766844348</v>
      </c>
      <c r="G221" s="136"/>
      <c r="H221" s="136"/>
    </row>
    <row r="222" spans="1:9" ht="13.5" thickBot="1" x14ac:dyDescent="0.25">
      <c r="A222" s="99"/>
      <c r="E222" s="27"/>
      <c r="F222" s="27"/>
      <c r="G222" s="245">
        <f>+F221</f>
        <v>3144.7229766844348</v>
      </c>
      <c r="H222" s="245">
        <f>G222/G$42</f>
        <v>1.4763957637016125</v>
      </c>
    </row>
    <row r="223" spans="1:9" ht="11.25" customHeight="1" thickBot="1" x14ac:dyDescent="0.25">
      <c r="A223" s="99"/>
      <c r="E223" s="27"/>
      <c r="F223" s="27"/>
      <c r="G223" s="135"/>
      <c r="H223" s="135"/>
    </row>
    <row r="224" spans="1:9" ht="13.5" thickBot="1" x14ac:dyDescent="0.25">
      <c r="A224" s="12" t="s">
        <v>182</v>
      </c>
      <c r="B224" s="13"/>
      <c r="C224" s="16"/>
      <c r="D224" s="16"/>
      <c r="E224" s="17"/>
      <c r="F224" s="18"/>
      <c r="G224" s="244">
        <f>G222</f>
        <v>3144.7229766844348</v>
      </c>
      <c r="H224" s="244">
        <f>G224/G$42</f>
        <v>1.4763957637016125</v>
      </c>
    </row>
    <row r="225" spans="1:11" ht="13.5" thickBot="1" x14ac:dyDescent="0.25">
      <c r="A225" s="100"/>
      <c r="B225" s="6"/>
      <c r="C225" s="6"/>
      <c r="D225" s="6"/>
      <c r="E225" s="20"/>
      <c r="F225" s="20"/>
      <c r="G225" s="148"/>
      <c r="H225" s="148"/>
    </row>
    <row r="226" spans="1:11" ht="24.75" customHeight="1" thickBot="1" x14ac:dyDescent="0.25">
      <c r="A226" s="12" t="s">
        <v>183</v>
      </c>
      <c r="B226" s="13"/>
      <c r="C226" s="16"/>
      <c r="D226" s="16"/>
      <c r="E226" s="17"/>
      <c r="F226" s="18"/>
      <c r="G226" s="244">
        <f>E221+G224</f>
        <v>21719.578125440694</v>
      </c>
      <c r="H226" s="244">
        <f>G226/G$42</f>
        <v>10.196985035418166</v>
      </c>
      <c r="I226" s="34"/>
    </row>
    <row r="227" spans="1:11" ht="12.6" customHeight="1" x14ac:dyDescent="0.2">
      <c r="A227" s="104"/>
      <c r="B227" s="24"/>
      <c r="C227" s="24"/>
      <c r="D227" s="24"/>
      <c r="E227" s="25"/>
      <c r="F227" s="25"/>
      <c r="G227" s="149"/>
      <c r="H227" s="149"/>
      <c r="I227" s="34"/>
    </row>
    <row r="228" spans="1:11" ht="12.6" customHeight="1" x14ac:dyDescent="0.2">
      <c r="A228" s="104" t="s">
        <v>125</v>
      </c>
      <c r="B228" s="24"/>
      <c r="C228" s="24"/>
      <c r="D228" s="24"/>
      <c r="E228" s="25"/>
      <c r="F228" s="25"/>
      <c r="G228" s="151"/>
      <c r="H228" s="151"/>
    </row>
    <row r="229" spans="1:11" x14ac:dyDescent="0.2">
      <c r="A229" s="153" t="s">
        <v>122</v>
      </c>
      <c r="B229" s="6"/>
      <c r="E229" s="27"/>
      <c r="F229" s="27"/>
      <c r="G229" s="43"/>
      <c r="H229" s="43"/>
    </row>
    <row r="230" spans="1:11" x14ac:dyDescent="0.2">
      <c r="A230" s="100" t="s">
        <v>120</v>
      </c>
      <c r="B230" s="6"/>
      <c r="E230" s="27"/>
      <c r="F230" s="27"/>
      <c r="G230" s="43"/>
      <c r="H230" s="43"/>
    </row>
    <row r="231" spans="1:11" x14ac:dyDescent="0.2">
      <c r="A231" s="426" t="str">
        <f>'lote 16.1'!A230</f>
        <v>De R$ 720.000,01 até R$ 1.800.000,00</v>
      </c>
      <c r="B231" s="415"/>
      <c r="E231" s="27"/>
      <c r="F231" s="27"/>
      <c r="G231" s="43"/>
      <c r="H231" s="43"/>
    </row>
    <row r="232" spans="1:11" ht="11.25" customHeight="1" thickBot="1" x14ac:dyDescent="0.25">
      <c r="A232" s="123"/>
      <c r="E232" s="27"/>
      <c r="F232" s="27"/>
      <c r="G232" s="43"/>
      <c r="H232" s="43"/>
    </row>
    <row r="233" spans="1:11" ht="15.75" thickBot="1" x14ac:dyDescent="0.3">
      <c r="A233" s="240" t="s">
        <v>27</v>
      </c>
      <c r="B233" s="241"/>
      <c r="C233" s="236" t="s">
        <v>28</v>
      </c>
      <c r="D233" s="236" t="s">
        <v>21</v>
      </c>
      <c r="E233" s="237" t="s">
        <v>121</v>
      </c>
      <c r="F233" s="237" t="s">
        <v>29</v>
      </c>
      <c r="G233" s="238" t="s">
        <v>30</v>
      </c>
      <c r="H233" s="238" t="s">
        <v>154</v>
      </c>
      <c r="I233" s="131"/>
      <c r="J233" s="132"/>
      <c r="K233" s="131"/>
    </row>
    <row r="234" spans="1:11" ht="15.75" thickBot="1" x14ac:dyDescent="0.3">
      <c r="A234" s="405" t="s">
        <v>184</v>
      </c>
      <c r="B234" s="390"/>
      <c r="C234" s="124" t="s">
        <v>0</v>
      </c>
      <c r="D234" s="330">
        <f>'lote 16.1'!D233</f>
        <v>11.63</v>
      </c>
      <c r="E234" s="125">
        <f>G226</f>
        <v>21719.578125440694</v>
      </c>
      <c r="F234" s="9">
        <f>G237*(D234/100)</f>
        <v>2858.4213375452678</v>
      </c>
      <c r="G234" s="136"/>
      <c r="H234" s="136"/>
      <c r="J234" s="133"/>
      <c r="K234" s="133"/>
    </row>
    <row r="235" spans="1:11" ht="15.75" thickBot="1" x14ac:dyDescent="0.3">
      <c r="A235" s="99"/>
      <c r="E235" s="27"/>
      <c r="F235" s="27"/>
      <c r="G235" s="244">
        <f>F234</f>
        <v>2858.4213375452678</v>
      </c>
      <c r="H235" s="244">
        <f>G235/G$42</f>
        <v>1.3419818486128017</v>
      </c>
      <c r="I235" s="131"/>
      <c r="J235" s="131"/>
      <c r="K235" s="131"/>
    </row>
    <row r="236" spans="1:11" ht="15.75" thickBot="1" x14ac:dyDescent="0.3">
      <c r="A236" s="126"/>
      <c r="B236" s="127"/>
      <c r="C236" s="127"/>
      <c r="D236" s="127"/>
      <c r="E236" s="128"/>
      <c r="F236" s="128"/>
      <c r="G236" s="152"/>
      <c r="H236" s="152"/>
      <c r="I236" s="133"/>
      <c r="J236" s="133"/>
      <c r="K236" s="133"/>
    </row>
    <row r="237" spans="1:11" ht="24.75" customHeight="1" thickBot="1" x14ac:dyDescent="0.3">
      <c r="A237" s="12" t="s">
        <v>185</v>
      </c>
      <c r="B237" s="13"/>
      <c r="C237" s="16"/>
      <c r="D237" s="16"/>
      <c r="E237" s="17"/>
      <c r="F237" s="18"/>
      <c r="G237" s="206">
        <f>E234/((100-D234)/100)</f>
        <v>24577.999462985961</v>
      </c>
      <c r="H237" s="244">
        <f>G237/G$42</f>
        <v>11.538966884030968</v>
      </c>
      <c r="I237" s="131">
        <f>G237*12</f>
        <v>294935.99355583155</v>
      </c>
      <c r="J237" s="133"/>
      <c r="K237" s="132"/>
    </row>
    <row r="238" spans="1:11" ht="12.6" customHeight="1" x14ac:dyDescent="0.2">
      <c r="A238" s="104"/>
      <c r="B238" s="24"/>
      <c r="C238" s="24"/>
      <c r="D238" s="24"/>
      <c r="E238" s="25"/>
      <c r="F238" s="25"/>
      <c r="G238" s="149"/>
      <c r="H238" s="149"/>
    </row>
    <row r="239" spans="1:11" ht="16.149999999999999" customHeight="1" x14ac:dyDescent="0.2">
      <c r="A239" s="154" t="s">
        <v>186</v>
      </c>
      <c r="B239" s="215"/>
      <c r="C239" s="82"/>
      <c r="D239" s="82"/>
      <c r="E239" s="157">
        <f>E$200</f>
        <v>2130</v>
      </c>
      <c r="F239" s="156" t="s">
        <v>153</v>
      </c>
      <c r="G239" s="43"/>
      <c r="H239" s="43"/>
    </row>
    <row r="240" spans="1:11" ht="13.5" thickBot="1" x14ac:dyDescent="0.25">
      <c r="A240" s="99"/>
      <c r="E240" s="27"/>
      <c r="F240" s="27"/>
      <c r="G240" s="43"/>
      <c r="H240" s="43"/>
    </row>
    <row r="241" spans="1:8" ht="25.5" customHeight="1" thickBot="1" x14ac:dyDescent="0.25">
      <c r="A241" s="12" t="s">
        <v>187</v>
      </c>
      <c r="B241" s="13"/>
      <c r="C241" s="13"/>
      <c r="D241" s="13"/>
      <c r="E241" s="14"/>
      <c r="F241" s="155" t="s">
        <v>154</v>
      </c>
      <c r="G241" s="424">
        <f>IFERROR(G237/E239,"-")</f>
        <v>11.538966884030968</v>
      </c>
      <c r="H241" s="425"/>
    </row>
    <row r="242" spans="1:8" ht="9" customHeight="1" x14ac:dyDescent="0.2">
      <c r="E242" s="4"/>
      <c r="F242" s="4"/>
      <c r="G242" s="4"/>
      <c r="H242" s="27"/>
    </row>
    <row r="243" spans="1:8" x14ac:dyDescent="0.2">
      <c r="H243" s="27"/>
    </row>
    <row r="244" spans="1:8" x14ac:dyDescent="0.2">
      <c r="H244" s="27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6"/>
      <c r="D248" s="6"/>
      <c r="E248" s="317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A251" s="6"/>
      <c r="B251" s="6"/>
      <c r="C251" s="423"/>
      <c r="D251" s="423"/>
      <c r="E251" s="423"/>
      <c r="F251" s="317"/>
      <c r="G251" s="317"/>
      <c r="H251" s="20"/>
    </row>
    <row r="252" spans="1:8" x14ac:dyDescent="0.2">
      <c r="H252" s="27"/>
    </row>
    <row r="253" spans="1:8" x14ac:dyDescent="0.2">
      <c r="H253" s="27"/>
    </row>
    <row r="254" spans="1:8" x14ac:dyDescent="0.2">
      <c r="H254" s="27"/>
    </row>
  </sheetData>
  <mergeCells count="134">
    <mergeCell ref="C249:E249"/>
    <mergeCell ref="C250:E250"/>
    <mergeCell ref="C251:E251"/>
    <mergeCell ref="A1:H1"/>
    <mergeCell ref="D3:E3"/>
    <mergeCell ref="G3:H3"/>
    <mergeCell ref="C7:D7"/>
    <mergeCell ref="E7:F7"/>
    <mergeCell ref="G7:H7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43:B43"/>
    <mergeCell ref="D45:G45"/>
    <mergeCell ref="A46:B46"/>
    <mergeCell ref="D46:F46"/>
    <mergeCell ref="A47:B47"/>
    <mergeCell ref="D47:G47"/>
    <mergeCell ref="A35:B35"/>
    <mergeCell ref="A36:B36"/>
    <mergeCell ref="A38:B38"/>
    <mergeCell ref="A39:B39"/>
    <mergeCell ref="A41:B41"/>
    <mergeCell ref="A42:B42"/>
    <mergeCell ref="A37:B37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115:B115"/>
    <mergeCell ref="A116:B116"/>
    <mergeCell ref="A117:B117"/>
    <mergeCell ref="A120:B120"/>
    <mergeCell ref="A121:B121"/>
    <mergeCell ref="A122:B122"/>
    <mergeCell ref="A90:B90"/>
    <mergeCell ref="A91:B91"/>
    <mergeCell ref="A96:B96"/>
    <mergeCell ref="A97:B97"/>
    <mergeCell ref="A113:B113"/>
    <mergeCell ref="A114:B114"/>
    <mergeCell ref="A102:B102"/>
    <mergeCell ref="A103:B103"/>
    <mergeCell ref="A133:B133"/>
    <mergeCell ref="A134:B134"/>
    <mergeCell ref="A135:B135"/>
    <mergeCell ref="A136:B136"/>
    <mergeCell ref="A137:B137"/>
    <mergeCell ref="A138:B138"/>
    <mergeCell ref="A123:B123"/>
    <mergeCell ref="A124:B124"/>
    <mergeCell ref="A125:B125"/>
    <mergeCell ref="A126:B126"/>
    <mergeCell ref="A127:B127"/>
    <mergeCell ref="A128:B128"/>
    <mergeCell ref="A148:B148"/>
    <mergeCell ref="A149:B149"/>
    <mergeCell ref="A150:B150"/>
    <mergeCell ref="A151:B151"/>
    <mergeCell ref="A152:B152"/>
    <mergeCell ref="A153:B153"/>
    <mergeCell ref="A139:B139"/>
    <mergeCell ref="A140:B140"/>
    <mergeCell ref="A144:B144"/>
    <mergeCell ref="A145:B145"/>
    <mergeCell ref="A146:B146"/>
    <mergeCell ref="A147:B147"/>
    <mergeCell ref="A166:B166"/>
    <mergeCell ref="A167:B167"/>
    <mergeCell ref="A169:B169"/>
    <mergeCell ref="A170:B170"/>
    <mergeCell ref="A177:B177"/>
    <mergeCell ref="A178:B178"/>
    <mergeCell ref="A154:B154"/>
    <mergeCell ref="A155:B155"/>
    <mergeCell ref="A159:B159"/>
    <mergeCell ref="A160:B160"/>
    <mergeCell ref="A161:B161"/>
    <mergeCell ref="A162:B162"/>
    <mergeCell ref="A168:B168"/>
    <mergeCell ref="G241:H241"/>
    <mergeCell ref="A200:B200"/>
    <mergeCell ref="G202:H202"/>
    <mergeCell ref="A207:B207"/>
    <mergeCell ref="G216:H216"/>
    <mergeCell ref="A231:B231"/>
    <mergeCell ref="A234:B234"/>
    <mergeCell ref="A179:B179"/>
    <mergeCell ref="A180:B180"/>
    <mergeCell ref="A181:B181"/>
    <mergeCell ref="A182:B182"/>
    <mergeCell ref="A192:B192"/>
    <mergeCell ref="A193:B193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1" max="16383" man="1"/>
    <brk id="202" max="16383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L254"/>
  <sheetViews>
    <sheetView topLeftCell="A220" zoomScaleNormal="100" zoomScaleSheetLayoutView="110" workbookViewId="0">
      <selection activeCell="J237" sqref="J237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9.5703125" style="4" bestFit="1" customWidth="1"/>
    <col min="11" max="11" width="11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16.2'!B3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16</v>
      </c>
      <c r="C4" s="247" t="s">
        <v>158</v>
      </c>
      <c r="D4" s="315">
        <v>3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+G107</f>
        <v>5340.5624068181805</v>
      </c>
      <c r="D9" s="40">
        <f t="shared" ref="D9:D23" si="0">IFERROR(C9/$C$26,0)</f>
        <v>0.25427603058714238</v>
      </c>
      <c r="E9" s="106">
        <f>G107</f>
        <v>5340.5624068181805</v>
      </c>
      <c r="F9" s="40">
        <f t="shared" ref="F9:F22" si="1">IFERROR(E9/$E$26,0)</f>
        <v>0.270320882997305</v>
      </c>
      <c r="G9" s="106">
        <f>G108</f>
        <v>4479.7559055272714</v>
      </c>
      <c r="H9" s="40">
        <f t="shared" ref="H9:H22" si="2">IFERROR(G9/$G$26,0)</f>
        <v>0.22449676030710286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1706.2816721590907</v>
      </c>
      <c r="D10" s="26">
        <f t="shared" si="0"/>
        <v>8.1239857829635581E-2</v>
      </c>
      <c r="E10" s="107">
        <f t="shared" ref="E10:E22" si="3">C10</f>
        <v>1706.2816721590907</v>
      </c>
      <c r="F10" s="26">
        <f t="shared" si="1"/>
        <v>8.6366104002698993E-2</v>
      </c>
      <c r="G10" s="107">
        <f>G67</f>
        <v>1347.7597454909089</v>
      </c>
      <c r="H10" s="26">
        <f t="shared" si="2"/>
        <v>6.7541112265004546E-2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2355.2782346590907</v>
      </c>
      <c r="D11" s="26">
        <f t="shared" si="0"/>
        <v>0.11214002474211605</v>
      </c>
      <c r="E11" s="107">
        <f t="shared" si="3"/>
        <v>2355.2782346590907</v>
      </c>
      <c r="F11" s="26">
        <f t="shared" si="1"/>
        <v>0.11921607568606302</v>
      </c>
      <c r="G11" s="107">
        <f>G84</f>
        <v>1852.9936600363635</v>
      </c>
      <c r="H11" s="26">
        <f t="shared" si="2"/>
        <v>9.2860209868689758E-2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172.33772727272728</v>
      </c>
      <c r="D12" s="26">
        <f t="shared" si="0"/>
        <v>8.2053817319638154E-3</v>
      </c>
      <c r="E12" s="107">
        <f t="shared" si="3"/>
        <v>172.33772727272728</v>
      </c>
      <c r="F12" s="26">
        <f t="shared" si="1"/>
        <v>8.7231424448174985E-3</v>
      </c>
      <c r="G12" s="107">
        <f t="shared" ref="G12:G21" si="4">E12</f>
        <v>172.33772727272728</v>
      </c>
      <c r="H12" s="26">
        <f t="shared" si="2"/>
        <v>8.6364664207887361E-3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1076.8181818181818</v>
      </c>
      <c r="D13" s="26">
        <f t="shared" si="0"/>
        <v>5.1269703840034694E-2</v>
      </c>
      <c r="E13" s="107">
        <f t="shared" si="3"/>
        <v>1076.8181818181818</v>
      </c>
      <c r="F13" s="26">
        <f t="shared" si="1"/>
        <v>5.4504829185222071E-2</v>
      </c>
      <c r="G13" s="107">
        <f t="shared" si="4"/>
        <v>1076.8181818181818</v>
      </c>
      <c r="H13" s="26">
        <f t="shared" si="2"/>
        <v>5.3963251202972268E-2</v>
      </c>
      <c r="I13" s="4"/>
    </row>
    <row r="14" spans="1:9" s="2" customFormat="1" ht="15.75" customHeight="1" x14ac:dyDescent="0.2">
      <c r="A14" s="337" t="s">
        <v>303</v>
      </c>
      <c r="B14" s="336"/>
      <c r="C14" s="107">
        <f>G104</f>
        <v>29.846590909090907</v>
      </c>
      <c r="D14" s="26">
        <f t="shared" si="0"/>
        <v>1.4210624433922661E-3</v>
      </c>
      <c r="E14" s="107">
        <f>C14</f>
        <v>29.846590909090907</v>
      </c>
      <c r="F14" s="26">
        <f t="shared" si="1"/>
        <v>1.5107316785034379E-3</v>
      </c>
      <c r="G14" s="107">
        <f>E14</f>
        <v>29.846590909090907</v>
      </c>
      <c r="H14" s="26">
        <f t="shared" si="2"/>
        <v>1.495720549647601E-3</v>
      </c>
      <c r="I14" s="4"/>
    </row>
    <row r="15" spans="1:9" s="6" customFormat="1" ht="15.75" customHeight="1" x14ac:dyDescent="0.2">
      <c r="A15" s="363" t="str">
        <f>A110</f>
        <v>2. Veículos</v>
      </c>
      <c r="B15" s="364"/>
      <c r="C15" s="106">
        <f>+G173</f>
        <v>10514.044002213708</v>
      </c>
      <c r="D15" s="40">
        <f t="shared" si="0"/>
        <v>0.50059697287467197</v>
      </c>
      <c r="E15" s="106">
        <f t="shared" si="3"/>
        <v>10514.044002213708</v>
      </c>
      <c r="F15" s="40">
        <f t="shared" si="1"/>
        <v>0.53218471053205874</v>
      </c>
      <c r="G15" s="106">
        <f t="shared" si="4"/>
        <v>10514.044002213708</v>
      </c>
      <c r="H15" s="40">
        <f t="shared" si="2"/>
        <v>0.52689674750157744</v>
      </c>
      <c r="I15" s="4"/>
    </row>
    <row r="16" spans="1:9" s="2" customFormat="1" ht="15.75" customHeight="1" x14ac:dyDescent="0.2">
      <c r="A16" s="376" t="str">
        <f>A111</f>
        <v>2.1 Depreciação</v>
      </c>
      <c r="B16" s="364"/>
      <c r="C16" s="107">
        <f>G118</f>
        <v>1285.1025208901517</v>
      </c>
      <c r="D16" s="46">
        <f t="shared" si="0"/>
        <v>6.1186583550132623E-2</v>
      </c>
      <c r="E16" s="107">
        <f t="shared" si="3"/>
        <v>1285.1025208901517</v>
      </c>
      <c r="F16" s="46">
        <f t="shared" si="1"/>
        <v>6.5047465365367332E-2</v>
      </c>
      <c r="G16" s="107">
        <f t="shared" si="4"/>
        <v>1285.1025208901517</v>
      </c>
      <c r="H16" s="46">
        <f t="shared" si="2"/>
        <v>6.4401132268471925E-2</v>
      </c>
      <c r="I16" s="4"/>
    </row>
    <row r="17" spans="1:10" s="2" customFormat="1" ht="15.75" customHeight="1" x14ac:dyDescent="0.2">
      <c r="A17" s="376" t="str">
        <f>A119</f>
        <v>2.2 Remuneração do Capital</v>
      </c>
      <c r="B17" s="364"/>
      <c r="C17" s="107">
        <f>G129</f>
        <v>2055.1540706038586</v>
      </c>
      <c r="D17" s="46">
        <f t="shared" si="0"/>
        <v>9.7850447108528291E-2</v>
      </c>
      <c r="E17" s="107">
        <f t="shared" si="3"/>
        <v>2055.1540706038586</v>
      </c>
      <c r="F17" s="46">
        <f t="shared" si="1"/>
        <v>0.10402482374363432</v>
      </c>
      <c r="G17" s="107">
        <f t="shared" si="4"/>
        <v>2055.1540706038586</v>
      </c>
      <c r="H17" s="46">
        <f t="shared" si="2"/>
        <v>0.10299119874215934</v>
      </c>
      <c r="I17" s="4"/>
    </row>
    <row r="18" spans="1:10" s="2" customFormat="1" ht="15.75" customHeight="1" x14ac:dyDescent="0.2">
      <c r="A18" s="376" t="str">
        <f>A131</f>
        <v>2.3. Impostos e Seguros</v>
      </c>
      <c r="B18" s="364"/>
      <c r="C18" s="107">
        <f>G141</f>
        <v>689.56500000000005</v>
      </c>
      <c r="D18" s="46">
        <f t="shared" si="0"/>
        <v>3.2831720271252751E-2</v>
      </c>
      <c r="E18" s="107">
        <f t="shared" si="3"/>
        <v>689.56500000000005</v>
      </c>
      <c r="F18" s="46">
        <f t="shared" si="1"/>
        <v>3.4903406324034131E-2</v>
      </c>
      <c r="G18" s="107">
        <f t="shared" si="4"/>
        <v>689.56500000000005</v>
      </c>
      <c r="H18" s="46">
        <f t="shared" si="2"/>
        <v>3.4556594552431687E-2</v>
      </c>
      <c r="I18" s="4"/>
    </row>
    <row r="19" spans="1:10" s="2" customFormat="1" ht="15.75" customHeight="1" x14ac:dyDescent="0.2">
      <c r="A19" s="376" t="str">
        <f>A142</f>
        <v>2.4. Consumos</v>
      </c>
      <c r="B19" s="364"/>
      <c r="C19" s="107">
        <f>G156</f>
        <v>2796.4690773863636</v>
      </c>
      <c r="D19" s="46">
        <f t="shared" si="0"/>
        <v>0.13314610007172253</v>
      </c>
      <c r="E19" s="107">
        <f t="shared" si="3"/>
        <v>2796.4690773863636</v>
      </c>
      <c r="F19" s="46">
        <f t="shared" si="1"/>
        <v>0.14154763725045946</v>
      </c>
      <c r="G19" s="107">
        <f t="shared" si="4"/>
        <v>2796.4690773863636</v>
      </c>
      <c r="H19" s="46">
        <f t="shared" si="2"/>
        <v>0.14014117318259087</v>
      </c>
      <c r="I19" s="4"/>
    </row>
    <row r="20" spans="1:10" s="2" customFormat="1" ht="15.75" customHeight="1" x14ac:dyDescent="0.2">
      <c r="A20" s="376" t="str">
        <f>A158</f>
        <v>2.5. Manutenção</v>
      </c>
      <c r="B20" s="364"/>
      <c r="C20" s="107">
        <f>G163</f>
        <v>3301.25</v>
      </c>
      <c r="D20" s="46">
        <f t="shared" si="0"/>
        <v>0.15717984025504939</v>
      </c>
      <c r="E20" s="107">
        <f t="shared" si="3"/>
        <v>3301.25</v>
      </c>
      <c r="F20" s="46">
        <f t="shared" si="1"/>
        <v>0.16709790973616362</v>
      </c>
      <c r="G20" s="107">
        <f t="shared" si="4"/>
        <v>3301.25</v>
      </c>
      <c r="H20" s="46">
        <f t="shared" si="2"/>
        <v>0.16543756972325321</v>
      </c>
      <c r="I20" s="4"/>
    </row>
    <row r="21" spans="1:10" s="2" customFormat="1" ht="15.75" customHeight="1" x14ac:dyDescent="0.2">
      <c r="A21" s="376" t="str">
        <f>A165</f>
        <v>2.6. Pneus</v>
      </c>
      <c r="B21" s="364"/>
      <c r="C21" s="107">
        <f>G171</f>
        <v>386.50333333333333</v>
      </c>
      <c r="D21" s="46">
        <f t="shared" si="0"/>
        <v>1.8402281617986353E-2</v>
      </c>
      <c r="E21" s="107">
        <f t="shared" si="3"/>
        <v>386.50333333333333</v>
      </c>
      <c r="F21" s="46">
        <f t="shared" si="1"/>
        <v>1.9563468112399757E-2</v>
      </c>
      <c r="G21" s="107">
        <f t="shared" si="4"/>
        <v>386.50333333333333</v>
      </c>
      <c r="H21" s="46">
        <f t="shared" si="2"/>
        <v>1.9369079032670385E-2</v>
      </c>
      <c r="I21" s="4"/>
    </row>
    <row r="22" spans="1:10" s="6" customFormat="1" ht="15.75" customHeight="1" x14ac:dyDescent="0.2">
      <c r="A22" s="363" t="str">
        <f>A175</f>
        <v>3. Ferramentas e Materiais de Consumo</v>
      </c>
      <c r="B22" s="364"/>
      <c r="C22" s="106">
        <f>+G185</f>
        <v>86.958333333333329</v>
      </c>
      <c r="D22" s="40">
        <f t="shared" si="0"/>
        <v>4.1402792706334481E-3</v>
      </c>
      <c r="E22" s="106">
        <f t="shared" si="3"/>
        <v>86.958333333333329</v>
      </c>
      <c r="F22" s="40">
        <f t="shared" si="1"/>
        <v>4.4015314605499621E-3</v>
      </c>
      <c r="G22" s="106">
        <f>E22</f>
        <v>86.958333333333329</v>
      </c>
      <c r="H22" s="40">
        <f t="shared" si="2"/>
        <v>4.3577963904130939E-3</v>
      </c>
      <c r="I22" s="4"/>
    </row>
    <row r="23" spans="1:10" s="6" customFormat="1" ht="15.75" customHeight="1" x14ac:dyDescent="0.2">
      <c r="A23" s="377" t="str">
        <f>A190</f>
        <v>4. Benefícios e Desp. Ind. - BDI - LUCRO REAL</v>
      </c>
      <c r="B23" s="364"/>
      <c r="C23" s="106">
        <f>+G196</f>
        <v>5061.4468057009581</v>
      </c>
      <c r="D23" s="40">
        <f t="shared" si="0"/>
        <v>0.24098671726755216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A204</f>
        <v>5. Benefícios e Desp. Ind. - BDI - LUCRO PRESUMIDO</v>
      </c>
      <c r="B24" s="364"/>
      <c r="C24" s="115"/>
      <c r="D24" s="111"/>
      <c r="E24" s="106">
        <f>G210</f>
        <v>3814.8164428479977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A218</f>
        <v>6. Benef. Desp. Ind. + Impostos - SIMPLES NACIONAL</v>
      </c>
      <c r="B25" s="379"/>
      <c r="C25" s="116"/>
      <c r="D25" s="117"/>
      <c r="E25" s="118"/>
      <c r="F25" s="109"/>
      <c r="G25" s="119">
        <f>G222+G235</f>
        <v>4873.8990083182352</v>
      </c>
      <c r="H25" s="108">
        <f>IFERROR(G25/$G$26,0)</f>
        <v>0.24424869580090655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21003.011548066181</v>
      </c>
      <c r="D26" s="45">
        <f>D9+D15+D22+D23</f>
        <v>0.99999999999999989</v>
      </c>
      <c r="E26" s="129">
        <f>E9+E15+E22+E24</f>
        <v>19756.38118521322</v>
      </c>
      <c r="F26" s="45">
        <f>F9+F15+F22+F24</f>
        <v>1</v>
      </c>
      <c r="G26" s="129">
        <f>G9+G15+G22+G25</f>
        <v>19954.657249392549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G202</f>
        <v>12.652416595220592</v>
      </c>
      <c r="D27" s="45"/>
      <c r="E27" s="129">
        <f>G216</f>
        <v>11.901434448923627</v>
      </c>
      <c r="F27" s="45"/>
      <c r="G27" s="129">
        <f>G241</f>
        <v>12.020877861079848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16.2'!G31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16.1'!G32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253</v>
      </c>
      <c r="B36" s="385"/>
      <c r="C36" s="261">
        <v>10</v>
      </c>
      <c r="D36" s="183">
        <f>1/C36</f>
        <v>0.1</v>
      </c>
      <c r="E36" s="356">
        <v>18</v>
      </c>
      <c r="F36" s="262">
        <v>1</v>
      </c>
      <c r="G36" s="259">
        <v>404278</v>
      </c>
      <c r="H36" s="193"/>
      <c r="I36" s="4"/>
    </row>
    <row r="37" spans="1:9" s="2" customFormat="1" ht="36" customHeight="1" x14ac:dyDescent="0.2">
      <c r="A37" s="386" t="s">
        <v>290</v>
      </c>
      <c r="B37" s="387"/>
      <c r="C37" s="318"/>
      <c r="D37" s="321" t="s">
        <v>259</v>
      </c>
      <c r="E37" s="323" t="s">
        <v>254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16.2'!G38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357">
        <v>83</v>
      </c>
      <c r="F42" s="161">
        <f>(E42/F39)+C48</f>
        <v>5.15</v>
      </c>
      <c r="G42" s="186">
        <f>E42*E43</f>
        <v>1660</v>
      </c>
      <c r="H42" s="193"/>
      <c r="I42" s="6">
        <f>28+27+20+8</f>
        <v>83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16849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0.58522727272727271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0.25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297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0.58522727272727271</v>
      </c>
      <c r="G60" s="239">
        <f>F59*F60</f>
        <v>1706.2816721590907</v>
      </c>
      <c r="H60" s="239">
        <f>G60/G$42</f>
        <v>1.0278805253970427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0.58522727272727271</v>
      </c>
      <c r="G67" s="239">
        <f>F66*F67</f>
        <v>1347.7597454909089</v>
      </c>
      <c r="H67" s="239">
        <f>G67/G$42</f>
        <v>0.81190346113910172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0.58522727272727271</v>
      </c>
      <c r="G77" s="239">
        <f>F76*F77</f>
        <v>2355.2782346590907</v>
      </c>
      <c r="H77" s="239">
        <f>G77/G$42</f>
        <v>1.4188423100355967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A57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0.58522727272727271</v>
      </c>
      <c r="G84" s="239">
        <f>F83*F84</f>
        <v>1852.9936600363635</v>
      </c>
      <c r="H84" s="239">
        <f>G84/G$42</f>
        <v>1.1162612409857611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16.2'!E88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0.58522727272727271</v>
      </c>
      <c r="G92" s="239">
        <f>SUM(F88:F91)*F92</f>
        <v>172.33772727272728</v>
      </c>
      <c r="H92" s="239">
        <f>G92/G$42</f>
        <v>0.10381790799561884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16.2'!E96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0.58522727272727271</v>
      </c>
      <c r="G98" s="239">
        <f>SUM(F96:F97)*F98</f>
        <v>1076.8181818181818</v>
      </c>
      <c r="H98" s="239">
        <f>G98/G$42</f>
        <v>0.64868565169769987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299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16.2'!E102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0.58522727272727271</v>
      </c>
      <c r="G104" s="239">
        <f>SUM(F102:F103)*F104</f>
        <v>29.846590909090907</v>
      </c>
      <c r="H104" s="239">
        <f>G104/G$42</f>
        <v>1.7979874041621029E-2</v>
      </c>
    </row>
    <row r="105" spans="1:8" ht="13.5" thickBot="1" x14ac:dyDescent="0.25">
      <c r="A105" s="99"/>
      <c r="E105" s="27"/>
      <c r="F105" s="27"/>
      <c r="G105" s="135"/>
      <c r="H105" s="198"/>
    </row>
    <row r="106" spans="1:8" ht="13.5" thickBot="1" x14ac:dyDescent="0.25">
      <c r="A106" s="99"/>
      <c r="E106" s="27"/>
      <c r="F106" s="27"/>
      <c r="G106" s="135"/>
      <c r="H106" s="198"/>
    </row>
    <row r="107" spans="1:8" ht="13.5" thickBot="1" x14ac:dyDescent="0.25">
      <c r="A107" s="12" t="s">
        <v>106</v>
      </c>
      <c r="B107" s="13"/>
      <c r="C107" s="13"/>
      <c r="D107" s="13"/>
      <c r="E107" s="14"/>
      <c r="F107" s="15"/>
      <c r="G107" s="242">
        <f>SUM(G54:G99)-G67-G84+G104</f>
        <v>5340.5624068181805</v>
      </c>
      <c r="H107" s="243">
        <f>G107/G$42</f>
        <v>3.2172062691675785</v>
      </c>
    </row>
    <row r="108" spans="1:8" ht="13.5" thickBot="1" x14ac:dyDescent="0.25">
      <c r="A108" s="12" t="s">
        <v>107</v>
      </c>
      <c r="B108" s="13"/>
      <c r="C108" s="13"/>
      <c r="D108" s="13"/>
      <c r="E108" s="14"/>
      <c r="F108" s="15"/>
      <c r="G108" s="244">
        <f>SUM(G54:G99)-G60-G77+G104</f>
        <v>4479.7559055272714</v>
      </c>
      <c r="H108" s="239">
        <f>G108/G$42</f>
        <v>2.698648135859802</v>
      </c>
    </row>
    <row r="109" spans="1:8" x14ac:dyDescent="0.2">
      <c r="A109" s="99"/>
      <c r="E109" s="27"/>
      <c r="F109" s="27"/>
      <c r="G109" s="135"/>
      <c r="H109" s="193"/>
    </row>
    <row r="110" spans="1:8" x14ac:dyDescent="0.2">
      <c r="A110" s="100" t="s">
        <v>211</v>
      </c>
      <c r="B110" s="6"/>
      <c r="E110" s="27"/>
      <c r="F110" s="27"/>
      <c r="G110" s="43"/>
      <c r="H110" s="193"/>
    </row>
    <row r="111" spans="1:8" ht="13.5" thickBot="1" x14ac:dyDescent="0.25">
      <c r="A111" s="100" t="s">
        <v>212</v>
      </c>
      <c r="B111" s="6"/>
      <c r="E111" s="27"/>
      <c r="F111" s="27"/>
      <c r="G111" s="43"/>
      <c r="H111" s="193"/>
    </row>
    <row r="112" spans="1:8" ht="13.5" thickBot="1" x14ac:dyDescent="0.25">
      <c r="A112" s="240" t="s">
        <v>27</v>
      </c>
      <c r="B112" s="241"/>
      <c r="C112" s="236" t="s">
        <v>28</v>
      </c>
      <c r="D112" s="236" t="s">
        <v>21</v>
      </c>
      <c r="E112" s="237" t="s">
        <v>92</v>
      </c>
      <c r="F112" s="237" t="s">
        <v>29</v>
      </c>
      <c r="G112" s="238" t="s">
        <v>30</v>
      </c>
      <c r="H112" s="238" t="s">
        <v>154</v>
      </c>
    </row>
    <row r="113" spans="1:10" x14ac:dyDescent="0.2">
      <c r="A113" s="405" t="s">
        <v>128</v>
      </c>
      <c r="B113" s="390"/>
      <c r="C113" s="8" t="s">
        <v>7</v>
      </c>
      <c r="D113" s="8">
        <v>1</v>
      </c>
      <c r="E113" s="187">
        <f>G36</f>
        <v>404278</v>
      </c>
      <c r="F113" s="9">
        <f>D113*E113</f>
        <v>404278</v>
      </c>
      <c r="G113" s="136"/>
      <c r="H113" s="136"/>
    </row>
    <row r="114" spans="1:10" x14ac:dyDescent="0.2">
      <c r="A114" s="418" t="s">
        <v>145</v>
      </c>
      <c r="B114" s="385"/>
      <c r="C114" s="10" t="s">
        <v>44</v>
      </c>
      <c r="D114" s="188">
        <v>10</v>
      </c>
      <c r="E114" s="33"/>
      <c r="F114" s="11"/>
      <c r="G114" s="137"/>
      <c r="H114" s="193"/>
    </row>
    <row r="115" spans="1:10" x14ac:dyDescent="0.2">
      <c r="A115" s="418" t="s">
        <v>137</v>
      </c>
      <c r="B115" s="385"/>
      <c r="C115" s="10" t="s">
        <v>0</v>
      </c>
      <c r="D115" s="262">
        <f>'lote 16.2'!D115</f>
        <v>65.180000000000007</v>
      </c>
      <c r="E115" s="201">
        <f>F113</f>
        <v>404278</v>
      </c>
      <c r="F115" s="201">
        <f>D115*E115/100</f>
        <v>263508.40040000004</v>
      </c>
      <c r="G115" s="137"/>
      <c r="H115" s="193"/>
    </row>
    <row r="116" spans="1:10" x14ac:dyDescent="0.2">
      <c r="A116" s="406" t="s">
        <v>146</v>
      </c>
      <c r="B116" s="385"/>
      <c r="C116" s="37" t="s">
        <v>5</v>
      </c>
      <c r="D116" s="37">
        <f>D114*12</f>
        <v>120</v>
      </c>
      <c r="E116" s="38">
        <f>F115</f>
        <v>263508.40040000004</v>
      </c>
      <c r="F116" s="38">
        <f>IFERROR(E116/D116,0)</f>
        <v>2195.9033366666672</v>
      </c>
      <c r="G116" s="137"/>
      <c r="H116" s="193"/>
    </row>
    <row r="117" spans="1:10" x14ac:dyDescent="0.2">
      <c r="A117" s="406" t="s">
        <v>96</v>
      </c>
      <c r="B117" s="385"/>
      <c r="C117" s="158" t="s">
        <v>7</v>
      </c>
      <c r="D117" s="200">
        <f>F36</f>
        <v>1</v>
      </c>
      <c r="E117" s="159">
        <f>F116</f>
        <v>2195.9033366666672</v>
      </c>
      <c r="F117" s="160">
        <f>D117*E117</f>
        <v>2195.9033366666672</v>
      </c>
      <c r="G117" s="137"/>
      <c r="H117" s="193"/>
    </row>
    <row r="118" spans="1:10" ht="13.5" thickBot="1" x14ac:dyDescent="0.25">
      <c r="A118" s="103"/>
      <c r="B118" s="90"/>
      <c r="C118" s="90"/>
      <c r="D118" s="90"/>
      <c r="E118" s="95" t="s">
        <v>86</v>
      </c>
      <c r="F118" s="250">
        <f>$C$46</f>
        <v>0.58522727272727271</v>
      </c>
      <c r="G118" s="239">
        <f>F117*F118</f>
        <v>1285.1025208901517</v>
      </c>
      <c r="H118" s="239">
        <f>G118/G$42</f>
        <v>0.77415814511454917</v>
      </c>
    </row>
    <row r="119" spans="1:10" ht="13.5" thickBot="1" x14ac:dyDescent="0.25">
      <c r="A119" s="100" t="s">
        <v>213</v>
      </c>
      <c r="B119" s="6"/>
      <c r="E119" s="27"/>
      <c r="F119" s="278"/>
      <c r="G119" s="135"/>
      <c r="H119" s="193"/>
    </row>
    <row r="120" spans="1:10" ht="13.5" thickBot="1" x14ac:dyDescent="0.25">
      <c r="A120" s="403" t="s">
        <v>27</v>
      </c>
      <c r="B120" s="412"/>
      <c r="C120" s="236" t="s">
        <v>28</v>
      </c>
      <c r="D120" s="236" t="s">
        <v>21</v>
      </c>
      <c r="E120" s="237" t="s">
        <v>92</v>
      </c>
      <c r="F120" s="237" t="s">
        <v>29</v>
      </c>
      <c r="G120" s="238" t="s">
        <v>30</v>
      </c>
      <c r="H120" s="238" t="s">
        <v>154</v>
      </c>
      <c r="J120" s="34"/>
    </row>
    <row r="121" spans="1:10" x14ac:dyDescent="0.2">
      <c r="A121" s="405" t="s">
        <v>147</v>
      </c>
      <c r="B121" s="390"/>
      <c r="C121" s="8" t="s">
        <v>7</v>
      </c>
      <c r="D121" s="8">
        <v>1</v>
      </c>
      <c r="E121" s="9">
        <f>E113</f>
        <v>404278</v>
      </c>
      <c r="F121" s="9">
        <f>D121*E121</f>
        <v>404278</v>
      </c>
      <c r="G121" s="143"/>
      <c r="H121" s="136"/>
      <c r="I121" s="2"/>
      <c r="J121" s="34"/>
    </row>
    <row r="122" spans="1:10" x14ac:dyDescent="0.2">
      <c r="A122" s="413" t="s">
        <v>88</v>
      </c>
      <c r="B122" s="385"/>
      <c r="C122" s="10" t="s">
        <v>0</v>
      </c>
      <c r="D122" s="268">
        <f>'lote 16.2'!D122</f>
        <v>14.75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219</v>
      </c>
      <c r="B123" s="385"/>
      <c r="C123" s="10" t="s">
        <v>20</v>
      </c>
      <c r="D123" s="48">
        <f>F121</f>
        <v>404278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218</v>
      </c>
      <c r="B124" s="385"/>
      <c r="C124" s="10"/>
      <c r="D124" s="48">
        <f>F113-F115</f>
        <v>140769.59959999996</v>
      </c>
      <c r="E124" s="11"/>
      <c r="F124" s="11"/>
      <c r="G124" s="142"/>
      <c r="H124" s="193"/>
      <c r="I124" s="2"/>
      <c r="J124" s="34"/>
    </row>
    <row r="125" spans="1:10" x14ac:dyDescent="0.2">
      <c r="A125" s="418" t="s">
        <v>210</v>
      </c>
      <c r="B125" s="385"/>
      <c r="C125" s="10" t="s">
        <v>20</v>
      </c>
      <c r="D125" s="33">
        <f>(D123-D124)*((D114+1)/(2*D114))+D124</f>
        <v>285699.21982</v>
      </c>
      <c r="E125" s="11"/>
      <c r="F125" s="11"/>
      <c r="G125" s="142"/>
      <c r="H125" s="193"/>
      <c r="I125" s="2"/>
      <c r="J125" s="34"/>
    </row>
    <row r="126" spans="1:10" x14ac:dyDescent="0.2">
      <c r="A126" s="406" t="s">
        <v>148</v>
      </c>
      <c r="B126" s="385"/>
      <c r="C126" s="37" t="s">
        <v>20</v>
      </c>
      <c r="D126" s="37"/>
      <c r="E126" s="161">
        <f>D122*D125/12/100</f>
        <v>3511.7195769541663</v>
      </c>
      <c r="F126" s="38">
        <f>E126</f>
        <v>3511.7195769541663</v>
      </c>
      <c r="G126" s="142"/>
      <c r="H126" s="193"/>
      <c r="J126" s="34"/>
    </row>
    <row r="127" spans="1:10" x14ac:dyDescent="0.2">
      <c r="A127" s="406" t="s">
        <v>149</v>
      </c>
      <c r="B127" s="397"/>
      <c r="C127" s="94"/>
      <c r="D127" s="94"/>
      <c r="E127" s="19"/>
      <c r="F127" s="160">
        <f>F126</f>
        <v>3511.7195769541663</v>
      </c>
      <c r="G127" s="142"/>
      <c r="H127" s="193"/>
      <c r="I127" s="34"/>
      <c r="J127" s="34"/>
    </row>
    <row r="128" spans="1:10" x14ac:dyDescent="0.2">
      <c r="A128" s="406" t="s">
        <v>96</v>
      </c>
      <c r="B128" s="385"/>
      <c r="C128" s="37" t="s">
        <v>7</v>
      </c>
      <c r="D128" s="10">
        <f>D117</f>
        <v>1</v>
      </c>
      <c r="E128" s="38">
        <f>F127</f>
        <v>3511.7195769541663</v>
      </c>
      <c r="F128" s="39">
        <f>D128*E128</f>
        <v>3511.7195769541663</v>
      </c>
      <c r="G128" s="142"/>
      <c r="H128" s="193"/>
      <c r="I128" s="34">
        <f>(I127*2)/12/100</f>
        <v>0</v>
      </c>
      <c r="J128" s="34"/>
    </row>
    <row r="129" spans="1:11" ht="13.5" thickBot="1" x14ac:dyDescent="0.25">
      <c r="A129" s="99"/>
      <c r="D129" s="97"/>
      <c r="E129" s="95" t="s">
        <v>86</v>
      </c>
      <c r="F129" s="250">
        <f>$C$46</f>
        <v>0.58522727272727271</v>
      </c>
      <c r="G129" s="239">
        <f>F128*F129</f>
        <v>2055.1540706038586</v>
      </c>
      <c r="H129" s="239">
        <f>G129/G$42</f>
        <v>1.2380446208456979</v>
      </c>
      <c r="J129" s="34"/>
    </row>
    <row r="130" spans="1:11" ht="11.25" customHeight="1" x14ac:dyDescent="0.2">
      <c r="A130" s="99"/>
      <c r="E130" s="27"/>
      <c r="F130" s="27"/>
      <c r="G130" s="135"/>
      <c r="H130" s="193"/>
      <c r="I130" s="208"/>
      <c r="J130" s="34"/>
    </row>
    <row r="131" spans="1:11" x14ac:dyDescent="0.2">
      <c r="A131" s="100" t="s">
        <v>214</v>
      </c>
      <c r="B131" s="6"/>
      <c r="E131" s="27"/>
      <c r="F131" s="27"/>
      <c r="G131" s="43"/>
      <c r="H131" s="193"/>
      <c r="J131" s="34"/>
    </row>
    <row r="132" spans="1:11" ht="13.5" thickBot="1" x14ac:dyDescent="0.25">
      <c r="A132" s="100" t="str">
        <f>'lote 16.2'!A132</f>
        <v>Despesas consideradas específicas para o transporte escolar municipal</v>
      </c>
      <c r="B132" s="6"/>
      <c r="E132" s="27"/>
      <c r="F132" s="27"/>
      <c r="G132" s="43"/>
      <c r="H132" s="43"/>
      <c r="J132" s="34"/>
    </row>
    <row r="133" spans="1:11" ht="13.5" thickBot="1" x14ac:dyDescent="0.25">
      <c r="A133" s="403" t="s">
        <v>27</v>
      </c>
      <c r="B133" s="412"/>
      <c r="C133" s="236" t="s">
        <v>28</v>
      </c>
      <c r="D133" s="236" t="s">
        <v>21</v>
      </c>
      <c r="E133" s="237" t="s">
        <v>92</v>
      </c>
      <c r="F133" s="237" t="s">
        <v>29</v>
      </c>
      <c r="G133" s="238" t="s">
        <v>30</v>
      </c>
      <c r="H133" s="238" t="s">
        <v>154</v>
      </c>
      <c r="J133" s="34"/>
    </row>
    <row r="134" spans="1:11" x14ac:dyDescent="0.2">
      <c r="A134" s="420" t="s">
        <v>8</v>
      </c>
      <c r="B134" s="390"/>
      <c r="C134" s="8" t="s">
        <v>7</v>
      </c>
      <c r="D134" s="9">
        <f>D117</f>
        <v>1</v>
      </c>
      <c r="E134" s="9">
        <f>0.01*($F$113)</f>
        <v>4042.78</v>
      </c>
      <c r="F134" s="9">
        <f t="shared" ref="F134:F139" si="5">D134*E134</f>
        <v>4042.78</v>
      </c>
      <c r="G134" s="136"/>
      <c r="H134" s="136"/>
      <c r="J134" s="34"/>
    </row>
    <row r="135" spans="1:11" x14ac:dyDescent="0.2">
      <c r="A135" s="413" t="s">
        <v>85</v>
      </c>
      <c r="B135" s="385"/>
      <c r="C135" s="10" t="s">
        <v>7</v>
      </c>
      <c r="D135" s="9">
        <f>D117</f>
        <v>1</v>
      </c>
      <c r="E135" s="262">
        <v>562</v>
      </c>
      <c r="F135" s="11">
        <f t="shared" si="5"/>
        <v>562</v>
      </c>
      <c r="G135" s="137"/>
      <c r="H135" s="193"/>
      <c r="J135" s="34"/>
    </row>
    <row r="136" spans="1:11" x14ac:dyDescent="0.2">
      <c r="A136" s="413" t="s">
        <v>9</v>
      </c>
      <c r="B136" s="385"/>
      <c r="C136" s="10" t="s">
        <v>7</v>
      </c>
      <c r="D136" s="9">
        <f>D117</f>
        <v>1</v>
      </c>
      <c r="E136" s="262">
        <v>1310</v>
      </c>
      <c r="F136" s="11">
        <f t="shared" si="5"/>
        <v>1310</v>
      </c>
      <c r="G136" s="144"/>
      <c r="H136" s="193"/>
      <c r="J136" s="34"/>
    </row>
    <row r="137" spans="1:11" x14ac:dyDescent="0.2">
      <c r="A137" s="418" t="s">
        <v>197</v>
      </c>
      <c r="B137" s="385"/>
      <c r="C137" s="10" t="s">
        <v>7</v>
      </c>
      <c r="D137" s="9">
        <v>1</v>
      </c>
      <c r="E137" s="262">
        <v>1171</v>
      </c>
      <c r="F137" s="11">
        <f>E137</f>
        <v>1171</v>
      </c>
      <c r="G137" s="144"/>
      <c r="H137" s="193"/>
      <c r="J137" s="34"/>
    </row>
    <row r="138" spans="1:11" x14ac:dyDescent="0.2">
      <c r="A138" s="418" t="s">
        <v>208</v>
      </c>
      <c r="B138" s="385"/>
      <c r="C138" s="10" t="s">
        <v>7</v>
      </c>
      <c r="D138" s="9">
        <v>1</v>
      </c>
      <c r="E138" s="262">
        <v>419</v>
      </c>
      <c r="F138" s="11">
        <f t="shared" si="5"/>
        <v>419</v>
      </c>
      <c r="G138" s="144"/>
      <c r="H138" s="193"/>
      <c r="J138" s="34"/>
    </row>
    <row r="139" spans="1:11" x14ac:dyDescent="0.2">
      <c r="A139" s="418" t="s">
        <v>198</v>
      </c>
      <c r="B139" s="385"/>
      <c r="C139" s="10" t="s">
        <v>7</v>
      </c>
      <c r="D139" s="9">
        <v>1</v>
      </c>
      <c r="E139" s="262">
        <v>770</v>
      </c>
      <c r="F139" s="11">
        <f t="shared" si="5"/>
        <v>770</v>
      </c>
      <c r="G139" s="144"/>
      <c r="H139" s="193"/>
      <c r="J139" s="34"/>
    </row>
    <row r="140" spans="1:11" x14ac:dyDescent="0.2">
      <c r="A140" s="406" t="s">
        <v>10</v>
      </c>
      <c r="B140" s="385"/>
      <c r="C140" s="37" t="s">
        <v>5</v>
      </c>
      <c r="D140" s="37">
        <v>12</v>
      </c>
      <c r="E140" s="38">
        <f>SUM(F134:F139)</f>
        <v>8274.7800000000007</v>
      </c>
      <c r="F140" s="38">
        <f>E140/D140</f>
        <v>689.56500000000005</v>
      </c>
      <c r="G140" s="137"/>
      <c r="H140" s="193"/>
      <c r="J140" s="34"/>
    </row>
    <row r="141" spans="1:11" ht="13.5" thickBot="1" x14ac:dyDescent="0.25">
      <c r="A141" s="279"/>
      <c r="B141" s="82"/>
      <c r="C141" s="82"/>
      <c r="D141" s="82"/>
      <c r="E141" s="280" t="s">
        <v>86</v>
      </c>
      <c r="F141" s="250">
        <v>1</v>
      </c>
      <c r="G141" s="239">
        <f>F140*F141</f>
        <v>689.56500000000005</v>
      </c>
      <c r="H141" s="239">
        <f>G141/G$42</f>
        <v>0.41540060240963861</v>
      </c>
      <c r="J141" s="34"/>
    </row>
    <row r="142" spans="1:11" x14ac:dyDescent="0.2">
      <c r="A142" s="100" t="s">
        <v>215</v>
      </c>
      <c r="B142" s="6"/>
      <c r="C142" s="98"/>
      <c r="E142" s="27"/>
      <c r="F142" s="27"/>
      <c r="G142" s="43"/>
      <c r="H142" s="193"/>
      <c r="J142" s="34"/>
    </row>
    <row r="143" spans="1:11" ht="13.5" thickBot="1" x14ac:dyDescent="0.25">
      <c r="A143" s="102" t="s">
        <v>150</v>
      </c>
      <c r="B143" s="214"/>
      <c r="C143" s="190">
        <f>G42</f>
        <v>1660</v>
      </c>
      <c r="E143" s="27"/>
      <c r="F143" s="27"/>
      <c r="G143" s="43"/>
      <c r="H143" s="193"/>
      <c r="J143" s="34"/>
    </row>
    <row r="144" spans="1:11" ht="13.5" thickBot="1" x14ac:dyDescent="0.25">
      <c r="A144" s="403" t="s">
        <v>27</v>
      </c>
      <c r="B144" s="412"/>
      <c r="C144" s="236" t="s">
        <v>28</v>
      </c>
      <c r="D144" s="236" t="s">
        <v>95</v>
      </c>
      <c r="E144" s="237" t="s">
        <v>92</v>
      </c>
      <c r="F144" s="237" t="s">
        <v>29</v>
      </c>
      <c r="G144" s="238" t="s">
        <v>30</v>
      </c>
      <c r="H144" s="238" t="s">
        <v>154</v>
      </c>
      <c r="J144" s="34"/>
      <c r="K144" s="34"/>
    </row>
    <row r="145" spans="1:11" x14ac:dyDescent="0.2">
      <c r="A145" s="420" t="s">
        <v>11</v>
      </c>
      <c r="B145" s="390"/>
      <c r="C145" s="8" t="s">
        <v>12</v>
      </c>
      <c r="D145" s="187">
        <f>F38</f>
        <v>5.5</v>
      </c>
      <c r="E145" s="187">
        <f>G38</f>
        <v>7.32</v>
      </c>
      <c r="F145" s="9"/>
      <c r="G145" s="136"/>
      <c r="H145" s="136"/>
      <c r="J145" s="34"/>
      <c r="K145" s="34"/>
    </row>
    <row r="146" spans="1:11" x14ac:dyDescent="0.2">
      <c r="A146" s="413" t="s">
        <v>13</v>
      </c>
      <c r="B146" s="385"/>
      <c r="C146" s="10" t="s">
        <v>14</v>
      </c>
      <c r="D146" s="35">
        <f>C143</f>
        <v>1660</v>
      </c>
      <c r="E146" s="89">
        <f>IFERROR(+E145/D145,"-")</f>
        <v>1.330909090909091</v>
      </c>
      <c r="F146" s="11">
        <f>IFERROR(D146*E146,"-")</f>
        <v>2209.3090909090911</v>
      </c>
      <c r="G146" s="137"/>
      <c r="H146" s="193"/>
      <c r="J146" s="34"/>
      <c r="K146" s="34"/>
    </row>
    <row r="147" spans="1:11" x14ac:dyDescent="0.2">
      <c r="A147" s="418" t="s">
        <v>232</v>
      </c>
      <c r="B147" s="385"/>
      <c r="C147" s="92" t="s">
        <v>233</v>
      </c>
      <c r="D147" s="269">
        <v>7.4</v>
      </c>
      <c r="E147" s="262">
        <v>18.3</v>
      </c>
      <c r="F147" s="11"/>
      <c r="G147" s="137"/>
      <c r="H147" s="193"/>
      <c r="J147" s="34"/>
      <c r="K147" s="34"/>
    </row>
    <row r="148" spans="1:11" x14ac:dyDescent="0.2">
      <c r="A148" s="413" t="s">
        <v>15</v>
      </c>
      <c r="B148" s="385"/>
      <c r="C148" s="10" t="s">
        <v>14</v>
      </c>
      <c r="D148" s="35">
        <f>D146</f>
        <v>1660</v>
      </c>
      <c r="E148" s="86">
        <f>+D147*E147/10000</f>
        <v>1.3542000000000002E-2</v>
      </c>
      <c r="F148" s="11">
        <f>D148*E148</f>
        <v>22.479720000000004</v>
      </c>
      <c r="G148" s="137"/>
      <c r="H148" s="193"/>
      <c r="J148" s="34"/>
      <c r="K148" s="34"/>
    </row>
    <row r="149" spans="1:11" x14ac:dyDescent="0.2">
      <c r="A149" s="418" t="s">
        <v>234</v>
      </c>
      <c r="B149" s="385"/>
      <c r="C149" s="92" t="s">
        <v>235</v>
      </c>
      <c r="D149" s="269">
        <v>4.5999999999999996</v>
      </c>
      <c r="E149" s="262">
        <v>21.6</v>
      </c>
      <c r="F149" s="11"/>
      <c r="G149" s="137"/>
      <c r="H149" s="193"/>
      <c r="J149" s="34"/>
      <c r="K149" s="34"/>
    </row>
    <row r="150" spans="1:11" x14ac:dyDescent="0.2">
      <c r="A150" s="413" t="s">
        <v>16</v>
      </c>
      <c r="B150" s="385"/>
      <c r="C150" s="10" t="s">
        <v>14</v>
      </c>
      <c r="D150" s="35">
        <f>D146</f>
        <v>1660</v>
      </c>
      <c r="E150" s="231">
        <f>+D149*E149/100000</f>
        <v>9.9360000000000008E-4</v>
      </c>
      <c r="F150" s="11">
        <f>D150*E150</f>
        <v>1.6493760000000002</v>
      </c>
      <c r="G150" s="137"/>
      <c r="H150" s="193"/>
      <c r="J150" s="34"/>
      <c r="K150" s="34"/>
    </row>
    <row r="151" spans="1:11" x14ac:dyDescent="0.2">
      <c r="A151" s="418" t="s">
        <v>237</v>
      </c>
      <c r="B151" s="385"/>
      <c r="C151" s="92" t="s">
        <v>236</v>
      </c>
      <c r="D151" s="269">
        <v>1</v>
      </c>
      <c r="E151" s="262">
        <v>20.9</v>
      </c>
      <c r="F151" s="11"/>
      <c r="G151" s="137"/>
      <c r="H151" s="193"/>
      <c r="J151" s="34"/>
      <c r="K151" s="34"/>
    </row>
    <row r="152" spans="1:11" x14ac:dyDescent="0.2">
      <c r="A152" s="413" t="s">
        <v>17</v>
      </c>
      <c r="B152" s="385"/>
      <c r="C152" s="10" t="s">
        <v>14</v>
      </c>
      <c r="D152" s="35">
        <f>D146</f>
        <v>1660</v>
      </c>
      <c r="E152" s="231">
        <f>+D151*E151/80000</f>
        <v>2.6124999999999998E-4</v>
      </c>
      <c r="F152" s="11">
        <f>D152*E152</f>
        <v>0.43367499999999998</v>
      </c>
      <c r="G152" s="137"/>
      <c r="H152" s="193"/>
      <c r="J152" s="34"/>
      <c r="K152" s="34"/>
    </row>
    <row r="153" spans="1:11" x14ac:dyDescent="0.2">
      <c r="A153" s="418" t="s">
        <v>239</v>
      </c>
      <c r="B153" s="385"/>
      <c r="C153" s="92" t="s">
        <v>238</v>
      </c>
      <c r="D153" s="269">
        <v>1</v>
      </c>
      <c r="E153" s="262">
        <v>19.899999999999999</v>
      </c>
      <c r="F153" s="11"/>
      <c r="G153" s="137"/>
      <c r="H153" s="193"/>
      <c r="J153" s="34"/>
      <c r="K153" s="34"/>
    </row>
    <row r="154" spans="1:11" x14ac:dyDescent="0.2">
      <c r="A154" s="413" t="s">
        <v>18</v>
      </c>
      <c r="B154" s="385"/>
      <c r="C154" s="10" t="s">
        <v>14</v>
      </c>
      <c r="D154" s="35">
        <f>D146</f>
        <v>1660</v>
      </c>
      <c r="E154" s="86">
        <f>+D153*E153/10000</f>
        <v>1.99E-3</v>
      </c>
      <c r="F154" s="11">
        <f>D154*E154</f>
        <v>3.3033999999999999</v>
      </c>
      <c r="G154" s="137"/>
      <c r="H154" s="193"/>
      <c r="J154" s="34"/>
      <c r="K154" s="34"/>
    </row>
    <row r="155" spans="1:11" x14ac:dyDescent="0.2">
      <c r="A155" s="406" t="s">
        <v>94</v>
      </c>
      <c r="B155" s="385"/>
      <c r="C155" s="37" t="s">
        <v>45</v>
      </c>
      <c r="D155" s="87"/>
      <c r="E155" s="88">
        <f>IFERROR(E146+E148+E150+E152+E154,0)</f>
        <v>1.347695940909091</v>
      </c>
      <c r="F155" s="38">
        <f>SUM(F145:F154)</f>
        <v>2237.1752619090908</v>
      </c>
      <c r="G155" s="137"/>
      <c r="H155" s="193"/>
      <c r="J155" s="34"/>
      <c r="K155" s="34"/>
    </row>
    <row r="156" spans="1:11" ht="13.5" thickBot="1" x14ac:dyDescent="0.25">
      <c r="A156" s="99"/>
      <c r="E156" s="255" t="s">
        <v>138</v>
      </c>
      <c r="F156" s="23">
        <f>$C$47+1</f>
        <v>1.25</v>
      </c>
      <c r="G156" s="239">
        <f>F155*F156</f>
        <v>2796.4690773863636</v>
      </c>
      <c r="H156" s="239">
        <f>G156/G$42</f>
        <v>1.6846199261363637</v>
      </c>
      <c r="J156" s="34"/>
      <c r="K156" s="34"/>
    </row>
    <row r="157" spans="1:11" ht="11.25" customHeight="1" x14ac:dyDescent="0.2">
      <c r="A157" s="99"/>
      <c r="E157" s="27"/>
      <c r="F157" s="27"/>
      <c r="G157" s="135"/>
      <c r="H157" s="193"/>
      <c r="J157" s="34"/>
      <c r="K157" s="34"/>
    </row>
    <row r="158" spans="1:11" ht="13.5" thickBot="1" x14ac:dyDescent="0.25">
      <c r="A158" s="100" t="s">
        <v>216</v>
      </c>
      <c r="B158" s="6"/>
      <c r="E158" s="27"/>
      <c r="F158" s="27"/>
      <c r="G158" s="43"/>
      <c r="H158" s="193"/>
      <c r="J158" s="34"/>
      <c r="K158" s="34"/>
    </row>
    <row r="159" spans="1:11" ht="13.5" thickBot="1" x14ac:dyDescent="0.25">
      <c r="A159" s="403" t="s">
        <v>27</v>
      </c>
      <c r="B159" s="412"/>
      <c r="C159" s="236" t="s">
        <v>28</v>
      </c>
      <c r="D159" s="236" t="s">
        <v>21</v>
      </c>
      <c r="E159" s="237" t="s">
        <v>92</v>
      </c>
      <c r="F159" s="237" t="s">
        <v>29</v>
      </c>
      <c r="G159" s="238" t="s">
        <v>30</v>
      </c>
      <c r="H159" s="238" t="s">
        <v>154</v>
      </c>
      <c r="J159" s="34"/>
      <c r="K159" s="34"/>
    </row>
    <row r="160" spans="1:11" x14ac:dyDescent="0.2">
      <c r="A160" s="405" t="s">
        <v>188</v>
      </c>
      <c r="B160" s="390"/>
      <c r="C160" s="8" t="s">
        <v>45</v>
      </c>
      <c r="D160" s="35">
        <f>D146</f>
        <v>1660</v>
      </c>
      <c r="E160" s="270">
        <f>'lote 16.2'!E160</f>
        <v>1.35</v>
      </c>
      <c r="F160" s="9">
        <f>D160*E160</f>
        <v>2241</v>
      </c>
      <c r="G160" s="136"/>
      <c r="H160" s="136"/>
      <c r="I160" s="34">
        <f>F160*12</f>
        <v>26892</v>
      </c>
      <c r="J160" s="34"/>
      <c r="K160" s="34"/>
    </row>
    <row r="161" spans="1:11" s="165" customFormat="1" x14ac:dyDescent="0.2">
      <c r="A161" s="418" t="s">
        <v>139</v>
      </c>
      <c r="B161" s="385"/>
      <c r="C161" s="162" t="s">
        <v>140</v>
      </c>
      <c r="D161" s="272">
        <v>4</v>
      </c>
      <c r="E161" s="271">
        <f>'lote 16.2'!E161</f>
        <v>100</v>
      </c>
      <c r="F161" s="163">
        <f>D161*E161</f>
        <v>400</v>
      </c>
      <c r="G161" s="164"/>
      <c r="H161" s="196"/>
      <c r="I161" s="4"/>
    </row>
    <row r="162" spans="1:11" s="165" customFormat="1" x14ac:dyDescent="0.2">
      <c r="A162" s="406" t="s">
        <v>141</v>
      </c>
      <c r="B162" s="385"/>
      <c r="C162" s="92" t="s">
        <v>142</v>
      </c>
      <c r="D162" s="166"/>
      <c r="E162" s="23"/>
      <c r="F162" s="159">
        <f>SUM(F160:F161)</f>
        <v>2641</v>
      </c>
      <c r="G162" s="164"/>
      <c r="H162" s="196"/>
      <c r="I162" s="4"/>
    </row>
    <row r="163" spans="1:11" ht="13.5" thickBot="1" x14ac:dyDescent="0.25">
      <c r="A163" s="99"/>
      <c r="E163" s="255" t="s">
        <v>138</v>
      </c>
      <c r="F163" s="23">
        <f>$C$47+1</f>
        <v>1.25</v>
      </c>
      <c r="G163" s="239">
        <f>F162*F163</f>
        <v>3301.25</v>
      </c>
      <c r="H163" s="239">
        <f>G163/G$42</f>
        <v>1.9887048192771084</v>
      </c>
      <c r="J163" s="34"/>
      <c r="K163" s="34"/>
    </row>
    <row r="164" spans="1:11" ht="11.25" customHeight="1" x14ac:dyDescent="0.2">
      <c r="A164" s="99"/>
      <c r="E164" s="27"/>
      <c r="F164" s="27"/>
      <c r="G164" s="135"/>
      <c r="H164" s="193"/>
      <c r="J164" s="34"/>
      <c r="K164" s="34"/>
    </row>
    <row r="165" spans="1:11" ht="13.5" thickBot="1" x14ac:dyDescent="0.25">
      <c r="A165" s="100" t="s">
        <v>217</v>
      </c>
      <c r="B165" s="6"/>
      <c r="E165" s="27"/>
      <c r="F165" s="27"/>
      <c r="G165" s="43"/>
      <c r="H165" s="193"/>
      <c r="J165" s="34"/>
      <c r="K165" s="34"/>
    </row>
    <row r="166" spans="1:11" ht="13.5" thickBot="1" x14ac:dyDescent="0.25">
      <c r="A166" s="403" t="s">
        <v>27</v>
      </c>
      <c r="B166" s="412"/>
      <c r="C166" s="236" t="s">
        <v>28</v>
      </c>
      <c r="D166" s="236" t="s">
        <v>21</v>
      </c>
      <c r="E166" s="237" t="s">
        <v>92</v>
      </c>
      <c r="F166" s="237" t="s">
        <v>29</v>
      </c>
      <c r="G166" s="238" t="s">
        <v>30</v>
      </c>
      <c r="H166" s="238" t="s">
        <v>154</v>
      </c>
      <c r="J166" s="34"/>
      <c r="K166" s="34"/>
    </row>
    <row r="167" spans="1:11" x14ac:dyDescent="0.2">
      <c r="A167" s="405" t="s">
        <v>260</v>
      </c>
      <c r="B167" s="390"/>
      <c r="C167" s="8" t="s">
        <v>7</v>
      </c>
      <c r="D167" s="273">
        <v>6</v>
      </c>
      <c r="E167" s="271">
        <v>1397</v>
      </c>
      <c r="F167" s="9">
        <f>D167*E167</f>
        <v>8382</v>
      </c>
      <c r="G167" s="136"/>
      <c r="H167" s="136"/>
      <c r="J167" s="34"/>
      <c r="K167" s="34"/>
    </row>
    <row r="168" spans="1:11" x14ac:dyDescent="0.2">
      <c r="A168" s="427" t="s">
        <v>258</v>
      </c>
      <c r="B168" s="428"/>
      <c r="C168" s="8"/>
      <c r="D168" s="8"/>
      <c r="E168" s="8"/>
      <c r="F168" s="9"/>
      <c r="G168" s="137"/>
      <c r="H168" s="43"/>
      <c r="J168" s="34"/>
      <c r="K168" s="34"/>
    </row>
    <row r="169" spans="1:11" x14ac:dyDescent="0.2">
      <c r="A169" s="418" t="s">
        <v>129</v>
      </c>
      <c r="B169" s="385"/>
      <c r="C169" s="10" t="s">
        <v>19</v>
      </c>
      <c r="D169" s="274">
        <v>45000</v>
      </c>
      <c r="E169" s="11">
        <f>F167</f>
        <v>8382</v>
      </c>
      <c r="F169" s="11">
        <f>IFERROR(E169/D169,"-")</f>
        <v>0.18626666666666666</v>
      </c>
      <c r="G169" s="137"/>
      <c r="H169" s="193"/>
      <c r="J169" s="34"/>
      <c r="K169" s="34"/>
    </row>
    <row r="170" spans="1:11" x14ac:dyDescent="0.2">
      <c r="A170" s="406" t="s">
        <v>25</v>
      </c>
      <c r="B170" s="385"/>
      <c r="C170" s="10" t="s">
        <v>14</v>
      </c>
      <c r="D170" s="35">
        <f>C143</f>
        <v>1660</v>
      </c>
      <c r="E170" s="11">
        <f>F169</f>
        <v>0.18626666666666666</v>
      </c>
      <c r="F170" s="38">
        <f>IFERROR(D170*E170,0)</f>
        <v>309.20266666666669</v>
      </c>
      <c r="G170" s="137"/>
      <c r="H170" s="193"/>
      <c r="J170" s="34"/>
      <c r="K170" s="34"/>
    </row>
    <row r="171" spans="1:11" ht="13.5" thickBot="1" x14ac:dyDescent="0.25">
      <c r="A171" s="99"/>
      <c r="E171" s="255" t="s">
        <v>138</v>
      </c>
      <c r="F171" s="23">
        <f>$C$47+1</f>
        <v>1.25</v>
      </c>
      <c r="G171" s="239">
        <f>F170*F171</f>
        <v>386.50333333333333</v>
      </c>
      <c r="H171" s="239">
        <f>G171/G$42</f>
        <v>0.23283333333333334</v>
      </c>
      <c r="J171" s="34"/>
      <c r="K171" s="34"/>
    </row>
    <row r="172" spans="1:11" ht="11.25" customHeight="1" thickBot="1" x14ac:dyDescent="0.25">
      <c r="A172" s="99"/>
      <c r="E172" s="27"/>
      <c r="F172" s="27"/>
      <c r="G172" s="135"/>
      <c r="H172" s="193"/>
      <c r="J172" s="34"/>
      <c r="K172" s="34"/>
    </row>
    <row r="173" spans="1:11" ht="13.5" thickBot="1" x14ac:dyDescent="0.25">
      <c r="A173" s="12" t="s">
        <v>151</v>
      </c>
      <c r="B173" s="13"/>
      <c r="C173" s="13"/>
      <c r="D173" s="13"/>
      <c r="E173" s="14"/>
      <c r="F173" s="15"/>
      <c r="G173" s="245">
        <f>+SUM(G113:G172)</f>
        <v>10514.044002213708</v>
      </c>
      <c r="H173" s="239">
        <f>G173/G$42</f>
        <v>6.3337614471166921</v>
      </c>
    </row>
    <row r="174" spans="1:11" ht="11.25" customHeight="1" x14ac:dyDescent="0.2">
      <c r="A174" s="99"/>
      <c r="E174" s="27"/>
      <c r="F174" s="27"/>
      <c r="G174" s="135"/>
      <c r="H174" s="193"/>
    </row>
    <row r="175" spans="1:11" x14ac:dyDescent="0.2">
      <c r="A175" s="100" t="s">
        <v>168</v>
      </c>
      <c r="B175" s="6"/>
      <c r="C175" s="6"/>
      <c r="D175" s="6"/>
      <c r="E175" s="20"/>
      <c r="F175" s="20"/>
      <c r="G175" s="145"/>
      <c r="H175" s="193"/>
    </row>
    <row r="176" spans="1:11" ht="11.25" customHeight="1" thickBot="1" x14ac:dyDescent="0.25">
      <c r="A176" s="99"/>
      <c r="E176" s="27"/>
      <c r="F176" s="27"/>
      <c r="G176" s="43"/>
      <c r="H176" s="193"/>
    </row>
    <row r="177" spans="1:8" ht="13.5" thickBot="1" x14ac:dyDescent="0.25">
      <c r="A177" s="403" t="s">
        <v>27</v>
      </c>
      <c r="B177" s="412"/>
      <c r="C177" s="236" t="s">
        <v>28</v>
      </c>
      <c r="D177" s="236" t="s">
        <v>21</v>
      </c>
      <c r="E177" s="237" t="s">
        <v>92</v>
      </c>
      <c r="F177" s="237" t="s">
        <v>29</v>
      </c>
      <c r="G177" s="238" t="s">
        <v>30</v>
      </c>
      <c r="H177" s="238" t="s">
        <v>154</v>
      </c>
    </row>
    <row r="178" spans="1:8" x14ac:dyDescent="0.2">
      <c r="A178" s="405" t="s">
        <v>190</v>
      </c>
      <c r="B178" s="390"/>
      <c r="C178" s="92" t="s">
        <v>189</v>
      </c>
      <c r="D178" s="275">
        <f>1/12</f>
        <v>8.3333333333333329E-2</v>
      </c>
      <c r="E178" s="270">
        <v>21.9</v>
      </c>
      <c r="F178" s="11">
        <f>D178*E178</f>
        <v>1.8249999999999997</v>
      </c>
      <c r="G178" s="146"/>
      <c r="H178" s="136"/>
    </row>
    <row r="179" spans="1:8" x14ac:dyDescent="0.2">
      <c r="A179" s="418" t="s">
        <v>191</v>
      </c>
      <c r="B179" s="385"/>
      <c r="C179" s="92" t="s">
        <v>189</v>
      </c>
      <c r="D179" s="275">
        <f>3/12</f>
        <v>0.25</v>
      </c>
      <c r="E179" s="270">
        <v>21</v>
      </c>
      <c r="F179" s="11">
        <f>D179*E179</f>
        <v>5.25</v>
      </c>
      <c r="G179" s="147"/>
      <c r="H179" s="193"/>
    </row>
    <row r="180" spans="1:8" x14ac:dyDescent="0.2">
      <c r="A180" s="418" t="s">
        <v>192</v>
      </c>
      <c r="B180" s="385"/>
      <c r="C180" s="92" t="s">
        <v>189</v>
      </c>
      <c r="D180" s="275">
        <f>2/12</f>
        <v>0.16666666666666666</v>
      </c>
      <c r="E180" s="270">
        <v>11.3</v>
      </c>
      <c r="F180" s="11">
        <f>D180*E180</f>
        <v>1.8833333333333333</v>
      </c>
      <c r="G180" s="147"/>
      <c r="H180" s="193"/>
    </row>
    <row r="181" spans="1:8" x14ac:dyDescent="0.2">
      <c r="A181" s="418" t="s">
        <v>193</v>
      </c>
      <c r="B181" s="385"/>
      <c r="C181" s="92" t="s">
        <v>209</v>
      </c>
      <c r="D181" s="275">
        <f>4</f>
        <v>4</v>
      </c>
      <c r="E181" s="270">
        <v>15</v>
      </c>
      <c r="F181" s="11">
        <f>D181*E181</f>
        <v>60</v>
      </c>
      <c r="G181" s="147"/>
      <c r="H181" s="193"/>
    </row>
    <row r="182" spans="1:8" ht="13.5" thickBot="1" x14ac:dyDescent="0.25">
      <c r="A182" s="418" t="s">
        <v>194</v>
      </c>
      <c r="B182" s="385"/>
      <c r="C182" s="92" t="s">
        <v>189</v>
      </c>
      <c r="D182" s="275">
        <v>4</v>
      </c>
      <c r="E182" s="270">
        <v>4.5</v>
      </c>
      <c r="F182" s="11">
        <f t="shared" ref="F182" si="6">D182*E182</f>
        <v>18</v>
      </c>
      <c r="G182" s="147"/>
      <c r="H182" s="193"/>
    </row>
    <row r="183" spans="1:8" ht="13.5" thickBot="1" x14ac:dyDescent="0.25">
      <c r="A183" s="100"/>
      <c r="B183" s="6"/>
      <c r="C183" s="6"/>
      <c r="D183" s="6"/>
      <c r="E183" s="254" t="s">
        <v>86</v>
      </c>
      <c r="F183" s="250">
        <v>1</v>
      </c>
      <c r="G183" s="245">
        <f>SUM(F178:F182)*F183</f>
        <v>86.958333333333329</v>
      </c>
      <c r="H183" s="245">
        <f>G183/G$42</f>
        <v>5.2384538152610439E-2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3.5" thickBot="1" x14ac:dyDescent="0.25">
      <c r="A185" s="12" t="s">
        <v>91</v>
      </c>
      <c r="B185" s="13"/>
      <c r="C185" s="13"/>
      <c r="D185" s="13"/>
      <c r="E185" s="14"/>
      <c r="F185" s="15"/>
      <c r="G185" s="245">
        <f>+G183</f>
        <v>86.958333333333329</v>
      </c>
      <c r="H185" s="245">
        <f>G185/G$42</f>
        <v>5.2384538152610439E-2</v>
      </c>
    </row>
    <row r="186" spans="1:8" ht="11.25" customHeight="1" thickBot="1" x14ac:dyDescent="0.25">
      <c r="A186" s="99"/>
      <c r="E186" s="27"/>
      <c r="F186" s="27"/>
      <c r="G186" s="135"/>
      <c r="H186" s="135"/>
    </row>
    <row r="187" spans="1:8" ht="17.25" customHeight="1" thickBot="1" x14ac:dyDescent="0.25">
      <c r="A187" s="12" t="s">
        <v>126</v>
      </c>
      <c r="B187" s="13"/>
      <c r="C187" s="16"/>
      <c r="D187" s="16"/>
      <c r="E187" s="17"/>
      <c r="F187" s="18"/>
      <c r="G187" s="242">
        <f>+G107+G173+G185</f>
        <v>15941.564742365223</v>
      </c>
      <c r="H187" s="242">
        <f>G187/G$42</f>
        <v>9.6033522544368815</v>
      </c>
    </row>
    <row r="188" spans="1:8" ht="17.25" customHeight="1" thickBot="1" x14ac:dyDescent="0.25">
      <c r="A188" s="12" t="s">
        <v>127</v>
      </c>
      <c r="B188" s="13"/>
      <c r="C188" s="16"/>
      <c r="D188" s="16"/>
      <c r="E188" s="17"/>
      <c r="F188" s="18"/>
      <c r="G188" s="244">
        <f>+G108+G173+G185</f>
        <v>15080.758241074314</v>
      </c>
      <c r="H188" s="244">
        <f>G188/G$42</f>
        <v>9.0847941211291054</v>
      </c>
    </row>
    <row r="189" spans="1:8" ht="11.25" customHeight="1" x14ac:dyDescent="0.2">
      <c r="A189" s="99"/>
      <c r="E189" s="27"/>
      <c r="F189" s="27"/>
      <c r="G189" s="135"/>
      <c r="H189" s="135"/>
    </row>
    <row r="190" spans="1:8" x14ac:dyDescent="0.2">
      <c r="A190" s="100" t="s">
        <v>169</v>
      </c>
      <c r="B190" s="6"/>
      <c r="E190" s="27"/>
      <c r="F190" s="27"/>
      <c r="G190" s="43"/>
      <c r="H190" s="43"/>
    </row>
    <row r="191" spans="1:8" ht="11.25" customHeight="1" thickBot="1" x14ac:dyDescent="0.25">
      <c r="A191" s="99"/>
      <c r="E191" s="27"/>
      <c r="F191" s="27"/>
      <c r="G191" s="43"/>
      <c r="H191" s="43"/>
    </row>
    <row r="192" spans="1:8" ht="13.5" thickBot="1" x14ac:dyDescent="0.25">
      <c r="A192" s="403" t="s">
        <v>27</v>
      </c>
      <c r="B192" s="412"/>
      <c r="C192" s="236" t="s">
        <v>28</v>
      </c>
      <c r="D192" s="236" t="s">
        <v>21</v>
      </c>
      <c r="E192" s="237" t="s">
        <v>92</v>
      </c>
      <c r="F192" s="237" t="s">
        <v>29</v>
      </c>
      <c r="G192" s="238" t="s">
        <v>30</v>
      </c>
      <c r="H192" s="238" t="s">
        <v>154</v>
      </c>
    </row>
    <row r="193" spans="1:8" ht="13.5" thickBot="1" x14ac:dyDescent="0.25">
      <c r="A193" s="405" t="s">
        <v>170</v>
      </c>
      <c r="B193" s="390"/>
      <c r="C193" s="8" t="s">
        <v>0</v>
      </c>
      <c r="D193" s="44">
        <f>BDI!C11*100</f>
        <v>31.75</v>
      </c>
      <c r="E193" s="9">
        <f>+G187</f>
        <v>15941.564742365223</v>
      </c>
      <c r="F193" s="9">
        <f>D193*E193/100</f>
        <v>5061.4468057009581</v>
      </c>
      <c r="G193" s="136"/>
      <c r="H193" s="136"/>
    </row>
    <row r="194" spans="1:8" ht="13.5" thickBot="1" x14ac:dyDescent="0.25">
      <c r="A194" s="99"/>
      <c r="E194" s="27"/>
      <c r="F194" s="27"/>
      <c r="G194" s="245">
        <f>+F193</f>
        <v>5061.4468057009581</v>
      </c>
      <c r="H194" s="245">
        <f>G194/G$42</f>
        <v>3.0490643407837097</v>
      </c>
    </row>
    <row r="195" spans="1:8" ht="11.25" customHeight="1" thickBot="1" x14ac:dyDescent="0.25">
      <c r="A195" s="99"/>
      <c r="E195" s="27"/>
      <c r="F195" s="27"/>
      <c r="G195" s="135"/>
      <c r="H195" s="135"/>
    </row>
    <row r="196" spans="1:8" ht="13.5" thickBot="1" x14ac:dyDescent="0.25">
      <c r="A196" s="12" t="s">
        <v>171</v>
      </c>
      <c r="B196" s="13"/>
      <c r="C196" s="16"/>
      <c r="D196" s="16"/>
      <c r="E196" s="17"/>
      <c r="F196" s="18"/>
      <c r="G196" s="244">
        <f>G194</f>
        <v>5061.4468057009581</v>
      </c>
      <c r="H196" s="244">
        <f>G196/G$42</f>
        <v>3.0490643407837097</v>
      </c>
    </row>
    <row r="197" spans="1:8" ht="13.5" thickBot="1" x14ac:dyDescent="0.25">
      <c r="A197" s="100"/>
      <c r="B197" s="6"/>
      <c r="C197" s="6"/>
      <c r="D197" s="6"/>
      <c r="E197" s="20"/>
      <c r="F197" s="20"/>
      <c r="G197" s="148"/>
      <c r="H197" s="148"/>
    </row>
    <row r="198" spans="1:8" ht="24.75" customHeight="1" thickBot="1" x14ac:dyDescent="0.25">
      <c r="A198" s="12" t="s">
        <v>172</v>
      </c>
      <c r="B198" s="13"/>
      <c r="C198" s="16"/>
      <c r="D198" s="16"/>
      <c r="E198" s="17"/>
      <c r="F198" s="18"/>
      <c r="G198" s="206">
        <f>G187+G196</f>
        <v>21003.011548066181</v>
      </c>
      <c r="H198" s="244">
        <f>G198/G$42</f>
        <v>12.652416595220592</v>
      </c>
    </row>
    <row r="199" spans="1:8" ht="12.6" customHeight="1" x14ac:dyDescent="0.2">
      <c r="A199" s="104"/>
      <c r="B199" s="24"/>
      <c r="C199" s="24"/>
      <c r="D199" s="24"/>
      <c r="E199" s="25"/>
      <c r="F199" s="25"/>
      <c r="G199" s="149"/>
      <c r="H199" s="149"/>
    </row>
    <row r="200" spans="1:8" ht="16.149999999999999" customHeight="1" x14ac:dyDescent="0.2">
      <c r="A200" s="418" t="s">
        <v>173</v>
      </c>
      <c r="B200" s="397"/>
      <c r="C200" s="82"/>
      <c r="D200" s="82"/>
      <c r="E200" s="157">
        <f>C143</f>
        <v>1660</v>
      </c>
      <c r="F200" s="156" t="s">
        <v>153</v>
      </c>
      <c r="G200" s="43"/>
      <c r="H200" s="43"/>
    </row>
    <row r="201" spans="1:8" ht="13.5" thickBot="1" x14ac:dyDescent="0.25">
      <c r="A201" s="99"/>
      <c r="E201" s="27"/>
      <c r="F201" s="27"/>
      <c r="G201" s="43"/>
      <c r="H201" s="43"/>
    </row>
    <row r="202" spans="1:8" ht="25.5" customHeight="1" thickBot="1" x14ac:dyDescent="0.25">
      <c r="A202" s="12" t="s">
        <v>174</v>
      </c>
      <c r="B202" s="13"/>
      <c r="C202" s="13"/>
      <c r="D202" s="13"/>
      <c r="E202" s="14"/>
      <c r="F202" s="155" t="s">
        <v>154</v>
      </c>
      <c r="G202" s="424">
        <f>IFERROR(G198/E200,"-")</f>
        <v>12.652416595220592</v>
      </c>
      <c r="H202" s="425"/>
    </row>
    <row r="203" spans="1:8" ht="12.6" customHeight="1" x14ac:dyDescent="0.2">
      <c r="A203" s="100"/>
      <c r="B203" s="6"/>
      <c r="C203" s="6"/>
      <c r="D203" s="6"/>
      <c r="E203" s="20"/>
      <c r="F203" s="20"/>
      <c r="G203" s="150"/>
      <c r="H203" s="150"/>
    </row>
    <row r="204" spans="1:8" x14ac:dyDescent="0.2">
      <c r="A204" s="100" t="s">
        <v>175</v>
      </c>
      <c r="B204" s="6"/>
      <c r="E204" s="27"/>
      <c r="F204" s="27"/>
      <c r="G204" s="43"/>
      <c r="H204" s="43"/>
    </row>
    <row r="205" spans="1:8" ht="11.25" customHeight="1" thickBot="1" x14ac:dyDescent="0.25">
      <c r="A205" s="99"/>
      <c r="E205" s="27"/>
      <c r="F205" s="27"/>
      <c r="G205" s="43"/>
      <c r="H205" s="43"/>
    </row>
    <row r="206" spans="1:8" ht="13.5" thickBot="1" x14ac:dyDescent="0.25">
      <c r="A206" s="240" t="s">
        <v>27</v>
      </c>
      <c r="B206" s="241"/>
      <c r="C206" s="236" t="s">
        <v>28</v>
      </c>
      <c r="D206" s="236" t="s">
        <v>21</v>
      </c>
      <c r="E206" s="237" t="s">
        <v>92</v>
      </c>
      <c r="F206" s="237" t="s">
        <v>29</v>
      </c>
      <c r="G206" s="238" t="s">
        <v>30</v>
      </c>
      <c r="H206" s="238" t="s">
        <v>154</v>
      </c>
    </row>
    <row r="207" spans="1:8" ht="13.5" thickBot="1" x14ac:dyDescent="0.25">
      <c r="A207" s="405" t="s">
        <v>152</v>
      </c>
      <c r="B207" s="390"/>
      <c r="C207" s="8" t="s">
        <v>0</v>
      </c>
      <c r="D207" s="44">
        <f>BDI!C$24*100</f>
        <v>23.93</v>
      </c>
      <c r="E207" s="9">
        <f>G187</f>
        <v>15941.564742365223</v>
      </c>
      <c r="F207" s="9">
        <f>D207*E207/100</f>
        <v>3814.8164428479977</v>
      </c>
      <c r="G207" s="136"/>
      <c r="H207" s="136"/>
    </row>
    <row r="208" spans="1:8" ht="13.5" thickBot="1" x14ac:dyDescent="0.25">
      <c r="A208" s="99"/>
      <c r="E208" s="27"/>
      <c r="F208" s="27"/>
      <c r="G208" s="245">
        <f>+F207</f>
        <v>3814.8164428479977</v>
      </c>
      <c r="H208" s="245">
        <f>G208/G$42</f>
        <v>2.2980821944867458</v>
      </c>
    </row>
    <row r="209" spans="1:9" ht="11.25" customHeight="1" thickBot="1" x14ac:dyDescent="0.25">
      <c r="A209" s="99"/>
      <c r="E209" s="27"/>
      <c r="F209" s="27"/>
      <c r="G209" s="135"/>
      <c r="H209" s="135"/>
    </row>
    <row r="210" spans="1:9" ht="13.5" thickBot="1" x14ac:dyDescent="0.25">
      <c r="A210" s="12" t="s">
        <v>176</v>
      </c>
      <c r="B210" s="13"/>
      <c r="C210" s="16"/>
      <c r="D210" s="16"/>
      <c r="E210" s="17"/>
      <c r="F210" s="18"/>
      <c r="G210" s="244">
        <f>G208</f>
        <v>3814.8164428479977</v>
      </c>
      <c r="H210" s="244">
        <f>G210/G$42</f>
        <v>2.2980821944867458</v>
      </c>
    </row>
    <row r="211" spans="1:9" ht="13.5" thickBot="1" x14ac:dyDescent="0.25">
      <c r="A211" s="100"/>
      <c r="B211" s="6"/>
      <c r="C211" s="6"/>
      <c r="D211" s="6"/>
      <c r="E211" s="20"/>
      <c r="F211" s="20"/>
      <c r="G211" s="148"/>
      <c r="H211" s="148"/>
    </row>
    <row r="212" spans="1:9" ht="24.75" customHeight="1" thickBot="1" x14ac:dyDescent="0.25">
      <c r="A212" s="12" t="s">
        <v>177</v>
      </c>
      <c r="B212" s="13"/>
      <c r="C212" s="16"/>
      <c r="D212" s="16"/>
      <c r="E212" s="17"/>
      <c r="F212" s="18"/>
      <c r="G212" s="206">
        <f>G187+G210</f>
        <v>19756.38118521322</v>
      </c>
      <c r="H212" s="244">
        <f>G212/G$42</f>
        <v>11.901434448923627</v>
      </c>
      <c r="I212" s="34"/>
    </row>
    <row r="213" spans="1:9" ht="12.6" customHeight="1" x14ac:dyDescent="0.2">
      <c r="A213" s="104"/>
      <c r="B213" s="24"/>
      <c r="C213" s="24"/>
      <c r="D213" s="24"/>
      <c r="E213" s="25"/>
      <c r="F213" s="25"/>
      <c r="G213" s="149"/>
      <c r="H213" s="149"/>
    </row>
    <row r="214" spans="1:9" ht="16.149999999999999" customHeight="1" x14ac:dyDescent="0.2">
      <c r="A214" s="154" t="s">
        <v>178</v>
      </c>
      <c r="B214" s="215"/>
      <c r="C214" s="82"/>
      <c r="D214" s="82"/>
      <c r="E214" s="157">
        <f>E$200</f>
        <v>1660</v>
      </c>
      <c r="F214" s="156" t="s">
        <v>153</v>
      </c>
      <c r="G214" s="43"/>
      <c r="H214" s="43"/>
    </row>
    <row r="215" spans="1:9" ht="13.5" thickBot="1" x14ac:dyDescent="0.25">
      <c r="A215" s="99"/>
      <c r="E215" s="27"/>
      <c r="F215" s="27"/>
      <c r="G215" s="43"/>
      <c r="H215" s="43"/>
    </row>
    <row r="216" spans="1:9" ht="25.5" customHeight="1" thickBot="1" x14ac:dyDescent="0.25">
      <c r="A216" s="12" t="s">
        <v>179</v>
      </c>
      <c r="B216" s="13"/>
      <c r="C216" s="13"/>
      <c r="D216" s="13"/>
      <c r="E216" s="14"/>
      <c r="F216" s="155" t="s">
        <v>154</v>
      </c>
      <c r="G216" s="424">
        <f>IFERROR(G212/E214,"-")</f>
        <v>11.901434448923627</v>
      </c>
      <c r="H216" s="425"/>
    </row>
    <row r="217" spans="1:9" x14ac:dyDescent="0.2">
      <c r="A217" s="120"/>
      <c r="B217" s="121"/>
      <c r="C217" s="121"/>
      <c r="D217" s="121"/>
      <c r="E217" s="122"/>
      <c r="F217" s="122"/>
      <c r="G217" s="135"/>
      <c r="H217" s="135"/>
    </row>
    <row r="218" spans="1:9" x14ac:dyDescent="0.2">
      <c r="A218" s="134" t="s">
        <v>180</v>
      </c>
      <c r="B218" s="216"/>
      <c r="E218" s="27"/>
      <c r="F218" s="27"/>
      <c r="G218" s="43"/>
      <c r="H218" s="43"/>
    </row>
    <row r="219" spans="1:9" ht="11.25" customHeight="1" thickBot="1" x14ac:dyDescent="0.25">
      <c r="A219" s="99"/>
      <c r="E219" s="27"/>
      <c r="F219" s="27"/>
      <c r="G219" s="43"/>
      <c r="H219" s="43"/>
    </row>
    <row r="220" spans="1:9" ht="13.5" thickBot="1" x14ac:dyDescent="0.25">
      <c r="A220" s="240" t="s">
        <v>27</v>
      </c>
      <c r="B220" s="241"/>
      <c r="C220" s="236" t="s">
        <v>28</v>
      </c>
      <c r="D220" s="236" t="s">
        <v>21</v>
      </c>
      <c r="E220" s="237" t="s">
        <v>92</v>
      </c>
      <c r="F220" s="237" t="s">
        <v>29</v>
      </c>
      <c r="G220" s="238" t="s">
        <v>30</v>
      </c>
      <c r="H220" s="238" t="s">
        <v>154</v>
      </c>
    </row>
    <row r="221" spans="1:9" ht="13.5" thickBot="1" x14ac:dyDescent="0.25">
      <c r="A221" s="101" t="s">
        <v>181</v>
      </c>
      <c r="B221" s="213"/>
      <c r="C221" s="8" t="s">
        <v>0</v>
      </c>
      <c r="D221" s="44">
        <f>BDI!C35*100</f>
        <v>16.93</v>
      </c>
      <c r="E221" s="9">
        <f>G188</f>
        <v>15080.758241074314</v>
      </c>
      <c r="F221" s="9">
        <f>D221*E221/100</f>
        <v>2553.1723702138815</v>
      </c>
      <c r="G221" s="136"/>
      <c r="H221" s="136"/>
    </row>
    <row r="222" spans="1:9" ht="13.5" thickBot="1" x14ac:dyDescent="0.25">
      <c r="A222" s="99"/>
      <c r="E222" s="27"/>
      <c r="F222" s="27"/>
      <c r="G222" s="245">
        <f>+F221</f>
        <v>2553.1723702138815</v>
      </c>
      <c r="H222" s="245">
        <f>G222/G$42</f>
        <v>1.5380556447071576</v>
      </c>
    </row>
    <row r="223" spans="1:9" ht="11.25" customHeight="1" thickBot="1" x14ac:dyDescent="0.25">
      <c r="A223" s="99"/>
      <c r="E223" s="27"/>
      <c r="F223" s="27"/>
      <c r="G223" s="135"/>
      <c r="H223" s="135"/>
    </row>
    <row r="224" spans="1:9" ht="13.5" thickBot="1" x14ac:dyDescent="0.25">
      <c r="A224" s="12" t="s">
        <v>182</v>
      </c>
      <c r="B224" s="13"/>
      <c r="C224" s="16"/>
      <c r="D224" s="16"/>
      <c r="E224" s="17"/>
      <c r="F224" s="18"/>
      <c r="G224" s="244">
        <f>G222</f>
        <v>2553.1723702138815</v>
      </c>
      <c r="H224" s="244">
        <f>G224/G$42</f>
        <v>1.5380556447071576</v>
      </c>
    </row>
    <row r="225" spans="1:12" ht="13.5" thickBot="1" x14ac:dyDescent="0.25">
      <c r="A225" s="100"/>
      <c r="B225" s="6"/>
      <c r="C225" s="6"/>
      <c r="D225" s="6"/>
      <c r="E225" s="20"/>
      <c r="F225" s="20"/>
      <c r="G225" s="148"/>
      <c r="H225" s="148"/>
    </row>
    <row r="226" spans="1:12" ht="24.75" customHeight="1" thickBot="1" x14ac:dyDescent="0.25">
      <c r="A226" s="12" t="s">
        <v>183</v>
      </c>
      <c r="B226" s="13"/>
      <c r="C226" s="16"/>
      <c r="D226" s="16"/>
      <c r="E226" s="17"/>
      <c r="F226" s="18"/>
      <c r="G226" s="244">
        <f>E221+G224</f>
        <v>17633.930611288197</v>
      </c>
      <c r="H226" s="244">
        <f>G226/G$42</f>
        <v>10.622849765836262</v>
      </c>
      <c r="I226" s="34"/>
    </row>
    <row r="227" spans="1:12" ht="12.6" customHeight="1" x14ac:dyDescent="0.2">
      <c r="A227" s="104"/>
      <c r="B227" s="24"/>
      <c r="C227" s="24"/>
      <c r="D227" s="24"/>
      <c r="E227" s="25"/>
      <c r="F227" s="25"/>
      <c r="G227" s="149"/>
      <c r="H227" s="149"/>
      <c r="I227" s="34"/>
    </row>
    <row r="228" spans="1:12" ht="12.6" customHeight="1" x14ac:dyDescent="0.2">
      <c r="A228" s="104" t="s">
        <v>125</v>
      </c>
      <c r="B228" s="24"/>
      <c r="C228" s="24"/>
      <c r="D228" s="24"/>
      <c r="E228" s="25"/>
      <c r="F228" s="25"/>
      <c r="G228" s="151"/>
      <c r="H228" s="151"/>
    </row>
    <row r="229" spans="1:12" x14ac:dyDescent="0.2">
      <c r="A229" s="153" t="s">
        <v>122</v>
      </c>
      <c r="B229" s="6"/>
      <c r="E229" s="27"/>
      <c r="F229" s="27"/>
      <c r="G229" s="43"/>
      <c r="H229" s="43"/>
    </row>
    <row r="230" spans="1:12" x14ac:dyDescent="0.2">
      <c r="A230" s="100" t="s">
        <v>120</v>
      </c>
      <c r="B230" s="6"/>
      <c r="E230" s="27"/>
      <c r="F230" s="27"/>
      <c r="G230" s="43"/>
      <c r="H230" s="43"/>
    </row>
    <row r="231" spans="1:12" x14ac:dyDescent="0.2">
      <c r="A231" s="426" t="str">
        <f>'lote 16.1'!A230</f>
        <v>De R$ 720.000,01 até R$ 1.800.000,00</v>
      </c>
      <c r="B231" s="415"/>
      <c r="E231" s="27"/>
      <c r="F231" s="27"/>
      <c r="G231" s="43"/>
      <c r="H231" s="43"/>
    </row>
    <row r="232" spans="1:12" ht="11.25" customHeight="1" thickBot="1" x14ac:dyDescent="0.25">
      <c r="A232" s="123"/>
      <c r="E232" s="27"/>
      <c r="F232" s="27"/>
      <c r="G232" s="43"/>
      <c r="H232" s="43"/>
      <c r="I232" s="34">
        <f>'lote 16.1'!I236</f>
        <v>281996.44289131608</v>
      </c>
    </row>
    <row r="233" spans="1:12" ht="15.75" thickBot="1" x14ac:dyDescent="0.3">
      <c r="A233" s="240" t="s">
        <v>27</v>
      </c>
      <c r="B233" s="241"/>
      <c r="C233" s="236" t="s">
        <v>28</v>
      </c>
      <c r="D233" s="236" t="s">
        <v>21</v>
      </c>
      <c r="E233" s="237" t="s">
        <v>121</v>
      </c>
      <c r="F233" s="237" t="s">
        <v>29</v>
      </c>
      <c r="G233" s="238" t="s">
        <v>30</v>
      </c>
      <c r="H233" s="238" t="s">
        <v>154</v>
      </c>
      <c r="I233" s="131">
        <f>'lote 16.2'!I237</f>
        <v>294935.99355583155</v>
      </c>
      <c r="J233" s="132"/>
      <c r="K233" s="131"/>
    </row>
    <row r="234" spans="1:12" ht="15.75" thickBot="1" x14ac:dyDescent="0.3">
      <c r="A234" s="405" t="s">
        <v>184</v>
      </c>
      <c r="B234" s="390"/>
      <c r="C234" s="124" t="s">
        <v>0</v>
      </c>
      <c r="D234" s="330">
        <f>'lote 16.1'!D233</f>
        <v>11.63</v>
      </c>
      <c r="E234" s="125">
        <f>G226</f>
        <v>17633.930611288197</v>
      </c>
      <c r="F234" s="9">
        <f>G237*(D234/100)</f>
        <v>2320.7266381043537</v>
      </c>
      <c r="G234" s="136"/>
      <c r="H234" s="136"/>
      <c r="I234" s="34">
        <f>G237*12</f>
        <v>239455.88699271058</v>
      </c>
      <c r="J234" s="133">
        <f>I235*J235/100</f>
        <v>130622.1317503773</v>
      </c>
      <c r="K234" s="131">
        <v>35640</v>
      </c>
      <c r="L234" s="358">
        <f>K235/I235</f>
        <v>0.11634430457085594</v>
      </c>
    </row>
    <row r="235" spans="1:12" ht="15.75" thickBot="1" x14ac:dyDescent="0.3">
      <c r="A235" s="99"/>
      <c r="E235" s="27"/>
      <c r="F235" s="27"/>
      <c r="G235" s="244">
        <f>F234</f>
        <v>2320.7266381043537</v>
      </c>
      <c r="H235" s="244">
        <f>G235/G$42</f>
        <v>1.3980280952435866</v>
      </c>
      <c r="I235" s="131">
        <f>I234+'lote 16.2'!I237+'lote 16.1'!I236</f>
        <v>816388.32343985816</v>
      </c>
      <c r="J235" s="131">
        <v>16</v>
      </c>
      <c r="K235" s="131">
        <f>J234-K234</f>
        <v>94982.131750377303</v>
      </c>
    </row>
    <row r="236" spans="1:12" ht="15.75" thickBot="1" x14ac:dyDescent="0.3">
      <c r="A236" s="126"/>
      <c r="B236" s="127"/>
      <c r="C236" s="127"/>
      <c r="D236" s="127"/>
      <c r="E236" s="128"/>
      <c r="F236" s="128"/>
      <c r="G236" s="152"/>
      <c r="H236" s="152"/>
      <c r="I236" s="133"/>
      <c r="J236" s="133"/>
      <c r="K236" s="133"/>
    </row>
    <row r="237" spans="1:12" ht="24.75" customHeight="1" thickBot="1" x14ac:dyDescent="0.3">
      <c r="A237" s="12" t="s">
        <v>185</v>
      </c>
      <c r="B237" s="13"/>
      <c r="C237" s="16"/>
      <c r="D237" s="16"/>
      <c r="E237" s="17"/>
      <c r="F237" s="18"/>
      <c r="G237" s="206">
        <f>E234/((100-D234)/100)</f>
        <v>19954.657249392549</v>
      </c>
      <c r="H237" s="244">
        <f>G237/G$42</f>
        <v>12.020877861079848</v>
      </c>
      <c r="I237" s="133"/>
      <c r="J237" s="133"/>
      <c r="K237" s="132"/>
    </row>
    <row r="238" spans="1:12" ht="12.6" customHeight="1" x14ac:dyDescent="0.2">
      <c r="A238" s="104"/>
      <c r="B238" s="24"/>
      <c r="C238" s="24"/>
      <c r="D238" s="24"/>
      <c r="E238" s="25"/>
      <c r="F238" s="25"/>
      <c r="G238" s="149"/>
      <c r="H238" s="149"/>
    </row>
    <row r="239" spans="1:12" ht="16.149999999999999" customHeight="1" x14ac:dyDescent="0.2">
      <c r="A239" s="154" t="s">
        <v>186</v>
      </c>
      <c r="B239" s="215"/>
      <c r="C239" s="82"/>
      <c r="D239" s="82"/>
      <c r="E239" s="157">
        <f>E$200</f>
        <v>1660</v>
      </c>
      <c r="F239" s="156" t="s">
        <v>153</v>
      </c>
      <c r="G239" s="43"/>
      <c r="H239" s="43"/>
    </row>
    <row r="240" spans="1:12" ht="13.5" thickBot="1" x14ac:dyDescent="0.25">
      <c r="A240" s="99"/>
      <c r="E240" s="27"/>
      <c r="F240" s="27"/>
      <c r="G240" s="43"/>
      <c r="H240" s="43"/>
    </row>
    <row r="241" spans="1:8" ht="25.5" customHeight="1" thickBot="1" x14ac:dyDescent="0.25">
      <c r="A241" s="12" t="s">
        <v>187</v>
      </c>
      <c r="B241" s="13"/>
      <c r="C241" s="13"/>
      <c r="D241" s="13"/>
      <c r="E241" s="14"/>
      <c r="F241" s="155" t="s">
        <v>154</v>
      </c>
      <c r="G241" s="424">
        <f>IFERROR(G237/E239,"-")</f>
        <v>12.020877861079848</v>
      </c>
      <c r="H241" s="425"/>
    </row>
    <row r="242" spans="1:8" ht="9" customHeight="1" x14ac:dyDescent="0.2">
      <c r="E242" s="4"/>
      <c r="F242" s="4"/>
      <c r="G242" s="4"/>
      <c r="H242" s="27"/>
    </row>
    <row r="243" spans="1:8" x14ac:dyDescent="0.2">
      <c r="H243" s="27"/>
    </row>
    <row r="244" spans="1:8" x14ac:dyDescent="0.2">
      <c r="H244" s="27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6"/>
      <c r="D248" s="6"/>
      <c r="E248" s="317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A251" s="6"/>
      <c r="B251" s="6"/>
      <c r="C251" s="423"/>
      <c r="D251" s="423"/>
      <c r="E251" s="423"/>
      <c r="F251" s="317"/>
      <c r="G251" s="317"/>
      <c r="H251" s="20"/>
    </row>
    <row r="252" spans="1:8" x14ac:dyDescent="0.2">
      <c r="H252" s="27"/>
    </row>
    <row r="253" spans="1:8" x14ac:dyDescent="0.2">
      <c r="H253" s="27"/>
    </row>
    <row r="254" spans="1:8" x14ac:dyDescent="0.2">
      <c r="H254" s="27"/>
    </row>
  </sheetData>
  <mergeCells count="134">
    <mergeCell ref="C249:E249"/>
    <mergeCell ref="C250:E250"/>
    <mergeCell ref="C251:E251"/>
    <mergeCell ref="A1:H1"/>
    <mergeCell ref="D3:E3"/>
    <mergeCell ref="G3:H3"/>
    <mergeCell ref="C7:D7"/>
    <mergeCell ref="E7:F7"/>
    <mergeCell ref="G7:H7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43:B43"/>
    <mergeCell ref="D45:G45"/>
    <mergeCell ref="A46:B46"/>
    <mergeCell ref="D46:F46"/>
    <mergeCell ref="A47:B47"/>
    <mergeCell ref="D47:G47"/>
    <mergeCell ref="A35:B35"/>
    <mergeCell ref="A36:B36"/>
    <mergeCell ref="A38:B38"/>
    <mergeCell ref="A39:B39"/>
    <mergeCell ref="A41:B41"/>
    <mergeCell ref="A42:B42"/>
    <mergeCell ref="A37:B37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115:B115"/>
    <mergeCell ref="A116:B116"/>
    <mergeCell ref="A117:B117"/>
    <mergeCell ref="A120:B120"/>
    <mergeCell ref="A121:B121"/>
    <mergeCell ref="A122:B122"/>
    <mergeCell ref="A90:B90"/>
    <mergeCell ref="A91:B91"/>
    <mergeCell ref="A96:B96"/>
    <mergeCell ref="A97:B97"/>
    <mergeCell ref="A113:B113"/>
    <mergeCell ref="A114:B114"/>
    <mergeCell ref="A102:B102"/>
    <mergeCell ref="A103:B103"/>
    <mergeCell ref="A133:B133"/>
    <mergeCell ref="A134:B134"/>
    <mergeCell ref="A135:B135"/>
    <mergeCell ref="A136:B136"/>
    <mergeCell ref="A137:B137"/>
    <mergeCell ref="A138:B138"/>
    <mergeCell ref="A123:B123"/>
    <mergeCell ref="A124:B124"/>
    <mergeCell ref="A125:B125"/>
    <mergeCell ref="A126:B126"/>
    <mergeCell ref="A127:B127"/>
    <mergeCell ref="A128:B128"/>
    <mergeCell ref="A148:B148"/>
    <mergeCell ref="A149:B149"/>
    <mergeCell ref="A150:B150"/>
    <mergeCell ref="A151:B151"/>
    <mergeCell ref="A152:B152"/>
    <mergeCell ref="A153:B153"/>
    <mergeCell ref="A139:B139"/>
    <mergeCell ref="A140:B140"/>
    <mergeCell ref="A144:B144"/>
    <mergeCell ref="A145:B145"/>
    <mergeCell ref="A146:B146"/>
    <mergeCell ref="A147:B147"/>
    <mergeCell ref="A166:B166"/>
    <mergeCell ref="A167:B167"/>
    <mergeCell ref="A169:B169"/>
    <mergeCell ref="A170:B170"/>
    <mergeCell ref="A177:B177"/>
    <mergeCell ref="A178:B178"/>
    <mergeCell ref="A154:B154"/>
    <mergeCell ref="A155:B155"/>
    <mergeCell ref="A159:B159"/>
    <mergeCell ref="A160:B160"/>
    <mergeCell ref="A161:B161"/>
    <mergeCell ref="A162:B162"/>
    <mergeCell ref="A168:B168"/>
    <mergeCell ref="G241:H241"/>
    <mergeCell ref="A200:B200"/>
    <mergeCell ref="G202:H202"/>
    <mergeCell ref="A207:B207"/>
    <mergeCell ref="G216:H216"/>
    <mergeCell ref="A231:B231"/>
    <mergeCell ref="A234:B234"/>
    <mergeCell ref="A179:B179"/>
    <mergeCell ref="A180:B180"/>
    <mergeCell ref="A181:B181"/>
    <mergeCell ref="A182:B182"/>
    <mergeCell ref="A192:B192"/>
    <mergeCell ref="A193:B193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1" max="16383" man="1"/>
    <brk id="202" max="16383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K254"/>
  <sheetViews>
    <sheetView topLeftCell="A224" zoomScaleNormal="100" zoomScaleSheetLayoutView="110" workbookViewId="0">
      <selection activeCell="M239" sqref="M239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LOTE20.1!B3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17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+G107</f>
        <v>7487.1573936363638</v>
      </c>
      <c r="D9" s="40">
        <f t="shared" ref="D9:D23" si="0">IFERROR(C9/$C$26,0)</f>
        <v>0.25331581655507385</v>
      </c>
      <c r="E9" s="106">
        <f>G107</f>
        <v>7487.1573936363638</v>
      </c>
      <c r="F9" s="40">
        <f t="shared" ref="F9:F22" si="1">IFERROR(E9/$E$26,0)</f>
        <v>0.2693000793280963</v>
      </c>
      <c r="G9" s="106">
        <f>G108</f>
        <v>6280.3568228945442</v>
      </c>
      <c r="H9" s="40">
        <f t="shared" ref="H9:H22" si="2">IFERROR(G9/$G$26,0)</f>
        <v>0.23184951525333578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2392.1075093181817</v>
      </c>
      <c r="D10" s="26">
        <f t="shared" si="0"/>
        <v>8.0933074483713632E-2</v>
      </c>
      <c r="E10" s="107">
        <f t="shared" ref="E10:E22" si="3">C10</f>
        <v>2392.1075093181817</v>
      </c>
      <c r="F10" s="26">
        <f t="shared" si="1"/>
        <v>8.6039962585566607E-2</v>
      </c>
      <c r="G10" s="107">
        <f>G67</f>
        <v>1889.4806529018178</v>
      </c>
      <c r="H10" s="26">
        <f t="shared" si="2"/>
        <v>6.9753229921407409E-2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3301.9628843181818</v>
      </c>
      <c r="D11" s="26">
        <f t="shared" si="0"/>
        <v>0.1117165541339535</v>
      </c>
      <c r="E11" s="107">
        <f t="shared" si="3"/>
        <v>3301.9628843181818</v>
      </c>
      <c r="F11" s="26">
        <f t="shared" si="1"/>
        <v>0.11876588402443615</v>
      </c>
      <c r="G11" s="107">
        <f>G84</f>
        <v>2597.7891699927272</v>
      </c>
      <c r="H11" s="26">
        <f t="shared" si="2"/>
        <v>9.5901582788665174E-2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241.60745454545454</v>
      </c>
      <c r="D12" s="26">
        <f t="shared" si="0"/>
        <v>8.1743960245838545E-3</v>
      </c>
      <c r="E12" s="107">
        <f t="shared" si="3"/>
        <v>241.60745454545454</v>
      </c>
      <c r="F12" s="26">
        <f t="shared" si="1"/>
        <v>8.6902015350514214E-3</v>
      </c>
      <c r="G12" s="107">
        <f t="shared" ref="G12:G21" si="4">E12</f>
        <v>241.60745454545454</v>
      </c>
      <c r="H12" s="26">
        <f t="shared" si="2"/>
        <v>8.9193293944305856E-3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1509.6363636363635</v>
      </c>
      <c r="D13" s="26">
        <f t="shared" si="0"/>
        <v>5.1076095779795876E-2</v>
      </c>
      <c r="E13" s="107">
        <f t="shared" si="3"/>
        <v>1509.6363636363635</v>
      </c>
      <c r="F13" s="26">
        <f t="shared" si="1"/>
        <v>5.4299004429824146E-2</v>
      </c>
      <c r="G13" s="107">
        <f t="shared" si="4"/>
        <v>1509.6363636363635</v>
      </c>
      <c r="H13" s="26">
        <f t="shared" si="2"/>
        <v>5.5730664512877878E-2</v>
      </c>
      <c r="I13" s="4"/>
    </row>
    <row r="14" spans="1:9" s="2" customFormat="1" ht="15.75" customHeight="1" x14ac:dyDescent="0.2">
      <c r="A14" s="337" t="s">
        <v>300</v>
      </c>
      <c r="B14" s="336"/>
      <c r="C14" s="107">
        <f>G104</f>
        <v>41.843181818181819</v>
      </c>
      <c r="D14" s="26">
        <f t="shared" si="0"/>
        <v>1.4156961330269511E-3</v>
      </c>
      <c r="E14" s="107">
        <f>C14</f>
        <v>41.843181818181819</v>
      </c>
      <c r="F14" s="26">
        <f t="shared" si="1"/>
        <v>1.505026753217952E-3</v>
      </c>
      <c r="G14" s="107">
        <f>E14</f>
        <v>41.843181818181819</v>
      </c>
      <c r="H14" s="26">
        <f t="shared" si="2"/>
        <v>1.5447086359547675E-3</v>
      </c>
      <c r="I14" s="4"/>
    </row>
    <row r="15" spans="1:9" s="6" customFormat="1" ht="15.75" customHeight="1" x14ac:dyDescent="0.2">
      <c r="A15" s="363" t="str">
        <f>A110</f>
        <v>2. Veículos</v>
      </c>
      <c r="B15" s="364"/>
      <c r="C15" s="106">
        <f>+G173</f>
        <v>14859.745644031336</v>
      </c>
      <c r="D15" s="40">
        <f t="shared" si="0"/>
        <v>0.50275537212799237</v>
      </c>
      <c r="E15" s="106">
        <f t="shared" si="3"/>
        <v>14859.745644031336</v>
      </c>
      <c r="F15" s="40">
        <f t="shared" si="1"/>
        <v>0.53447930507434027</v>
      </c>
      <c r="G15" s="106">
        <f t="shared" si="4"/>
        <v>14859.745644031336</v>
      </c>
      <c r="H15" s="40">
        <f t="shared" si="2"/>
        <v>0.54857150979021418</v>
      </c>
      <c r="I15" s="4"/>
    </row>
    <row r="16" spans="1:9" s="2" customFormat="1" ht="15.75" customHeight="1" x14ac:dyDescent="0.2">
      <c r="A16" s="376" t="str">
        <f>A111</f>
        <v>2.1 Depreciação</v>
      </c>
      <c r="B16" s="364"/>
      <c r="C16" s="107">
        <f>G118</f>
        <v>1801.6388739469701</v>
      </c>
      <c r="D16" s="46">
        <f t="shared" si="0"/>
        <v>6.0955526710195683E-2</v>
      </c>
      <c r="E16" s="107">
        <f t="shared" si="3"/>
        <v>1801.6388739469701</v>
      </c>
      <c r="F16" s="46">
        <f t="shared" si="1"/>
        <v>6.4801828807135323E-2</v>
      </c>
      <c r="G16" s="107">
        <f t="shared" si="4"/>
        <v>1801.6388739469701</v>
      </c>
      <c r="H16" s="46">
        <f t="shared" si="2"/>
        <v>6.6510408781782146E-2</v>
      </c>
      <c r="I16" s="4"/>
    </row>
    <row r="17" spans="1:10" s="2" customFormat="1" ht="15.75" customHeight="1" x14ac:dyDescent="0.2">
      <c r="A17" s="376" t="str">
        <f>A119</f>
        <v>2.2 Remuneração do Capital</v>
      </c>
      <c r="B17" s="364"/>
      <c r="C17" s="107">
        <f>G129</f>
        <v>2881.206289273759</v>
      </c>
      <c r="D17" s="46">
        <f t="shared" si="0"/>
        <v>9.7480937752334379E-2</v>
      </c>
      <c r="E17" s="107">
        <f t="shared" si="3"/>
        <v>2881.206289273759</v>
      </c>
      <c r="F17" s="46">
        <f t="shared" si="1"/>
        <v>0.10363199829637743</v>
      </c>
      <c r="G17" s="107">
        <f t="shared" si="4"/>
        <v>2881.206289273759</v>
      </c>
      <c r="H17" s="46">
        <f t="shared" si="2"/>
        <v>0.10636438348181416</v>
      </c>
      <c r="I17" s="4"/>
    </row>
    <row r="18" spans="1:10" s="2" customFormat="1" ht="15.75" customHeight="1" x14ac:dyDescent="0.2">
      <c r="A18" s="376" t="str">
        <f>A131</f>
        <v>2.3. Impostos e Seguros</v>
      </c>
      <c r="B18" s="364"/>
      <c r="C18" s="107">
        <f>G141</f>
        <v>689.56500000000005</v>
      </c>
      <c r="D18" s="46">
        <f t="shared" si="0"/>
        <v>2.3330312408186466E-2</v>
      </c>
      <c r="E18" s="107">
        <f t="shared" si="3"/>
        <v>689.56500000000005</v>
      </c>
      <c r="F18" s="46">
        <f t="shared" si="1"/>
        <v>2.4802458321460233E-2</v>
      </c>
      <c r="G18" s="107">
        <f t="shared" si="4"/>
        <v>689.56500000000005</v>
      </c>
      <c r="H18" s="46">
        <f t="shared" si="2"/>
        <v>2.5456405661992594E-2</v>
      </c>
      <c r="I18" s="4"/>
    </row>
    <row r="19" spans="1:10" s="2" customFormat="1" ht="15.75" customHeight="1" x14ac:dyDescent="0.2">
      <c r="A19" s="376" t="str">
        <f>A142</f>
        <v>2.4. Consumos</v>
      </c>
      <c r="B19" s="364"/>
      <c r="C19" s="107">
        <f>G156</f>
        <v>4209.5461474772737</v>
      </c>
      <c r="D19" s="46">
        <f t="shared" si="0"/>
        <v>0.14242316056836204</v>
      </c>
      <c r="E19" s="107">
        <f t="shared" si="3"/>
        <v>4209.5461474772737</v>
      </c>
      <c r="F19" s="46">
        <f t="shared" si="1"/>
        <v>0.15141008153701038</v>
      </c>
      <c r="G19" s="107">
        <f t="shared" si="4"/>
        <v>4209.5461474772737</v>
      </c>
      <c r="H19" s="46">
        <f t="shared" si="2"/>
        <v>0.15540219469239241</v>
      </c>
      <c r="I19" s="4"/>
    </row>
    <row r="20" spans="1:10" s="2" customFormat="1" ht="15.75" customHeight="1" x14ac:dyDescent="0.2">
      <c r="A20" s="376" t="str">
        <f>A158</f>
        <v>2.5. Manutenção</v>
      </c>
      <c r="B20" s="364"/>
      <c r="C20" s="107">
        <f>G163</f>
        <v>4698.5</v>
      </c>
      <c r="D20" s="46">
        <f t="shared" si="0"/>
        <v>0.15896612045255212</v>
      </c>
      <c r="E20" s="107">
        <f t="shared" si="3"/>
        <v>4698.5</v>
      </c>
      <c r="F20" s="46">
        <f t="shared" si="1"/>
        <v>0.16899690445916032</v>
      </c>
      <c r="G20" s="107">
        <f t="shared" si="4"/>
        <v>4698.5</v>
      </c>
      <c r="H20" s="46">
        <f t="shared" si="2"/>
        <v>0.17345271584676164</v>
      </c>
      <c r="I20" s="4"/>
    </row>
    <row r="21" spans="1:10" s="2" customFormat="1" ht="15.75" customHeight="1" x14ac:dyDescent="0.2">
      <c r="A21" s="376" t="str">
        <f>A165</f>
        <v>2.6. Pneus</v>
      </c>
      <c r="B21" s="364"/>
      <c r="C21" s="107">
        <f>G171</f>
        <v>579.28933333333339</v>
      </c>
      <c r="D21" s="46">
        <f t="shared" si="0"/>
        <v>1.9599314236361666E-2</v>
      </c>
      <c r="E21" s="107">
        <f t="shared" si="3"/>
        <v>579.28933333333339</v>
      </c>
      <c r="F21" s="46">
        <f t="shared" si="1"/>
        <v>2.0836033653196556E-2</v>
      </c>
      <c r="G21" s="107">
        <f t="shared" si="4"/>
        <v>579.28933333333339</v>
      </c>
      <c r="H21" s="46">
        <f t="shared" si="2"/>
        <v>2.1385401325471249E-2</v>
      </c>
      <c r="I21" s="4"/>
    </row>
    <row r="22" spans="1:10" s="6" customFormat="1" ht="15.75" customHeight="1" x14ac:dyDescent="0.2">
      <c r="A22" s="363" t="str">
        <f>A175</f>
        <v>3. Ferramentas e Materiais de Consumo</v>
      </c>
      <c r="B22" s="364"/>
      <c r="C22" s="106">
        <f>+G185</f>
        <v>86.958333333333329</v>
      </c>
      <c r="D22" s="40">
        <f t="shared" si="0"/>
        <v>2.9420940493816842E-3</v>
      </c>
      <c r="E22" s="106">
        <f t="shared" si="3"/>
        <v>86.958333333333329</v>
      </c>
      <c r="F22" s="40">
        <f t="shared" si="1"/>
        <v>3.127740587477099E-3</v>
      </c>
      <c r="G22" s="106">
        <f>E22</f>
        <v>86.958333333333329</v>
      </c>
      <c r="H22" s="40">
        <f t="shared" si="2"/>
        <v>3.2102073176917415E-3</v>
      </c>
      <c r="I22" s="4"/>
    </row>
    <row r="23" spans="1:10" s="6" customFormat="1" ht="15.75" customHeight="1" x14ac:dyDescent="0.2">
      <c r="A23" s="377" t="str">
        <f>A190</f>
        <v>4. Benefícios e Desp. Ind. - BDI - LUCRO REAL</v>
      </c>
      <c r="B23" s="364"/>
      <c r="C23" s="106">
        <f>+G196</f>
        <v>7122.750985292827</v>
      </c>
      <c r="D23" s="40">
        <f t="shared" si="0"/>
        <v>0.24098671726755216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A204</f>
        <v>5. Benefícios e Desp. Ind. - BDI - LUCRO PRESUMIDO</v>
      </c>
      <c r="B24" s="364"/>
      <c r="C24" s="115"/>
      <c r="D24" s="111"/>
      <c r="E24" s="106">
        <f>G210</f>
        <v>5368.4230260805471</v>
      </c>
      <c r="F24" s="40">
        <f>IFERROR(E24/$E$26,0)</f>
        <v>0.19309287501008632</v>
      </c>
      <c r="G24" s="113"/>
      <c r="H24" s="114"/>
      <c r="I24" s="4"/>
    </row>
    <row r="25" spans="1:10" s="6" customFormat="1" ht="15.75" customHeight="1" thickBot="1" x14ac:dyDescent="0.25">
      <c r="A25" s="378" t="str">
        <f>A218</f>
        <v>6. Benef. Desp. Ind. + Impostos - SIMPLES NACIONAL</v>
      </c>
      <c r="B25" s="379"/>
      <c r="C25" s="116"/>
      <c r="D25" s="117"/>
      <c r="E25" s="118"/>
      <c r="F25" s="109"/>
      <c r="G25" s="119">
        <f>G222+G235</f>
        <v>5861.0131861460013</v>
      </c>
      <c r="H25" s="108">
        <f>IFERROR(G25/$G$26,0)</f>
        <v>0.21636876763875823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29556.612356293859</v>
      </c>
      <c r="D26" s="45">
        <f>D9+D15+D22+D23</f>
        <v>1</v>
      </c>
      <c r="E26" s="129">
        <f>E9+E15+E22+E24</f>
        <v>27802.284397081581</v>
      </c>
      <c r="F26" s="45">
        <f>F9+F15+F22+F24</f>
        <v>1</v>
      </c>
      <c r="G26" s="129">
        <f>G9+G15+G22+G25</f>
        <v>27088.073986405216</v>
      </c>
      <c r="H26" s="45">
        <f>H9+H15+H22+H25</f>
        <v>0.99999999999999989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G202</f>
        <v>11.879667345777275</v>
      </c>
      <c r="D27" s="45"/>
      <c r="E27" s="129">
        <f>G216</f>
        <v>11.174551606544044</v>
      </c>
      <c r="F27" s="45"/>
      <c r="G27" s="129">
        <f>G241</f>
        <v>10.887489544375086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LOTE20.1!G31</f>
        <v>2271</v>
      </c>
      <c r="H31" s="193"/>
      <c r="I31" s="4"/>
    </row>
    <row r="32" spans="1:10" s="2" customFormat="1" ht="15" customHeight="1" x14ac:dyDescent="0.2">
      <c r="A32" s="376" t="s">
        <v>251</v>
      </c>
      <c r="B32" s="397"/>
      <c r="C32" s="28"/>
      <c r="D32" s="28"/>
      <c r="E32" s="28"/>
      <c r="F32" s="331">
        <v>1</v>
      </c>
      <c r="G32" s="332">
        <f>LOTE20.1!G32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356">
        <v>18</v>
      </c>
      <c r="F36" s="262">
        <v>1</v>
      </c>
      <c r="G36" s="259">
        <v>404278</v>
      </c>
      <c r="H36" s="193"/>
      <c r="I36" s="4"/>
    </row>
    <row r="37" spans="1:9" s="2" customFormat="1" ht="36" customHeight="1" x14ac:dyDescent="0.2">
      <c r="A37" s="386" t="s">
        <v>290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LOTE20.1!G38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124.4</v>
      </c>
      <c r="F42" s="161">
        <f>(E42/F39)+C48</f>
        <v>7.2200000000000006</v>
      </c>
      <c r="G42" s="186">
        <f>E42*E43</f>
        <v>2488</v>
      </c>
      <c r="H42" s="193"/>
      <c r="I42" s="6">
        <f>(1512+476+500)/20</f>
        <v>124.4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25253.200000000001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0.82045454545454544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0.25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298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0.82045454545454544</v>
      </c>
      <c r="G60" s="239">
        <f>F59*F60</f>
        <v>2392.1075093181817</v>
      </c>
      <c r="H60" s="239">
        <f>G60/G$42</f>
        <v>0.96145800213753285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por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0.82045454545454544</v>
      </c>
      <c r="G67" s="239">
        <f>F66*F67</f>
        <v>1889.4806529018178</v>
      </c>
      <c r="H67" s="239">
        <f>G67/G$42</f>
        <v>0.75943756145571462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por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0.82045454545454544</v>
      </c>
      <c r="G77" s="239">
        <f>F76*F77</f>
        <v>3301.9628843181818</v>
      </c>
      <c r="H77" s="239">
        <f>G77/G$42</f>
        <v>1.3271555001278865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A57</f>
        <v>Prêmio por assiduidade ( verba indenizatória)</v>
      </c>
      <c r="B81" s="338"/>
      <c r="C81" s="105"/>
      <c r="D81" s="344">
        <v>1</v>
      </c>
      <c r="E81" s="345">
        <v>150</v>
      </c>
      <c r="F81" s="346"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0.82045454545454544</v>
      </c>
      <c r="G84" s="239">
        <f>F83*F84</f>
        <v>2597.7891699927272</v>
      </c>
      <c r="H84" s="239">
        <f>G84/G$42</f>
        <v>1.0441274799006139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LOTE20.1!E88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0.82045454545454544</v>
      </c>
      <c r="G92" s="239">
        <f>SUM(F88:F91)*F92</f>
        <v>241.60745454545454</v>
      </c>
      <c r="H92" s="239">
        <f>G92/G$42</f>
        <v>9.7109105524700381E-2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LOTE20.1!E96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0.82045454545454544</v>
      </c>
      <c r="G98" s="239">
        <f>SUM(F96:F97)*F98</f>
        <v>1509.6363636363635</v>
      </c>
      <c r="H98" s="239">
        <f>G98/G$42</f>
        <v>0.60676702718503361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301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0.82045454545454544</v>
      </c>
      <c r="G104" s="239">
        <f>SUM(F102:F103)*F104</f>
        <v>41.843181818181819</v>
      </c>
      <c r="H104" s="239">
        <f>G104/G$42</f>
        <v>1.6817999123063431E-2</v>
      </c>
    </row>
    <row r="105" spans="1:8" ht="13.5" thickBot="1" x14ac:dyDescent="0.25">
      <c r="A105" s="99"/>
      <c r="E105" s="27"/>
      <c r="F105" s="27"/>
      <c r="G105" s="135"/>
      <c r="H105" s="198"/>
    </row>
    <row r="106" spans="1:8" ht="13.5" thickBot="1" x14ac:dyDescent="0.25">
      <c r="A106" s="99"/>
      <c r="E106" s="27"/>
      <c r="F106" s="27"/>
      <c r="G106" s="135"/>
      <c r="H106" s="198"/>
    </row>
    <row r="107" spans="1:8" ht="13.5" thickBot="1" x14ac:dyDescent="0.25">
      <c r="A107" s="12" t="s">
        <v>106</v>
      </c>
      <c r="B107" s="13"/>
      <c r="C107" s="13"/>
      <c r="D107" s="13"/>
      <c r="E107" s="14"/>
      <c r="F107" s="15"/>
      <c r="G107" s="242">
        <f>SUM(G54:G99)-G67-G84+G104</f>
        <v>7487.1573936363638</v>
      </c>
      <c r="H107" s="243">
        <f>G107/G$42</f>
        <v>3.0093076340982168</v>
      </c>
    </row>
    <row r="108" spans="1:8" ht="13.5" thickBot="1" x14ac:dyDescent="0.25">
      <c r="A108" s="12" t="s">
        <v>107</v>
      </c>
      <c r="B108" s="13"/>
      <c r="C108" s="13"/>
      <c r="D108" s="13"/>
      <c r="E108" s="14"/>
      <c r="F108" s="15"/>
      <c r="G108" s="244">
        <f>SUM(G54:G99)-G60-G77+G104</f>
        <v>6280.3568228945442</v>
      </c>
      <c r="H108" s="239">
        <f>G108/G$42</f>
        <v>2.5242591731891255</v>
      </c>
    </row>
    <row r="109" spans="1:8" x14ac:dyDescent="0.2">
      <c r="A109" s="99"/>
      <c r="E109" s="27"/>
      <c r="F109" s="27"/>
      <c r="G109" s="135"/>
      <c r="H109" s="193"/>
    </row>
    <row r="110" spans="1:8" x14ac:dyDescent="0.2">
      <c r="A110" s="100" t="s">
        <v>211</v>
      </c>
      <c r="B110" s="6"/>
      <c r="E110" s="27"/>
      <c r="F110" s="27"/>
      <c r="G110" s="43"/>
      <c r="H110" s="193"/>
    </row>
    <row r="111" spans="1:8" ht="13.5" thickBot="1" x14ac:dyDescent="0.25">
      <c r="A111" s="100" t="s">
        <v>212</v>
      </c>
      <c r="B111" s="6"/>
      <c r="E111" s="27"/>
      <c r="F111" s="27"/>
      <c r="G111" s="43"/>
      <c r="H111" s="193"/>
    </row>
    <row r="112" spans="1:8" ht="13.5" thickBot="1" x14ac:dyDescent="0.25">
      <c r="A112" s="240" t="s">
        <v>27</v>
      </c>
      <c r="B112" s="241"/>
      <c r="C112" s="236" t="s">
        <v>28</v>
      </c>
      <c r="D112" s="236" t="s">
        <v>21</v>
      </c>
      <c r="E112" s="237" t="s">
        <v>92</v>
      </c>
      <c r="F112" s="237" t="s">
        <v>29</v>
      </c>
      <c r="G112" s="238" t="s">
        <v>30</v>
      </c>
      <c r="H112" s="238" t="s">
        <v>154</v>
      </c>
    </row>
    <row r="113" spans="1:10" x14ac:dyDescent="0.2">
      <c r="A113" s="405" t="s">
        <v>128</v>
      </c>
      <c r="B113" s="390"/>
      <c r="C113" s="8" t="s">
        <v>7</v>
      </c>
      <c r="D113" s="8">
        <v>1</v>
      </c>
      <c r="E113" s="187">
        <f>G36</f>
        <v>404278</v>
      </c>
      <c r="F113" s="9">
        <f>D113*E113</f>
        <v>404278</v>
      </c>
      <c r="G113" s="136"/>
      <c r="H113" s="136"/>
    </row>
    <row r="114" spans="1:10" x14ac:dyDescent="0.2">
      <c r="A114" s="418" t="s">
        <v>145</v>
      </c>
      <c r="B114" s="385"/>
      <c r="C114" s="10" t="s">
        <v>44</v>
      </c>
      <c r="D114" s="188">
        <f>C36</f>
        <v>10</v>
      </c>
      <c r="E114" s="33"/>
      <c r="F114" s="11"/>
      <c r="G114" s="137"/>
      <c r="H114" s="193"/>
    </row>
    <row r="115" spans="1:10" x14ac:dyDescent="0.2">
      <c r="A115" s="418" t="s">
        <v>137</v>
      </c>
      <c r="B115" s="385"/>
      <c r="C115" s="10" t="s">
        <v>0</v>
      </c>
      <c r="D115" s="262">
        <v>65.180000000000007</v>
      </c>
      <c r="E115" s="201">
        <f>F113</f>
        <v>404278</v>
      </c>
      <c r="F115" s="201">
        <f>D115*E115/100</f>
        <v>263508.40040000004</v>
      </c>
      <c r="G115" s="137"/>
      <c r="H115" s="193"/>
    </row>
    <row r="116" spans="1:10" x14ac:dyDescent="0.2">
      <c r="A116" s="406" t="s">
        <v>146</v>
      </c>
      <c r="B116" s="385"/>
      <c r="C116" s="37" t="s">
        <v>5</v>
      </c>
      <c r="D116" s="37">
        <f>D114*12</f>
        <v>120</v>
      </c>
      <c r="E116" s="38">
        <f>F115</f>
        <v>263508.40040000004</v>
      </c>
      <c r="F116" s="38">
        <f>IFERROR(E116/D116,0)</f>
        <v>2195.9033366666672</v>
      </c>
      <c r="G116" s="137"/>
      <c r="H116" s="193"/>
    </row>
    <row r="117" spans="1:10" x14ac:dyDescent="0.2">
      <c r="A117" s="406" t="s">
        <v>96</v>
      </c>
      <c r="B117" s="385"/>
      <c r="C117" s="158" t="s">
        <v>7</v>
      </c>
      <c r="D117" s="200">
        <f>F36</f>
        <v>1</v>
      </c>
      <c r="E117" s="159">
        <f>F116</f>
        <v>2195.9033366666672</v>
      </c>
      <c r="F117" s="160">
        <f>D117*E117</f>
        <v>2195.9033366666672</v>
      </c>
      <c r="G117" s="137"/>
      <c r="H117" s="193"/>
    </row>
    <row r="118" spans="1:10" ht="13.5" thickBot="1" x14ac:dyDescent="0.25">
      <c r="A118" s="103"/>
      <c r="B118" s="90"/>
      <c r="C118" s="90"/>
      <c r="D118" s="90"/>
      <c r="E118" s="95" t="s">
        <v>86</v>
      </c>
      <c r="F118" s="250">
        <f>$C$46</f>
        <v>0.82045454545454544</v>
      </c>
      <c r="G118" s="239">
        <f>F117*F118</f>
        <v>1801.6388739469701</v>
      </c>
      <c r="H118" s="239">
        <f>G118/G$42</f>
        <v>0.72413138020376611</v>
      </c>
    </row>
    <row r="119" spans="1:10" ht="13.5" thickBot="1" x14ac:dyDescent="0.25">
      <c r="A119" s="100" t="s">
        <v>213</v>
      </c>
      <c r="B119" s="6"/>
      <c r="E119" s="27"/>
      <c r="F119" s="278"/>
      <c r="G119" s="135"/>
      <c r="H119" s="193"/>
    </row>
    <row r="120" spans="1:10" ht="13.5" thickBot="1" x14ac:dyDescent="0.25">
      <c r="A120" s="403" t="s">
        <v>27</v>
      </c>
      <c r="B120" s="412"/>
      <c r="C120" s="236" t="s">
        <v>28</v>
      </c>
      <c r="D120" s="236" t="s">
        <v>21</v>
      </c>
      <c r="E120" s="237" t="s">
        <v>92</v>
      </c>
      <c r="F120" s="237" t="s">
        <v>29</v>
      </c>
      <c r="G120" s="238" t="s">
        <v>30</v>
      </c>
      <c r="H120" s="238" t="s">
        <v>154</v>
      </c>
      <c r="J120" s="34"/>
    </row>
    <row r="121" spans="1:10" x14ac:dyDescent="0.2">
      <c r="A121" s="405" t="s">
        <v>147</v>
      </c>
      <c r="B121" s="390"/>
      <c r="C121" s="8" t="s">
        <v>7</v>
      </c>
      <c r="D121" s="8">
        <v>1</v>
      </c>
      <c r="E121" s="9">
        <f>E113</f>
        <v>404278</v>
      </c>
      <c r="F121" s="9">
        <f>D121*E121</f>
        <v>404278</v>
      </c>
      <c r="G121" s="143"/>
      <c r="H121" s="136"/>
      <c r="I121" s="2"/>
      <c r="J121" s="34"/>
    </row>
    <row r="122" spans="1:10" x14ac:dyDescent="0.2">
      <c r="A122" s="413" t="s">
        <v>88</v>
      </c>
      <c r="B122" s="385"/>
      <c r="C122" s="10" t="s">
        <v>0</v>
      </c>
      <c r="D122" s="268">
        <f>'lote 16.3'!D122</f>
        <v>14.75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219</v>
      </c>
      <c r="B123" s="385"/>
      <c r="C123" s="10" t="s">
        <v>20</v>
      </c>
      <c r="D123" s="48">
        <f>F121</f>
        <v>404278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218</v>
      </c>
      <c r="B124" s="385"/>
      <c r="C124" s="10"/>
      <c r="D124" s="48">
        <f>F113-F115</f>
        <v>140769.59959999996</v>
      </c>
      <c r="E124" s="11"/>
      <c r="F124" s="11"/>
      <c r="G124" s="142"/>
      <c r="H124" s="193"/>
      <c r="I124" s="2"/>
      <c r="J124" s="34"/>
    </row>
    <row r="125" spans="1:10" x14ac:dyDescent="0.2">
      <c r="A125" s="418" t="s">
        <v>210</v>
      </c>
      <c r="B125" s="385"/>
      <c r="C125" s="10" t="s">
        <v>20</v>
      </c>
      <c r="D125" s="33">
        <f>(D123-D124)*((D114+1)/(2*D114))+D124</f>
        <v>285699.21982</v>
      </c>
      <c r="E125" s="11"/>
      <c r="F125" s="11"/>
      <c r="G125" s="142"/>
      <c r="H125" s="193"/>
      <c r="I125" s="2"/>
      <c r="J125" s="34"/>
    </row>
    <row r="126" spans="1:10" x14ac:dyDescent="0.2">
      <c r="A126" s="406" t="s">
        <v>148</v>
      </c>
      <c r="B126" s="385"/>
      <c r="C126" s="37" t="s">
        <v>20</v>
      </c>
      <c r="D126" s="37"/>
      <c r="E126" s="161">
        <f>D122*D125/12/100</f>
        <v>3511.7195769541663</v>
      </c>
      <c r="F126" s="38">
        <f>E126</f>
        <v>3511.7195769541663</v>
      </c>
      <c r="G126" s="142"/>
      <c r="H126" s="193"/>
      <c r="J126" s="34"/>
    </row>
    <row r="127" spans="1:10" x14ac:dyDescent="0.2">
      <c r="A127" s="406" t="s">
        <v>149</v>
      </c>
      <c r="B127" s="397"/>
      <c r="C127" s="94"/>
      <c r="D127" s="94"/>
      <c r="E127" s="19"/>
      <c r="F127" s="160">
        <f>F126</f>
        <v>3511.7195769541663</v>
      </c>
      <c r="G127" s="142"/>
      <c r="H127" s="193"/>
      <c r="I127" s="34"/>
      <c r="J127" s="34"/>
    </row>
    <row r="128" spans="1:10" x14ac:dyDescent="0.2">
      <c r="A128" s="406" t="s">
        <v>96</v>
      </c>
      <c r="B128" s="385"/>
      <c r="C128" s="37" t="s">
        <v>7</v>
      </c>
      <c r="D128" s="10">
        <f>D117</f>
        <v>1</v>
      </c>
      <c r="E128" s="38">
        <f>F127</f>
        <v>3511.7195769541663</v>
      </c>
      <c r="F128" s="39">
        <f>D128*E128</f>
        <v>3511.7195769541663</v>
      </c>
      <c r="G128" s="142"/>
      <c r="H128" s="193"/>
      <c r="I128" s="34">
        <f>(I127*2)/12/100</f>
        <v>0</v>
      </c>
      <c r="J128" s="34"/>
    </row>
    <row r="129" spans="1:11" ht="13.5" thickBot="1" x14ac:dyDescent="0.25">
      <c r="A129" s="99"/>
      <c r="D129" s="97"/>
      <c r="E129" s="95" t="s">
        <v>86</v>
      </c>
      <c r="F129" s="250">
        <f>$C$46</f>
        <v>0.82045454545454544</v>
      </c>
      <c r="G129" s="239">
        <f>F128*F129</f>
        <v>2881.206289273759</v>
      </c>
      <c r="H129" s="239">
        <f>G129/G$42</f>
        <v>1.158041113052154</v>
      </c>
      <c r="J129" s="34"/>
    </row>
    <row r="130" spans="1:11" ht="11.25" customHeight="1" x14ac:dyDescent="0.2">
      <c r="A130" s="99"/>
      <c r="E130" s="27"/>
      <c r="F130" s="27"/>
      <c r="G130" s="135"/>
      <c r="H130" s="193"/>
      <c r="I130" s="208"/>
      <c r="J130" s="34"/>
    </row>
    <row r="131" spans="1:11" x14ac:dyDescent="0.2">
      <c r="A131" s="100" t="s">
        <v>214</v>
      </c>
      <c r="B131" s="6"/>
      <c r="E131" s="27"/>
      <c r="F131" s="27"/>
      <c r="G131" s="43"/>
      <c r="H131" s="193"/>
      <c r="J131" s="34"/>
    </row>
    <row r="132" spans="1:11" ht="13.5" thickBot="1" x14ac:dyDescent="0.25">
      <c r="A132" s="100" t="str">
        <f>'lote 16.3'!A132</f>
        <v>Despesas consideradas específicas para o transporte escolar municipal</v>
      </c>
      <c r="B132" s="6"/>
      <c r="E132" s="27"/>
      <c r="F132" s="27"/>
      <c r="G132" s="43"/>
      <c r="H132" s="43"/>
      <c r="J132" s="34"/>
    </row>
    <row r="133" spans="1:11" ht="13.5" thickBot="1" x14ac:dyDescent="0.25">
      <c r="A133" s="403" t="s">
        <v>27</v>
      </c>
      <c r="B133" s="412"/>
      <c r="C133" s="236" t="s">
        <v>28</v>
      </c>
      <c r="D133" s="236" t="s">
        <v>21</v>
      </c>
      <c r="E133" s="237" t="s">
        <v>92</v>
      </c>
      <c r="F133" s="237" t="s">
        <v>29</v>
      </c>
      <c r="G133" s="238" t="s">
        <v>30</v>
      </c>
      <c r="H133" s="238" t="s">
        <v>154</v>
      </c>
      <c r="J133" s="34"/>
    </row>
    <row r="134" spans="1:11" x14ac:dyDescent="0.2">
      <c r="A134" s="420" t="s">
        <v>8</v>
      </c>
      <c r="B134" s="390"/>
      <c r="C134" s="8" t="s">
        <v>7</v>
      </c>
      <c r="D134" s="9">
        <f>D117</f>
        <v>1</v>
      </c>
      <c r="E134" s="9">
        <f>0.01*($F$113)</f>
        <v>4042.78</v>
      </c>
      <c r="F134" s="9">
        <f t="shared" ref="F134:F139" si="5">D134*E134</f>
        <v>4042.78</v>
      </c>
      <c r="G134" s="136"/>
      <c r="H134" s="136"/>
      <c r="J134" s="34"/>
    </row>
    <row r="135" spans="1:11" x14ac:dyDescent="0.2">
      <c r="A135" s="413" t="s">
        <v>85</v>
      </c>
      <c r="B135" s="385"/>
      <c r="C135" s="10" t="s">
        <v>7</v>
      </c>
      <c r="D135" s="9">
        <f>D117</f>
        <v>1</v>
      </c>
      <c r="E135" s="262">
        <v>562</v>
      </c>
      <c r="F135" s="11">
        <f t="shared" si="5"/>
        <v>562</v>
      </c>
      <c r="G135" s="137"/>
      <c r="H135" s="193"/>
      <c r="J135" s="34"/>
    </row>
    <row r="136" spans="1:11" x14ac:dyDescent="0.2">
      <c r="A136" s="413" t="s">
        <v>9</v>
      </c>
      <c r="B136" s="385"/>
      <c r="C136" s="10" t="s">
        <v>7</v>
      </c>
      <c r="D136" s="9">
        <f>D117</f>
        <v>1</v>
      </c>
      <c r="E136" s="262">
        <v>1310</v>
      </c>
      <c r="F136" s="11">
        <f t="shared" si="5"/>
        <v>1310</v>
      </c>
      <c r="G136" s="144"/>
      <c r="H136" s="193"/>
      <c r="J136" s="34"/>
    </row>
    <row r="137" spans="1:11" x14ac:dyDescent="0.2">
      <c r="A137" s="418" t="s">
        <v>197</v>
      </c>
      <c r="B137" s="385"/>
      <c r="C137" s="10" t="s">
        <v>7</v>
      </c>
      <c r="D137" s="9">
        <v>1</v>
      </c>
      <c r="E137" s="262">
        <v>1171</v>
      </c>
      <c r="F137" s="11">
        <f t="shared" si="5"/>
        <v>1171</v>
      </c>
      <c r="G137" s="144"/>
      <c r="H137" s="193"/>
      <c r="J137" s="34"/>
    </row>
    <row r="138" spans="1:11" x14ac:dyDescent="0.2">
      <c r="A138" s="418" t="s">
        <v>208</v>
      </c>
      <c r="B138" s="385"/>
      <c r="C138" s="10" t="s">
        <v>7</v>
      </c>
      <c r="D138" s="9">
        <v>1</v>
      </c>
      <c r="E138" s="262">
        <v>419</v>
      </c>
      <c r="F138" s="11">
        <f t="shared" si="5"/>
        <v>419</v>
      </c>
      <c r="G138" s="144"/>
      <c r="H138" s="193"/>
      <c r="J138" s="34"/>
    </row>
    <row r="139" spans="1:11" x14ac:dyDescent="0.2">
      <c r="A139" s="418" t="s">
        <v>198</v>
      </c>
      <c r="B139" s="385"/>
      <c r="C139" s="10" t="s">
        <v>7</v>
      </c>
      <c r="D139" s="9">
        <v>1</v>
      </c>
      <c r="E139" s="262">
        <v>770</v>
      </c>
      <c r="F139" s="11">
        <f t="shared" si="5"/>
        <v>770</v>
      </c>
      <c r="G139" s="144"/>
      <c r="H139" s="193"/>
      <c r="J139" s="34"/>
    </row>
    <row r="140" spans="1:11" x14ac:dyDescent="0.2">
      <c r="A140" s="406" t="s">
        <v>10</v>
      </c>
      <c r="B140" s="385"/>
      <c r="C140" s="37" t="s">
        <v>5</v>
      </c>
      <c r="D140" s="37">
        <v>12</v>
      </c>
      <c r="E140" s="38">
        <f>SUM(F134:F139)</f>
        <v>8274.7800000000007</v>
      </c>
      <c r="F140" s="38">
        <f>E140/D140</f>
        <v>689.56500000000005</v>
      </c>
      <c r="G140" s="137"/>
      <c r="H140" s="193"/>
      <c r="J140" s="34"/>
    </row>
    <row r="141" spans="1:11" ht="13.5" thickBot="1" x14ac:dyDescent="0.25">
      <c r="A141" s="279"/>
      <c r="B141" s="82"/>
      <c r="C141" s="82"/>
      <c r="D141" s="82"/>
      <c r="E141" s="280" t="s">
        <v>86</v>
      </c>
      <c r="F141" s="250">
        <v>1</v>
      </c>
      <c r="G141" s="239">
        <f>F140*F141</f>
        <v>689.56500000000005</v>
      </c>
      <c r="H141" s="239">
        <f>G141/G$42</f>
        <v>0.27715635048231513</v>
      </c>
      <c r="J141" s="34"/>
    </row>
    <row r="142" spans="1:11" x14ac:dyDescent="0.2">
      <c r="A142" s="100" t="s">
        <v>215</v>
      </c>
      <c r="B142" s="6"/>
      <c r="C142" s="98"/>
      <c r="E142" s="27"/>
      <c r="F142" s="27"/>
      <c r="G142" s="43"/>
      <c r="H142" s="193"/>
      <c r="J142" s="34"/>
    </row>
    <row r="143" spans="1:11" ht="13.5" thickBot="1" x14ac:dyDescent="0.25">
      <c r="A143" s="102" t="s">
        <v>150</v>
      </c>
      <c r="B143" s="214"/>
      <c r="C143" s="190">
        <f>G42</f>
        <v>2488</v>
      </c>
      <c r="E143" s="27"/>
      <c r="F143" s="27"/>
      <c r="G143" s="43"/>
      <c r="H143" s="193"/>
      <c r="J143" s="34"/>
    </row>
    <row r="144" spans="1:11" ht="13.5" thickBot="1" x14ac:dyDescent="0.25">
      <c r="A144" s="403" t="s">
        <v>27</v>
      </c>
      <c r="B144" s="412"/>
      <c r="C144" s="236" t="s">
        <v>28</v>
      </c>
      <c r="D144" s="236" t="s">
        <v>95</v>
      </c>
      <c r="E144" s="237" t="s">
        <v>92</v>
      </c>
      <c r="F144" s="237" t="s">
        <v>29</v>
      </c>
      <c r="G144" s="238" t="s">
        <v>30</v>
      </c>
      <c r="H144" s="238" t="s">
        <v>154</v>
      </c>
      <c r="J144" s="34"/>
      <c r="K144" s="34"/>
    </row>
    <row r="145" spans="1:11" x14ac:dyDescent="0.2">
      <c r="A145" s="420" t="s">
        <v>11</v>
      </c>
      <c r="B145" s="390"/>
      <c r="C145" s="8" t="s">
        <v>12</v>
      </c>
      <c r="D145" s="187">
        <f>F38</f>
        <v>5.5</v>
      </c>
      <c r="E145" s="187">
        <f>G38</f>
        <v>7.32</v>
      </c>
      <c r="F145" s="9"/>
      <c r="G145" s="136"/>
      <c r="H145" s="136"/>
      <c r="J145" s="34"/>
      <c r="K145" s="34"/>
    </row>
    <row r="146" spans="1:11" x14ac:dyDescent="0.2">
      <c r="A146" s="413" t="s">
        <v>13</v>
      </c>
      <c r="B146" s="385"/>
      <c r="C146" s="10" t="s">
        <v>14</v>
      </c>
      <c r="D146" s="35">
        <f>C143</f>
        <v>2488</v>
      </c>
      <c r="E146" s="89">
        <f>IFERROR(+E145/D145,"-")</f>
        <v>1.330909090909091</v>
      </c>
      <c r="F146" s="11">
        <f>IFERROR(D146*E146,"-")</f>
        <v>3311.3018181818184</v>
      </c>
      <c r="G146" s="137"/>
      <c r="H146" s="193"/>
      <c r="J146" s="34"/>
      <c r="K146" s="34"/>
    </row>
    <row r="147" spans="1:11" x14ac:dyDescent="0.2">
      <c r="A147" s="418" t="s">
        <v>232</v>
      </c>
      <c r="B147" s="385"/>
      <c r="C147" s="92" t="s">
        <v>233</v>
      </c>
      <c r="D147" s="269">
        <v>10.5</v>
      </c>
      <c r="E147" s="262">
        <v>18.3</v>
      </c>
      <c r="F147" s="11"/>
      <c r="G147" s="137"/>
      <c r="H147" s="193"/>
      <c r="J147" s="34"/>
      <c r="K147" s="34"/>
    </row>
    <row r="148" spans="1:11" x14ac:dyDescent="0.2">
      <c r="A148" s="413" t="s">
        <v>15</v>
      </c>
      <c r="B148" s="385"/>
      <c r="C148" s="10" t="s">
        <v>14</v>
      </c>
      <c r="D148" s="35">
        <f>D146</f>
        <v>2488</v>
      </c>
      <c r="E148" s="86">
        <f>+D147*E147/10000</f>
        <v>1.9214999999999999E-2</v>
      </c>
      <c r="F148" s="11">
        <f>D148*E148</f>
        <v>47.806919999999998</v>
      </c>
      <c r="G148" s="137"/>
      <c r="H148" s="193"/>
      <c r="J148" s="34"/>
      <c r="K148" s="34"/>
    </row>
    <row r="149" spans="1:11" x14ac:dyDescent="0.2">
      <c r="A149" s="418" t="s">
        <v>234</v>
      </c>
      <c r="B149" s="385"/>
      <c r="C149" s="92" t="s">
        <v>235</v>
      </c>
      <c r="D149" s="269">
        <v>4.5999999999999996</v>
      </c>
      <c r="E149" s="262">
        <v>21.6</v>
      </c>
      <c r="F149" s="11"/>
      <c r="G149" s="137"/>
      <c r="H149" s="193"/>
      <c r="J149" s="34"/>
      <c r="K149" s="34"/>
    </row>
    <row r="150" spans="1:11" x14ac:dyDescent="0.2">
      <c r="A150" s="413" t="s">
        <v>16</v>
      </c>
      <c r="B150" s="385"/>
      <c r="C150" s="10" t="s">
        <v>14</v>
      </c>
      <c r="D150" s="35">
        <f>D146</f>
        <v>2488</v>
      </c>
      <c r="E150" s="231">
        <f>+D149*E149/100000</f>
        <v>9.9360000000000008E-4</v>
      </c>
      <c r="F150" s="11">
        <f>D150*E150</f>
        <v>2.4720768000000004</v>
      </c>
      <c r="G150" s="137"/>
      <c r="H150" s="193"/>
      <c r="J150" s="34"/>
      <c r="K150" s="34"/>
    </row>
    <row r="151" spans="1:11" x14ac:dyDescent="0.2">
      <c r="A151" s="418" t="s">
        <v>237</v>
      </c>
      <c r="B151" s="385"/>
      <c r="C151" s="92" t="s">
        <v>236</v>
      </c>
      <c r="D151" s="269">
        <v>1.7</v>
      </c>
      <c r="E151" s="262">
        <v>20.9</v>
      </c>
      <c r="F151" s="11"/>
      <c r="G151" s="137"/>
      <c r="H151" s="193"/>
      <c r="J151" s="34"/>
      <c r="K151" s="34"/>
    </row>
    <row r="152" spans="1:11" x14ac:dyDescent="0.2">
      <c r="A152" s="413" t="s">
        <v>17</v>
      </c>
      <c r="B152" s="385"/>
      <c r="C152" s="10" t="s">
        <v>14</v>
      </c>
      <c r="D152" s="35">
        <f>D146</f>
        <v>2488</v>
      </c>
      <c r="E152" s="231">
        <f>+D151*E151/80000</f>
        <v>4.4412499999999991E-4</v>
      </c>
      <c r="F152" s="11">
        <f>D152*E152</f>
        <v>1.1049829999999998</v>
      </c>
      <c r="G152" s="137"/>
      <c r="H152" s="193"/>
      <c r="J152" s="34"/>
      <c r="K152" s="34"/>
    </row>
    <row r="153" spans="1:11" x14ac:dyDescent="0.2">
      <c r="A153" s="418" t="s">
        <v>239</v>
      </c>
      <c r="B153" s="385"/>
      <c r="C153" s="92" t="s">
        <v>238</v>
      </c>
      <c r="D153" s="269">
        <v>1</v>
      </c>
      <c r="E153" s="262">
        <v>19.899999999999999</v>
      </c>
      <c r="F153" s="11"/>
      <c r="G153" s="137"/>
      <c r="H153" s="193"/>
      <c r="J153" s="34"/>
      <c r="K153" s="34"/>
    </row>
    <row r="154" spans="1:11" x14ac:dyDescent="0.2">
      <c r="A154" s="413" t="s">
        <v>18</v>
      </c>
      <c r="B154" s="385"/>
      <c r="C154" s="10" t="s">
        <v>14</v>
      </c>
      <c r="D154" s="35">
        <f>D146</f>
        <v>2488</v>
      </c>
      <c r="E154" s="86">
        <f>+D153*E153/10000</f>
        <v>1.99E-3</v>
      </c>
      <c r="F154" s="11">
        <f>D154*E154</f>
        <v>4.9511200000000004</v>
      </c>
      <c r="G154" s="137"/>
      <c r="H154" s="193"/>
      <c r="J154" s="34"/>
      <c r="K154" s="34"/>
    </row>
    <row r="155" spans="1:11" x14ac:dyDescent="0.2">
      <c r="A155" s="406" t="s">
        <v>94</v>
      </c>
      <c r="B155" s="385"/>
      <c r="C155" s="37" t="s">
        <v>45</v>
      </c>
      <c r="D155" s="87"/>
      <c r="E155" s="88">
        <f>IFERROR(E146+E148+E150+E152+E154,0)</f>
        <v>1.3535518159090909</v>
      </c>
      <c r="F155" s="38">
        <f>SUM(F145:F154)</f>
        <v>3367.6369179818189</v>
      </c>
      <c r="G155" s="137"/>
      <c r="H155" s="193"/>
      <c r="J155" s="34"/>
      <c r="K155" s="34"/>
    </row>
    <row r="156" spans="1:11" ht="13.5" thickBot="1" x14ac:dyDescent="0.25">
      <c r="A156" s="99"/>
      <c r="E156" s="255" t="s">
        <v>138</v>
      </c>
      <c r="F156" s="23">
        <f>$C$47+1</f>
        <v>1.25</v>
      </c>
      <c r="G156" s="239">
        <f>F155*F156</f>
        <v>4209.5461474772737</v>
      </c>
      <c r="H156" s="239">
        <f>G156/G$42</f>
        <v>1.6919397698863641</v>
      </c>
      <c r="J156" s="34"/>
      <c r="K156" s="34"/>
    </row>
    <row r="157" spans="1:11" ht="11.25" customHeight="1" x14ac:dyDescent="0.2">
      <c r="A157" s="99"/>
      <c r="E157" s="27"/>
      <c r="F157" s="27"/>
      <c r="G157" s="135"/>
      <c r="H157" s="193"/>
      <c r="J157" s="34"/>
      <c r="K157" s="34"/>
    </row>
    <row r="158" spans="1:11" ht="13.5" thickBot="1" x14ac:dyDescent="0.25">
      <c r="A158" s="100" t="s">
        <v>216</v>
      </c>
      <c r="B158" s="6"/>
      <c r="E158" s="27"/>
      <c r="F158" s="27"/>
      <c r="G158" s="43"/>
      <c r="H158" s="193"/>
      <c r="J158" s="34"/>
      <c r="K158" s="34"/>
    </row>
    <row r="159" spans="1:11" ht="13.5" thickBot="1" x14ac:dyDescent="0.25">
      <c r="A159" s="403" t="s">
        <v>27</v>
      </c>
      <c r="B159" s="412"/>
      <c r="C159" s="236" t="s">
        <v>28</v>
      </c>
      <c r="D159" s="236" t="s">
        <v>21</v>
      </c>
      <c r="E159" s="237" t="s">
        <v>92</v>
      </c>
      <c r="F159" s="237" t="s">
        <v>29</v>
      </c>
      <c r="G159" s="238" t="s">
        <v>30</v>
      </c>
      <c r="H159" s="238" t="s">
        <v>154</v>
      </c>
      <c r="J159" s="34"/>
      <c r="K159" s="34"/>
    </row>
    <row r="160" spans="1:11" x14ac:dyDescent="0.2">
      <c r="A160" s="405" t="s">
        <v>188</v>
      </c>
      <c r="B160" s="390"/>
      <c r="C160" s="8" t="s">
        <v>45</v>
      </c>
      <c r="D160" s="35">
        <f>D146</f>
        <v>2488</v>
      </c>
      <c r="E160" s="270">
        <v>1.35</v>
      </c>
      <c r="F160" s="9">
        <f>D160*E160</f>
        <v>3358.8</v>
      </c>
      <c r="G160" s="136"/>
      <c r="H160" s="136"/>
      <c r="I160" s="34">
        <f>F160*12</f>
        <v>40305.600000000006</v>
      </c>
      <c r="J160" s="34"/>
      <c r="K160" s="34"/>
    </row>
    <row r="161" spans="1:11" s="165" customFormat="1" x14ac:dyDescent="0.2">
      <c r="A161" s="418" t="s">
        <v>139</v>
      </c>
      <c r="B161" s="385"/>
      <c r="C161" s="162" t="s">
        <v>140</v>
      </c>
      <c r="D161" s="272">
        <v>4</v>
      </c>
      <c r="E161" s="271">
        <v>100</v>
      </c>
      <c r="F161" s="163">
        <f>D161*E161</f>
        <v>400</v>
      </c>
      <c r="G161" s="164"/>
      <c r="H161" s="196"/>
      <c r="I161" s="4"/>
    </row>
    <row r="162" spans="1:11" s="165" customFormat="1" x14ac:dyDescent="0.2">
      <c r="A162" s="406" t="s">
        <v>141</v>
      </c>
      <c r="B162" s="385"/>
      <c r="C162" s="92" t="s">
        <v>142</v>
      </c>
      <c r="D162" s="166"/>
      <c r="E162" s="23"/>
      <c r="F162" s="159">
        <f>SUM(F160:F161)</f>
        <v>3758.8</v>
      </c>
      <c r="G162" s="164"/>
      <c r="H162" s="196"/>
      <c r="I162" s="4"/>
    </row>
    <row r="163" spans="1:11" ht="13.5" thickBot="1" x14ac:dyDescent="0.25">
      <c r="A163" s="99"/>
      <c r="E163" s="255" t="s">
        <v>138</v>
      </c>
      <c r="F163" s="23">
        <f>$C$47+1</f>
        <v>1.25</v>
      </c>
      <c r="G163" s="239">
        <f>F162*F163</f>
        <v>4698.5</v>
      </c>
      <c r="H163" s="239">
        <f>G163/G$42</f>
        <v>1.8884646302250805</v>
      </c>
      <c r="J163" s="34"/>
      <c r="K163" s="34"/>
    </row>
    <row r="164" spans="1:11" ht="11.25" customHeight="1" x14ac:dyDescent="0.2">
      <c r="A164" s="99"/>
      <c r="E164" s="27"/>
      <c r="F164" s="27"/>
      <c r="G164" s="135"/>
      <c r="H164" s="193"/>
      <c r="J164" s="34"/>
      <c r="K164" s="34"/>
    </row>
    <row r="165" spans="1:11" ht="13.5" thickBot="1" x14ac:dyDescent="0.25">
      <c r="A165" s="100" t="s">
        <v>217</v>
      </c>
      <c r="B165" s="6"/>
      <c r="E165" s="27"/>
      <c r="F165" s="27"/>
      <c r="G165" s="43"/>
      <c r="H165" s="193"/>
      <c r="J165" s="34"/>
      <c r="K165" s="34"/>
    </row>
    <row r="166" spans="1:11" ht="13.5" thickBot="1" x14ac:dyDescent="0.25">
      <c r="A166" s="403" t="s">
        <v>27</v>
      </c>
      <c r="B166" s="412"/>
      <c r="C166" s="236" t="s">
        <v>28</v>
      </c>
      <c r="D166" s="236" t="s">
        <v>21</v>
      </c>
      <c r="E166" s="237" t="s">
        <v>92</v>
      </c>
      <c r="F166" s="237" t="s">
        <v>29</v>
      </c>
      <c r="G166" s="238" t="s">
        <v>30</v>
      </c>
      <c r="H166" s="238" t="s">
        <v>154</v>
      </c>
      <c r="J166" s="34"/>
      <c r="K166" s="34"/>
    </row>
    <row r="167" spans="1:11" x14ac:dyDescent="0.2">
      <c r="A167" s="405" t="s">
        <v>260</v>
      </c>
      <c r="B167" s="390"/>
      <c r="C167" s="8" t="s">
        <v>7</v>
      </c>
      <c r="D167" s="273">
        <v>6</v>
      </c>
      <c r="E167" s="271">
        <v>1397</v>
      </c>
      <c r="F167" s="9">
        <f>D167*E167</f>
        <v>8382</v>
      </c>
      <c r="G167" s="136"/>
      <c r="H167" s="136"/>
      <c r="J167" s="34"/>
      <c r="K167" s="34"/>
    </row>
    <row r="168" spans="1:11" ht="12.75" customHeight="1" x14ac:dyDescent="0.2">
      <c r="A168" s="421" t="s">
        <v>262</v>
      </c>
      <c r="B168" s="422"/>
      <c r="C168" s="8"/>
      <c r="D168" s="8"/>
      <c r="E168" s="8"/>
      <c r="F168" s="9"/>
      <c r="G168" s="137"/>
      <c r="H168" s="43"/>
      <c r="J168" s="34"/>
      <c r="K168" s="34"/>
    </row>
    <row r="169" spans="1:11" x14ac:dyDescent="0.2">
      <c r="A169" s="418" t="s">
        <v>129</v>
      </c>
      <c r="B169" s="385"/>
      <c r="C169" s="10" t="s">
        <v>19</v>
      </c>
      <c r="D169" s="274">
        <v>45000</v>
      </c>
      <c r="E169" s="11">
        <f>F167</f>
        <v>8382</v>
      </c>
      <c r="F169" s="11">
        <f>IFERROR(E169/D169,"-")</f>
        <v>0.18626666666666666</v>
      </c>
      <c r="G169" s="137"/>
      <c r="H169" s="193"/>
      <c r="J169" s="34"/>
      <c r="K169" s="34"/>
    </row>
    <row r="170" spans="1:11" x14ac:dyDescent="0.2">
      <c r="A170" s="406" t="s">
        <v>25</v>
      </c>
      <c r="B170" s="385"/>
      <c r="C170" s="10" t="s">
        <v>14</v>
      </c>
      <c r="D170" s="35">
        <f>C143</f>
        <v>2488</v>
      </c>
      <c r="E170" s="11">
        <f>F169</f>
        <v>0.18626666666666666</v>
      </c>
      <c r="F170" s="38">
        <f>IFERROR(D170*E170,0)</f>
        <v>463.43146666666667</v>
      </c>
      <c r="G170" s="137"/>
      <c r="H170" s="193"/>
      <c r="J170" s="34"/>
      <c r="K170" s="34"/>
    </row>
    <row r="171" spans="1:11" ht="13.5" thickBot="1" x14ac:dyDescent="0.25">
      <c r="A171" s="99"/>
      <c r="E171" s="255" t="s">
        <v>138</v>
      </c>
      <c r="F171" s="23">
        <f>$C$47+1</f>
        <v>1.25</v>
      </c>
      <c r="G171" s="239">
        <f>F170*F171</f>
        <v>579.28933333333339</v>
      </c>
      <c r="H171" s="239">
        <f>G171/G$42</f>
        <v>0.23283333333333336</v>
      </c>
      <c r="J171" s="34"/>
      <c r="K171" s="34"/>
    </row>
    <row r="172" spans="1:11" ht="11.25" customHeight="1" thickBot="1" x14ac:dyDescent="0.25">
      <c r="A172" s="99"/>
      <c r="E172" s="27"/>
      <c r="F172" s="27"/>
      <c r="G172" s="135"/>
      <c r="H172" s="193"/>
      <c r="J172" s="34"/>
      <c r="K172" s="34"/>
    </row>
    <row r="173" spans="1:11" ht="13.5" thickBot="1" x14ac:dyDescent="0.25">
      <c r="A173" s="12" t="s">
        <v>151</v>
      </c>
      <c r="B173" s="13"/>
      <c r="C173" s="13"/>
      <c r="D173" s="13"/>
      <c r="E173" s="14"/>
      <c r="F173" s="15"/>
      <c r="G173" s="245">
        <f>+SUM(G113:G172)</f>
        <v>14859.745644031336</v>
      </c>
      <c r="H173" s="239">
        <f>G173/G$42</f>
        <v>5.972566577183013</v>
      </c>
    </row>
    <row r="174" spans="1:11" ht="11.25" customHeight="1" x14ac:dyDescent="0.2">
      <c r="A174" s="99"/>
      <c r="E174" s="27"/>
      <c r="F174" s="27"/>
      <c r="G174" s="135"/>
      <c r="H174" s="193"/>
    </row>
    <row r="175" spans="1:11" x14ac:dyDescent="0.2">
      <c r="A175" s="100" t="s">
        <v>168</v>
      </c>
      <c r="B175" s="6"/>
      <c r="C175" s="6"/>
      <c r="D175" s="6"/>
      <c r="E175" s="20"/>
      <c r="F175" s="20"/>
      <c r="G175" s="145"/>
      <c r="H175" s="193"/>
    </row>
    <row r="176" spans="1:11" ht="11.25" customHeight="1" thickBot="1" x14ac:dyDescent="0.25">
      <c r="A176" s="99"/>
      <c r="E176" s="27"/>
      <c r="F176" s="27"/>
      <c r="G176" s="43"/>
      <c r="H176" s="193"/>
    </row>
    <row r="177" spans="1:8" ht="13.5" thickBot="1" x14ac:dyDescent="0.25">
      <c r="A177" s="403" t="s">
        <v>27</v>
      </c>
      <c r="B177" s="412"/>
      <c r="C177" s="236" t="s">
        <v>28</v>
      </c>
      <c r="D177" s="236" t="s">
        <v>21</v>
      </c>
      <c r="E177" s="237" t="s">
        <v>92</v>
      </c>
      <c r="F177" s="237" t="s">
        <v>29</v>
      </c>
      <c r="G177" s="238" t="s">
        <v>30</v>
      </c>
      <c r="H177" s="238" t="s">
        <v>154</v>
      </c>
    </row>
    <row r="178" spans="1:8" x14ac:dyDescent="0.2">
      <c r="A178" s="405" t="s">
        <v>190</v>
      </c>
      <c r="B178" s="390"/>
      <c r="C178" s="92" t="s">
        <v>189</v>
      </c>
      <c r="D178" s="275">
        <f>1/12</f>
        <v>8.3333333333333329E-2</v>
      </c>
      <c r="E178" s="270">
        <v>21.9</v>
      </c>
      <c r="F178" s="11">
        <f>D178*E178</f>
        <v>1.8249999999999997</v>
      </c>
      <c r="G178" s="146"/>
      <c r="H178" s="136"/>
    </row>
    <row r="179" spans="1:8" x14ac:dyDescent="0.2">
      <c r="A179" s="418" t="s">
        <v>191</v>
      </c>
      <c r="B179" s="385"/>
      <c r="C179" s="92" t="s">
        <v>189</v>
      </c>
      <c r="D179" s="275">
        <f>3/12</f>
        <v>0.25</v>
      </c>
      <c r="E179" s="270">
        <v>21</v>
      </c>
      <c r="F179" s="11">
        <f>D179*E179</f>
        <v>5.25</v>
      </c>
      <c r="G179" s="147"/>
      <c r="H179" s="193"/>
    </row>
    <row r="180" spans="1:8" x14ac:dyDescent="0.2">
      <c r="A180" s="418" t="s">
        <v>192</v>
      </c>
      <c r="B180" s="385"/>
      <c r="C180" s="92" t="s">
        <v>189</v>
      </c>
      <c r="D180" s="275">
        <f>2/12</f>
        <v>0.16666666666666666</v>
      </c>
      <c r="E180" s="270">
        <v>11.3</v>
      </c>
      <c r="F180" s="11">
        <f>D180*E180</f>
        <v>1.8833333333333333</v>
      </c>
      <c r="G180" s="147"/>
      <c r="H180" s="193"/>
    </row>
    <row r="181" spans="1:8" x14ac:dyDescent="0.2">
      <c r="A181" s="418" t="s">
        <v>193</v>
      </c>
      <c r="B181" s="385"/>
      <c r="C181" s="92" t="s">
        <v>209</v>
      </c>
      <c r="D181" s="275">
        <f>4</f>
        <v>4</v>
      </c>
      <c r="E181" s="270">
        <v>15</v>
      </c>
      <c r="F181" s="11">
        <f>D181*E181</f>
        <v>60</v>
      </c>
      <c r="G181" s="147"/>
      <c r="H181" s="193"/>
    </row>
    <row r="182" spans="1:8" ht="13.5" thickBot="1" x14ac:dyDescent="0.25">
      <c r="A182" s="418" t="s">
        <v>194</v>
      </c>
      <c r="B182" s="385"/>
      <c r="C182" s="92" t="s">
        <v>189</v>
      </c>
      <c r="D182" s="275">
        <v>4</v>
      </c>
      <c r="E182" s="270">
        <v>4.5</v>
      </c>
      <c r="F182" s="11">
        <f t="shared" ref="F182" si="6">D182*E182</f>
        <v>18</v>
      </c>
      <c r="G182" s="147"/>
      <c r="H182" s="193"/>
    </row>
    <row r="183" spans="1:8" ht="13.5" thickBot="1" x14ac:dyDescent="0.25">
      <c r="A183" s="100"/>
      <c r="B183" s="6"/>
      <c r="C183" s="6"/>
      <c r="D183" s="6"/>
      <c r="E183" s="254" t="s">
        <v>86</v>
      </c>
      <c r="F183" s="250">
        <v>1</v>
      </c>
      <c r="G183" s="245">
        <f>SUM(F178:F182)*F183</f>
        <v>86.958333333333329</v>
      </c>
      <c r="H183" s="245">
        <f>G183/G$42</f>
        <v>3.4951098606645227E-2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3.5" thickBot="1" x14ac:dyDescent="0.25">
      <c r="A185" s="12" t="s">
        <v>91</v>
      </c>
      <c r="B185" s="13"/>
      <c r="C185" s="13"/>
      <c r="D185" s="13"/>
      <c r="E185" s="14"/>
      <c r="F185" s="15"/>
      <c r="G185" s="245">
        <f>+G183</f>
        <v>86.958333333333329</v>
      </c>
      <c r="H185" s="245">
        <f>G185/G$42</f>
        <v>3.4951098606645227E-2</v>
      </c>
    </row>
    <row r="186" spans="1:8" ht="11.25" customHeight="1" thickBot="1" x14ac:dyDescent="0.25">
      <c r="A186" s="99"/>
      <c r="E186" s="27"/>
      <c r="F186" s="27"/>
      <c r="G186" s="135"/>
      <c r="H186" s="135"/>
    </row>
    <row r="187" spans="1:8" ht="17.25" customHeight="1" thickBot="1" x14ac:dyDescent="0.25">
      <c r="A187" s="12" t="s">
        <v>126</v>
      </c>
      <c r="B187" s="13"/>
      <c r="C187" s="16"/>
      <c r="D187" s="16"/>
      <c r="E187" s="17"/>
      <c r="F187" s="18"/>
      <c r="G187" s="242">
        <f>+G107+G173+G185</f>
        <v>22433.861371001032</v>
      </c>
      <c r="H187" s="242">
        <f>G187/G$42</f>
        <v>9.0168253098878743</v>
      </c>
    </row>
    <row r="188" spans="1:8" ht="17.25" customHeight="1" thickBot="1" x14ac:dyDescent="0.25">
      <c r="A188" s="12" t="s">
        <v>127</v>
      </c>
      <c r="B188" s="13"/>
      <c r="C188" s="16"/>
      <c r="D188" s="16"/>
      <c r="E188" s="17"/>
      <c r="F188" s="18"/>
      <c r="G188" s="244">
        <f>+G108+G173+G185</f>
        <v>21227.060800259213</v>
      </c>
      <c r="H188" s="244">
        <f>G188/G$42</f>
        <v>8.5317768489787831</v>
      </c>
    </row>
    <row r="189" spans="1:8" ht="11.25" customHeight="1" x14ac:dyDescent="0.2">
      <c r="A189" s="99"/>
      <c r="E189" s="27"/>
      <c r="F189" s="27"/>
      <c r="G189" s="135"/>
      <c r="H189" s="135"/>
    </row>
    <row r="190" spans="1:8" x14ac:dyDescent="0.2">
      <c r="A190" s="100" t="s">
        <v>169</v>
      </c>
      <c r="B190" s="6"/>
      <c r="E190" s="27"/>
      <c r="F190" s="27"/>
      <c r="G190" s="43"/>
      <c r="H190" s="43"/>
    </row>
    <row r="191" spans="1:8" ht="11.25" customHeight="1" thickBot="1" x14ac:dyDescent="0.25">
      <c r="A191" s="99"/>
      <c r="E191" s="27"/>
      <c r="F191" s="27"/>
      <c r="G191" s="43"/>
      <c r="H191" s="43"/>
    </row>
    <row r="192" spans="1:8" ht="13.5" thickBot="1" x14ac:dyDescent="0.25">
      <c r="A192" s="403" t="s">
        <v>27</v>
      </c>
      <c r="B192" s="412"/>
      <c r="C192" s="236" t="s">
        <v>28</v>
      </c>
      <c r="D192" s="236" t="s">
        <v>21</v>
      </c>
      <c r="E192" s="237" t="s">
        <v>92</v>
      </c>
      <c r="F192" s="237" t="s">
        <v>29</v>
      </c>
      <c r="G192" s="238" t="s">
        <v>30</v>
      </c>
      <c r="H192" s="238" t="s">
        <v>154</v>
      </c>
    </row>
    <row r="193" spans="1:8" ht="13.5" thickBot="1" x14ac:dyDescent="0.25">
      <c r="A193" s="405" t="s">
        <v>170</v>
      </c>
      <c r="B193" s="390"/>
      <c r="C193" s="8" t="s">
        <v>0</v>
      </c>
      <c r="D193" s="44">
        <f>BDI!C11*100</f>
        <v>31.75</v>
      </c>
      <c r="E193" s="9">
        <f>+G187</f>
        <v>22433.861371001032</v>
      </c>
      <c r="F193" s="9">
        <f>D193*E193/100</f>
        <v>7122.750985292827</v>
      </c>
      <c r="G193" s="136"/>
      <c r="H193" s="136"/>
    </row>
    <row r="194" spans="1:8" ht="13.5" thickBot="1" x14ac:dyDescent="0.25">
      <c r="A194" s="99"/>
      <c r="E194" s="27"/>
      <c r="F194" s="27"/>
      <c r="G194" s="245">
        <f>+F193</f>
        <v>7122.750985292827</v>
      </c>
      <c r="H194" s="245">
        <f>G194/G$42</f>
        <v>2.8628420358894</v>
      </c>
    </row>
    <row r="195" spans="1:8" ht="11.25" customHeight="1" thickBot="1" x14ac:dyDescent="0.25">
      <c r="A195" s="99"/>
      <c r="E195" s="27"/>
      <c r="F195" s="27"/>
      <c r="G195" s="135"/>
      <c r="H195" s="135"/>
    </row>
    <row r="196" spans="1:8" ht="13.5" thickBot="1" x14ac:dyDescent="0.25">
      <c r="A196" s="12" t="s">
        <v>171</v>
      </c>
      <c r="B196" s="13"/>
      <c r="C196" s="16"/>
      <c r="D196" s="16"/>
      <c r="E196" s="17"/>
      <c r="F196" s="18"/>
      <c r="G196" s="244">
        <f>G194</f>
        <v>7122.750985292827</v>
      </c>
      <c r="H196" s="244">
        <f>G196/G$42</f>
        <v>2.8628420358894</v>
      </c>
    </row>
    <row r="197" spans="1:8" ht="13.5" thickBot="1" x14ac:dyDescent="0.25">
      <c r="A197" s="100"/>
      <c r="B197" s="6"/>
      <c r="C197" s="6"/>
      <c r="D197" s="6"/>
      <c r="E197" s="20"/>
      <c r="F197" s="20"/>
      <c r="G197" s="148"/>
      <c r="H197" s="148"/>
    </row>
    <row r="198" spans="1:8" ht="24.75" customHeight="1" thickBot="1" x14ac:dyDescent="0.25">
      <c r="A198" s="12" t="s">
        <v>172</v>
      </c>
      <c r="B198" s="13"/>
      <c r="C198" s="16"/>
      <c r="D198" s="16"/>
      <c r="E198" s="17"/>
      <c r="F198" s="18"/>
      <c r="G198" s="206">
        <f>G187+G196</f>
        <v>29556.612356293859</v>
      </c>
      <c r="H198" s="244">
        <f>G198/G$42</f>
        <v>11.879667345777275</v>
      </c>
    </row>
    <row r="199" spans="1:8" ht="12.6" customHeight="1" x14ac:dyDescent="0.2">
      <c r="A199" s="104"/>
      <c r="B199" s="24"/>
      <c r="C199" s="24"/>
      <c r="D199" s="24"/>
      <c r="E199" s="25"/>
      <c r="F199" s="25"/>
      <c r="G199" s="149"/>
      <c r="H199" s="149"/>
    </row>
    <row r="200" spans="1:8" ht="16.149999999999999" customHeight="1" x14ac:dyDescent="0.2">
      <c r="A200" s="418" t="s">
        <v>173</v>
      </c>
      <c r="B200" s="397"/>
      <c r="C200" s="82"/>
      <c r="D200" s="82"/>
      <c r="E200" s="157">
        <f>C143</f>
        <v>2488</v>
      </c>
      <c r="F200" s="156" t="s">
        <v>153</v>
      </c>
      <c r="G200" s="43"/>
      <c r="H200" s="43"/>
    </row>
    <row r="201" spans="1:8" ht="13.5" thickBot="1" x14ac:dyDescent="0.25">
      <c r="A201" s="99"/>
      <c r="E201" s="27"/>
      <c r="F201" s="27"/>
      <c r="G201" s="43"/>
      <c r="H201" s="43"/>
    </row>
    <row r="202" spans="1:8" ht="25.5" customHeight="1" thickBot="1" x14ac:dyDescent="0.25">
      <c r="A202" s="12" t="s">
        <v>174</v>
      </c>
      <c r="B202" s="13"/>
      <c r="C202" s="13"/>
      <c r="D202" s="13"/>
      <c r="E202" s="14"/>
      <c r="F202" s="155" t="s">
        <v>154</v>
      </c>
      <c r="G202" s="424">
        <f>IFERROR(G198/E200,"-")</f>
        <v>11.879667345777275</v>
      </c>
      <c r="H202" s="425"/>
    </row>
    <row r="203" spans="1:8" ht="12.6" customHeight="1" x14ac:dyDescent="0.2">
      <c r="A203" s="100"/>
      <c r="B203" s="6"/>
      <c r="C203" s="6"/>
      <c r="D203" s="6"/>
      <c r="E203" s="20"/>
      <c r="F203" s="20"/>
      <c r="G203" s="150"/>
      <c r="H203" s="150"/>
    </row>
    <row r="204" spans="1:8" x14ac:dyDescent="0.2">
      <c r="A204" s="100" t="s">
        <v>175</v>
      </c>
      <c r="B204" s="6"/>
      <c r="E204" s="27"/>
      <c r="F204" s="27"/>
      <c r="G204" s="43"/>
      <c r="H204" s="43"/>
    </row>
    <row r="205" spans="1:8" ht="11.25" customHeight="1" thickBot="1" x14ac:dyDescent="0.25">
      <c r="A205" s="99"/>
      <c r="E205" s="27"/>
      <c r="F205" s="27"/>
      <c r="G205" s="43"/>
      <c r="H205" s="43"/>
    </row>
    <row r="206" spans="1:8" ht="13.5" thickBot="1" x14ac:dyDescent="0.25">
      <c r="A206" s="240" t="s">
        <v>27</v>
      </c>
      <c r="B206" s="241"/>
      <c r="C206" s="236" t="s">
        <v>28</v>
      </c>
      <c r="D206" s="236" t="s">
        <v>21</v>
      </c>
      <c r="E206" s="237" t="s">
        <v>92</v>
      </c>
      <c r="F206" s="237" t="s">
        <v>29</v>
      </c>
      <c r="G206" s="238" t="s">
        <v>30</v>
      </c>
      <c r="H206" s="238" t="s">
        <v>154</v>
      </c>
    </row>
    <row r="207" spans="1:8" ht="13.5" thickBot="1" x14ac:dyDescent="0.25">
      <c r="A207" s="405" t="s">
        <v>152</v>
      </c>
      <c r="B207" s="390"/>
      <c r="C207" s="8" t="s">
        <v>0</v>
      </c>
      <c r="D207" s="44">
        <f>BDI!C$24*100</f>
        <v>23.93</v>
      </c>
      <c r="E207" s="9">
        <f>G187</f>
        <v>22433.861371001032</v>
      </c>
      <c r="F207" s="9">
        <f>D207*E207/100</f>
        <v>5368.4230260805471</v>
      </c>
      <c r="G207" s="136"/>
      <c r="H207" s="136"/>
    </row>
    <row r="208" spans="1:8" ht="13.5" thickBot="1" x14ac:dyDescent="0.25">
      <c r="A208" s="99"/>
      <c r="E208" s="27"/>
      <c r="F208" s="27"/>
      <c r="G208" s="245">
        <f>+F207</f>
        <v>5368.4230260805471</v>
      </c>
      <c r="H208" s="245">
        <f>G208/G$42</f>
        <v>2.1577262966561683</v>
      </c>
    </row>
    <row r="209" spans="1:9" ht="11.25" customHeight="1" thickBot="1" x14ac:dyDescent="0.25">
      <c r="A209" s="99"/>
      <c r="E209" s="27"/>
      <c r="F209" s="27"/>
      <c r="G209" s="135"/>
      <c r="H209" s="135"/>
    </row>
    <row r="210" spans="1:9" ht="13.5" thickBot="1" x14ac:dyDescent="0.25">
      <c r="A210" s="12" t="s">
        <v>176</v>
      </c>
      <c r="B210" s="13"/>
      <c r="C210" s="16"/>
      <c r="D210" s="16"/>
      <c r="E210" s="17"/>
      <c r="F210" s="18"/>
      <c r="G210" s="244">
        <f>G208</f>
        <v>5368.4230260805471</v>
      </c>
      <c r="H210" s="244">
        <f>G210/G$42</f>
        <v>2.1577262966561683</v>
      </c>
    </row>
    <row r="211" spans="1:9" ht="13.5" thickBot="1" x14ac:dyDescent="0.25">
      <c r="A211" s="100"/>
      <c r="B211" s="6"/>
      <c r="C211" s="6"/>
      <c r="D211" s="6"/>
      <c r="E211" s="20"/>
      <c r="F211" s="20"/>
      <c r="G211" s="148"/>
      <c r="H211" s="148"/>
    </row>
    <row r="212" spans="1:9" ht="24.75" customHeight="1" thickBot="1" x14ac:dyDescent="0.25">
      <c r="A212" s="12" t="s">
        <v>177</v>
      </c>
      <c r="B212" s="13"/>
      <c r="C212" s="16"/>
      <c r="D212" s="16"/>
      <c r="E212" s="17"/>
      <c r="F212" s="18"/>
      <c r="G212" s="206">
        <f>G187+G210</f>
        <v>27802.284397081581</v>
      </c>
      <c r="H212" s="244">
        <f>G212/G$42</f>
        <v>11.174551606544044</v>
      </c>
      <c r="I212" s="34"/>
    </row>
    <row r="213" spans="1:9" ht="12.6" customHeight="1" x14ac:dyDescent="0.2">
      <c r="A213" s="104"/>
      <c r="B213" s="24"/>
      <c r="C213" s="24"/>
      <c r="D213" s="24"/>
      <c r="E213" s="25"/>
      <c r="F213" s="25"/>
      <c r="G213" s="149"/>
      <c r="H213" s="149"/>
    </row>
    <row r="214" spans="1:9" ht="16.149999999999999" customHeight="1" x14ac:dyDescent="0.2">
      <c r="A214" s="154" t="s">
        <v>178</v>
      </c>
      <c r="B214" s="215"/>
      <c r="C214" s="82"/>
      <c r="D214" s="82"/>
      <c r="E214" s="157">
        <f>E$200</f>
        <v>2488</v>
      </c>
      <c r="F214" s="156" t="s">
        <v>153</v>
      </c>
      <c r="G214" s="43"/>
      <c r="H214" s="43"/>
    </row>
    <row r="215" spans="1:9" ht="13.5" thickBot="1" x14ac:dyDescent="0.25">
      <c r="A215" s="99"/>
      <c r="E215" s="27"/>
      <c r="F215" s="27"/>
      <c r="G215" s="43"/>
      <c r="H215" s="43"/>
    </row>
    <row r="216" spans="1:9" ht="25.5" customHeight="1" thickBot="1" x14ac:dyDescent="0.25">
      <c r="A216" s="12" t="s">
        <v>179</v>
      </c>
      <c r="B216" s="13"/>
      <c r="C216" s="13"/>
      <c r="D216" s="13"/>
      <c r="E216" s="14"/>
      <c r="F216" s="155" t="s">
        <v>154</v>
      </c>
      <c r="G216" s="424">
        <f>IFERROR(G212/E214,"-")</f>
        <v>11.174551606544044</v>
      </c>
      <c r="H216" s="425"/>
    </row>
    <row r="217" spans="1:9" x14ac:dyDescent="0.2">
      <c r="A217" s="120"/>
      <c r="B217" s="121"/>
      <c r="C217" s="121"/>
      <c r="D217" s="121"/>
      <c r="E217" s="122"/>
      <c r="F217" s="122"/>
      <c r="G217" s="135"/>
      <c r="H217" s="135"/>
    </row>
    <row r="218" spans="1:9" x14ac:dyDescent="0.2">
      <c r="A218" s="134" t="s">
        <v>180</v>
      </c>
      <c r="B218" s="216"/>
      <c r="E218" s="27"/>
      <c r="F218" s="27"/>
      <c r="G218" s="43"/>
      <c r="H218" s="43"/>
    </row>
    <row r="219" spans="1:9" ht="11.25" customHeight="1" thickBot="1" x14ac:dyDescent="0.25">
      <c r="A219" s="99"/>
      <c r="E219" s="27"/>
      <c r="F219" s="27"/>
      <c r="G219" s="43"/>
      <c r="H219" s="43"/>
    </row>
    <row r="220" spans="1:9" ht="13.5" thickBot="1" x14ac:dyDescent="0.25">
      <c r="A220" s="240" t="s">
        <v>27</v>
      </c>
      <c r="B220" s="241"/>
      <c r="C220" s="236" t="s">
        <v>28</v>
      </c>
      <c r="D220" s="236" t="s">
        <v>21</v>
      </c>
      <c r="E220" s="237" t="s">
        <v>92</v>
      </c>
      <c r="F220" s="237" t="s">
        <v>29</v>
      </c>
      <c r="G220" s="238" t="s">
        <v>30</v>
      </c>
      <c r="H220" s="238" t="s">
        <v>154</v>
      </c>
    </row>
    <row r="221" spans="1:9" ht="13.5" thickBot="1" x14ac:dyDescent="0.25">
      <c r="A221" s="101" t="s">
        <v>181</v>
      </c>
      <c r="B221" s="213"/>
      <c r="C221" s="8" t="s">
        <v>0</v>
      </c>
      <c r="D221" s="44">
        <f>BDI!C35*100</f>
        <v>16.93</v>
      </c>
      <c r="E221" s="9">
        <f>G188</f>
        <v>21227.060800259213</v>
      </c>
      <c r="F221" s="9">
        <f>D221*E221/100</f>
        <v>3593.7413934838846</v>
      </c>
      <c r="G221" s="136"/>
      <c r="H221" s="136"/>
    </row>
    <row r="222" spans="1:9" ht="13.5" thickBot="1" x14ac:dyDescent="0.25">
      <c r="A222" s="99"/>
      <c r="E222" s="27"/>
      <c r="F222" s="27"/>
      <c r="G222" s="245">
        <f>+F221</f>
        <v>3593.7413934838846</v>
      </c>
      <c r="H222" s="245">
        <f>G222/G$42</f>
        <v>1.444429820532108</v>
      </c>
    </row>
    <row r="223" spans="1:9" ht="11.25" customHeight="1" thickBot="1" x14ac:dyDescent="0.25">
      <c r="A223" s="99"/>
      <c r="E223" s="27"/>
      <c r="F223" s="27"/>
      <c r="G223" s="135"/>
      <c r="H223" s="135"/>
    </row>
    <row r="224" spans="1:9" ht="13.5" thickBot="1" x14ac:dyDescent="0.25">
      <c r="A224" s="12" t="s">
        <v>182</v>
      </c>
      <c r="B224" s="13"/>
      <c r="C224" s="16"/>
      <c r="D224" s="16"/>
      <c r="E224" s="17"/>
      <c r="F224" s="18"/>
      <c r="G224" s="244">
        <f>G222</f>
        <v>3593.7413934838846</v>
      </c>
      <c r="H224" s="244">
        <f>G224/G$42</f>
        <v>1.444429820532108</v>
      </c>
    </row>
    <row r="225" spans="1:11" ht="13.5" thickBot="1" x14ac:dyDescent="0.25">
      <c r="A225" s="100"/>
      <c r="B225" s="6"/>
      <c r="C225" s="6"/>
      <c r="D225" s="6"/>
      <c r="E225" s="20"/>
      <c r="F225" s="20"/>
      <c r="G225" s="148"/>
      <c r="H225" s="148"/>
    </row>
    <row r="226" spans="1:11" ht="24.75" customHeight="1" thickBot="1" x14ac:dyDescent="0.25">
      <c r="A226" s="12" t="s">
        <v>183</v>
      </c>
      <c r="B226" s="13"/>
      <c r="C226" s="16"/>
      <c r="D226" s="16"/>
      <c r="E226" s="17"/>
      <c r="F226" s="18"/>
      <c r="G226" s="244">
        <f>E221+G224</f>
        <v>24820.802193743097</v>
      </c>
      <c r="H226" s="244">
        <f>G226/G$42</f>
        <v>9.9762066695108906</v>
      </c>
      <c r="I226" s="34"/>
    </row>
    <row r="227" spans="1:11" ht="12.6" customHeight="1" x14ac:dyDescent="0.2">
      <c r="A227" s="104"/>
      <c r="B227" s="24"/>
      <c r="C227" s="24"/>
      <c r="D227" s="24"/>
      <c r="E227" s="25"/>
      <c r="F227" s="25"/>
      <c r="G227" s="149"/>
      <c r="H227" s="149"/>
      <c r="I227" s="34"/>
    </row>
    <row r="228" spans="1:11" ht="12.6" customHeight="1" x14ac:dyDescent="0.2">
      <c r="A228" s="104" t="s">
        <v>125</v>
      </c>
      <c r="B228" s="24"/>
      <c r="C228" s="24"/>
      <c r="D228" s="24"/>
      <c r="E228" s="25"/>
      <c r="F228" s="25"/>
      <c r="G228" s="151"/>
      <c r="H228" s="151"/>
    </row>
    <row r="229" spans="1:11" x14ac:dyDescent="0.2">
      <c r="A229" s="153" t="s">
        <v>122</v>
      </c>
      <c r="B229" s="6"/>
      <c r="E229" s="27"/>
      <c r="F229" s="27"/>
      <c r="G229" s="43"/>
      <c r="H229" s="43"/>
    </row>
    <row r="230" spans="1:11" x14ac:dyDescent="0.2">
      <c r="A230" s="100" t="s">
        <v>120</v>
      </c>
      <c r="B230" s="6"/>
      <c r="E230" s="27"/>
      <c r="F230" s="27"/>
      <c r="G230" s="43"/>
      <c r="H230" s="43"/>
    </row>
    <row r="231" spans="1:11" x14ac:dyDescent="0.2">
      <c r="A231" s="426" t="s">
        <v>317</v>
      </c>
      <c r="B231" s="415"/>
      <c r="E231" s="27"/>
      <c r="F231" s="27"/>
      <c r="G231" s="43"/>
      <c r="H231" s="43"/>
    </row>
    <row r="232" spans="1:11" ht="11.25" customHeight="1" thickBot="1" x14ac:dyDescent="0.25">
      <c r="A232" s="123"/>
      <c r="E232" s="27"/>
      <c r="F232" s="27"/>
      <c r="G232" s="43"/>
      <c r="H232" s="43"/>
    </row>
    <row r="233" spans="1:11" ht="15.75" thickBot="1" x14ac:dyDescent="0.3">
      <c r="A233" s="240" t="s">
        <v>27</v>
      </c>
      <c r="B233" s="241"/>
      <c r="C233" s="236" t="s">
        <v>28</v>
      </c>
      <c r="D233" s="236" t="s">
        <v>21</v>
      </c>
      <c r="E233" s="237" t="s">
        <v>121</v>
      </c>
      <c r="F233" s="237" t="s">
        <v>29</v>
      </c>
      <c r="G233" s="238" t="s">
        <v>30</v>
      </c>
      <c r="H233" s="238" t="s">
        <v>154</v>
      </c>
      <c r="I233" s="131"/>
      <c r="J233" s="132"/>
      <c r="K233" s="131"/>
    </row>
    <row r="234" spans="1:11" ht="15.75" thickBot="1" x14ac:dyDescent="0.3">
      <c r="A234" s="405" t="s">
        <v>184</v>
      </c>
      <c r="B234" s="390"/>
      <c r="C234" s="124" t="s">
        <v>0</v>
      </c>
      <c r="D234" s="276">
        <v>8.3699999999999992</v>
      </c>
      <c r="E234" s="125">
        <f>G226</f>
        <v>24820.802193743097</v>
      </c>
      <c r="F234" s="9">
        <f>G237*(D234/100)</f>
        <v>2267.2717926621162</v>
      </c>
      <c r="G234" s="136"/>
      <c r="H234" s="136"/>
      <c r="I234" s="34">
        <f>G237*12</f>
        <v>325056.88783686253</v>
      </c>
      <c r="J234" s="133"/>
      <c r="K234" s="133"/>
    </row>
    <row r="235" spans="1:11" ht="15.75" thickBot="1" x14ac:dyDescent="0.3">
      <c r="A235" s="99"/>
      <c r="E235" s="27"/>
      <c r="F235" s="27"/>
      <c r="G235" s="244">
        <f>F234</f>
        <v>2267.2717926621162</v>
      </c>
      <c r="H235" s="244">
        <f>G235/G$42</f>
        <v>0.91128287486419468</v>
      </c>
      <c r="I235" s="131">
        <v>11.2</v>
      </c>
      <c r="J235" s="131">
        <f>I235*I234/100</f>
        <v>36406.371437728601</v>
      </c>
      <c r="K235" s="131"/>
    </row>
    <row r="236" spans="1:11" ht="15.75" thickBot="1" x14ac:dyDescent="0.3">
      <c r="A236" s="126"/>
      <c r="B236" s="127"/>
      <c r="C236" s="127"/>
      <c r="D236" s="127"/>
      <c r="E236" s="128"/>
      <c r="F236" s="128"/>
      <c r="G236" s="152"/>
      <c r="H236" s="152"/>
      <c r="I236" s="133">
        <v>9360</v>
      </c>
      <c r="J236" s="131">
        <f>J235-I236</f>
        <v>27046.371437728601</v>
      </c>
      <c r="K236" s="290">
        <f>J236/I234</f>
        <v>8.3205040255299748E-2</v>
      </c>
    </row>
    <row r="237" spans="1:11" ht="24.75" customHeight="1" thickBot="1" x14ac:dyDescent="0.3">
      <c r="A237" s="12" t="s">
        <v>185</v>
      </c>
      <c r="B237" s="13"/>
      <c r="C237" s="16"/>
      <c r="D237" s="16"/>
      <c r="E237" s="17"/>
      <c r="F237" s="18"/>
      <c r="G237" s="206">
        <f>E234/((100-D234)/100)</f>
        <v>27088.073986405212</v>
      </c>
      <c r="H237" s="244">
        <f>G237/G$42</f>
        <v>10.887489544375086</v>
      </c>
      <c r="I237" s="133"/>
      <c r="J237" s="133"/>
      <c r="K237" s="132"/>
    </row>
    <row r="238" spans="1:11" ht="12.6" customHeight="1" x14ac:dyDescent="0.2">
      <c r="A238" s="104"/>
      <c r="B238" s="24"/>
      <c r="C238" s="24"/>
      <c r="D238" s="24"/>
      <c r="E238" s="25"/>
      <c r="F238" s="25"/>
      <c r="G238" s="149"/>
      <c r="H238" s="149"/>
    </row>
    <row r="239" spans="1:11" ht="16.149999999999999" customHeight="1" x14ac:dyDescent="0.2">
      <c r="A239" s="154" t="s">
        <v>186</v>
      </c>
      <c r="B239" s="215"/>
      <c r="C239" s="82"/>
      <c r="D239" s="82"/>
      <c r="E239" s="157">
        <f>E$200</f>
        <v>2488</v>
      </c>
      <c r="F239" s="156" t="s">
        <v>153</v>
      </c>
      <c r="G239" s="43"/>
      <c r="H239" s="43"/>
    </row>
    <row r="240" spans="1:11" ht="13.5" thickBot="1" x14ac:dyDescent="0.25">
      <c r="A240" s="99"/>
      <c r="E240" s="27"/>
      <c r="F240" s="27"/>
      <c r="G240" s="43"/>
      <c r="H240" s="43"/>
    </row>
    <row r="241" spans="1:8" ht="25.5" customHeight="1" thickBot="1" x14ac:dyDescent="0.25">
      <c r="A241" s="12" t="s">
        <v>187</v>
      </c>
      <c r="B241" s="13"/>
      <c r="C241" s="13"/>
      <c r="D241" s="13"/>
      <c r="E241" s="14"/>
      <c r="F241" s="155" t="s">
        <v>154</v>
      </c>
      <c r="G241" s="424">
        <f>IFERROR(G237/E239,"-")</f>
        <v>10.887489544375086</v>
      </c>
      <c r="H241" s="425"/>
    </row>
    <row r="242" spans="1:8" ht="9" customHeight="1" x14ac:dyDescent="0.2">
      <c r="E242" s="4"/>
      <c r="F242" s="4"/>
      <c r="G242" s="4"/>
      <c r="H242" s="27"/>
    </row>
    <row r="243" spans="1:8" x14ac:dyDescent="0.2">
      <c r="H243" s="27"/>
    </row>
    <row r="244" spans="1:8" x14ac:dyDescent="0.2">
      <c r="H244" s="27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6"/>
      <c r="D248" s="6"/>
      <c r="E248" s="317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A251" s="6"/>
      <c r="B251" s="6"/>
      <c r="C251" s="423"/>
      <c r="D251" s="423"/>
      <c r="E251" s="423"/>
      <c r="F251" s="317"/>
      <c r="G251" s="317"/>
      <c r="H251" s="20"/>
    </row>
    <row r="252" spans="1:8" x14ac:dyDescent="0.2">
      <c r="H252" s="27"/>
    </row>
    <row r="253" spans="1:8" x14ac:dyDescent="0.2">
      <c r="H253" s="27"/>
    </row>
    <row r="254" spans="1:8" x14ac:dyDescent="0.2">
      <c r="H254" s="27"/>
    </row>
  </sheetData>
  <mergeCells count="134">
    <mergeCell ref="C249:E249"/>
    <mergeCell ref="C250:E250"/>
    <mergeCell ref="C251:E251"/>
    <mergeCell ref="A1:H1"/>
    <mergeCell ref="D3:E3"/>
    <mergeCell ref="G3:H3"/>
    <mergeCell ref="C7:D7"/>
    <mergeCell ref="E7:F7"/>
    <mergeCell ref="G7:H7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43:B43"/>
    <mergeCell ref="D45:G45"/>
    <mergeCell ref="A46:B46"/>
    <mergeCell ref="D46:F46"/>
    <mergeCell ref="A47:B47"/>
    <mergeCell ref="D47:G47"/>
    <mergeCell ref="A35:B35"/>
    <mergeCell ref="A36:B36"/>
    <mergeCell ref="A38:B38"/>
    <mergeCell ref="A39:B39"/>
    <mergeCell ref="A41:B41"/>
    <mergeCell ref="A42:B42"/>
    <mergeCell ref="A37:B37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115:B115"/>
    <mergeCell ref="A116:B116"/>
    <mergeCell ref="A117:B117"/>
    <mergeCell ref="A120:B120"/>
    <mergeCell ref="A121:B121"/>
    <mergeCell ref="A122:B122"/>
    <mergeCell ref="A90:B90"/>
    <mergeCell ref="A91:B91"/>
    <mergeCell ref="A96:B96"/>
    <mergeCell ref="A97:B97"/>
    <mergeCell ref="A113:B113"/>
    <mergeCell ref="A114:B114"/>
    <mergeCell ref="A102:B102"/>
    <mergeCell ref="A103:B103"/>
    <mergeCell ref="A133:B133"/>
    <mergeCell ref="A134:B134"/>
    <mergeCell ref="A135:B135"/>
    <mergeCell ref="A136:B136"/>
    <mergeCell ref="A137:B137"/>
    <mergeCell ref="A138:B138"/>
    <mergeCell ref="A123:B123"/>
    <mergeCell ref="A124:B124"/>
    <mergeCell ref="A125:B125"/>
    <mergeCell ref="A126:B126"/>
    <mergeCell ref="A127:B127"/>
    <mergeCell ref="A128:B128"/>
    <mergeCell ref="A148:B148"/>
    <mergeCell ref="A149:B149"/>
    <mergeCell ref="A150:B150"/>
    <mergeCell ref="A151:B151"/>
    <mergeCell ref="A152:B152"/>
    <mergeCell ref="A153:B153"/>
    <mergeCell ref="A139:B139"/>
    <mergeCell ref="A140:B140"/>
    <mergeCell ref="A144:B144"/>
    <mergeCell ref="A145:B145"/>
    <mergeCell ref="A146:B146"/>
    <mergeCell ref="A147:B147"/>
    <mergeCell ref="A166:B166"/>
    <mergeCell ref="A167:B167"/>
    <mergeCell ref="A169:B169"/>
    <mergeCell ref="A170:B170"/>
    <mergeCell ref="A177:B177"/>
    <mergeCell ref="A178:B178"/>
    <mergeCell ref="A154:B154"/>
    <mergeCell ref="A155:B155"/>
    <mergeCell ref="A159:B159"/>
    <mergeCell ref="A160:B160"/>
    <mergeCell ref="A161:B161"/>
    <mergeCell ref="A162:B162"/>
    <mergeCell ref="A168:B168"/>
    <mergeCell ref="G241:H241"/>
    <mergeCell ref="A200:B200"/>
    <mergeCell ref="G202:H202"/>
    <mergeCell ref="A207:B207"/>
    <mergeCell ref="G216:H216"/>
    <mergeCell ref="A231:B231"/>
    <mergeCell ref="A234:B234"/>
    <mergeCell ref="A179:B179"/>
    <mergeCell ref="A180:B180"/>
    <mergeCell ref="A181:B181"/>
    <mergeCell ref="A182:B182"/>
    <mergeCell ref="A192:B192"/>
    <mergeCell ref="A193:B193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1" max="16383" man="1"/>
    <brk id="202" max="16383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255"/>
  <sheetViews>
    <sheetView tabSelected="1" topLeftCell="A214" zoomScaleNormal="100" zoomScaleSheetLayoutView="110" workbookViewId="0">
      <selection activeCell="J235" sqref="J235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16.3'!B3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20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+G108</f>
        <v>3370.2578295454555</v>
      </c>
      <c r="D9" s="40">
        <f t="shared" ref="D9:D23" si="0">IFERROR(C9/$C$26,0)</f>
        <v>0.27822519867118517</v>
      </c>
      <c r="E9" s="106">
        <f>G108</f>
        <v>3370.2578295454555</v>
      </c>
      <c r="F9" s="40">
        <f t="shared" ref="F9:F22" si="1">IFERROR(E9/$E$26,0)</f>
        <v>0.29578124687265911</v>
      </c>
      <c r="G9" s="106">
        <f>G109</f>
        <v>2827.0304258181818</v>
      </c>
      <c r="H9" s="40">
        <f t="shared" ref="H9:H22" si="2">IFERROR(G9/$G$26,0)</f>
        <v>0.26270311601341451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1076.7796960227272</v>
      </c>
      <c r="D10" s="26">
        <f t="shared" si="0"/>
        <v>8.8891491394124819E-2</v>
      </c>
      <c r="E10" s="107">
        <f t="shared" ref="E10:E22" si="3">C10</f>
        <v>1076.7796960227272</v>
      </c>
      <c r="F10" s="26">
        <f t="shared" si="1"/>
        <v>9.4500556694714299E-2</v>
      </c>
      <c r="G10" s="107">
        <f>G67</f>
        <v>850.52799472727247</v>
      </c>
      <c r="H10" s="26">
        <f t="shared" si="2"/>
        <v>7.9035709142334348E-2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1486.3406335227271</v>
      </c>
      <c r="D11" s="26">
        <f t="shared" si="0"/>
        <v>0.1227020124186432</v>
      </c>
      <c r="E11" s="107">
        <f t="shared" si="3"/>
        <v>1486.3406335227271</v>
      </c>
      <c r="F11" s="26">
        <f t="shared" si="1"/>
        <v>0.13044452623381136</v>
      </c>
      <c r="G11" s="107">
        <f>G84</f>
        <v>1169.3649310909088</v>
      </c>
      <c r="H11" s="26">
        <f t="shared" si="2"/>
        <v>0.10866377961442943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108.75681818181818</v>
      </c>
      <c r="D12" s="26">
        <f t="shared" si="0"/>
        <v>8.9782114235347158E-3</v>
      </c>
      <c r="E12" s="107">
        <f t="shared" si="3"/>
        <v>108.75681818181818</v>
      </c>
      <c r="F12" s="26">
        <f t="shared" si="1"/>
        <v>9.5447377959388263E-3</v>
      </c>
      <c r="G12" s="107">
        <f t="shared" ref="G12:G21" si="4">E12</f>
        <v>108.75681818181818</v>
      </c>
      <c r="H12" s="26">
        <f t="shared" si="2"/>
        <v>1.0106277867808669E-2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679.5454545454545</v>
      </c>
      <c r="D13" s="26">
        <f t="shared" si="0"/>
        <v>5.6098577218499986E-2</v>
      </c>
      <c r="E13" s="107">
        <f t="shared" si="3"/>
        <v>679.5454545454545</v>
      </c>
      <c r="F13" s="26">
        <f t="shared" si="1"/>
        <v>5.9638405136265414E-2</v>
      </c>
      <c r="G13" s="107">
        <f t="shared" si="4"/>
        <v>679.5454545454545</v>
      </c>
      <c r="H13" s="26">
        <f t="shared" si="2"/>
        <v>6.3147077141972124E-2</v>
      </c>
      <c r="I13" s="4"/>
    </row>
    <row r="14" spans="1:9" s="2" customFormat="1" ht="15.75" customHeight="1" x14ac:dyDescent="0.2">
      <c r="A14" s="337" t="s">
        <v>300</v>
      </c>
      <c r="B14" s="336"/>
      <c r="C14" s="107">
        <f>G105</f>
        <v>18.83522727272727</v>
      </c>
      <c r="D14" s="26">
        <f t="shared" si="0"/>
        <v>1.5549062163823365E-3</v>
      </c>
      <c r="E14" s="107">
        <f>C14</f>
        <v>18.83522727272727</v>
      </c>
      <c r="F14" s="26">
        <f t="shared" si="1"/>
        <v>1.6530210119290957E-3</v>
      </c>
      <c r="G14" s="107">
        <f>E14</f>
        <v>18.83522727272727</v>
      </c>
      <c r="H14" s="26">
        <f t="shared" si="2"/>
        <v>1.7502722468698793E-3</v>
      </c>
      <c r="I14" s="4"/>
    </row>
    <row r="15" spans="1:9" s="6" customFormat="1" ht="15.75" customHeight="1" x14ac:dyDescent="0.2">
      <c r="A15" s="363" t="str">
        <f>A111</f>
        <v>2. Veículos</v>
      </c>
      <c r="B15" s="364"/>
      <c r="C15" s="106">
        <f>+G174</f>
        <v>5737.0281797453836</v>
      </c>
      <c r="D15" s="40">
        <f t="shared" si="0"/>
        <v>0.47360940492411041</v>
      </c>
      <c r="E15" s="106">
        <f t="shared" si="3"/>
        <v>5737.0281797453836</v>
      </c>
      <c r="F15" s="40">
        <f t="shared" si="1"/>
        <v>0.50349422334181826</v>
      </c>
      <c r="G15" s="106">
        <f t="shared" si="4"/>
        <v>5737.0281797453836</v>
      </c>
      <c r="H15" s="40">
        <f t="shared" si="2"/>
        <v>0.5331160095454911</v>
      </c>
      <c r="I15" s="4"/>
    </row>
    <row r="16" spans="1:9" s="2" customFormat="1" ht="15.75" customHeight="1" x14ac:dyDescent="0.2">
      <c r="A16" s="376" t="str">
        <f>A112</f>
        <v>2.1 Depreciação</v>
      </c>
      <c r="B16" s="364"/>
      <c r="C16" s="107">
        <f>G119</f>
        <v>541.79609668560602</v>
      </c>
      <c r="D16" s="46">
        <f t="shared" si="0"/>
        <v>4.4726942051183001E-2</v>
      </c>
      <c r="E16" s="107">
        <f t="shared" si="3"/>
        <v>541.79609668560602</v>
      </c>
      <c r="F16" s="46">
        <f t="shared" si="1"/>
        <v>4.7549218229995638E-2</v>
      </c>
      <c r="G16" s="107">
        <f t="shared" si="4"/>
        <v>541.79609668560602</v>
      </c>
      <c r="H16" s="46">
        <f t="shared" si="2"/>
        <v>5.0346654052023931E-2</v>
      </c>
      <c r="I16" s="4"/>
    </row>
    <row r="17" spans="1:10" s="2" customFormat="1" ht="15.75" customHeight="1" x14ac:dyDescent="0.2">
      <c r="A17" s="376" t="str">
        <f>A120</f>
        <v>2.2 Remuneração do Capital</v>
      </c>
      <c r="B17" s="364"/>
      <c r="C17" s="107">
        <f>G130</f>
        <v>866.44795682871666</v>
      </c>
      <c r="D17" s="46">
        <f t="shared" si="0"/>
        <v>7.1527956352058913E-2</v>
      </c>
      <c r="E17" s="107">
        <f t="shared" si="3"/>
        <v>866.44795682871666</v>
      </c>
      <c r="F17" s="46">
        <f t="shared" si="1"/>
        <v>7.6041380209664819E-2</v>
      </c>
      <c r="G17" s="107">
        <f t="shared" si="4"/>
        <v>866.44795682871666</v>
      </c>
      <c r="H17" s="46">
        <f t="shared" si="2"/>
        <v>8.0515079018466648E-2</v>
      </c>
      <c r="I17" s="4"/>
    </row>
    <row r="18" spans="1:10" s="2" customFormat="1" ht="15.75" customHeight="1" x14ac:dyDescent="0.2">
      <c r="A18" s="376" t="str">
        <f>A132</f>
        <v>2.3. Impostos e Seguros</v>
      </c>
      <c r="B18" s="364"/>
      <c r="C18" s="107">
        <f>G142</f>
        <v>577.73833333333334</v>
      </c>
      <c r="D18" s="46">
        <f t="shared" si="0"/>
        <v>4.7694084755914697E-2</v>
      </c>
      <c r="E18" s="107">
        <f t="shared" si="3"/>
        <v>577.73833333333334</v>
      </c>
      <c r="F18" s="46">
        <f t="shared" si="1"/>
        <v>5.0703588046411369E-2</v>
      </c>
      <c r="G18" s="107">
        <f t="shared" si="4"/>
        <v>577.73833333333334</v>
      </c>
      <c r="H18" s="46">
        <f t="shared" si="2"/>
        <v>5.3686603094530896E-2</v>
      </c>
      <c r="I18" s="4"/>
    </row>
    <row r="19" spans="1:10" s="2" customFormat="1" ht="15.75" customHeight="1" x14ac:dyDescent="0.2">
      <c r="A19" s="376" t="str">
        <f>A143</f>
        <v>2.4. Consumos</v>
      </c>
      <c r="B19" s="364"/>
      <c r="C19" s="107">
        <f>G157</f>
        <v>1522.7457928977276</v>
      </c>
      <c r="D19" s="46">
        <f t="shared" si="0"/>
        <v>0.12570737082504493</v>
      </c>
      <c r="E19" s="107">
        <f t="shared" si="3"/>
        <v>1522.7457928977276</v>
      </c>
      <c r="F19" s="46">
        <f t="shared" si="1"/>
        <v>0.13363952316791469</v>
      </c>
      <c r="G19" s="107">
        <f t="shared" si="4"/>
        <v>1522.7457928977276</v>
      </c>
      <c r="H19" s="46">
        <f t="shared" si="2"/>
        <v>0.14150186041056714</v>
      </c>
      <c r="I19" s="4"/>
    </row>
    <row r="20" spans="1:10" s="2" customFormat="1" ht="15.75" customHeight="1" x14ac:dyDescent="0.2">
      <c r="A20" s="376" t="str">
        <f>A159</f>
        <v>2.5. Manutenção</v>
      </c>
      <c r="B20" s="364"/>
      <c r="C20" s="107">
        <f>G164</f>
        <v>2018.75</v>
      </c>
      <c r="D20" s="46">
        <f t="shared" si="0"/>
        <v>0.16665405088405558</v>
      </c>
      <c r="E20" s="107">
        <f t="shared" si="3"/>
        <v>2018.75</v>
      </c>
      <c r="F20" s="46">
        <f t="shared" si="1"/>
        <v>0.17716994435547745</v>
      </c>
      <c r="G20" s="107">
        <f t="shared" si="4"/>
        <v>2018.75</v>
      </c>
      <c r="H20" s="46">
        <f t="shared" si="2"/>
        <v>0.18759328184400248</v>
      </c>
      <c r="I20" s="4"/>
    </row>
    <row r="21" spans="1:10" s="2" customFormat="1" ht="15.75" customHeight="1" x14ac:dyDescent="0.2">
      <c r="A21" s="376" t="str">
        <f>A166</f>
        <v>2.6. Pneus</v>
      </c>
      <c r="B21" s="364"/>
      <c r="C21" s="107">
        <f>G172</f>
        <v>209.54999999999998</v>
      </c>
      <c r="D21" s="46">
        <f t="shared" si="0"/>
        <v>1.7299000055853296E-2</v>
      </c>
      <c r="E21" s="107">
        <f t="shared" si="3"/>
        <v>209.54999999999998</v>
      </c>
      <c r="F21" s="46">
        <f t="shared" si="1"/>
        <v>1.8390569332354327E-2</v>
      </c>
      <c r="G21" s="107">
        <f t="shared" si="4"/>
        <v>209.54999999999998</v>
      </c>
      <c r="H21" s="46">
        <f t="shared" si="2"/>
        <v>1.9472531125900045E-2</v>
      </c>
      <c r="I21" s="4"/>
    </row>
    <row r="22" spans="1:10" s="6" customFormat="1" ht="15.75" customHeight="1" x14ac:dyDescent="0.2">
      <c r="A22" s="363" t="str">
        <f>A176</f>
        <v>3. Ferramentas e Materiais de Consumo</v>
      </c>
      <c r="B22" s="364"/>
      <c r="C22" s="106">
        <f>+G186</f>
        <v>86.958333333333329</v>
      </c>
      <c r="D22" s="40">
        <f t="shared" si="0"/>
        <v>7.178679137152197E-3</v>
      </c>
      <c r="E22" s="106">
        <f t="shared" si="3"/>
        <v>86.958333333333329</v>
      </c>
      <c r="F22" s="40">
        <f t="shared" si="1"/>
        <v>7.6316547754361492E-3</v>
      </c>
      <c r="G22" s="106">
        <f>E22</f>
        <v>86.958333333333329</v>
      </c>
      <c r="H22" s="40">
        <f t="shared" si="2"/>
        <v>8.0806435337137904E-3</v>
      </c>
      <c r="I22" s="4"/>
    </row>
    <row r="23" spans="1:10" s="6" customFormat="1" ht="15.75" customHeight="1" x14ac:dyDescent="0.2">
      <c r="A23" s="377" t="str">
        <f>A191</f>
        <v>4. Benefícios e Desp. Ind. - BDI - LUCRO REAL</v>
      </c>
      <c r="B23" s="364"/>
      <c r="C23" s="106">
        <f>+G197</f>
        <v>2919.1725787831751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A205</f>
        <v>5. Benefícios e Desp. Ind. - BDI - LUCRO PRESUMIDO</v>
      </c>
      <c r="B24" s="364"/>
      <c r="C24" s="115"/>
      <c r="D24" s="111"/>
      <c r="E24" s="106">
        <f>G211</f>
        <v>2200.1826711899648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A219</f>
        <v>6. Benef. Desp. Ind. + Impostos - SIMPLES NACIONAL</v>
      </c>
      <c r="B25" s="379"/>
      <c r="C25" s="116"/>
      <c r="D25" s="117"/>
      <c r="E25" s="118"/>
      <c r="F25" s="109"/>
      <c r="G25" s="119">
        <f>G223+G236</f>
        <v>2110.2959405202755</v>
      </c>
      <c r="H25" s="108">
        <f>IFERROR(G25/$G$26,0)</f>
        <v>0.19610023090738046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12113.416921407348</v>
      </c>
      <c r="D26" s="45">
        <f>D9+D15+D22+D23</f>
        <v>1</v>
      </c>
      <c r="E26" s="129">
        <f>E9+E15+E22+E24</f>
        <v>11394.427013814138</v>
      </c>
      <c r="F26" s="45">
        <f>F9+F15+F22+F24</f>
        <v>0.99999999999999978</v>
      </c>
      <c r="G26" s="129">
        <f>G9+G15+G22+G25</f>
        <v>10761.312879417175</v>
      </c>
      <c r="H26" s="45">
        <f>H9+H15+H22+H25</f>
        <v>0.99999999999999978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G203</f>
        <v>13.459352134897053</v>
      </c>
      <c r="D27" s="45"/>
      <c r="E27" s="129">
        <f>G217</f>
        <v>12.660474459793488</v>
      </c>
      <c r="F27" s="45"/>
      <c r="G27" s="129">
        <f>G242</f>
        <v>11.957014310463528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16.3'!G31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16.3'!G32</f>
        <v>1621</v>
      </c>
      <c r="H32" s="193"/>
      <c r="I32" s="4"/>
    </row>
    <row r="33" spans="1:10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10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10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10" s="2" customFormat="1" ht="15" customHeight="1" x14ac:dyDescent="0.2">
      <c r="A36" s="384" t="s">
        <v>265</v>
      </c>
      <c r="B36" s="385"/>
      <c r="C36" s="261">
        <v>10</v>
      </c>
      <c r="D36" s="183">
        <f>1/C36</f>
        <v>0.1</v>
      </c>
      <c r="E36" s="261">
        <v>15</v>
      </c>
      <c r="F36" s="262">
        <v>1</v>
      </c>
      <c r="G36" s="259">
        <v>270086</v>
      </c>
      <c r="H36" s="193"/>
      <c r="I36" s="4"/>
    </row>
    <row r="37" spans="1:10" s="2" customFormat="1" ht="38.25" customHeight="1" x14ac:dyDescent="0.2">
      <c r="A37" s="386" t="s">
        <v>306</v>
      </c>
      <c r="B37" s="387"/>
      <c r="C37" s="318"/>
      <c r="D37" s="321" t="s">
        <v>252</v>
      </c>
      <c r="E37" s="320" t="s">
        <v>263</v>
      </c>
      <c r="F37" s="318"/>
      <c r="G37" s="318"/>
      <c r="H37" s="193"/>
      <c r="I37" s="4"/>
    </row>
    <row r="38" spans="1:10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16.3'!G38</f>
        <v>7.32</v>
      </c>
      <c r="H38" s="193"/>
      <c r="I38" s="4"/>
    </row>
    <row r="39" spans="1:10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10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10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10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45</v>
      </c>
      <c r="F42" s="161">
        <f>(E42/F39)+C48</f>
        <v>3.25</v>
      </c>
      <c r="G42" s="186">
        <f>E42*E43</f>
        <v>900</v>
      </c>
      <c r="H42" s="193"/>
      <c r="I42" s="6">
        <v>45</v>
      </c>
      <c r="J42" s="2" t="s">
        <v>320</v>
      </c>
    </row>
    <row r="43" spans="1:10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9135</v>
      </c>
    </row>
    <row r="44" spans="1:10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10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10" s="6" customFormat="1" ht="15.75" customHeight="1" thickBot="1" x14ac:dyDescent="0.25">
      <c r="A46" s="400" t="s">
        <v>98</v>
      </c>
      <c r="B46" s="394"/>
      <c r="C46" s="232">
        <f>F42/8.8</f>
        <v>0.36931818181818177</v>
      </c>
      <c r="D46" s="380" t="s">
        <v>143</v>
      </c>
      <c r="E46" s="411"/>
      <c r="F46" s="411"/>
      <c r="G46" s="185"/>
      <c r="H46" s="193"/>
      <c r="I46" s="4"/>
    </row>
    <row r="47" spans="1:10" s="6" customFormat="1" ht="15.75" customHeight="1" thickBot="1" x14ac:dyDescent="0.25">
      <c r="A47" s="400" t="s">
        <v>144</v>
      </c>
      <c r="B47" s="394"/>
      <c r="C47" s="266">
        <v>0.25</v>
      </c>
      <c r="D47" s="400" t="s">
        <v>242</v>
      </c>
      <c r="E47" s="401"/>
      <c r="F47" s="401"/>
      <c r="G47" s="402"/>
      <c r="H47" s="193"/>
      <c r="I47" s="4"/>
    </row>
    <row r="48" spans="1:10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297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0.36931818181818177</v>
      </c>
      <c r="G60" s="239">
        <f>F59*F60</f>
        <v>1076.7796960227272</v>
      </c>
      <c r="H60" s="239">
        <f>G60/G$42</f>
        <v>1.1964218844696968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de assiduidade ( 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0.36931818181818177</v>
      </c>
      <c r="G67" s="239">
        <f>F66*F67</f>
        <v>850.52799472727247</v>
      </c>
      <c r="H67" s="239">
        <f>G67/G$42</f>
        <v>0.94503110525252498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de assiduidade ( 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0.36931818181818177</v>
      </c>
      <c r="G77" s="239">
        <f>F76*F77</f>
        <v>1486.3406335227271</v>
      </c>
      <c r="H77" s="239">
        <f>G77/G$42</f>
        <v>1.6514895928030302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A57</f>
        <v>Prêmio de assiduidade ( 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0.36931818181818177</v>
      </c>
      <c r="G84" s="239">
        <f>F83*F84</f>
        <v>1169.3649310909088</v>
      </c>
      <c r="H84" s="239">
        <f>G84/G$42</f>
        <v>1.2992943678787876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16.3'!E88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0.36931818181818177</v>
      </c>
      <c r="G92" s="239">
        <f>SUM(F88:F91)*F92</f>
        <v>108.75681818181818</v>
      </c>
      <c r="H92" s="239">
        <f>G92/G$42</f>
        <v>0.12084090909090908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16.3'!E96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0.36931818181818177</v>
      </c>
      <c r="G98" s="239">
        <f>SUM(F96:F97)*F98</f>
        <v>679.5454545454545</v>
      </c>
      <c r="H98" s="239">
        <f>G98/G$42</f>
        <v>0.75505050505050497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99"/>
      <c r="E100" s="27"/>
      <c r="F100" s="27"/>
      <c r="G100" s="135"/>
      <c r="H100" s="198"/>
    </row>
    <row r="101" spans="1:8" ht="13.5" thickBot="1" x14ac:dyDescent="0.25">
      <c r="A101" s="100" t="s">
        <v>299</v>
      </c>
      <c r="B101" s="6"/>
      <c r="E101" s="27"/>
      <c r="F101" s="27"/>
      <c r="G101" s="139"/>
      <c r="H101" s="193"/>
    </row>
    <row r="102" spans="1:8" ht="13.5" thickBot="1" x14ac:dyDescent="0.25">
      <c r="A102" s="240" t="s">
        <v>27</v>
      </c>
      <c r="B102" s="241"/>
      <c r="C102" s="236" t="s">
        <v>28</v>
      </c>
      <c r="D102" s="236" t="s">
        <v>21</v>
      </c>
      <c r="E102" s="237" t="s">
        <v>92</v>
      </c>
      <c r="F102" s="237" t="s">
        <v>29</v>
      </c>
      <c r="G102" s="238" t="s">
        <v>30</v>
      </c>
      <c r="H102" s="238" t="s">
        <v>154</v>
      </c>
    </row>
    <row r="103" spans="1:8" x14ac:dyDescent="0.2">
      <c r="A103" s="405" t="s">
        <v>136</v>
      </c>
      <c r="B103" s="390"/>
      <c r="C103" s="92" t="s">
        <v>7</v>
      </c>
      <c r="D103" s="351" t="s">
        <v>283</v>
      </c>
      <c r="E103" s="262">
        <f>'lote 16.3'!E103</f>
        <v>25.5</v>
      </c>
      <c r="F103" s="23">
        <f>E103</f>
        <v>25.5</v>
      </c>
      <c r="G103" s="140"/>
      <c r="H103" s="136"/>
    </row>
    <row r="104" spans="1:8" x14ac:dyDescent="0.2">
      <c r="A104" s="418" t="s">
        <v>99</v>
      </c>
      <c r="B104" s="385"/>
      <c r="C104" s="92" t="s">
        <v>7</v>
      </c>
      <c r="D104" s="351" t="s">
        <v>283</v>
      </c>
      <c r="E104" s="262">
        <f>E103</f>
        <v>25.5</v>
      </c>
      <c r="F104" s="23">
        <f>E104</f>
        <v>25.5</v>
      </c>
      <c r="G104" s="141"/>
      <c r="H104" s="193"/>
    </row>
    <row r="105" spans="1:8" ht="13.5" thickBot="1" x14ac:dyDescent="0.25">
      <c r="A105" s="99"/>
      <c r="E105" s="95" t="s">
        <v>86</v>
      </c>
      <c r="F105" s="250">
        <f>$C$46</f>
        <v>0.36931818181818177</v>
      </c>
      <c r="G105" s="239">
        <f>SUM(F103:F104)*F105</f>
        <v>18.83522727272727</v>
      </c>
      <c r="H105" s="239">
        <f>G105/G$42</f>
        <v>2.0928030303030299E-2</v>
      </c>
    </row>
    <row r="106" spans="1:8" ht="13.5" thickBot="1" x14ac:dyDescent="0.25">
      <c r="A106" s="99"/>
      <c r="E106" s="27"/>
      <c r="F106" s="27"/>
      <c r="G106" s="135"/>
      <c r="H106" s="198"/>
    </row>
    <row r="107" spans="1:8" ht="13.5" thickBot="1" x14ac:dyDescent="0.25">
      <c r="A107" s="99"/>
      <c r="E107" s="27"/>
      <c r="F107" s="27"/>
      <c r="G107" s="135"/>
      <c r="H107" s="198"/>
    </row>
    <row r="108" spans="1:8" ht="13.5" thickBot="1" x14ac:dyDescent="0.25">
      <c r="A108" s="12" t="s">
        <v>106</v>
      </c>
      <c r="B108" s="13"/>
      <c r="C108" s="13"/>
      <c r="D108" s="13"/>
      <c r="E108" s="14"/>
      <c r="F108" s="15"/>
      <c r="G108" s="242">
        <f>SUM(G54:G99)-G67-G84+G105</f>
        <v>3370.2578295454555</v>
      </c>
      <c r="H108" s="243">
        <f>G108/G$42</f>
        <v>3.7447309217171729</v>
      </c>
    </row>
    <row r="109" spans="1:8" ht="13.5" thickBot="1" x14ac:dyDescent="0.25">
      <c r="A109" s="12" t="s">
        <v>107</v>
      </c>
      <c r="B109" s="13"/>
      <c r="C109" s="13"/>
      <c r="D109" s="13"/>
      <c r="E109" s="14"/>
      <c r="F109" s="15"/>
      <c r="G109" s="244">
        <f>SUM(G54:G99)-G60-G77+G105</f>
        <v>2827.0304258181818</v>
      </c>
      <c r="H109" s="239">
        <f>G109/G$42</f>
        <v>3.1411449175757578</v>
      </c>
    </row>
    <row r="110" spans="1:8" x14ac:dyDescent="0.2">
      <c r="A110" s="99"/>
      <c r="E110" s="27"/>
      <c r="F110" s="27"/>
      <c r="G110" s="135"/>
      <c r="H110" s="193"/>
    </row>
    <row r="111" spans="1:8" x14ac:dyDescent="0.2">
      <c r="A111" s="100" t="s">
        <v>211</v>
      </c>
      <c r="B111" s="6"/>
      <c r="E111" s="27"/>
      <c r="F111" s="27"/>
      <c r="G111" s="43"/>
      <c r="H111" s="193"/>
    </row>
    <row r="112" spans="1:8" ht="13.5" thickBot="1" x14ac:dyDescent="0.25">
      <c r="A112" s="100" t="s">
        <v>212</v>
      </c>
      <c r="B112" s="6"/>
      <c r="E112" s="27"/>
      <c r="F112" s="27"/>
      <c r="G112" s="43"/>
      <c r="H112" s="193"/>
    </row>
    <row r="113" spans="1:10" ht="13.5" thickBot="1" x14ac:dyDescent="0.25">
      <c r="A113" s="240" t="s">
        <v>27</v>
      </c>
      <c r="B113" s="241"/>
      <c r="C113" s="236" t="s">
        <v>28</v>
      </c>
      <c r="D113" s="236" t="s">
        <v>21</v>
      </c>
      <c r="E113" s="237" t="s">
        <v>92</v>
      </c>
      <c r="F113" s="237" t="s">
        <v>29</v>
      </c>
      <c r="G113" s="238" t="s">
        <v>30</v>
      </c>
      <c r="H113" s="238" t="s">
        <v>154</v>
      </c>
    </row>
    <row r="114" spans="1:10" x14ac:dyDescent="0.2">
      <c r="A114" s="405" t="s">
        <v>128</v>
      </c>
      <c r="B114" s="390"/>
      <c r="C114" s="8" t="s">
        <v>7</v>
      </c>
      <c r="D114" s="8">
        <v>1</v>
      </c>
      <c r="E114" s="187">
        <f>G36</f>
        <v>270086</v>
      </c>
      <c r="F114" s="9">
        <f>D114*E114</f>
        <v>270086</v>
      </c>
      <c r="G114" s="136"/>
      <c r="H114" s="136"/>
    </row>
    <row r="115" spans="1:10" x14ac:dyDescent="0.2">
      <c r="A115" s="418" t="s">
        <v>145</v>
      </c>
      <c r="B115" s="385"/>
      <c r="C115" s="10" t="s">
        <v>44</v>
      </c>
      <c r="D115" s="188">
        <f>C36</f>
        <v>10</v>
      </c>
      <c r="E115" s="33"/>
      <c r="F115" s="11"/>
      <c r="G115" s="137"/>
      <c r="H115" s="193"/>
    </row>
    <row r="116" spans="1:10" x14ac:dyDescent="0.2">
      <c r="A116" s="418" t="s">
        <v>137</v>
      </c>
      <c r="B116" s="385"/>
      <c r="C116" s="10" t="s">
        <v>0</v>
      </c>
      <c r="D116" s="262">
        <v>65.180000000000007</v>
      </c>
      <c r="E116" s="201">
        <f>F114</f>
        <v>270086</v>
      </c>
      <c r="F116" s="201">
        <f>D116*E116/100</f>
        <v>176042.05480000001</v>
      </c>
      <c r="G116" s="137"/>
      <c r="H116" s="193"/>
    </row>
    <row r="117" spans="1:10" x14ac:dyDescent="0.2">
      <c r="A117" s="406" t="s">
        <v>146</v>
      </c>
      <c r="B117" s="385"/>
      <c r="C117" s="37" t="s">
        <v>5</v>
      </c>
      <c r="D117" s="37">
        <f>D115*12</f>
        <v>120</v>
      </c>
      <c r="E117" s="38">
        <f>F116</f>
        <v>176042.05480000001</v>
      </c>
      <c r="F117" s="38">
        <f>IFERROR(E117/D117,0)</f>
        <v>1467.0171233333335</v>
      </c>
      <c r="G117" s="137"/>
      <c r="H117" s="193"/>
    </row>
    <row r="118" spans="1:10" x14ac:dyDescent="0.2">
      <c r="A118" s="406" t="s">
        <v>96</v>
      </c>
      <c r="B118" s="385"/>
      <c r="C118" s="158" t="s">
        <v>7</v>
      </c>
      <c r="D118" s="200">
        <f>F36</f>
        <v>1</v>
      </c>
      <c r="E118" s="159">
        <f>F117</f>
        <v>1467.0171233333335</v>
      </c>
      <c r="F118" s="160">
        <f>D118*E118</f>
        <v>1467.0171233333335</v>
      </c>
      <c r="G118" s="137"/>
      <c r="H118" s="193"/>
    </row>
    <row r="119" spans="1:10" ht="13.5" thickBot="1" x14ac:dyDescent="0.25">
      <c r="A119" s="103"/>
      <c r="B119" s="90"/>
      <c r="C119" s="90"/>
      <c r="D119" s="90"/>
      <c r="E119" s="95" t="s">
        <v>86</v>
      </c>
      <c r="F119" s="250">
        <f>$C$46</f>
        <v>0.36931818181818177</v>
      </c>
      <c r="G119" s="239">
        <f>F118*F119</f>
        <v>541.79609668560602</v>
      </c>
      <c r="H119" s="239">
        <f>G119/G$42</f>
        <v>0.60199566298400664</v>
      </c>
    </row>
    <row r="120" spans="1:10" ht="13.5" thickBot="1" x14ac:dyDescent="0.25">
      <c r="A120" s="100" t="s">
        <v>213</v>
      </c>
      <c r="B120" s="6"/>
      <c r="E120" s="27"/>
      <c r="F120" s="278"/>
      <c r="G120" s="135"/>
      <c r="H120" s="193"/>
    </row>
    <row r="121" spans="1:10" ht="13.5" thickBot="1" x14ac:dyDescent="0.25">
      <c r="A121" s="403" t="s">
        <v>27</v>
      </c>
      <c r="B121" s="412"/>
      <c r="C121" s="236" t="s">
        <v>28</v>
      </c>
      <c r="D121" s="236" t="s">
        <v>21</v>
      </c>
      <c r="E121" s="237" t="s">
        <v>92</v>
      </c>
      <c r="F121" s="237" t="s">
        <v>29</v>
      </c>
      <c r="G121" s="238" t="s">
        <v>30</v>
      </c>
      <c r="H121" s="238" t="s">
        <v>154</v>
      </c>
      <c r="J121" s="34"/>
    </row>
    <row r="122" spans="1:10" x14ac:dyDescent="0.2">
      <c r="A122" s="405" t="s">
        <v>147</v>
      </c>
      <c r="B122" s="390"/>
      <c r="C122" s="8" t="s">
        <v>7</v>
      </c>
      <c r="D122" s="8">
        <v>1</v>
      </c>
      <c r="E122" s="9">
        <f>E114</f>
        <v>270086</v>
      </c>
      <c r="F122" s="9">
        <f>D122*E122</f>
        <v>270086</v>
      </c>
      <c r="G122" s="143"/>
      <c r="H122" s="136"/>
      <c r="I122" s="2"/>
      <c r="J122" s="34"/>
    </row>
    <row r="123" spans="1:10" x14ac:dyDescent="0.2">
      <c r="A123" s="413" t="s">
        <v>88</v>
      </c>
      <c r="B123" s="385"/>
      <c r="C123" s="10" t="s">
        <v>0</v>
      </c>
      <c r="D123" s="268">
        <f>'LOTE 17,01'!D122</f>
        <v>14.75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219</v>
      </c>
      <c r="B124" s="385"/>
      <c r="C124" s="10" t="s">
        <v>20</v>
      </c>
      <c r="D124" s="48">
        <f>F122</f>
        <v>270086</v>
      </c>
      <c r="E124" s="11"/>
      <c r="F124" s="11"/>
      <c r="G124" s="142"/>
      <c r="H124" s="193"/>
      <c r="I124" s="2"/>
      <c r="J124" s="34"/>
    </row>
    <row r="125" spans="1:10" x14ac:dyDescent="0.2">
      <c r="A125" s="418" t="s">
        <v>218</v>
      </c>
      <c r="B125" s="385"/>
      <c r="C125" s="10"/>
      <c r="D125" s="48">
        <f>F114-F116</f>
        <v>94043.945199999987</v>
      </c>
      <c r="E125" s="11"/>
      <c r="F125" s="11"/>
      <c r="G125" s="142"/>
      <c r="H125" s="193"/>
      <c r="I125" s="2"/>
      <c r="J125" s="34"/>
    </row>
    <row r="126" spans="1:10" x14ac:dyDescent="0.2">
      <c r="A126" s="418" t="s">
        <v>210</v>
      </c>
      <c r="B126" s="385"/>
      <c r="C126" s="10" t="s">
        <v>20</v>
      </c>
      <c r="D126" s="33">
        <f>(D124-D125)*((D115+1)/(2*D115))+D125</f>
        <v>190867.07533999998</v>
      </c>
      <c r="E126" s="11"/>
      <c r="F126" s="11"/>
      <c r="G126" s="142"/>
      <c r="H126" s="193"/>
      <c r="I126" s="2"/>
      <c r="J126" s="34"/>
    </row>
    <row r="127" spans="1:10" x14ac:dyDescent="0.2">
      <c r="A127" s="406" t="s">
        <v>148</v>
      </c>
      <c r="B127" s="385"/>
      <c r="C127" s="37" t="s">
        <v>20</v>
      </c>
      <c r="D127" s="37"/>
      <c r="E127" s="161">
        <f>D123*D126/12/100</f>
        <v>2346.0744677208331</v>
      </c>
      <c r="F127" s="38">
        <f>E127</f>
        <v>2346.0744677208331</v>
      </c>
      <c r="G127" s="142"/>
      <c r="H127" s="193"/>
      <c r="J127" s="34"/>
    </row>
    <row r="128" spans="1:10" x14ac:dyDescent="0.2">
      <c r="A128" s="406" t="s">
        <v>149</v>
      </c>
      <c r="B128" s="397"/>
      <c r="C128" s="94"/>
      <c r="D128" s="94"/>
      <c r="E128" s="19"/>
      <c r="F128" s="160">
        <f>F127</f>
        <v>2346.0744677208331</v>
      </c>
      <c r="G128" s="142"/>
      <c r="H128" s="193"/>
      <c r="I128" s="34"/>
      <c r="J128" s="34"/>
    </row>
    <row r="129" spans="1:10" x14ac:dyDescent="0.2">
      <c r="A129" s="406" t="s">
        <v>96</v>
      </c>
      <c r="B129" s="385"/>
      <c r="C129" s="37" t="s">
        <v>7</v>
      </c>
      <c r="D129" s="10">
        <f>D118</f>
        <v>1</v>
      </c>
      <c r="E129" s="38">
        <f>F128</f>
        <v>2346.0744677208331</v>
      </c>
      <c r="F129" s="39">
        <f>D129*E129</f>
        <v>2346.0744677208331</v>
      </c>
      <c r="G129" s="142"/>
      <c r="H129" s="193"/>
      <c r="I129" s="34">
        <f>(I128*2)/12/100</f>
        <v>0</v>
      </c>
      <c r="J129" s="34"/>
    </row>
    <row r="130" spans="1:10" ht="13.5" thickBot="1" x14ac:dyDescent="0.25">
      <c r="A130" s="99"/>
      <c r="D130" s="97"/>
      <c r="E130" s="95" t="s">
        <v>86</v>
      </c>
      <c r="F130" s="250">
        <f>$C$46</f>
        <v>0.36931818181818177</v>
      </c>
      <c r="G130" s="239">
        <f>F129*F130</f>
        <v>866.44795682871666</v>
      </c>
      <c r="H130" s="239">
        <f>G130/G$42</f>
        <v>0.96271995203190741</v>
      </c>
      <c r="J130" s="34"/>
    </row>
    <row r="131" spans="1:10" ht="11.25" customHeight="1" x14ac:dyDescent="0.2">
      <c r="A131" s="99"/>
      <c r="E131" s="27"/>
      <c r="F131" s="27"/>
      <c r="G131" s="135"/>
      <c r="H131" s="193"/>
      <c r="I131" s="208"/>
      <c r="J131" s="34"/>
    </row>
    <row r="132" spans="1:10" x14ac:dyDescent="0.2">
      <c r="A132" s="100" t="s">
        <v>214</v>
      </c>
      <c r="B132" s="6"/>
      <c r="E132" s="27"/>
      <c r="F132" s="27"/>
      <c r="G132" s="43"/>
      <c r="H132" s="193"/>
      <c r="J132" s="34"/>
    </row>
    <row r="133" spans="1:10" ht="13.5" thickBot="1" x14ac:dyDescent="0.25">
      <c r="A133" s="100" t="str">
        <f>'LOTE 17,01'!A132</f>
        <v>Despesas consideradas específicas para o transporte escolar municipal</v>
      </c>
      <c r="B133" s="6"/>
      <c r="E133" s="27"/>
      <c r="F133" s="27"/>
      <c r="G133" s="43"/>
      <c r="H133" s="43"/>
      <c r="J133" s="34"/>
    </row>
    <row r="134" spans="1:10" ht="13.5" thickBot="1" x14ac:dyDescent="0.25">
      <c r="A134" s="403" t="s">
        <v>27</v>
      </c>
      <c r="B134" s="412"/>
      <c r="C134" s="236" t="s">
        <v>28</v>
      </c>
      <c r="D134" s="236" t="s">
        <v>21</v>
      </c>
      <c r="E134" s="237" t="s">
        <v>92</v>
      </c>
      <c r="F134" s="237" t="s">
        <v>29</v>
      </c>
      <c r="G134" s="238" t="s">
        <v>30</v>
      </c>
      <c r="H134" s="238" t="s">
        <v>154</v>
      </c>
      <c r="J134" s="34"/>
    </row>
    <row r="135" spans="1:10" x14ac:dyDescent="0.2">
      <c r="A135" s="420" t="s">
        <v>8</v>
      </c>
      <c r="B135" s="390"/>
      <c r="C135" s="8" t="s">
        <v>7</v>
      </c>
      <c r="D135" s="9">
        <f>D118</f>
        <v>1</v>
      </c>
      <c r="E135" s="9">
        <f>0.01*($F$114)</f>
        <v>2700.86</v>
      </c>
      <c r="F135" s="9">
        <f t="shared" ref="F135:F140" si="5">D135*E135</f>
        <v>2700.86</v>
      </c>
      <c r="G135" s="136"/>
      <c r="H135" s="136"/>
      <c r="J135" s="34"/>
    </row>
    <row r="136" spans="1:10" x14ac:dyDescent="0.2">
      <c r="A136" s="413" t="s">
        <v>85</v>
      </c>
      <c r="B136" s="385"/>
      <c r="C136" s="10" t="s">
        <v>7</v>
      </c>
      <c r="D136" s="9">
        <f>D118</f>
        <v>1</v>
      </c>
      <c r="E136" s="262">
        <v>562</v>
      </c>
      <c r="F136" s="11">
        <f t="shared" si="5"/>
        <v>562</v>
      </c>
      <c r="G136" s="137"/>
      <c r="H136" s="193"/>
      <c r="J136" s="34"/>
    </row>
    <row r="137" spans="1:10" x14ac:dyDescent="0.2">
      <c r="A137" s="413" t="s">
        <v>9</v>
      </c>
      <c r="B137" s="385"/>
      <c r="C137" s="10" t="s">
        <v>7</v>
      </c>
      <c r="D137" s="9">
        <f>D118</f>
        <v>1</v>
      </c>
      <c r="E137" s="262">
        <v>1310</v>
      </c>
      <c r="F137" s="11">
        <f t="shared" si="5"/>
        <v>1310</v>
      </c>
      <c r="G137" s="144"/>
      <c r="H137" s="193"/>
      <c r="J137" s="34"/>
    </row>
    <row r="138" spans="1:10" x14ac:dyDescent="0.2">
      <c r="A138" s="418" t="s">
        <v>197</v>
      </c>
      <c r="B138" s="385"/>
      <c r="C138" s="10" t="s">
        <v>7</v>
      </c>
      <c r="D138" s="9">
        <v>1</v>
      </c>
      <c r="E138" s="262">
        <v>1171</v>
      </c>
      <c r="F138" s="11">
        <f>E138</f>
        <v>1171</v>
      </c>
      <c r="G138" s="144"/>
      <c r="H138" s="193"/>
      <c r="J138" s="34"/>
    </row>
    <row r="139" spans="1:10" x14ac:dyDescent="0.2">
      <c r="A139" s="418" t="s">
        <v>208</v>
      </c>
      <c r="B139" s="385"/>
      <c r="C139" s="10" t="s">
        <v>7</v>
      </c>
      <c r="D139" s="9">
        <v>1</v>
      </c>
      <c r="E139" s="262">
        <v>419</v>
      </c>
      <c r="F139" s="11">
        <f t="shared" si="5"/>
        <v>419</v>
      </c>
      <c r="G139" s="144"/>
      <c r="H139" s="193"/>
      <c r="J139" s="34"/>
    </row>
    <row r="140" spans="1:10" x14ac:dyDescent="0.2">
      <c r="A140" s="418" t="s">
        <v>198</v>
      </c>
      <c r="B140" s="385"/>
      <c r="C140" s="10" t="s">
        <v>7</v>
      </c>
      <c r="D140" s="9">
        <v>1</v>
      </c>
      <c r="E140" s="262">
        <v>770</v>
      </c>
      <c r="F140" s="11">
        <f t="shared" si="5"/>
        <v>770</v>
      </c>
      <c r="G140" s="144"/>
      <c r="H140" s="193"/>
      <c r="J140" s="34"/>
    </row>
    <row r="141" spans="1:10" x14ac:dyDescent="0.2">
      <c r="A141" s="406" t="s">
        <v>10</v>
      </c>
      <c r="B141" s="385"/>
      <c r="C141" s="37" t="s">
        <v>5</v>
      </c>
      <c r="D141" s="37">
        <v>12</v>
      </c>
      <c r="E141" s="38">
        <f>SUM(F135:F140)</f>
        <v>6932.8600000000006</v>
      </c>
      <c r="F141" s="38">
        <f>E141/D141</f>
        <v>577.73833333333334</v>
      </c>
      <c r="G141" s="137"/>
      <c r="H141" s="193"/>
      <c r="J141" s="34"/>
    </row>
    <row r="142" spans="1:10" ht="13.5" thickBot="1" x14ac:dyDescent="0.25">
      <c r="A142" s="279"/>
      <c r="B142" s="82"/>
      <c r="C142" s="82"/>
      <c r="D142" s="82"/>
      <c r="E142" s="280" t="s">
        <v>86</v>
      </c>
      <c r="F142" s="250">
        <v>1</v>
      </c>
      <c r="G142" s="239">
        <f>F141*F142</f>
        <v>577.73833333333334</v>
      </c>
      <c r="H142" s="239">
        <f>G142/G$42</f>
        <v>0.64193148148148149</v>
      </c>
      <c r="J142" s="34"/>
    </row>
    <row r="143" spans="1:10" x14ac:dyDescent="0.2">
      <c r="A143" s="100" t="s">
        <v>215</v>
      </c>
      <c r="B143" s="6"/>
      <c r="C143" s="98"/>
      <c r="E143" s="27"/>
      <c r="F143" s="27"/>
      <c r="G143" s="43"/>
      <c r="H143" s="193"/>
      <c r="J143" s="34"/>
    </row>
    <row r="144" spans="1:10" ht="13.5" thickBot="1" x14ac:dyDescent="0.25">
      <c r="A144" s="102" t="s">
        <v>150</v>
      </c>
      <c r="B144" s="214"/>
      <c r="C144" s="190">
        <f>G42</f>
        <v>900</v>
      </c>
      <c r="E144" s="27"/>
      <c r="F144" s="27"/>
      <c r="G144" s="43"/>
      <c r="H144" s="193"/>
      <c r="J144" s="34"/>
    </row>
    <row r="145" spans="1:11" ht="13.5" thickBot="1" x14ac:dyDescent="0.25">
      <c r="A145" s="403" t="s">
        <v>27</v>
      </c>
      <c r="B145" s="412"/>
      <c r="C145" s="236" t="s">
        <v>28</v>
      </c>
      <c r="D145" s="236" t="s">
        <v>95</v>
      </c>
      <c r="E145" s="237" t="s">
        <v>92</v>
      </c>
      <c r="F145" s="237" t="s">
        <v>29</v>
      </c>
      <c r="G145" s="238" t="s">
        <v>30</v>
      </c>
      <c r="H145" s="238" t="s">
        <v>154</v>
      </c>
      <c r="J145" s="34"/>
      <c r="K145" s="34"/>
    </row>
    <row r="146" spans="1:11" x14ac:dyDescent="0.2">
      <c r="A146" s="420" t="s">
        <v>11</v>
      </c>
      <c r="B146" s="390"/>
      <c r="C146" s="8" t="s">
        <v>12</v>
      </c>
      <c r="D146" s="187">
        <f>F38</f>
        <v>5.5</v>
      </c>
      <c r="E146" s="187">
        <f>G38</f>
        <v>7.32</v>
      </c>
      <c r="F146" s="9"/>
      <c r="G146" s="136"/>
      <c r="H146" s="136"/>
      <c r="J146" s="34"/>
      <c r="K146" s="34"/>
    </row>
    <row r="147" spans="1:11" x14ac:dyDescent="0.2">
      <c r="A147" s="413" t="s">
        <v>13</v>
      </c>
      <c r="B147" s="385"/>
      <c r="C147" s="10" t="s">
        <v>14</v>
      </c>
      <c r="D147" s="35">
        <f>C144</f>
        <v>900</v>
      </c>
      <c r="E147" s="89">
        <f>IFERROR(+E146/D146,"-")</f>
        <v>1.330909090909091</v>
      </c>
      <c r="F147" s="11">
        <f>IFERROR(D147*E147,"-")</f>
        <v>1197.818181818182</v>
      </c>
      <c r="G147" s="137"/>
      <c r="H147" s="193"/>
      <c r="J147" s="34"/>
      <c r="K147" s="34"/>
    </row>
    <row r="148" spans="1:11" x14ac:dyDescent="0.2">
      <c r="A148" s="418" t="s">
        <v>232</v>
      </c>
      <c r="B148" s="385"/>
      <c r="C148" s="92" t="s">
        <v>233</v>
      </c>
      <c r="D148" s="269">
        <v>10.5</v>
      </c>
      <c r="E148" s="262">
        <v>18.3</v>
      </c>
      <c r="F148" s="11"/>
      <c r="G148" s="137"/>
      <c r="H148" s="193"/>
      <c r="J148" s="34"/>
      <c r="K148" s="34"/>
    </row>
    <row r="149" spans="1:11" x14ac:dyDescent="0.2">
      <c r="A149" s="413" t="s">
        <v>15</v>
      </c>
      <c r="B149" s="385"/>
      <c r="C149" s="10" t="s">
        <v>14</v>
      </c>
      <c r="D149" s="35">
        <f>D147</f>
        <v>900</v>
      </c>
      <c r="E149" s="86">
        <f>+D148*E148/10000</f>
        <v>1.9214999999999999E-2</v>
      </c>
      <c r="F149" s="11">
        <f>D149*E149</f>
        <v>17.293499999999998</v>
      </c>
      <c r="G149" s="137"/>
      <c r="H149" s="193"/>
      <c r="J149" s="34"/>
      <c r="K149" s="34"/>
    </row>
    <row r="150" spans="1:11" x14ac:dyDescent="0.2">
      <c r="A150" s="418" t="s">
        <v>234</v>
      </c>
      <c r="B150" s="385"/>
      <c r="C150" s="92" t="s">
        <v>235</v>
      </c>
      <c r="D150" s="269">
        <v>4.5999999999999996</v>
      </c>
      <c r="E150" s="262">
        <v>21.6</v>
      </c>
      <c r="F150" s="11"/>
      <c r="G150" s="137"/>
      <c r="H150" s="193"/>
      <c r="J150" s="34"/>
      <c r="K150" s="34"/>
    </row>
    <row r="151" spans="1:11" x14ac:dyDescent="0.2">
      <c r="A151" s="413" t="s">
        <v>16</v>
      </c>
      <c r="B151" s="385"/>
      <c r="C151" s="10" t="s">
        <v>14</v>
      </c>
      <c r="D151" s="35">
        <f>D147</f>
        <v>900</v>
      </c>
      <c r="E151" s="231">
        <f>+D150*E150/100000</f>
        <v>9.9360000000000008E-4</v>
      </c>
      <c r="F151" s="11">
        <f>D151*E151</f>
        <v>0.89424000000000003</v>
      </c>
      <c r="G151" s="137"/>
      <c r="H151" s="193"/>
      <c r="J151" s="34"/>
      <c r="K151" s="34"/>
    </row>
    <row r="152" spans="1:11" x14ac:dyDescent="0.2">
      <c r="A152" s="418" t="s">
        <v>237</v>
      </c>
      <c r="B152" s="385"/>
      <c r="C152" s="92" t="s">
        <v>236</v>
      </c>
      <c r="D152" s="269">
        <v>1.7</v>
      </c>
      <c r="E152" s="262">
        <v>20.9</v>
      </c>
      <c r="F152" s="11"/>
      <c r="G152" s="137"/>
      <c r="H152" s="193"/>
      <c r="J152" s="34"/>
      <c r="K152" s="34"/>
    </row>
    <row r="153" spans="1:11" x14ac:dyDescent="0.2">
      <c r="A153" s="413" t="s">
        <v>17</v>
      </c>
      <c r="B153" s="385"/>
      <c r="C153" s="10" t="s">
        <v>14</v>
      </c>
      <c r="D153" s="35">
        <f>D147</f>
        <v>900</v>
      </c>
      <c r="E153" s="231">
        <f>+D152*E152/80000</f>
        <v>4.4412499999999991E-4</v>
      </c>
      <c r="F153" s="11">
        <f>D153*E153</f>
        <v>0.39971249999999992</v>
      </c>
      <c r="G153" s="137"/>
      <c r="H153" s="193"/>
      <c r="J153" s="34"/>
      <c r="K153" s="34"/>
    </row>
    <row r="154" spans="1:11" x14ac:dyDescent="0.2">
      <c r="A154" s="418" t="s">
        <v>239</v>
      </c>
      <c r="B154" s="385"/>
      <c r="C154" s="92" t="s">
        <v>238</v>
      </c>
      <c r="D154" s="269">
        <v>1</v>
      </c>
      <c r="E154" s="262">
        <v>19.899999999999999</v>
      </c>
      <c r="F154" s="11"/>
      <c r="G154" s="137"/>
      <c r="H154" s="193"/>
      <c r="J154" s="34"/>
      <c r="K154" s="34"/>
    </row>
    <row r="155" spans="1:11" x14ac:dyDescent="0.2">
      <c r="A155" s="413" t="s">
        <v>18</v>
      </c>
      <c r="B155" s="385"/>
      <c r="C155" s="10" t="s">
        <v>14</v>
      </c>
      <c r="D155" s="35">
        <f>D147</f>
        <v>900</v>
      </c>
      <c r="E155" s="86">
        <f>+D154*E154/10000</f>
        <v>1.99E-3</v>
      </c>
      <c r="F155" s="11">
        <f>D155*E155</f>
        <v>1.7909999999999999</v>
      </c>
      <c r="G155" s="137"/>
      <c r="H155" s="193"/>
      <c r="J155" s="34"/>
      <c r="K155" s="34"/>
    </row>
    <row r="156" spans="1:11" x14ac:dyDescent="0.2">
      <c r="A156" s="406" t="s">
        <v>94</v>
      </c>
      <c r="B156" s="385"/>
      <c r="C156" s="37" t="s">
        <v>45</v>
      </c>
      <c r="D156" s="87"/>
      <c r="E156" s="88">
        <f>IFERROR(E147+E149+E151+E153+E155,0)</f>
        <v>1.3535518159090909</v>
      </c>
      <c r="F156" s="38">
        <f>SUM(F146:F155)</f>
        <v>1218.1966343181821</v>
      </c>
      <c r="G156" s="137"/>
      <c r="H156" s="193"/>
      <c r="J156" s="34"/>
      <c r="K156" s="34"/>
    </row>
    <row r="157" spans="1:11" ht="13.5" thickBot="1" x14ac:dyDescent="0.25">
      <c r="A157" s="99"/>
      <c r="E157" s="255" t="s">
        <v>138</v>
      </c>
      <c r="F157" s="23">
        <f>$C$47+1</f>
        <v>1.25</v>
      </c>
      <c r="G157" s="239">
        <f>F156*F157</f>
        <v>1522.7457928977276</v>
      </c>
      <c r="H157" s="239">
        <f>G157/G$42</f>
        <v>1.6919397698863641</v>
      </c>
      <c r="J157" s="34"/>
      <c r="K157" s="34"/>
    </row>
    <row r="158" spans="1:11" ht="11.25" customHeight="1" x14ac:dyDescent="0.2">
      <c r="A158" s="99"/>
      <c r="E158" s="27"/>
      <c r="F158" s="27"/>
      <c r="G158" s="135"/>
      <c r="H158" s="193"/>
      <c r="J158" s="34"/>
      <c r="K158" s="34"/>
    </row>
    <row r="159" spans="1:11" ht="13.5" thickBot="1" x14ac:dyDescent="0.25">
      <c r="A159" s="100" t="s">
        <v>216</v>
      </c>
      <c r="B159" s="6"/>
      <c r="E159" s="27"/>
      <c r="F159" s="27"/>
      <c r="G159" s="43"/>
      <c r="H159" s="193"/>
      <c r="J159" s="34"/>
      <c r="K159" s="34"/>
    </row>
    <row r="160" spans="1:11" ht="13.5" thickBot="1" x14ac:dyDescent="0.25">
      <c r="A160" s="403" t="s">
        <v>27</v>
      </c>
      <c r="B160" s="412"/>
      <c r="C160" s="236" t="s">
        <v>28</v>
      </c>
      <c r="D160" s="236" t="s">
        <v>21</v>
      </c>
      <c r="E160" s="237" t="s">
        <v>92</v>
      </c>
      <c r="F160" s="237" t="s">
        <v>29</v>
      </c>
      <c r="G160" s="238" t="s">
        <v>30</v>
      </c>
      <c r="H160" s="238" t="s">
        <v>154</v>
      </c>
      <c r="J160" s="34"/>
      <c r="K160" s="34"/>
    </row>
    <row r="161" spans="1:11" x14ac:dyDescent="0.2">
      <c r="A161" s="405" t="s">
        <v>188</v>
      </c>
      <c r="B161" s="390"/>
      <c r="C161" s="8" t="s">
        <v>45</v>
      </c>
      <c r="D161" s="35">
        <f>D147</f>
        <v>900</v>
      </c>
      <c r="E161" s="270">
        <v>1.35</v>
      </c>
      <c r="F161" s="9">
        <f>D161*E161</f>
        <v>1215</v>
      </c>
      <c r="G161" s="136"/>
      <c r="H161" s="136"/>
      <c r="I161" s="34">
        <f>F161*12</f>
        <v>14580</v>
      </c>
      <c r="J161" s="34"/>
      <c r="K161" s="34"/>
    </row>
    <row r="162" spans="1:11" s="165" customFormat="1" x14ac:dyDescent="0.2">
      <c r="A162" s="418" t="s">
        <v>139</v>
      </c>
      <c r="B162" s="385"/>
      <c r="C162" s="162" t="s">
        <v>140</v>
      </c>
      <c r="D162" s="272">
        <v>4</v>
      </c>
      <c r="E162" s="271">
        <v>100</v>
      </c>
      <c r="F162" s="163">
        <f>D162*E162</f>
        <v>400</v>
      </c>
      <c r="G162" s="164"/>
      <c r="H162" s="196"/>
      <c r="I162" s="4"/>
    </row>
    <row r="163" spans="1:11" s="165" customFormat="1" x14ac:dyDescent="0.2">
      <c r="A163" s="406" t="s">
        <v>141</v>
      </c>
      <c r="B163" s="385"/>
      <c r="C163" s="92" t="s">
        <v>142</v>
      </c>
      <c r="D163" s="166"/>
      <c r="E163" s="23"/>
      <c r="F163" s="159">
        <f>SUM(F161:F162)</f>
        <v>1615</v>
      </c>
      <c r="G163" s="164"/>
      <c r="H163" s="196"/>
      <c r="I163" s="4"/>
    </row>
    <row r="164" spans="1:11" ht="13.5" thickBot="1" x14ac:dyDescent="0.25">
      <c r="A164" s="99"/>
      <c r="E164" s="255" t="s">
        <v>138</v>
      </c>
      <c r="F164" s="23">
        <f>$C$47+1</f>
        <v>1.25</v>
      </c>
      <c r="G164" s="239">
        <f>F163*F164</f>
        <v>2018.75</v>
      </c>
      <c r="H164" s="239">
        <f>G164/G$42</f>
        <v>2.2430555555555554</v>
      </c>
      <c r="J164" s="34"/>
      <c r="K164" s="34"/>
    </row>
    <row r="165" spans="1:11" ht="11.25" customHeight="1" x14ac:dyDescent="0.2">
      <c r="A165" s="99"/>
      <c r="E165" s="27"/>
      <c r="F165" s="27"/>
      <c r="G165" s="135"/>
      <c r="H165" s="193"/>
      <c r="J165" s="34"/>
      <c r="K165" s="34"/>
    </row>
    <row r="166" spans="1:11" ht="13.5" thickBot="1" x14ac:dyDescent="0.25">
      <c r="A166" s="100" t="s">
        <v>217</v>
      </c>
      <c r="B166" s="6"/>
      <c r="E166" s="27"/>
      <c r="F166" s="27"/>
      <c r="G166" s="43"/>
      <c r="H166" s="193"/>
      <c r="J166" s="34"/>
      <c r="K166" s="34"/>
    </row>
    <row r="167" spans="1:11" ht="13.5" thickBot="1" x14ac:dyDescent="0.25">
      <c r="A167" s="403" t="s">
        <v>27</v>
      </c>
      <c r="B167" s="412"/>
      <c r="C167" s="236" t="s">
        <v>28</v>
      </c>
      <c r="D167" s="236" t="s">
        <v>21</v>
      </c>
      <c r="E167" s="237" t="s">
        <v>92</v>
      </c>
      <c r="F167" s="237" t="s">
        <v>29</v>
      </c>
      <c r="G167" s="238" t="s">
        <v>30</v>
      </c>
      <c r="H167" s="238" t="s">
        <v>154</v>
      </c>
      <c r="J167" s="34"/>
      <c r="K167" s="34"/>
    </row>
    <row r="168" spans="1:11" x14ac:dyDescent="0.2">
      <c r="A168" s="405" t="s">
        <v>260</v>
      </c>
      <c r="B168" s="390"/>
      <c r="C168" s="8" t="s">
        <v>7</v>
      </c>
      <c r="D168" s="273">
        <v>6</v>
      </c>
      <c r="E168" s="271">
        <v>1397</v>
      </c>
      <c r="F168" s="9">
        <f>D168*E168</f>
        <v>8382</v>
      </c>
      <c r="G168" s="136"/>
      <c r="H168" s="136"/>
      <c r="J168" s="34"/>
      <c r="K168" s="34"/>
    </row>
    <row r="169" spans="1:11" x14ac:dyDescent="0.2">
      <c r="A169" s="421" t="s">
        <v>262</v>
      </c>
      <c r="B169" s="422"/>
      <c r="C169" s="8"/>
      <c r="D169" s="8"/>
      <c r="E169" s="8"/>
      <c r="F169" s="9"/>
      <c r="G169" s="137"/>
      <c r="H169" s="43"/>
      <c r="J169" s="34"/>
      <c r="K169" s="34"/>
    </row>
    <row r="170" spans="1:11" x14ac:dyDescent="0.2">
      <c r="A170" s="418" t="s">
        <v>129</v>
      </c>
      <c r="B170" s="385"/>
      <c r="C170" s="10" t="s">
        <v>19</v>
      </c>
      <c r="D170" s="274">
        <v>45000</v>
      </c>
      <c r="E170" s="11">
        <f>F168</f>
        <v>8382</v>
      </c>
      <c r="F170" s="11">
        <f>IFERROR(E170/D170,"-")</f>
        <v>0.18626666666666666</v>
      </c>
      <c r="G170" s="137"/>
      <c r="H170" s="193"/>
      <c r="J170" s="34"/>
      <c r="K170" s="34"/>
    </row>
    <row r="171" spans="1:11" x14ac:dyDescent="0.2">
      <c r="A171" s="406" t="s">
        <v>25</v>
      </c>
      <c r="B171" s="385"/>
      <c r="C171" s="10" t="s">
        <v>14</v>
      </c>
      <c r="D171" s="35">
        <f>C144</f>
        <v>900</v>
      </c>
      <c r="E171" s="11">
        <f>F170</f>
        <v>0.18626666666666666</v>
      </c>
      <c r="F171" s="38">
        <f>IFERROR(D171*E171,0)</f>
        <v>167.64</v>
      </c>
      <c r="G171" s="137"/>
      <c r="H171" s="193"/>
      <c r="J171" s="34"/>
      <c r="K171" s="34"/>
    </row>
    <row r="172" spans="1:11" ht="13.5" thickBot="1" x14ac:dyDescent="0.25">
      <c r="A172" s="99"/>
      <c r="E172" s="255" t="s">
        <v>138</v>
      </c>
      <c r="F172" s="23">
        <f>$C$47+1</f>
        <v>1.25</v>
      </c>
      <c r="G172" s="239">
        <f>F171*F172</f>
        <v>209.54999999999998</v>
      </c>
      <c r="H172" s="239">
        <f>G172/G$42</f>
        <v>0.23283333333333331</v>
      </c>
      <c r="J172" s="34"/>
      <c r="K172" s="34"/>
    </row>
    <row r="173" spans="1:11" ht="11.25" customHeight="1" thickBot="1" x14ac:dyDescent="0.25">
      <c r="A173" s="99"/>
      <c r="E173" s="27"/>
      <c r="F173" s="27"/>
      <c r="G173" s="135"/>
      <c r="H173" s="193"/>
      <c r="J173" s="34"/>
      <c r="K173" s="34"/>
    </row>
    <row r="174" spans="1:11" ht="13.5" thickBot="1" x14ac:dyDescent="0.25">
      <c r="A174" s="12" t="s">
        <v>151</v>
      </c>
      <c r="B174" s="13"/>
      <c r="C174" s="13"/>
      <c r="D174" s="13"/>
      <c r="E174" s="14"/>
      <c r="F174" s="15"/>
      <c r="G174" s="245">
        <f>+SUM(G114:G173)</f>
        <v>5737.0281797453836</v>
      </c>
      <c r="H174" s="239">
        <f>G174/G$42</f>
        <v>6.3744757552726483</v>
      </c>
    </row>
    <row r="175" spans="1:11" ht="11.25" customHeight="1" x14ac:dyDescent="0.2">
      <c r="A175" s="99"/>
      <c r="E175" s="27"/>
      <c r="F175" s="27"/>
      <c r="G175" s="135"/>
      <c r="H175" s="193"/>
    </row>
    <row r="176" spans="1:11" x14ac:dyDescent="0.2">
      <c r="A176" s="100" t="s">
        <v>168</v>
      </c>
      <c r="B176" s="6"/>
      <c r="C176" s="6"/>
      <c r="D176" s="6"/>
      <c r="E176" s="20"/>
      <c r="F176" s="20"/>
      <c r="G176" s="145"/>
      <c r="H176" s="193"/>
    </row>
    <row r="177" spans="1:8" ht="11.25" customHeight="1" thickBot="1" x14ac:dyDescent="0.25">
      <c r="A177" s="99"/>
      <c r="E177" s="27"/>
      <c r="F177" s="27"/>
      <c r="G177" s="43"/>
      <c r="H177" s="193"/>
    </row>
    <row r="178" spans="1:8" ht="13.5" thickBot="1" x14ac:dyDescent="0.25">
      <c r="A178" s="403" t="s">
        <v>27</v>
      </c>
      <c r="B178" s="412"/>
      <c r="C178" s="236" t="s">
        <v>28</v>
      </c>
      <c r="D178" s="236" t="s">
        <v>21</v>
      </c>
      <c r="E178" s="237" t="s">
        <v>92</v>
      </c>
      <c r="F178" s="237" t="s">
        <v>29</v>
      </c>
      <c r="G178" s="238" t="s">
        <v>30</v>
      </c>
      <c r="H178" s="238" t="s">
        <v>154</v>
      </c>
    </row>
    <row r="179" spans="1:8" x14ac:dyDescent="0.2">
      <c r="A179" s="405" t="s">
        <v>190</v>
      </c>
      <c r="B179" s="390"/>
      <c r="C179" s="92" t="s">
        <v>189</v>
      </c>
      <c r="D179" s="275">
        <f>1/12</f>
        <v>8.3333333333333329E-2</v>
      </c>
      <c r="E179" s="270">
        <v>21.9</v>
      </c>
      <c r="F179" s="11">
        <f>D179*E179</f>
        <v>1.8249999999999997</v>
      </c>
      <c r="G179" s="146"/>
      <c r="H179" s="136"/>
    </row>
    <row r="180" spans="1:8" x14ac:dyDescent="0.2">
      <c r="A180" s="418" t="s">
        <v>191</v>
      </c>
      <c r="B180" s="385"/>
      <c r="C180" s="92" t="s">
        <v>189</v>
      </c>
      <c r="D180" s="275">
        <f>3/12</f>
        <v>0.25</v>
      </c>
      <c r="E180" s="270">
        <v>21</v>
      </c>
      <c r="F180" s="11">
        <f>D180*E180</f>
        <v>5.25</v>
      </c>
      <c r="G180" s="147"/>
      <c r="H180" s="193"/>
    </row>
    <row r="181" spans="1:8" x14ac:dyDescent="0.2">
      <c r="A181" s="418" t="s">
        <v>192</v>
      </c>
      <c r="B181" s="385"/>
      <c r="C181" s="92" t="s">
        <v>189</v>
      </c>
      <c r="D181" s="275">
        <f>2/12</f>
        <v>0.16666666666666666</v>
      </c>
      <c r="E181" s="270">
        <v>11.3</v>
      </c>
      <c r="F181" s="11">
        <f>D181*E181</f>
        <v>1.8833333333333333</v>
      </c>
      <c r="G181" s="147"/>
      <c r="H181" s="193"/>
    </row>
    <row r="182" spans="1:8" x14ac:dyDescent="0.2">
      <c r="A182" s="418" t="s">
        <v>193</v>
      </c>
      <c r="B182" s="385"/>
      <c r="C182" s="92" t="s">
        <v>209</v>
      </c>
      <c r="D182" s="275">
        <f>4</f>
        <v>4</v>
      </c>
      <c r="E182" s="270">
        <v>15</v>
      </c>
      <c r="F182" s="11">
        <f>D182*E182</f>
        <v>60</v>
      </c>
      <c r="G182" s="147"/>
      <c r="H182" s="193"/>
    </row>
    <row r="183" spans="1:8" ht="13.5" thickBot="1" x14ac:dyDescent="0.25">
      <c r="A183" s="418" t="s">
        <v>194</v>
      </c>
      <c r="B183" s="385"/>
      <c r="C183" s="92" t="s">
        <v>189</v>
      </c>
      <c r="D183" s="275">
        <v>4</v>
      </c>
      <c r="E183" s="270">
        <v>4.5</v>
      </c>
      <c r="F183" s="11">
        <f t="shared" ref="F183" si="6">D183*E183</f>
        <v>18</v>
      </c>
      <c r="G183" s="147"/>
      <c r="H183" s="193"/>
    </row>
    <row r="184" spans="1:8" ht="13.5" thickBot="1" x14ac:dyDescent="0.25">
      <c r="A184" s="100"/>
      <c r="B184" s="6"/>
      <c r="C184" s="6"/>
      <c r="D184" s="6"/>
      <c r="E184" s="254" t="s">
        <v>86</v>
      </c>
      <c r="F184" s="250">
        <v>1</v>
      </c>
      <c r="G184" s="245">
        <f>SUM(F179:F183)*F184</f>
        <v>86.958333333333329</v>
      </c>
      <c r="H184" s="245">
        <f>G184/G$42</f>
        <v>9.662037037037037E-2</v>
      </c>
    </row>
    <row r="185" spans="1:8" ht="11.25" customHeight="1" thickBot="1" x14ac:dyDescent="0.25">
      <c r="A185" s="99"/>
      <c r="E185" s="27"/>
      <c r="F185" s="27"/>
      <c r="G185" s="135"/>
      <c r="H185" s="135"/>
    </row>
    <row r="186" spans="1:8" ht="13.5" thickBot="1" x14ac:dyDescent="0.25">
      <c r="A186" s="12" t="s">
        <v>91</v>
      </c>
      <c r="B186" s="13"/>
      <c r="C186" s="13"/>
      <c r="D186" s="13"/>
      <c r="E186" s="14"/>
      <c r="F186" s="15"/>
      <c r="G186" s="245">
        <f>+G184</f>
        <v>86.958333333333329</v>
      </c>
      <c r="H186" s="245">
        <f>G186/G$42</f>
        <v>9.662037037037037E-2</v>
      </c>
    </row>
    <row r="187" spans="1:8" ht="11.25" customHeight="1" thickBot="1" x14ac:dyDescent="0.25">
      <c r="A187" s="99"/>
      <c r="E187" s="27"/>
      <c r="F187" s="27"/>
      <c r="G187" s="135"/>
      <c r="H187" s="135"/>
    </row>
    <row r="188" spans="1:8" ht="17.25" customHeight="1" thickBot="1" x14ac:dyDescent="0.25">
      <c r="A188" s="12" t="s">
        <v>126</v>
      </c>
      <c r="B188" s="13"/>
      <c r="C188" s="16"/>
      <c r="D188" s="16"/>
      <c r="E188" s="17"/>
      <c r="F188" s="18"/>
      <c r="G188" s="242">
        <f>+G108+G174+G186</f>
        <v>9194.2443426241734</v>
      </c>
      <c r="H188" s="242">
        <f>G188/G$42</f>
        <v>10.215827047360193</v>
      </c>
    </row>
    <row r="189" spans="1:8" ht="17.25" customHeight="1" thickBot="1" x14ac:dyDescent="0.25">
      <c r="A189" s="12" t="s">
        <v>127</v>
      </c>
      <c r="B189" s="13"/>
      <c r="C189" s="16"/>
      <c r="D189" s="16"/>
      <c r="E189" s="17"/>
      <c r="F189" s="18"/>
      <c r="G189" s="244">
        <f>+G109+G174+G186</f>
        <v>8651.0169388968989</v>
      </c>
      <c r="H189" s="244">
        <f>G189/G$42</f>
        <v>9.612241043218777</v>
      </c>
    </row>
    <row r="190" spans="1:8" ht="11.25" customHeight="1" x14ac:dyDescent="0.2">
      <c r="A190" s="99"/>
      <c r="E190" s="27"/>
      <c r="F190" s="27"/>
      <c r="G190" s="135"/>
      <c r="H190" s="135"/>
    </row>
    <row r="191" spans="1:8" x14ac:dyDescent="0.2">
      <c r="A191" s="100" t="s">
        <v>169</v>
      </c>
      <c r="B191" s="6"/>
      <c r="E191" s="27"/>
      <c r="F191" s="27"/>
      <c r="G191" s="43"/>
      <c r="H191" s="43"/>
    </row>
    <row r="192" spans="1:8" ht="11.25" customHeight="1" thickBot="1" x14ac:dyDescent="0.25">
      <c r="A192" s="99"/>
      <c r="E192" s="27"/>
      <c r="F192" s="27"/>
      <c r="G192" s="43"/>
      <c r="H192" s="43"/>
    </row>
    <row r="193" spans="1:8" ht="13.5" thickBot="1" x14ac:dyDescent="0.25">
      <c r="A193" s="403" t="s">
        <v>27</v>
      </c>
      <c r="B193" s="412"/>
      <c r="C193" s="236" t="s">
        <v>28</v>
      </c>
      <c r="D193" s="236" t="s">
        <v>21</v>
      </c>
      <c r="E193" s="237" t="s">
        <v>92</v>
      </c>
      <c r="F193" s="237" t="s">
        <v>29</v>
      </c>
      <c r="G193" s="238" t="s">
        <v>30</v>
      </c>
      <c r="H193" s="238" t="s">
        <v>154</v>
      </c>
    </row>
    <row r="194" spans="1:8" ht="13.5" thickBot="1" x14ac:dyDescent="0.25">
      <c r="A194" s="405" t="s">
        <v>170</v>
      </c>
      <c r="B194" s="390"/>
      <c r="C194" s="8" t="s">
        <v>0</v>
      </c>
      <c r="D194" s="44">
        <f>BDI!C11*100</f>
        <v>31.75</v>
      </c>
      <c r="E194" s="9">
        <f>+G188</f>
        <v>9194.2443426241734</v>
      </c>
      <c r="F194" s="9">
        <f>D194*E194/100</f>
        <v>2919.1725787831751</v>
      </c>
      <c r="G194" s="136"/>
      <c r="H194" s="136"/>
    </row>
    <row r="195" spans="1:8" ht="13.5" thickBot="1" x14ac:dyDescent="0.25">
      <c r="A195" s="99"/>
      <c r="E195" s="27"/>
      <c r="F195" s="27"/>
      <c r="G195" s="245">
        <f>+F194</f>
        <v>2919.1725787831751</v>
      </c>
      <c r="H195" s="245">
        <f>G195/G$42</f>
        <v>3.2435250875368613</v>
      </c>
    </row>
    <row r="196" spans="1:8" ht="11.25" customHeight="1" thickBot="1" x14ac:dyDescent="0.25">
      <c r="A196" s="99"/>
      <c r="E196" s="27"/>
      <c r="F196" s="27"/>
      <c r="G196" s="135"/>
      <c r="H196" s="135"/>
    </row>
    <row r="197" spans="1:8" ht="13.5" thickBot="1" x14ac:dyDescent="0.25">
      <c r="A197" s="12" t="s">
        <v>171</v>
      </c>
      <c r="B197" s="13"/>
      <c r="C197" s="16"/>
      <c r="D197" s="16"/>
      <c r="E197" s="17"/>
      <c r="F197" s="18"/>
      <c r="G197" s="244">
        <f>G195</f>
        <v>2919.1725787831751</v>
      </c>
      <c r="H197" s="244">
        <f>G197/G$42</f>
        <v>3.2435250875368613</v>
      </c>
    </row>
    <row r="198" spans="1:8" ht="13.5" thickBot="1" x14ac:dyDescent="0.25">
      <c r="A198" s="100"/>
      <c r="B198" s="6"/>
      <c r="C198" s="6"/>
      <c r="D198" s="6"/>
      <c r="E198" s="20"/>
      <c r="F198" s="20"/>
      <c r="G198" s="148"/>
      <c r="H198" s="148"/>
    </row>
    <row r="199" spans="1:8" ht="24.75" customHeight="1" thickBot="1" x14ac:dyDescent="0.25">
      <c r="A199" s="12" t="s">
        <v>172</v>
      </c>
      <c r="B199" s="13"/>
      <c r="C199" s="16"/>
      <c r="D199" s="16"/>
      <c r="E199" s="17"/>
      <c r="F199" s="18"/>
      <c r="G199" s="206">
        <f>G188+G197</f>
        <v>12113.416921407348</v>
      </c>
      <c r="H199" s="244">
        <f>G199/G$42</f>
        <v>13.459352134897053</v>
      </c>
    </row>
    <row r="200" spans="1:8" ht="12.6" customHeight="1" x14ac:dyDescent="0.2">
      <c r="A200" s="104"/>
      <c r="B200" s="24"/>
      <c r="C200" s="24"/>
      <c r="D200" s="24"/>
      <c r="E200" s="25"/>
      <c r="F200" s="25"/>
      <c r="G200" s="149"/>
      <c r="H200" s="149"/>
    </row>
    <row r="201" spans="1:8" ht="16.149999999999999" customHeight="1" x14ac:dyDescent="0.2">
      <c r="A201" s="418" t="s">
        <v>173</v>
      </c>
      <c r="B201" s="397"/>
      <c r="C201" s="82"/>
      <c r="D201" s="82"/>
      <c r="E201" s="157">
        <f>C144</f>
        <v>900</v>
      </c>
      <c r="F201" s="156" t="s">
        <v>153</v>
      </c>
      <c r="G201" s="43"/>
      <c r="H201" s="43"/>
    </row>
    <row r="202" spans="1:8" ht="13.5" thickBot="1" x14ac:dyDescent="0.25">
      <c r="A202" s="99"/>
      <c r="E202" s="27"/>
      <c r="F202" s="27"/>
      <c r="G202" s="43"/>
      <c r="H202" s="43"/>
    </row>
    <row r="203" spans="1:8" ht="25.5" customHeight="1" thickBot="1" x14ac:dyDescent="0.25">
      <c r="A203" s="12" t="s">
        <v>174</v>
      </c>
      <c r="B203" s="13"/>
      <c r="C203" s="13"/>
      <c r="D203" s="13"/>
      <c r="E203" s="14"/>
      <c r="F203" s="155" t="s">
        <v>154</v>
      </c>
      <c r="G203" s="424">
        <f>IFERROR(G199/E201,"-")</f>
        <v>13.459352134897053</v>
      </c>
      <c r="H203" s="425"/>
    </row>
    <row r="204" spans="1:8" ht="12.6" customHeight="1" x14ac:dyDescent="0.2">
      <c r="A204" s="100"/>
      <c r="B204" s="6"/>
      <c r="C204" s="6"/>
      <c r="D204" s="6"/>
      <c r="E204" s="20"/>
      <c r="F204" s="20"/>
      <c r="G204" s="150"/>
      <c r="H204" s="150"/>
    </row>
    <row r="205" spans="1:8" x14ac:dyDescent="0.2">
      <c r="A205" s="100" t="s">
        <v>175</v>
      </c>
      <c r="B205" s="6"/>
      <c r="E205" s="27"/>
      <c r="F205" s="27"/>
      <c r="G205" s="43"/>
      <c r="H205" s="43"/>
    </row>
    <row r="206" spans="1:8" ht="11.25" customHeight="1" thickBot="1" x14ac:dyDescent="0.25">
      <c r="A206" s="99"/>
      <c r="E206" s="27"/>
      <c r="F206" s="27"/>
      <c r="G206" s="43"/>
      <c r="H206" s="43"/>
    </row>
    <row r="207" spans="1:8" ht="13.5" thickBot="1" x14ac:dyDescent="0.25">
      <c r="A207" s="240" t="s">
        <v>27</v>
      </c>
      <c r="B207" s="241"/>
      <c r="C207" s="236" t="s">
        <v>28</v>
      </c>
      <c r="D207" s="236" t="s">
        <v>21</v>
      </c>
      <c r="E207" s="237" t="s">
        <v>92</v>
      </c>
      <c r="F207" s="237" t="s">
        <v>29</v>
      </c>
      <c r="G207" s="238" t="s">
        <v>30</v>
      </c>
      <c r="H207" s="238" t="s">
        <v>154</v>
      </c>
    </row>
    <row r="208" spans="1:8" ht="13.5" thickBot="1" x14ac:dyDescent="0.25">
      <c r="A208" s="405" t="s">
        <v>152</v>
      </c>
      <c r="B208" s="390"/>
      <c r="C208" s="8" t="s">
        <v>0</v>
      </c>
      <c r="D208" s="44">
        <f>BDI!C$24*100</f>
        <v>23.93</v>
      </c>
      <c r="E208" s="9">
        <f>G188</f>
        <v>9194.2443426241734</v>
      </c>
      <c r="F208" s="9">
        <f>D208*E208/100</f>
        <v>2200.1826711899648</v>
      </c>
      <c r="G208" s="136"/>
      <c r="H208" s="136"/>
    </row>
    <row r="209" spans="1:9" ht="13.5" thickBot="1" x14ac:dyDescent="0.25">
      <c r="A209" s="99"/>
      <c r="E209" s="27"/>
      <c r="F209" s="27"/>
      <c r="G209" s="245">
        <f>+F208</f>
        <v>2200.1826711899648</v>
      </c>
      <c r="H209" s="245">
        <f>G209/G$42</f>
        <v>2.4446474124332944</v>
      </c>
    </row>
    <row r="210" spans="1:9" ht="11.25" customHeight="1" thickBot="1" x14ac:dyDescent="0.25">
      <c r="A210" s="99"/>
      <c r="E210" s="27"/>
      <c r="F210" s="27"/>
      <c r="G210" s="135"/>
      <c r="H210" s="135"/>
    </row>
    <row r="211" spans="1:9" ht="13.5" thickBot="1" x14ac:dyDescent="0.25">
      <c r="A211" s="12" t="s">
        <v>176</v>
      </c>
      <c r="B211" s="13"/>
      <c r="C211" s="16"/>
      <c r="D211" s="16"/>
      <c r="E211" s="17"/>
      <c r="F211" s="18"/>
      <c r="G211" s="244">
        <f>G209</f>
        <v>2200.1826711899648</v>
      </c>
      <c r="H211" s="244">
        <f>G211/G$42</f>
        <v>2.4446474124332944</v>
      </c>
    </row>
    <row r="212" spans="1:9" ht="13.5" thickBot="1" x14ac:dyDescent="0.25">
      <c r="A212" s="100"/>
      <c r="B212" s="6"/>
      <c r="C212" s="6"/>
      <c r="D212" s="6"/>
      <c r="E212" s="20"/>
      <c r="F212" s="20"/>
      <c r="G212" s="148"/>
      <c r="H212" s="148"/>
    </row>
    <row r="213" spans="1:9" ht="24.75" customHeight="1" thickBot="1" x14ac:dyDescent="0.25">
      <c r="A213" s="12" t="s">
        <v>177</v>
      </c>
      <c r="B213" s="13"/>
      <c r="C213" s="16"/>
      <c r="D213" s="16"/>
      <c r="E213" s="17"/>
      <c r="F213" s="18"/>
      <c r="G213" s="206">
        <f>G188+G211</f>
        <v>11394.427013814138</v>
      </c>
      <c r="H213" s="244">
        <f>G213/G$42</f>
        <v>12.660474459793488</v>
      </c>
      <c r="I213" s="34"/>
    </row>
    <row r="214" spans="1:9" ht="12.6" customHeight="1" x14ac:dyDescent="0.2">
      <c r="A214" s="104"/>
      <c r="B214" s="24"/>
      <c r="C214" s="24"/>
      <c r="D214" s="24"/>
      <c r="E214" s="25"/>
      <c r="F214" s="25"/>
      <c r="G214" s="149"/>
      <c r="H214" s="149"/>
    </row>
    <row r="215" spans="1:9" ht="16.149999999999999" customHeight="1" x14ac:dyDescent="0.2">
      <c r="A215" s="154" t="s">
        <v>178</v>
      </c>
      <c r="B215" s="215"/>
      <c r="C215" s="82"/>
      <c r="D215" s="82"/>
      <c r="E215" s="157">
        <f>E$201</f>
        <v>900</v>
      </c>
      <c r="F215" s="156" t="s">
        <v>153</v>
      </c>
      <c r="G215" s="43"/>
      <c r="H215" s="43"/>
    </row>
    <row r="216" spans="1:9" ht="13.5" thickBot="1" x14ac:dyDescent="0.25">
      <c r="A216" s="99"/>
      <c r="E216" s="27"/>
      <c r="F216" s="27"/>
      <c r="G216" s="43"/>
      <c r="H216" s="43"/>
    </row>
    <row r="217" spans="1:9" ht="25.5" customHeight="1" thickBot="1" x14ac:dyDescent="0.25">
      <c r="A217" s="12" t="s">
        <v>179</v>
      </c>
      <c r="B217" s="13"/>
      <c r="C217" s="13"/>
      <c r="D217" s="13"/>
      <c r="E217" s="14"/>
      <c r="F217" s="155" t="s">
        <v>154</v>
      </c>
      <c r="G217" s="424">
        <f>IFERROR(G213/E215,"-")</f>
        <v>12.660474459793488</v>
      </c>
      <c r="H217" s="425"/>
    </row>
    <row r="218" spans="1:9" x14ac:dyDescent="0.2">
      <c r="A218" s="120"/>
      <c r="B218" s="121"/>
      <c r="C218" s="121"/>
      <c r="D218" s="121"/>
      <c r="E218" s="122"/>
      <c r="F218" s="122"/>
      <c r="G218" s="135"/>
      <c r="H218" s="135"/>
    </row>
    <row r="219" spans="1:9" x14ac:dyDescent="0.2">
      <c r="A219" s="134" t="s">
        <v>180</v>
      </c>
      <c r="B219" s="216"/>
      <c r="E219" s="27"/>
      <c r="F219" s="27"/>
      <c r="G219" s="43"/>
      <c r="H219" s="43"/>
    </row>
    <row r="220" spans="1:9" ht="11.25" customHeight="1" thickBot="1" x14ac:dyDescent="0.25">
      <c r="A220" s="99"/>
      <c r="E220" s="27"/>
      <c r="F220" s="27"/>
      <c r="G220" s="43"/>
      <c r="H220" s="43"/>
    </row>
    <row r="221" spans="1:9" ht="13.5" thickBot="1" x14ac:dyDescent="0.25">
      <c r="A221" s="240" t="s">
        <v>27</v>
      </c>
      <c r="B221" s="241"/>
      <c r="C221" s="236" t="s">
        <v>28</v>
      </c>
      <c r="D221" s="236" t="s">
        <v>21</v>
      </c>
      <c r="E221" s="237" t="s">
        <v>92</v>
      </c>
      <c r="F221" s="237" t="s">
        <v>29</v>
      </c>
      <c r="G221" s="238" t="s">
        <v>30</v>
      </c>
      <c r="H221" s="238" t="s">
        <v>154</v>
      </c>
    </row>
    <row r="222" spans="1:9" ht="13.5" thickBot="1" x14ac:dyDescent="0.25">
      <c r="A222" s="101" t="s">
        <v>181</v>
      </c>
      <c r="B222" s="213"/>
      <c r="C222" s="8" t="s">
        <v>0</v>
      </c>
      <c r="D222" s="44">
        <f>BDI!C35*100</f>
        <v>16.93</v>
      </c>
      <c r="E222" s="9">
        <f>G189</f>
        <v>8651.0169388968989</v>
      </c>
      <c r="F222" s="9">
        <f>D222*E222/100</f>
        <v>1464.617167755245</v>
      </c>
      <c r="G222" s="136"/>
      <c r="H222" s="136"/>
    </row>
    <row r="223" spans="1:9" ht="13.5" thickBot="1" x14ac:dyDescent="0.25">
      <c r="A223" s="99"/>
      <c r="E223" s="27"/>
      <c r="F223" s="27"/>
      <c r="G223" s="245">
        <f>+F222</f>
        <v>1464.617167755245</v>
      </c>
      <c r="H223" s="245">
        <f>G223/G$42</f>
        <v>1.6273524086169389</v>
      </c>
    </row>
    <row r="224" spans="1:9" ht="11.25" customHeight="1" thickBot="1" x14ac:dyDescent="0.25">
      <c r="A224" s="99"/>
      <c r="E224" s="27"/>
      <c r="F224" s="27"/>
      <c r="G224" s="135"/>
      <c r="H224" s="135"/>
    </row>
    <row r="225" spans="1:12" ht="13.5" thickBot="1" x14ac:dyDescent="0.25">
      <c r="A225" s="12" t="s">
        <v>182</v>
      </c>
      <c r="B225" s="13"/>
      <c r="C225" s="16"/>
      <c r="D225" s="16"/>
      <c r="E225" s="17"/>
      <c r="F225" s="18"/>
      <c r="G225" s="244">
        <f>G223</f>
        <v>1464.617167755245</v>
      </c>
      <c r="H225" s="244">
        <f>G225/G$42</f>
        <v>1.6273524086169389</v>
      </c>
    </row>
    <row r="226" spans="1:12" ht="13.5" thickBot="1" x14ac:dyDescent="0.25">
      <c r="A226" s="100"/>
      <c r="B226" s="6"/>
      <c r="C226" s="6"/>
      <c r="D226" s="6"/>
      <c r="E226" s="20"/>
      <c r="F226" s="20"/>
      <c r="G226" s="148"/>
      <c r="H226" s="148"/>
    </row>
    <row r="227" spans="1:12" ht="24.75" customHeight="1" thickBot="1" x14ac:dyDescent="0.25">
      <c r="A227" s="12" t="s">
        <v>183</v>
      </c>
      <c r="B227" s="13"/>
      <c r="C227" s="16"/>
      <c r="D227" s="16"/>
      <c r="E227" s="17"/>
      <c r="F227" s="18"/>
      <c r="G227" s="244">
        <f>E222+G225</f>
        <v>10115.634106652144</v>
      </c>
      <c r="H227" s="244">
        <f>G227/G$42</f>
        <v>11.239593451835715</v>
      </c>
      <c r="I227" s="34"/>
    </row>
    <row r="228" spans="1:12" ht="12.6" customHeight="1" x14ac:dyDescent="0.2">
      <c r="A228" s="104"/>
      <c r="B228" s="24"/>
      <c r="C228" s="24"/>
      <c r="D228" s="24"/>
      <c r="E228" s="25"/>
      <c r="F228" s="25"/>
      <c r="G228" s="149"/>
      <c r="H228" s="149"/>
      <c r="I228" s="34"/>
    </row>
    <row r="229" spans="1:12" ht="12.6" customHeight="1" x14ac:dyDescent="0.2">
      <c r="A229" s="104" t="s">
        <v>125</v>
      </c>
      <c r="B229" s="24"/>
      <c r="C229" s="24"/>
      <c r="D229" s="24"/>
      <c r="E229" s="25"/>
      <c r="F229" s="25"/>
      <c r="G229" s="151"/>
      <c r="H229" s="151"/>
    </row>
    <row r="230" spans="1:12" x14ac:dyDescent="0.2">
      <c r="A230" s="153" t="s">
        <v>122</v>
      </c>
      <c r="B230" s="6"/>
      <c r="E230" s="27"/>
      <c r="F230" s="27"/>
      <c r="G230" s="43"/>
      <c r="H230" s="43"/>
    </row>
    <row r="231" spans="1:12" x14ac:dyDescent="0.2">
      <c r="A231" s="100" t="s">
        <v>120</v>
      </c>
      <c r="B231" s="6"/>
      <c r="E231" s="27"/>
      <c r="F231" s="27"/>
      <c r="G231" s="43"/>
      <c r="H231" s="43"/>
    </row>
    <row r="232" spans="1:12" x14ac:dyDescent="0.2">
      <c r="A232" s="426" t="s">
        <v>321</v>
      </c>
      <c r="B232" s="415"/>
      <c r="E232" s="27"/>
      <c r="F232" s="27"/>
      <c r="G232" s="43"/>
      <c r="H232" s="43"/>
    </row>
    <row r="233" spans="1:12" ht="11.25" customHeight="1" thickBot="1" x14ac:dyDescent="0.25">
      <c r="A233" s="123"/>
      <c r="E233" s="27"/>
      <c r="F233" s="27"/>
      <c r="G233" s="43"/>
      <c r="H233" s="43"/>
    </row>
    <row r="234" spans="1:12" ht="15.75" thickBot="1" x14ac:dyDescent="0.3">
      <c r="A234" s="240" t="s">
        <v>27</v>
      </c>
      <c r="B234" s="241"/>
      <c r="C234" s="236" t="s">
        <v>28</v>
      </c>
      <c r="D234" s="236" t="s">
        <v>21</v>
      </c>
      <c r="E234" s="237" t="s">
        <v>121</v>
      </c>
      <c r="F234" s="237" t="s">
        <v>29</v>
      </c>
      <c r="G234" s="238" t="s">
        <v>30</v>
      </c>
      <c r="H234" s="238" t="s">
        <v>154</v>
      </c>
      <c r="I234" s="131"/>
      <c r="J234" s="132"/>
      <c r="K234" s="131"/>
    </row>
    <row r="235" spans="1:12" ht="15.75" thickBot="1" x14ac:dyDescent="0.3">
      <c r="A235" s="405" t="s">
        <v>184</v>
      </c>
      <c r="B235" s="390"/>
      <c r="C235" s="124" t="s">
        <v>0</v>
      </c>
      <c r="D235" s="276">
        <v>6</v>
      </c>
      <c r="E235" s="125">
        <f>G227</f>
        <v>10115.634106652144</v>
      </c>
      <c r="F235" s="9">
        <f>G238*(D235/100)</f>
        <v>645.67877276503054</v>
      </c>
      <c r="G235" s="136"/>
      <c r="H235" s="136"/>
      <c r="I235" s="34">
        <f>G238*12</f>
        <v>129135.7545530061</v>
      </c>
      <c r="J235" s="133"/>
      <c r="K235" s="133"/>
    </row>
    <row r="236" spans="1:12" ht="15.75" thickBot="1" x14ac:dyDescent="0.3">
      <c r="A236" s="99"/>
      <c r="E236" s="27"/>
      <c r="F236" s="27"/>
      <c r="G236" s="244">
        <f>F235</f>
        <v>645.67877276503054</v>
      </c>
      <c r="H236" s="244">
        <f>G236/G$42</f>
        <v>0.71742085862781169</v>
      </c>
      <c r="I236" s="131"/>
      <c r="J236" s="131"/>
      <c r="K236" s="131"/>
      <c r="L236" s="358"/>
    </row>
    <row r="237" spans="1:12" ht="15.75" thickBot="1" x14ac:dyDescent="0.3">
      <c r="A237" s="126"/>
      <c r="B237" s="127"/>
      <c r="C237" s="127"/>
      <c r="D237" s="127"/>
      <c r="E237" s="128"/>
      <c r="F237" s="128"/>
      <c r="G237" s="152"/>
      <c r="H237" s="152"/>
      <c r="I237" s="133"/>
      <c r="J237" s="133"/>
      <c r="K237" s="290"/>
    </row>
    <row r="238" spans="1:12" ht="24.75" customHeight="1" thickBot="1" x14ac:dyDescent="0.3">
      <c r="A238" s="12" t="s">
        <v>185</v>
      </c>
      <c r="B238" s="13"/>
      <c r="C238" s="16"/>
      <c r="D238" s="16"/>
      <c r="E238" s="17"/>
      <c r="F238" s="18"/>
      <c r="G238" s="206">
        <f>E235/((100-D235)/100)</f>
        <v>10761.312879417175</v>
      </c>
      <c r="H238" s="244">
        <f>G238/G$42</f>
        <v>11.957014310463528</v>
      </c>
      <c r="I238" s="133"/>
      <c r="J238" s="133"/>
      <c r="K238" s="132"/>
    </row>
    <row r="239" spans="1:12" ht="12.6" customHeight="1" x14ac:dyDescent="0.2">
      <c r="A239" s="104"/>
      <c r="B239" s="24"/>
      <c r="C239" s="24"/>
      <c r="D239" s="24"/>
      <c r="E239" s="25"/>
      <c r="F239" s="25"/>
      <c r="G239" s="149"/>
      <c r="H239" s="149"/>
    </row>
    <row r="240" spans="1:12" ht="16.149999999999999" customHeight="1" x14ac:dyDescent="0.2">
      <c r="A240" s="154" t="s">
        <v>186</v>
      </c>
      <c r="B240" s="215"/>
      <c r="C240" s="82"/>
      <c r="D240" s="82"/>
      <c r="E240" s="157">
        <f>E$201</f>
        <v>900</v>
      </c>
      <c r="F240" s="156" t="s">
        <v>153</v>
      </c>
      <c r="G240" s="43"/>
      <c r="H240" s="43"/>
    </row>
    <row r="241" spans="1:8" ht="13.5" thickBot="1" x14ac:dyDescent="0.25">
      <c r="A241" s="99"/>
      <c r="E241" s="27"/>
      <c r="F241" s="27"/>
      <c r="G241" s="43"/>
      <c r="H241" s="43"/>
    </row>
    <row r="242" spans="1:8" ht="25.5" customHeight="1" thickBot="1" x14ac:dyDescent="0.25">
      <c r="A242" s="12" t="s">
        <v>187</v>
      </c>
      <c r="B242" s="13"/>
      <c r="C242" s="13"/>
      <c r="D242" s="13"/>
      <c r="E242" s="14"/>
      <c r="F242" s="155" t="s">
        <v>154</v>
      </c>
      <c r="G242" s="424">
        <f>IFERROR(G238/E240,"-")</f>
        <v>11.957014310463528</v>
      </c>
      <c r="H242" s="425"/>
    </row>
    <row r="243" spans="1:8" ht="9" customHeight="1" x14ac:dyDescent="0.2">
      <c r="E243" s="4"/>
      <c r="F243" s="4"/>
      <c r="G243" s="4"/>
      <c r="H243" s="27"/>
    </row>
    <row r="244" spans="1:8" x14ac:dyDescent="0.2">
      <c r="H244" s="27"/>
    </row>
    <row r="245" spans="1:8" x14ac:dyDescent="0.2">
      <c r="H245" s="27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6"/>
      <c r="D248" s="6"/>
      <c r="E248" s="317"/>
      <c r="F248" s="317"/>
      <c r="G248" s="317"/>
      <c r="H248" s="20"/>
    </row>
    <row r="249" spans="1:8" x14ac:dyDescent="0.2">
      <c r="A249" s="6"/>
      <c r="B249" s="6"/>
      <c r="C249" s="6"/>
      <c r="D249" s="6"/>
      <c r="E249" s="317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A251" s="6"/>
      <c r="B251" s="6"/>
      <c r="C251" s="423"/>
      <c r="D251" s="423"/>
      <c r="E251" s="423"/>
      <c r="F251" s="317"/>
      <c r="G251" s="317"/>
      <c r="H251" s="20"/>
    </row>
    <row r="252" spans="1:8" x14ac:dyDescent="0.2">
      <c r="A252" s="6"/>
      <c r="B252" s="6"/>
      <c r="C252" s="423"/>
      <c r="D252" s="423"/>
      <c r="E252" s="423"/>
      <c r="F252" s="317"/>
      <c r="G252" s="317"/>
      <c r="H252" s="20"/>
    </row>
    <row r="253" spans="1:8" x14ac:dyDescent="0.2">
      <c r="H253" s="27"/>
    </row>
    <row r="254" spans="1:8" x14ac:dyDescent="0.2">
      <c r="H254" s="27"/>
    </row>
    <row r="255" spans="1:8" x14ac:dyDescent="0.2">
      <c r="H255" s="27"/>
    </row>
  </sheetData>
  <mergeCells count="134">
    <mergeCell ref="C250:E250"/>
    <mergeCell ref="C251:E251"/>
    <mergeCell ref="C252:E252"/>
    <mergeCell ref="A1:H1"/>
    <mergeCell ref="D3:E3"/>
    <mergeCell ref="G3:H3"/>
    <mergeCell ref="C7:D7"/>
    <mergeCell ref="E7:F7"/>
    <mergeCell ref="G7:H7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43:B43"/>
    <mergeCell ref="D45:G45"/>
    <mergeCell ref="A46:B46"/>
    <mergeCell ref="D46:F46"/>
    <mergeCell ref="A47:B47"/>
    <mergeCell ref="D47:G47"/>
    <mergeCell ref="A35:B35"/>
    <mergeCell ref="A36:B36"/>
    <mergeCell ref="A38:B38"/>
    <mergeCell ref="A39:B39"/>
    <mergeCell ref="A41:B41"/>
    <mergeCell ref="A42:B42"/>
    <mergeCell ref="A37:B37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116:B116"/>
    <mergeCell ref="A117:B117"/>
    <mergeCell ref="A118:B118"/>
    <mergeCell ref="A121:B121"/>
    <mergeCell ref="A122:B122"/>
    <mergeCell ref="A123:B123"/>
    <mergeCell ref="A90:B90"/>
    <mergeCell ref="A91:B91"/>
    <mergeCell ref="A96:B96"/>
    <mergeCell ref="A97:B97"/>
    <mergeCell ref="A114:B114"/>
    <mergeCell ref="A115:B115"/>
    <mergeCell ref="A103:B103"/>
    <mergeCell ref="A104:B104"/>
    <mergeCell ref="A134:B134"/>
    <mergeCell ref="A135:B135"/>
    <mergeCell ref="A136:B136"/>
    <mergeCell ref="A137:B137"/>
    <mergeCell ref="A138:B138"/>
    <mergeCell ref="A139:B139"/>
    <mergeCell ref="A124:B124"/>
    <mergeCell ref="A125:B125"/>
    <mergeCell ref="A126:B126"/>
    <mergeCell ref="A127:B127"/>
    <mergeCell ref="A128:B128"/>
    <mergeCell ref="A129:B129"/>
    <mergeCell ref="A149:B149"/>
    <mergeCell ref="A150:B150"/>
    <mergeCell ref="A151:B151"/>
    <mergeCell ref="A152:B152"/>
    <mergeCell ref="A153:B153"/>
    <mergeCell ref="A154:B154"/>
    <mergeCell ref="A140:B140"/>
    <mergeCell ref="A141:B141"/>
    <mergeCell ref="A145:B145"/>
    <mergeCell ref="A146:B146"/>
    <mergeCell ref="A147:B147"/>
    <mergeCell ref="A148:B148"/>
    <mergeCell ref="A167:B167"/>
    <mergeCell ref="A168:B168"/>
    <mergeCell ref="A170:B170"/>
    <mergeCell ref="A171:B171"/>
    <mergeCell ref="A178:B178"/>
    <mergeCell ref="A179:B179"/>
    <mergeCell ref="A155:B155"/>
    <mergeCell ref="A156:B156"/>
    <mergeCell ref="A160:B160"/>
    <mergeCell ref="A161:B161"/>
    <mergeCell ref="A162:B162"/>
    <mergeCell ref="A163:B163"/>
    <mergeCell ref="A169:B169"/>
    <mergeCell ref="G242:H242"/>
    <mergeCell ref="A201:B201"/>
    <mergeCell ref="G203:H203"/>
    <mergeCell ref="A208:B208"/>
    <mergeCell ref="G217:H217"/>
    <mergeCell ref="A232:B232"/>
    <mergeCell ref="A235:B235"/>
    <mergeCell ref="A180:B180"/>
    <mergeCell ref="A181:B181"/>
    <mergeCell ref="A182:B182"/>
    <mergeCell ref="A183:B183"/>
    <mergeCell ref="A193:B193"/>
    <mergeCell ref="A194:B194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2" max="16383" man="1"/>
    <brk id="203" max="16383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K254"/>
  <sheetViews>
    <sheetView topLeftCell="A220" zoomScaleNormal="100" zoomScaleSheetLayoutView="110" workbookViewId="0">
      <selection activeCell="E246" sqref="E246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3.140625" style="4" bestFit="1" customWidth="1"/>
    <col min="10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LOTE20.1!B3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21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+G107</f>
        <v>4614.6607204545462</v>
      </c>
      <c r="D9" s="40">
        <f t="shared" ref="D9:D23" si="0">IFERROR(C9/$C$26,0)</f>
        <v>0.25469185485440082</v>
      </c>
      <c r="E9" s="106">
        <f>G107</f>
        <v>4614.6607204545462</v>
      </c>
      <c r="F9" s="40">
        <f t="shared" ref="F9:F22" si="1">IFERROR(E9/$E$26,0)</f>
        <v>0.27076294583286781</v>
      </c>
      <c r="G9" s="106">
        <f>G108</f>
        <v>3870.8570445818186</v>
      </c>
      <c r="H9" s="40">
        <f t="shared" ref="H9:H22" si="2">IFERROR(G9/$G$26,0)</f>
        <v>0.23819423477236532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1474.3598914772724</v>
      </c>
      <c r="D10" s="26">
        <f t="shared" si="0"/>
        <v>8.1372711501592684E-2</v>
      </c>
      <c r="E10" s="107">
        <f t="shared" ref="E10:E22" si="3">C10</f>
        <v>1474.3598914772724</v>
      </c>
      <c r="F10" s="26">
        <f t="shared" si="1"/>
        <v>8.6507340759580692E-2</v>
      </c>
      <c r="G10" s="107">
        <f>G67</f>
        <v>1164.5691004727271</v>
      </c>
      <c r="H10" s="26">
        <f t="shared" si="2"/>
        <v>7.1662074453232819E-2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2035.1433289772726</v>
      </c>
      <c r="D11" s="26">
        <f t="shared" si="0"/>
        <v>0.11232341026811728</v>
      </c>
      <c r="E11" s="107">
        <f t="shared" si="3"/>
        <v>2035.1433289772726</v>
      </c>
      <c r="F11" s="26">
        <f t="shared" si="1"/>
        <v>0.11941103286391068</v>
      </c>
      <c r="G11" s="107">
        <f>G84</f>
        <v>1601.1304441090906</v>
      </c>
      <c r="H11" s="26">
        <f t="shared" si="2"/>
        <v>9.8525994763649052E-2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148.91318181818181</v>
      </c>
      <c r="D12" s="26">
        <f t="shared" si="0"/>
        <v>8.2188002080914712E-3</v>
      </c>
      <c r="E12" s="107">
        <f t="shared" si="3"/>
        <v>148.91318181818181</v>
      </c>
      <c r="F12" s="26">
        <f t="shared" si="1"/>
        <v>8.7374076286294792E-3</v>
      </c>
      <c r="G12" s="107">
        <f t="shared" ref="G12:G21" si="4">E12</f>
        <v>148.91318181818181</v>
      </c>
      <c r="H12" s="26">
        <f t="shared" si="2"/>
        <v>9.1634129037002163E-3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930.45454545454538</v>
      </c>
      <c r="D13" s="26">
        <f t="shared" si="0"/>
        <v>5.135354653249221E-2</v>
      </c>
      <c r="E13" s="107">
        <f t="shared" si="3"/>
        <v>930.45454545454538</v>
      </c>
      <c r="F13" s="26">
        <f t="shared" si="1"/>
        <v>5.4593962363074712E-2</v>
      </c>
      <c r="G13" s="107">
        <f t="shared" si="4"/>
        <v>930.45454545454538</v>
      </c>
      <c r="H13" s="26">
        <f t="shared" si="2"/>
        <v>5.7255772014426783E-2</v>
      </c>
      <c r="I13" s="4"/>
    </row>
    <row r="14" spans="1:9" s="2" customFormat="1" ht="15.75" customHeight="1" x14ac:dyDescent="0.2">
      <c r="A14" s="337" t="s">
        <v>303</v>
      </c>
      <c r="B14" s="336"/>
      <c r="C14" s="107">
        <f>G104</f>
        <v>25.789772727272723</v>
      </c>
      <c r="D14" s="26">
        <f t="shared" si="0"/>
        <v>1.4233863441071211E-3</v>
      </c>
      <c r="E14" s="107">
        <f>C14</f>
        <v>25.789772727272723</v>
      </c>
      <c r="F14" s="26">
        <f t="shared" si="1"/>
        <v>1.5132022176721793E-3</v>
      </c>
      <c r="G14" s="107">
        <f>E14</f>
        <v>25.789772727272723</v>
      </c>
      <c r="H14" s="26">
        <f t="shared" si="2"/>
        <v>1.5869806373563944E-3</v>
      </c>
      <c r="I14" s="4"/>
    </row>
    <row r="15" spans="1:9" s="6" customFormat="1" ht="15.75" customHeight="1" x14ac:dyDescent="0.2">
      <c r="A15" s="363" t="str">
        <f>A110</f>
        <v>2. Veículos</v>
      </c>
      <c r="B15" s="364"/>
      <c r="C15" s="106">
        <f>+G173</f>
        <v>9050.641630524171</v>
      </c>
      <c r="D15" s="40">
        <f t="shared" si="0"/>
        <v>0.49952203295968506</v>
      </c>
      <c r="E15" s="106">
        <f t="shared" si="3"/>
        <v>9050.641630524171</v>
      </c>
      <c r="F15" s="40">
        <f t="shared" si="1"/>
        <v>0.53104194176098207</v>
      </c>
      <c r="G15" s="106">
        <f t="shared" si="4"/>
        <v>9050.641630524171</v>
      </c>
      <c r="H15" s="40">
        <f t="shared" si="2"/>
        <v>0.55693367968708263</v>
      </c>
      <c r="I15" s="4"/>
    </row>
    <row r="16" spans="1:9" s="2" customFormat="1" ht="15.75" customHeight="1" x14ac:dyDescent="0.2">
      <c r="A16" s="376" t="str">
        <f>A111</f>
        <v>2.1 Depreciação</v>
      </c>
      <c r="B16" s="364"/>
      <c r="C16" s="107">
        <f>G118</f>
        <v>1110.4283918371214</v>
      </c>
      <c r="D16" s="46">
        <f t="shared" si="0"/>
        <v>6.1286643576286201E-2</v>
      </c>
      <c r="E16" s="107">
        <f t="shared" si="3"/>
        <v>1110.4283918371214</v>
      </c>
      <c r="F16" s="46">
        <f t="shared" si="1"/>
        <v>6.5153839192896842E-2</v>
      </c>
      <c r="G16" s="107">
        <f t="shared" si="4"/>
        <v>1110.4283918371214</v>
      </c>
      <c r="H16" s="46">
        <f t="shared" si="2"/>
        <v>6.833051130973139E-2</v>
      </c>
      <c r="I16" s="4"/>
    </row>
    <row r="17" spans="1:10" s="2" customFormat="1" ht="15.75" customHeight="1" x14ac:dyDescent="0.2">
      <c r="A17" s="376" t="str">
        <f>A119</f>
        <v>2.2 Remuneração do Capital</v>
      </c>
      <c r="B17" s="364"/>
      <c r="C17" s="107">
        <f>G129</f>
        <v>1775.812740618868</v>
      </c>
      <c r="D17" s="46">
        <f t="shared" si="0"/>
        <v>9.8010464513141118E-2</v>
      </c>
      <c r="E17" s="107">
        <f t="shared" si="3"/>
        <v>1775.812740618868</v>
      </c>
      <c r="F17" s="46">
        <f t="shared" si="1"/>
        <v>0.10419493826842847</v>
      </c>
      <c r="G17" s="107">
        <f t="shared" si="4"/>
        <v>1775.812740618868</v>
      </c>
      <c r="H17" s="46">
        <f t="shared" si="2"/>
        <v>0.10927511710689511</v>
      </c>
      <c r="I17" s="4"/>
    </row>
    <row r="18" spans="1:10" s="2" customFormat="1" ht="15.75" customHeight="1" x14ac:dyDescent="0.2">
      <c r="A18" s="376" t="str">
        <f>A131</f>
        <v>2.3. Impostos e Seguros</v>
      </c>
      <c r="B18" s="364"/>
      <c r="C18" s="107">
        <f>G141</f>
        <v>689.56500000000005</v>
      </c>
      <c r="D18" s="46">
        <f t="shared" si="0"/>
        <v>3.805839682085569E-2</v>
      </c>
      <c r="E18" s="107">
        <f t="shared" si="3"/>
        <v>689.56500000000005</v>
      </c>
      <c r="F18" s="46">
        <f t="shared" si="1"/>
        <v>4.045988688088225E-2</v>
      </c>
      <c r="G18" s="107">
        <f t="shared" si="4"/>
        <v>689.56500000000005</v>
      </c>
      <c r="H18" s="46">
        <f t="shared" si="2"/>
        <v>4.2432568707416733E-2</v>
      </c>
      <c r="I18" s="4"/>
    </row>
    <row r="19" spans="1:10" s="2" customFormat="1" ht="15.75" customHeight="1" x14ac:dyDescent="0.2">
      <c r="A19" s="376" t="str">
        <f>A142</f>
        <v>2.4. Consumos</v>
      </c>
      <c r="B19" s="364"/>
      <c r="C19" s="107">
        <f>G156</f>
        <v>2324.7754980681821</v>
      </c>
      <c r="D19" s="46">
        <f t="shared" si="0"/>
        <v>0.12830875758613228</v>
      </c>
      <c r="E19" s="107">
        <f t="shared" si="3"/>
        <v>2324.7754980681821</v>
      </c>
      <c r="F19" s="46">
        <f t="shared" si="1"/>
        <v>0.13640505779046982</v>
      </c>
      <c r="G19" s="107">
        <f t="shared" si="4"/>
        <v>2324.7754980681821</v>
      </c>
      <c r="H19" s="46">
        <f t="shared" si="2"/>
        <v>0.14305568880540209</v>
      </c>
      <c r="I19" s="4"/>
    </row>
    <row r="20" spans="1:10" s="2" customFormat="1" ht="15.75" customHeight="1" x14ac:dyDescent="0.2">
      <c r="A20" s="376" t="str">
        <f>A158</f>
        <v>2.5. Manutenção</v>
      </c>
      <c r="B20" s="364"/>
      <c r="C20" s="107">
        <f>G163</f>
        <v>2828.75</v>
      </c>
      <c r="D20" s="46">
        <f t="shared" si="0"/>
        <v>0.15612406373147639</v>
      </c>
      <c r="E20" s="107">
        <f t="shared" si="3"/>
        <v>2828.75</v>
      </c>
      <c r="F20" s="46">
        <f t="shared" si="1"/>
        <v>0.16597551356912785</v>
      </c>
      <c r="G20" s="107">
        <f t="shared" si="4"/>
        <v>2828.75</v>
      </c>
      <c r="H20" s="46">
        <f t="shared" si="2"/>
        <v>0.17406789603750927</v>
      </c>
      <c r="I20" s="4"/>
    </row>
    <row r="21" spans="1:10" s="2" customFormat="1" ht="15.75" customHeight="1" x14ac:dyDescent="0.2">
      <c r="A21" s="376" t="str">
        <f>A165</f>
        <v>2.6. Pneus</v>
      </c>
      <c r="B21" s="364"/>
      <c r="C21" s="107">
        <f>G171</f>
        <v>321.31</v>
      </c>
      <c r="D21" s="46">
        <f t="shared" si="0"/>
        <v>1.7733706731793437E-2</v>
      </c>
      <c r="E21" s="107">
        <f t="shared" si="3"/>
        <v>321.31</v>
      </c>
      <c r="F21" s="46">
        <f t="shared" si="1"/>
        <v>1.8852706059176834E-2</v>
      </c>
      <c r="G21" s="107">
        <f t="shared" si="4"/>
        <v>321.31</v>
      </c>
      <c r="H21" s="46">
        <f t="shared" si="2"/>
        <v>1.9771897720128009E-2</v>
      </c>
      <c r="I21" s="4"/>
    </row>
    <row r="22" spans="1:10" s="6" customFormat="1" ht="15.75" customHeight="1" x14ac:dyDescent="0.2">
      <c r="A22" s="363" t="str">
        <f>A175</f>
        <v>3. Ferramentas e Materiais de Consumo</v>
      </c>
      <c r="B22" s="364"/>
      <c r="C22" s="106">
        <f>+G185</f>
        <v>86.958333333333329</v>
      </c>
      <c r="D22" s="40">
        <f t="shared" si="0"/>
        <v>4.7993949183619267E-3</v>
      </c>
      <c r="E22" s="106">
        <f t="shared" si="3"/>
        <v>86.958333333333329</v>
      </c>
      <c r="F22" s="40">
        <f t="shared" si="1"/>
        <v>5.1022373960637772E-3</v>
      </c>
      <c r="G22" s="106">
        <f>E22</f>
        <v>86.958333333333329</v>
      </c>
      <c r="H22" s="40">
        <f t="shared" si="2"/>
        <v>5.3510045519263782E-3</v>
      </c>
      <c r="I22" s="4"/>
    </row>
    <row r="23" spans="1:10" s="6" customFormat="1" ht="15.75" customHeight="1" x14ac:dyDescent="0.2">
      <c r="A23" s="377" t="str">
        <f>A190</f>
        <v>4. Benefícios e Desp. Ind. - BDI - LUCRO REAL</v>
      </c>
      <c r="B23" s="364"/>
      <c r="C23" s="106">
        <f>+G196</f>
        <v>4366.3427672690759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A204</f>
        <v>5. Benefícios e Desp. Ind. - BDI - LUCRO PRESUMIDO</v>
      </c>
      <c r="B24" s="364"/>
      <c r="C24" s="115"/>
      <c r="D24" s="111"/>
      <c r="E24" s="106">
        <f>G210</f>
        <v>3290.9159817558739</v>
      </c>
      <c r="F24" s="40">
        <f>IFERROR(E24/$E$26,0)</f>
        <v>0.19309287501008635</v>
      </c>
      <c r="G24" s="113"/>
      <c r="H24" s="114"/>
      <c r="I24" s="4"/>
    </row>
    <row r="25" spans="1:10" s="6" customFormat="1" ht="15.75" customHeight="1" thickBot="1" x14ac:dyDescent="0.25">
      <c r="A25" s="378" t="str">
        <f>A218</f>
        <v>6. Benef. Desp. Ind. + Impostos - SIMPLES NACIONAL</v>
      </c>
      <c r="B25" s="379"/>
      <c r="C25" s="116"/>
      <c r="D25" s="117"/>
      <c r="E25" s="118"/>
      <c r="F25" s="109"/>
      <c r="G25" s="119">
        <f>G222+G235</f>
        <v>3242.3857052018097</v>
      </c>
      <c r="H25" s="108">
        <f>IFERROR(G25/$G$26,0)</f>
        <v>0.19952108098862564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18118.603451581126</v>
      </c>
      <c r="D26" s="45">
        <f>D9+D15+D22+D23</f>
        <v>0.99999999999999989</v>
      </c>
      <c r="E26" s="129">
        <f>E9+E15+E22+E24</f>
        <v>17043.176666067924</v>
      </c>
      <c r="F26" s="45">
        <f>F9+F15+F22+F24</f>
        <v>1</v>
      </c>
      <c r="G26" s="129">
        <f>G9+G15+G22+G25</f>
        <v>16250.842713641134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G202</f>
        <v>13.129422791000817</v>
      </c>
      <c r="D27" s="45"/>
      <c r="E27" s="129">
        <f>G216</f>
        <v>12.3501280188898</v>
      </c>
      <c r="F27" s="45"/>
      <c r="G27" s="129">
        <f>G241</f>
        <v>11.775972980899374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253</v>
      </c>
      <c r="B36" s="385"/>
      <c r="C36" s="261">
        <v>10</v>
      </c>
      <c r="D36" s="183">
        <f>1/C36</f>
        <v>0.1</v>
      </c>
      <c r="E36" s="356">
        <v>21</v>
      </c>
      <c r="F36" s="262">
        <v>1</v>
      </c>
      <c r="G36" s="259">
        <v>404278</v>
      </c>
      <c r="H36" s="193"/>
      <c r="I36" s="4"/>
    </row>
    <row r="37" spans="1:9" s="2" customFormat="1" ht="37.5" customHeight="1" x14ac:dyDescent="0.2">
      <c r="A37" s="386" t="s">
        <v>290</v>
      </c>
      <c r="B37" s="387"/>
      <c r="C37" s="179"/>
      <c r="D37" s="321" t="s">
        <v>252</v>
      </c>
      <c r="E37" s="323" t="s">
        <v>257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357">
        <v>69</v>
      </c>
      <c r="F42" s="161">
        <f>(E42/F39)+C48</f>
        <v>4.45</v>
      </c>
      <c r="G42" s="186">
        <f>E42*E43</f>
        <v>1380</v>
      </c>
      <c r="H42" s="193"/>
      <c r="I42" s="6">
        <f>8+30+16+15</f>
        <v>69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14007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0.50568181818181812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0.25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295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0.50568181818181812</v>
      </c>
      <c r="G60" s="239">
        <f>F59*F60</f>
        <v>1474.3598914772724</v>
      </c>
      <c r="H60" s="239">
        <f>G60/G$42</f>
        <v>1.0683767329545453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por assiduidade (verba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0.50568181818181812</v>
      </c>
      <c r="G67" s="239">
        <f>F66*F67</f>
        <v>1164.5691004727271</v>
      </c>
      <c r="H67" s="239">
        <f>G67/G$42</f>
        <v>0.84389065251646889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por assiduidade (verba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0.50568181818181812</v>
      </c>
      <c r="G77" s="239">
        <f>F76*F77</f>
        <v>2035.1433289772726</v>
      </c>
      <c r="H77" s="239">
        <f>G77/G$42</f>
        <v>1.4747415427371542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A57</f>
        <v>Prêmio por assiduidade (verba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0.50568181818181812</v>
      </c>
      <c r="G84" s="239">
        <f>F83*F84</f>
        <v>1601.1304441090906</v>
      </c>
      <c r="H84" s="239">
        <f>G84/G$42</f>
        <v>1.1602394522529642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0.50568181818181812</v>
      </c>
      <c r="G92" s="239">
        <f>SUM(F88:F91)*F92</f>
        <v>148.91318181818181</v>
      </c>
      <c r="H92" s="239">
        <f>G92/G$42</f>
        <v>0.10790810276679841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0.50568181818181812</v>
      </c>
      <c r="G98" s="239">
        <f>SUM(F96:F97)*F98</f>
        <v>930.45454545454538</v>
      </c>
      <c r="H98" s="239">
        <f>G98/G$42</f>
        <v>0.6742424242424242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299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0.50568181818181812</v>
      </c>
      <c r="G104" s="239">
        <f>SUM(F102:F103)*F104</f>
        <v>25.789772727272723</v>
      </c>
      <c r="H104" s="239">
        <f>G104/G$42</f>
        <v>1.8688241106719364E-2</v>
      </c>
    </row>
    <row r="105" spans="1:8" ht="13.5" thickBot="1" x14ac:dyDescent="0.25">
      <c r="A105" s="99"/>
      <c r="E105" s="27"/>
      <c r="F105" s="27"/>
      <c r="G105" s="135"/>
      <c r="H105" s="198"/>
    </row>
    <row r="106" spans="1:8" ht="13.5" thickBot="1" x14ac:dyDescent="0.25">
      <c r="A106" s="99"/>
      <c r="E106" s="27"/>
      <c r="F106" s="27"/>
      <c r="G106" s="135"/>
      <c r="H106" s="198"/>
    </row>
    <row r="107" spans="1:8" ht="13.5" thickBot="1" x14ac:dyDescent="0.25">
      <c r="A107" s="12" t="s">
        <v>106</v>
      </c>
      <c r="B107" s="13"/>
      <c r="C107" s="13"/>
      <c r="D107" s="13"/>
      <c r="E107" s="14"/>
      <c r="F107" s="15"/>
      <c r="G107" s="242">
        <f>SUM(G54:G99)-G67-G84+G104</f>
        <v>4614.6607204545462</v>
      </c>
      <c r="H107" s="243">
        <f>G107/G$42</f>
        <v>3.343957043807642</v>
      </c>
    </row>
    <row r="108" spans="1:8" ht="13.5" thickBot="1" x14ac:dyDescent="0.25">
      <c r="A108" s="12" t="s">
        <v>107</v>
      </c>
      <c r="B108" s="13"/>
      <c r="C108" s="13"/>
      <c r="D108" s="13"/>
      <c r="E108" s="14"/>
      <c r="F108" s="15"/>
      <c r="G108" s="244">
        <f>SUM(G54:G99)-G60-G77+G104</f>
        <v>3870.8570445818186</v>
      </c>
      <c r="H108" s="239">
        <f>G108/G$42</f>
        <v>2.8049688728853757</v>
      </c>
    </row>
    <row r="109" spans="1:8" x14ac:dyDescent="0.2">
      <c r="A109" s="99"/>
      <c r="E109" s="27"/>
      <c r="F109" s="27"/>
      <c r="G109" s="135"/>
      <c r="H109" s="193"/>
    </row>
    <row r="110" spans="1:8" x14ac:dyDescent="0.2">
      <c r="A110" s="100" t="s">
        <v>211</v>
      </c>
      <c r="B110" s="6"/>
      <c r="E110" s="27"/>
      <c r="F110" s="27"/>
      <c r="G110" s="43"/>
      <c r="H110" s="193"/>
    </row>
    <row r="111" spans="1:8" ht="13.5" thickBot="1" x14ac:dyDescent="0.25">
      <c r="A111" s="100" t="s">
        <v>212</v>
      </c>
      <c r="B111" s="6"/>
      <c r="E111" s="27"/>
      <c r="F111" s="27"/>
      <c r="G111" s="43"/>
      <c r="H111" s="193"/>
    </row>
    <row r="112" spans="1:8" ht="13.5" thickBot="1" x14ac:dyDescent="0.25">
      <c r="A112" s="240" t="s">
        <v>27</v>
      </c>
      <c r="B112" s="241"/>
      <c r="C112" s="236" t="s">
        <v>28</v>
      </c>
      <c r="D112" s="236" t="s">
        <v>21</v>
      </c>
      <c r="E112" s="237" t="s">
        <v>92</v>
      </c>
      <c r="F112" s="237" t="s">
        <v>29</v>
      </c>
      <c r="G112" s="238" t="s">
        <v>30</v>
      </c>
      <c r="H112" s="238" t="s">
        <v>154</v>
      </c>
    </row>
    <row r="113" spans="1:10" x14ac:dyDescent="0.2">
      <c r="A113" s="405" t="s">
        <v>128</v>
      </c>
      <c r="B113" s="390"/>
      <c r="C113" s="8" t="s">
        <v>7</v>
      </c>
      <c r="D113" s="8">
        <v>1</v>
      </c>
      <c r="E113" s="187">
        <f>G36</f>
        <v>404278</v>
      </c>
      <c r="F113" s="9">
        <f>D113*E113</f>
        <v>404278</v>
      </c>
      <c r="G113" s="136"/>
      <c r="H113" s="136"/>
    </row>
    <row r="114" spans="1:10" x14ac:dyDescent="0.2">
      <c r="A114" s="418" t="s">
        <v>145</v>
      </c>
      <c r="B114" s="385"/>
      <c r="C114" s="10" t="s">
        <v>44</v>
      </c>
      <c r="D114" s="188">
        <v>10</v>
      </c>
      <c r="E114" s="33"/>
      <c r="F114" s="11"/>
      <c r="G114" s="137"/>
      <c r="H114" s="193"/>
    </row>
    <row r="115" spans="1:10" x14ac:dyDescent="0.2">
      <c r="A115" s="418" t="s">
        <v>137</v>
      </c>
      <c r="B115" s="385"/>
      <c r="C115" s="10" t="s">
        <v>0</v>
      </c>
      <c r="D115" s="262">
        <v>65.180000000000007</v>
      </c>
      <c r="E115" s="201">
        <f>F113</f>
        <v>404278</v>
      </c>
      <c r="F115" s="201">
        <f>D115*E115/100</f>
        <v>263508.40040000004</v>
      </c>
      <c r="G115" s="137"/>
      <c r="H115" s="193"/>
    </row>
    <row r="116" spans="1:10" x14ac:dyDescent="0.2">
      <c r="A116" s="406" t="s">
        <v>146</v>
      </c>
      <c r="B116" s="385"/>
      <c r="C116" s="37" t="s">
        <v>5</v>
      </c>
      <c r="D116" s="37">
        <f>D114*12</f>
        <v>120</v>
      </c>
      <c r="E116" s="38">
        <f>F115</f>
        <v>263508.40040000004</v>
      </c>
      <c r="F116" s="38">
        <f>IFERROR(E116/D116,0)</f>
        <v>2195.9033366666672</v>
      </c>
      <c r="G116" s="137"/>
      <c r="H116" s="193"/>
    </row>
    <row r="117" spans="1:10" x14ac:dyDescent="0.2">
      <c r="A117" s="406" t="s">
        <v>96</v>
      </c>
      <c r="B117" s="385"/>
      <c r="C117" s="158" t="s">
        <v>7</v>
      </c>
      <c r="D117" s="200">
        <f>F36</f>
        <v>1</v>
      </c>
      <c r="E117" s="159">
        <f>F116</f>
        <v>2195.9033366666672</v>
      </c>
      <c r="F117" s="160">
        <f>D117*E117</f>
        <v>2195.9033366666672</v>
      </c>
      <c r="G117" s="137"/>
      <c r="H117" s="193"/>
    </row>
    <row r="118" spans="1:10" ht="13.5" thickBot="1" x14ac:dyDescent="0.25">
      <c r="A118" s="103"/>
      <c r="B118" s="90"/>
      <c r="C118" s="90"/>
      <c r="D118" s="90"/>
      <c r="E118" s="95" t="s">
        <v>86</v>
      </c>
      <c r="F118" s="250">
        <f>$C$46</f>
        <v>0.50568181818181812</v>
      </c>
      <c r="G118" s="239">
        <f>F117*F118</f>
        <v>1110.4283918371214</v>
      </c>
      <c r="H118" s="239">
        <f>G118/G$42</f>
        <v>0.80465825495443577</v>
      </c>
    </row>
    <row r="119" spans="1:10" ht="13.5" thickBot="1" x14ac:dyDescent="0.25">
      <c r="A119" s="100" t="s">
        <v>213</v>
      </c>
      <c r="B119" s="6"/>
      <c r="E119" s="27"/>
      <c r="F119" s="278"/>
      <c r="G119" s="135"/>
      <c r="H119" s="193"/>
    </row>
    <row r="120" spans="1:10" ht="13.5" thickBot="1" x14ac:dyDescent="0.25">
      <c r="A120" s="403" t="s">
        <v>27</v>
      </c>
      <c r="B120" s="412"/>
      <c r="C120" s="236" t="s">
        <v>28</v>
      </c>
      <c r="D120" s="236" t="s">
        <v>21</v>
      </c>
      <c r="E120" s="237" t="s">
        <v>92</v>
      </c>
      <c r="F120" s="237" t="s">
        <v>29</v>
      </c>
      <c r="G120" s="238" t="s">
        <v>30</v>
      </c>
      <c r="H120" s="238" t="s">
        <v>154</v>
      </c>
      <c r="J120" s="34"/>
    </row>
    <row r="121" spans="1:10" x14ac:dyDescent="0.2">
      <c r="A121" s="405" t="s">
        <v>147</v>
      </c>
      <c r="B121" s="390"/>
      <c r="C121" s="8" t="s">
        <v>7</v>
      </c>
      <c r="D121" s="8">
        <v>1</v>
      </c>
      <c r="E121" s="9">
        <f>E113</f>
        <v>404278</v>
      </c>
      <c r="F121" s="9">
        <f>D121*E121</f>
        <v>404278</v>
      </c>
      <c r="G121" s="143"/>
      <c r="H121" s="136"/>
      <c r="I121" s="2"/>
      <c r="J121" s="34"/>
    </row>
    <row r="122" spans="1:10" x14ac:dyDescent="0.2">
      <c r="A122" s="413" t="s">
        <v>88</v>
      </c>
      <c r="B122" s="385"/>
      <c r="C122" s="10" t="s">
        <v>0</v>
      </c>
      <c r="D122" s="268">
        <f>LOTE20.1!D123</f>
        <v>14.75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219</v>
      </c>
      <c r="B123" s="385"/>
      <c r="C123" s="10" t="s">
        <v>20</v>
      </c>
      <c r="D123" s="48">
        <f>F121</f>
        <v>404278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218</v>
      </c>
      <c r="B124" s="385"/>
      <c r="C124" s="10"/>
      <c r="D124" s="48">
        <f>F113-F115</f>
        <v>140769.59959999996</v>
      </c>
      <c r="E124" s="11"/>
      <c r="F124" s="11"/>
      <c r="G124" s="142"/>
      <c r="H124" s="193"/>
      <c r="I124" s="2"/>
      <c r="J124" s="34"/>
    </row>
    <row r="125" spans="1:10" x14ac:dyDescent="0.2">
      <c r="A125" s="418" t="s">
        <v>210</v>
      </c>
      <c r="B125" s="385"/>
      <c r="C125" s="10" t="s">
        <v>20</v>
      </c>
      <c r="D125" s="33">
        <f>(D123-D124)*((D114+1)/(2*D114))+D124</f>
        <v>285699.21982</v>
      </c>
      <c r="E125" s="11"/>
      <c r="F125" s="11"/>
      <c r="G125" s="142"/>
      <c r="H125" s="193"/>
      <c r="I125" s="2"/>
      <c r="J125" s="34"/>
    </row>
    <row r="126" spans="1:10" x14ac:dyDescent="0.2">
      <c r="A126" s="406" t="s">
        <v>148</v>
      </c>
      <c r="B126" s="385"/>
      <c r="C126" s="37" t="s">
        <v>20</v>
      </c>
      <c r="D126" s="37"/>
      <c r="E126" s="161">
        <f>D122*D125/12/100</f>
        <v>3511.7195769541663</v>
      </c>
      <c r="F126" s="38">
        <f>E126</f>
        <v>3511.7195769541663</v>
      </c>
      <c r="G126" s="142"/>
      <c r="H126" s="193"/>
      <c r="J126" s="34"/>
    </row>
    <row r="127" spans="1:10" x14ac:dyDescent="0.2">
      <c r="A127" s="406" t="s">
        <v>149</v>
      </c>
      <c r="B127" s="397"/>
      <c r="C127" s="94"/>
      <c r="D127" s="94"/>
      <c r="E127" s="19"/>
      <c r="F127" s="160">
        <f>F126</f>
        <v>3511.7195769541663</v>
      </c>
      <c r="G127" s="142"/>
      <c r="H127" s="193"/>
      <c r="I127" s="34"/>
      <c r="J127" s="34"/>
    </row>
    <row r="128" spans="1:10" x14ac:dyDescent="0.2">
      <c r="A128" s="406" t="s">
        <v>96</v>
      </c>
      <c r="B128" s="385"/>
      <c r="C128" s="37" t="s">
        <v>7</v>
      </c>
      <c r="D128" s="10">
        <f>D117</f>
        <v>1</v>
      </c>
      <c r="E128" s="38">
        <f>F127</f>
        <v>3511.7195769541663</v>
      </c>
      <c r="F128" s="39">
        <f>D128*E128</f>
        <v>3511.7195769541663</v>
      </c>
      <c r="G128" s="142"/>
      <c r="H128" s="193"/>
      <c r="I128" s="34">
        <f>(I127*2)/12/100</f>
        <v>0</v>
      </c>
      <c r="J128" s="34"/>
    </row>
    <row r="129" spans="1:11" ht="13.5" thickBot="1" x14ac:dyDescent="0.25">
      <c r="A129" s="99"/>
      <c r="D129" s="97"/>
      <c r="E129" s="95" t="s">
        <v>86</v>
      </c>
      <c r="F129" s="250">
        <f>$C$46</f>
        <v>0.50568181818181812</v>
      </c>
      <c r="G129" s="239">
        <f>F128*F129</f>
        <v>1775.812740618868</v>
      </c>
      <c r="H129" s="239">
        <f>G129/G$42</f>
        <v>1.2868208265354115</v>
      </c>
      <c r="J129" s="34"/>
    </row>
    <row r="130" spans="1:11" ht="11.25" customHeight="1" x14ac:dyDescent="0.2">
      <c r="A130" s="99"/>
      <c r="E130" s="27"/>
      <c r="F130" s="27"/>
      <c r="G130" s="135"/>
      <c r="H130" s="193"/>
      <c r="I130" s="208"/>
      <c r="J130" s="34"/>
    </row>
    <row r="131" spans="1:11" x14ac:dyDescent="0.2">
      <c r="A131" s="100" t="s">
        <v>214</v>
      </c>
      <c r="B131" s="6"/>
      <c r="E131" s="27"/>
      <c r="F131" s="27"/>
      <c r="G131" s="43"/>
      <c r="H131" s="193"/>
      <c r="J131" s="34"/>
    </row>
    <row r="132" spans="1:11" ht="13.5" thickBot="1" x14ac:dyDescent="0.25">
      <c r="A132" s="100" t="str">
        <f>LOTE20.1!A133</f>
        <v>Despesas consideradas específicas para o transporte escolar municipal</v>
      </c>
      <c r="B132" s="6"/>
      <c r="E132" s="27"/>
      <c r="F132" s="27"/>
      <c r="G132" s="43"/>
      <c r="H132" s="43"/>
      <c r="J132" s="34"/>
    </row>
    <row r="133" spans="1:11" ht="13.5" thickBot="1" x14ac:dyDescent="0.25">
      <c r="A133" s="403" t="s">
        <v>27</v>
      </c>
      <c r="B133" s="412"/>
      <c r="C133" s="236" t="s">
        <v>28</v>
      </c>
      <c r="D133" s="236" t="s">
        <v>21</v>
      </c>
      <c r="E133" s="237" t="s">
        <v>92</v>
      </c>
      <c r="F133" s="237" t="s">
        <v>29</v>
      </c>
      <c r="G133" s="238" t="s">
        <v>30</v>
      </c>
      <c r="H133" s="238" t="s">
        <v>154</v>
      </c>
      <c r="J133" s="34"/>
    </row>
    <row r="134" spans="1:11" x14ac:dyDescent="0.2">
      <c r="A134" s="420" t="s">
        <v>8</v>
      </c>
      <c r="B134" s="390"/>
      <c r="C134" s="8" t="s">
        <v>7</v>
      </c>
      <c r="D134" s="9">
        <f>D117</f>
        <v>1</v>
      </c>
      <c r="E134" s="9">
        <f>0.01*($F$113)</f>
        <v>4042.78</v>
      </c>
      <c r="F134" s="9">
        <f t="shared" ref="F134:F139" si="5">D134*E134</f>
        <v>4042.78</v>
      </c>
      <c r="G134" s="136"/>
      <c r="H134" s="136"/>
      <c r="J134" s="34"/>
    </row>
    <row r="135" spans="1:11" x14ac:dyDescent="0.2">
      <c r="A135" s="413" t="s">
        <v>85</v>
      </c>
      <c r="B135" s="385"/>
      <c r="C135" s="10" t="s">
        <v>7</v>
      </c>
      <c r="D135" s="9">
        <f>D117</f>
        <v>1</v>
      </c>
      <c r="E135" s="262">
        <v>562</v>
      </c>
      <c r="F135" s="11">
        <f t="shared" si="5"/>
        <v>562</v>
      </c>
      <c r="G135" s="137"/>
      <c r="H135" s="193"/>
      <c r="J135" s="34"/>
    </row>
    <row r="136" spans="1:11" x14ac:dyDescent="0.2">
      <c r="A136" s="413" t="s">
        <v>9</v>
      </c>
      <c r="B136" s="385"/>
      <c r="C136" s="10" t="s">
        <v>7</v>
      </c>
      <c r="D136" s="9">
        <f>D117</f>
        <v>1</v>
      </c>
      <c r="E136" s="262">
        <v>1310</v>
      </c>
      <c r="F136" s="11">
        <f t="shared" si="5"/>
        <v>1310</v>
      </c>
      <c r="G136" s="144"/>
      <c r="H136" s="193"/>
      <c r="J136" s="34"/>
    </row>
    <row r="137" spans="1:11" x14ac:dyDescent="0.2">
      <c r="A137" s="418" t="s">
        <v>197</v>
      </c>
      <c r="B137" s="385"/>
      <c r="C137" s="10" t="s">
        <v>7</v>
      </c>
      <c r="D137" s="9">
        <v>1</v>
      </c>
      <c r="E137" s="262">
        <v>1171</v>
      </c>
      <c r="F137" s="11">
        <f t="shared" si="5"/>
        <v>1171</v>
      </c>
      <c r="G137" s="144"/>
      <c r="H137" s="193"/>
      <c r="J137" s="34"/>
    </row>
    <row r="138" spans="1:11" x14ac:dyDescent="0.2">
      <c r="A138" s="418" t="s">
        <v>208</v>
      </c>
      <c r="B138" s="385"/>
      <c r="C138" s="10" t="s">
        <v>7</v>
      </c>
      <c r="D138" s="9">
        <v>1</v>
      </c>
      <c r="E138" s="262">
        <v>419</v>
      </c>
      <c r="F138" s="11">
        <f t="shared" si="5"/>
        <v>419</v>
      </c>
      <c r="G138" s="144"/>
      <c r="H138" s="193"/>
      <c r="J138" s="34"/>
    </row>
    <row r="139" spans="1:11" x14ac:dyDescent="0.2">
      <c r="A139" s="418" t="s">
        <v>198</v>
      </c>
      <c r="B139" s="385"/>
      <c r="C139" s="10" t="s">
        <v>7</v>
      </c>
      <c r="D139" s="9">
        <v>1</v>
      </c>
      <c r="E139" s="262">
        <v>770</v>
      </c>
      <c r="F139" s="11">
        <f t="shared" si="5"/>
        <v>770</v>
      </c>
      <c r="G139" s="144"/>
      <c r="H139" s="193"/>
      <c r="J139" s="34"/>
    </row>
    <row r="140" spans="1:11" x14ac:dyDescent="0.2">
      <c r="A140" s="406" t="s">
        <v>10</v>
      </c>
      <c r="B140" s="385"/>
      <c r="C140" s="37" t="s">
        <v>5</v>
      </c>
      <c r="D140" s="37">
        <v>12</v>
      </c>
      <c r="E140" s="38">
        <f>SUM(F134:F139)</f>
        <v>8274.7800000000007</v>
      </c>
      <c r="F140" s="38">
        <f>E140/D140</f>
        <v>689.56500000000005</v>
      </c>
      <c r="G140" s="137"/>
      <c r="H140" s="193"/>
      <c r="J140" s="34"/>
    </row>
    <row r="141" spans="1:11" ht="13.5" thickBot="1" x14ac:dyDescent="0.25">
      <c r="A141" s="279"/>
      <c r="B141" s="82"/>
      <c r="C141" s="82"/>
      <c r="D141" s="82"/>
      <c r="E141" s="280" t="s">
        <v>86</v>
      </c>
      <c r="F141" s="250">
        <v>1</v>
      </c>
      <c r="G141" s="239">
        <f>F140*F141</f>
        <v>689.56500000000005</v>
      </c>
      <c r="H141" s="239">
        <f>G141/G$42</f>
        <v>0.4996847826086957</v>
      </c>
      <c r="J141" s="34"/>
    </row>
    <row r="142" spans="1:11" x14ac:dyDescent="0.2">
      <c r="A142" s="100" t="s">
        <v>215</v>
      </c>
      <c r="B142" s="6"/>
      <c r="C142" s="98"/>
      <c r="E142" s="27"/>
      <c r="F142" s="27"/>
      <c r="G142" s="43"/>
      <c r="H142" s="193"/>
      <c r="J142" s="34"/>
    </row>
    <row r="143" spans="1:11" ht="13.5" thickBot="1" x14ac:dyDescent="0.25">
      <c r="A143" s="102" t="s">
        <v>150</v>
      </c>
      <c r="B143" s="214"/>
      <c r="C143" s="190">
        <f>G42</f>
        <v>1380</v>
      </c>
      <c r="E143" s="27"/>
      <c r="F143" s="27"/>
      <c r="G143" s="43"/>
      <c r="H143" s="193"/>
      <c r="J143" s="34"/>
    </row>
    <row r="144" spans="1:11" ht="13.5" thickBot="1" x14ac:dyDescent="0.25">
      <c r="A144" s="403" t="s">
        <v>27</v>
      </c>
      <c r="B144" s="412"/>
      <c r="C144" s="236" t="s">
        <v>28</v>
      </c>
      <c r="D144" s="236" t="s">
        <v>95</v>
      </c>
      <c r="E144" s="237" t="s">
        <v>92</v>
      </c>
      <c r="F144" s="237" t="s">
        <v>29</v>
      </c>
      <c r="G144" s="238" t="s">
        <v>30</v>
      </c>
      <c r="H144" s="238" t="s">
        <v>154</v>
      </c>
      <c r="J144" s="34"/>
      <c r="K144" s="34"/>
    </row>
    <row r="145" spans="1:11" x14ac:dyDescent="0.2">
      <c r="A145" s="420" t="s">
        <v>11</v>
      </c>
      <c r="B145" s="390"/>
      <c r="C145" s="8" t="s">
        <v>12</v>
      </c>
      <c r="D145" s="187">
        <f>F38</f>
        <v>5.5</v>
      </c>
      <c r="E145" s="187">
        <f>G38</f>
        <v>7.32</v>
      </c>
      <c r="F145" s="9"/>
      <c r="G145" s="136"/>
      <c r="H145" s="136"/>
      <c r="J145" s="34"/>
      <c r="K145" s="34"/>
    </row>
    <row r="146" spans="1:11" x14ac:dyDescent="0.2">
      <c r="A146" s="413" t="s">
        <v>13</v>
      </c>
      <c r="B146" s="385"/>
      <c r="C146" s="10" t="s">
        <v>14</v>
      </c>
      <c r="D146" s="35">
        <f>C143</f>
        <v>1380</v>
      </c>
      <c r="E146" s="89">
        <f>IFERROR(+E145/D145,"-")</f>
        <v>1.330909090909091</v>
      </c>
      <c r="F146" s="11">
        <f>IFERROR(D146*E146,"-")</f>
        <v>1836.6545454545455</v>
      </c>
      <c r="G146" s="137"/>
      <c r="H146" s="193"/>
      <c r="J146" s="34"/>
      <c r="K146" s="34"/>
    </row>
    <row r="147" spans="1:11" x14ac:dyDescent="0.2">
      <c r="A147" s="418" t="s">
        <v>232</v>
      </c>
      <c r="B147" s="385"/>
      <c r="C147" s="92" t="s">
        <v>233</v>
      </c>
      <c r="D147" s="269">
        <v>7.4</v>
      </c>
      <c r="E147" s="262">
        <v>18.3</v>
      </c>
      <c r="F147" s="11"/>
      <c r="G147" s="137"/>
      <c r="H147" s="193"/>
      <c r="J147" s="34"/>
      <c r="K147" s="34"/>
    </row>
    <row r="148" spans="1:11" x14ac:dyDescent="0.2">
      <c r="A148" s="413" t="s">
        <v>15</v>
      </c>
      <c r="B148" s="385"/>
      <c r="C148" s="10" t="s">
        <v>14</v>
      </c>
      <c r="D148" s="35">
        <f>D146</f>
        <v>1380</v>
      </c>
      <c r="E148" s="86">
        <f>+D147*E147/10000</f>
        <v>1.3542000000000002E-2</v>
      </c>
      <c r="F148" s="11">
        <f>D148*E148</f>
        <v>18.687960000000004</v>
      </c>
      <c r="G148" s="137"/>
      <c r="H148" s="193"/>
      <c r="J148" s="34"/>
      <c r="K148" s="34"/>
    </row>
    <row r="149" spans="1:11" x14ac:dyDescent="0.2">
      <c r="A149" s="418" t="s">
        <v>234</v>
      </c>
      <c r="B149" s="385"/>
      <c r="C149" s="92" t="s">
        <v>235</v>
      </c>
      <c r="D149" s="269">
        <v>4.5999999999999996</v>
      </c>
      <c r="E149" s="262">
        <v>21.6</v>
      </c>
      <c r="F149" s="11"/>
      <c r="G149" s="137"/>
      <c r="H149" s="193"/>
      <c r="J149" s="34"/>
      <c r="K149" s="34"/>
    </row>
    <row r="150" spans="1:11" x14ac:dyDescent="0.2">
      <c r="A150" s="413" t="s">
        <v>16</v>
      </c>
      <c r="B150" s="385"/>
      <c r="C150" s="10" t="s">
        <v>14</v>
      </c>
      <c r="D150" s="35">
        <f>D146</f>
        <v>1380</v>
      </c>
      <c r="E150" s="231">
        <f>+D149*E149/100000</f>
        <v>9.9360000000000008E-4</v>
      </c>
      <c r="F150" s="11">
        <f>D150*E150</f>
        <v>1.3711680000000002</v>
      </c>
      <c r="G150" s="137"/>
      <c r="H150" s="193"/>
      <c r="J150" s="34"/>
      <c r="K150" s="34"/>
    </row>
    <row r="151" spans="1:11" x14ac:dyDescent="0.2">
      <c r="A151" s="418" t="s">
        <v>237</v>
      </c>
      <c r="B151" s="385"/>
      <c r="C151" s="92" t="s">
        <v>236</v>
      </c>
      <c r="D151" s="269">
        <v>1</v>
      </c>
      <c r="E151" s="262">
        <v>20.9</v>
      </c>
      <c r="F151" s="11"/>
      <c r="G151" s="137"/>
      <c r="H151" s="193"/>
      <c r="J151" s="34"/>
      <c r="K151" s="34"/>
    </row>
    <row r="152" spans="1:11" x14ac:dyDescent="0.2">
      <c r="A152" s="413" t="s">
        <v>17</v>
      </c>
      <c r="B152" s="385"/>
      <c r="C152" s="10" t="s">
        <v>14</v>
      </c>
      <c r="D152" s="35">
        <f>D146</f>
        <v>1380</v>
      </c>
      <c r="E152" s="231">
        <f>+D151*E151/80000</f>
        <v>2.6124999999999998E-4</v>
      </c>
      <c r="F152" s="11">
        <f>D152*E152</f>
        <v>0.36052499999999998</v>
      </c>
      <c r="G152" s="137"/>
      <c r="H152" s="193"/>
      <c r="J152" s="34"/>
      <c r="K152" s="34"/>
    </row>
    <row r="153" spans="1:11" x14ac:dyDescent="0.2">
      <c r="A153" s="418" t="s">
        <v>239</v>
      </c>
      <c r="B153" s="385"/>
      <c r="C153" s="92" t="s">
        <v>238</v>
      </c>
      <c r="D153" s="269">
        <v>1</v>
      </c>
      <c r="E153" s="262">
        <v>19.899999999999999</v>
      </c>
      <c r="F153" s="11"/>
      <c r="G153" s="137"/>
      <c r="H153" s="193"/>
      <c r="J153" s="34"/>
      <c r="K153" s="34"/>
    </row>
    <row r="154" spans="1:11" x14ac:dyDescent="0.2">
      <c r="A154" s="413" t="s">
        <v>18</v>
      </c>
      <c r="B154" s="385"/>
      <c r="C154" s="10" t="s">
        <v>14</v>
      </c>
      <c r="D154" s="35">
        <f>D146</f>
        <v>1380</v>
      </c>
      <c r="E154" s="86">
        <f>+D153*E153/10000</f>
        <v>1.99E-3</v>
      </c>
      <c r="F154" s="11">
        <f>D154*E154</f>
        <v>2.7462</v>
      </c>
      <c r="G154" s="137"/>
      <c r="H154" s="193"/>
      <c r="J154" s="34"/>
      <c r="K154" s="34"/>
    </row>
    <row r="155" spans="1:11" x14ac:dyDescent="0.2">
      <c r="A155" s="406" t="s">
        <v>94</v>
      </c>
      <c r="B155" s="385"/>
      <c r="C155" s="37" t="s">
        <v>45</v>
      </c>
      <c r="D155" s="87"/>
      <c r="E155" s="88">
        <f>IFERROR(E146+E148+E150+E152+E154,0)</f>
        <v>1.347695940909091</v>
      </c>
      <c r="F155" s="38">
        <f>SUM(F145:F154)</f>
        <v>1859.8203984545455</v>
      </c>
      <c r="G155" s="137"/>
      <c r="H155" s="193"/>
      <c r="J155" s="34"/>
      <c r="K155" s="34"/>
    </row>
    <row r="156" spans="1:11" ht="13.5" thickBot="1" x14ac:dyDescent="0.25">
      <c r="A156" s="99"/>
      <c r="E156" s="255" t="s">
        <v>138</v>
      </c>
      <c r="F156" s="23">
        <f>$C$47+1</f>
        <v>1.25</v>
      </c>
      <c r="G156" s="239">
        <f>F155*F156</f>
        <v>2324.7754980681821</v>
      </c>
      <c r="H156" s="239">
        <f>G156/G$42</f>
        <v>1.6846199261363639</v>
      </c>
      <c r="J156" s="34"/>
      <c r="K156" s="34"/>
    </row>
    <row r="157" spans="1:11" ht="11.25" customHeight="1" x14ac:dyDescent="0.2">
      <c r="A157" s="99"/>
      <c r="E157" s="27"/>
      <c r="F157" s="27"/>
      <c r="G157" s="135"/>
      <c r="H157" s="193"/>
      <c r="J157" s="34"/>
      <c r="K157" s="34"/>
    </row>
    <row r="158" spans="1:11" ht="13.5" thickBot="1" x14ac:dyDescent="0.25">
      <c r="A158" s="100" t="s">
        <v>216</v>
      </c>
      <c r="B158" s="6"/>
      <c r="E158" s="27"/>
      <c r="F158" s="27"/>
      <c r="G158" s="43"/>
      <c r="H158" s="193"/>
      <c r="J158" s="34"/>
      <c r="K158" s="34"/>
    </row>
    <row r="159" spans="1:11" ht="13.5" thickBot="1" x14ac:dyDescent="0.25">
      <c r="A159" s="403" t="s">
        <v>27</v>
      </c>
      <c r="B159" s="412"/>
      <c r="C159" s="236" t="s">
        <v>28</v>
      </c>
      <c r="D159" s="236" t="s">
        <v>21</v>
      </c>
      <c r="E159" s="237" t="s">
        <v>92</v>
      </c>
      <c r="F159" s="237" t="s">
        <v>29</v>
      </c>
      <c r="G159" s="238" t="s">
        <v>30</v>
      </c>
      <c r="H159" s="238" t="s">
        <v>154</v>
      </c>
      <c r="J159" s="34"/>
      <c r="K159" s="34"/>
    </row>
    <row r="160" spans="1:11" x14ac:dyDescent="0.2">
      <c r="A160" s="405" t="s">
        <v>188</v>
      </c>
      <c r="B160" s="390"/>
      <c r="C160" s="8" t="s">
        <v>45</v>
      </c>
      <c r="D160" s="35">
        <f>D146</f>
        <v>1380</v>
      </c>
      <c r="E160" s="270">
        <v>1.35</v>
      </c>
      <c r="F160" s="9">
        <f>D160*E160</f>
        <v>1863.0000000000002</v>
      </c>
      <c r="G160" s="136"/>
      <c r="H160" s="136"/>
      <c r="I160" s="34">
        <f>F160*12</f>
        <v>22356.000000000004</v>
      </c>
      <c r="J160" s="34"/>
      <c r="K160" s="34"/>
    </row>
    <row r="161" spans="1:11" s="165" customFormat="1" x14ac:dyDescent="0.2">
      <c r="A161" s="418" t="s">
        <v>139</v>
      </c>
      <c r="B161" s="385"/>
      <c r="C161" s="162" t="s">
        <v>140</v>
      </c>
      <c r="D161" s="272">
        <v>4</v>
      </c>
      <c r="E161" s="271">
        <v>100</v>
      </c>
      <c r="F161" s="163">
        <f>D161*E161</f>
        <v>400</v>
      </c>
      <c r="G161" s="164"/>
      <c r="H161" s="196"/>
      <c r="I161" s="4"/>
    </row>
    <row r="162" spans="1:11" s="165" customFormat="1" x14ac:dyDescent="0.2">
      <c r="A162" s="406" t="s">
        <v>141</v>
      </c>
      <c r="B162" s="385"/>
      <c r="C162" s="92" t="s">
        <v>142</v>
      </c>
      <c r="D162" s="166"/>
      <c r="E162" s="23"/>
      <c r="F162" s="159">
        <f>SUM(F160:F161)</f>
        <v>2263</v>
      </c>
      <c r="G162" s="164"/>
      <c r="H162" s="196"/>
      <c r="I162" s="4"/>
    </row>
    <row r="163" spans="1:11" ht="13.5" thickBot="1" x14ac:dyDescent="0.25">
      <c r="A163" s="99"/>
      <c r="E163" s="255" t="s">
        <v>138</v>
      </c>
      <c r="F163" s="23">
        <f>$C$47+1</f>
        <v>1.25</v>
      </c>
      <c r="G163" s="239">
        <f>F162*F163</f>
        <v>2828.75</v>
      </c>
      <c r="H163" s="239">
        <f>G163/G$42</f>
        <v>2.04981884057971</v>
      </c>
      <c r="J163" s="34"/>
      <c r="K163" s="34"/>
    </row>
    <row r="164" spans="1:11" ht="11.25" customHeight="1" x14ac:dyDescent="0.2">
      <c r="A164" s="99"/>
      <c r="E164" s="27"/>
      <c r="F164" s="27"/>
      <c r="G164" s="135"/>
      <c r="H164" s="193"/>
      <c r="J164" s="34"/>
      <c r="K164" s="34"/>
    </row>
    <row r="165" spans="1:11" ht="13.5" thickBot="1" x14ac:dyDescent="0.25">
      <c r="A165" s="100" t="s">
        <v>217</v>
      </c>
      <c r="B165" s="6"/>
      <c r="E165" s="27"/>
      <c r="F165" s="27"/>
      <c r="G165" s="43"/>
      <c r="H165" s="193"/>
      <c r="J165" s="34"/>
      <c r="K165" s="34"/>
    </row>
    <row r="166" spans="1:11" ht="13.5" thickBot="1" x14ac:dyDescent="0.25">
      <c r="A166" s="403" t="s">
        <v>27</v>
      </c>
      <c r="B166" s="412"/>
      <c r="C166" s="236" t="s">
        <v>28</v>
      </c>
      <c r="D166" s="236" t="s">
        <v>21</v>
      </c>
      <c r="E166" s="237" t="s">
        <v>92</v>
      </c>
      <c r="F166" s="237" t="s">
        <v>29</v>
      </c>
      <c r="G166" s="238" t="s">
        <v>30</v>
      </c>
      <c r="H166" s="238" t="s">
        <v>154</v>
      </c>
      <c r="J166" s="34"/>
      <c r="K166" s="34"/>
    </row>
    <row r="167" spans="1:11" x14ac:dyDescent="0.2">
      <c r="A167" s="405" t="s">
        <v>260</v>
      </c>
      <c r="B167" s="390"/>
      <c r="C167" s="8" t="s">
        <v>7</v>
      </c>
      <c r="D167" s="273">
        <v>6</v>
      </c>
      <c r="E167" s="271">
        <v>1397</v>
      </c>
      <c r="F167" s="9">
        <f>D167*E167</f>
        <v>8382</v>
      </c>
      <c r="G167" s="136"/>
      <c r="H167" s="136"/>
      <c r="J167" s="34"/>
      <c r="K167" s="34"/>
    </row>
    <row r="168" spans="1:11" x14ac:dyDescent="0.2">
      <c r="A168" s="427" t="s">
        <v>261</v>
      </c>
      <c r="B168" s="428"/>
      <c r="C168" s="8"/>
      <c r="D168" s="273"/>
      <c r="E168" s="271"/>
      <c r="F168" s="9"/>
      <c r="G168" s="137"/>
      <c r="H168" s="43"/>
      <c r="J168" s="34"/>
      <c r="K168" s="34"/>
    </row>
    <row r="169" spans="1:11" x14ac:dyDescent="0.2">
      <c r="A169" s="418" t="s">
        <v>129</v>
      </c>
      <c r="B169" s="385"/>
      <c r="C169" s="10" t="s">
        <v>19</v>
      </c>
      <c r="D169" s="274">
        <v>45000</v>
      </c>
      <c r="E169" s="11">
        <f>F167</f>
        <v>8382</v>
      </c>
      <c r="F169" s="11">
        <f>IFERROR(E169/D169,"-")</f>
        <v>0.18626666666666666</v>
      </c>
      <c r="G169" s="137"/>
      <c r="H169" s="193"/>
      <c r="J169" s="34"/>
      <c r="K169" s="34"/>
    </row>
    <row r="170" spans="1:11" x14ac:dyDescent="0.2">
      <c r="A170" s="406" t="s">
        <v>25</v>
      </c>
      <c r="B170" s="385"/>
      <c r="C170" s="10" t="s">
        <v>14</v>
      </c>
      <c r="D170" s="35">
        <f>C143</f>
        <v>1380</v>
      </c>
      <c r="E170" s="11">
        <f>F169</f>
        <v>0.18626666666666666</v>
      </c>
      <c r="F170" s="38">
        <f>IFERROR(D170*E170,0)</f>
        <v>257.048</v>
      </c>
      <c r="G170" s="137"/>
      <c r="H170" s="193"/>
      <c r="J170" s="34"/>
      <c r="K170" s="34"/>
    </row>
    <row r="171" spans="1:11" ht="13.5" thickBot="1" x14ac:dyDescent="0.25">
      <c r="A171" s="99"/>
      <c r="E171" s="255" t="s">
        <v>138</v>
      </c>
      <c r="F171" s="23">
        <f>$C$47+1</f>
        <v>1.25</v>
      </c>
      <c r="G171" s="239">
        <f>F170*F171</f>
        <v>321.31</v>
      </c>
      <c r="H171" s="239">
        <f>G171/G$42</f>
        <v>0.23283333333333334</v>
      </c>
      <c r="J171" s="34"/>
      <c r="K171" s="34"/>
    </row>
    <row r="172" spans="1:11" ht="11.25" customHeight="1" thickBot="1" x14ac:dyDescent="0.25">
      <c r="A172" s="99"/>
      <c r="E172" s="27"/>
      <c r="F172" s="27"/>
      <c r="G172" s="135"/>
      <c r="H172" s="193"/>
      <c r="J172" s="34"/>
      <c r="K172" s="34"/>
    </row>
    <row r="173" spans="1:11" ht="13.5" thickBot="1" x14ac:dyDescent="0.25">
      <c r="A173" s="12" t="s">
        <v>151</v>
      </c>
      <c r="B173" s="13"/>
      <c r="C173" s="13"/>
      <c r="D173" s="13"/>
      <c r="E173" s="14"/>
      <c r="F173" s="15"/>
      <c r="G173" s="245">
        <f>+SUM(G113:G172)</f>
        <v>9050.641630524171</v>
      </c>
      <c r="H173" s="239">
        <f>G173/G$42</f>
        <v>6.5584359641479502</v>
      </c>
    </row>
    <row r="174" spans="1:11" ht="11.25" customHeight="1" x14ac:dyDescent="0.2">
      <c r="A174" s="99"/>
      <c r="E174" s="27"/>
      <c r="F174" s="27"/>
      <c r="G174" s="135"/>
      <c r="H174" s="193"/>
    </row>
    <row r="175" spans="1:11" x14ac:dyDescent="0.2">
      <c r="A175" s="100" t="s">
        <v>168</v>
      </c>
      <c r="B175" s="6"/>
      <c r="C175" s="6"/>
      <c r="D175" s="6"/>
      <c r="E175" s="20"/>
      <c r="F175" s="20"/>
      <c r="G175" s="145"/>
      <c r="H175" s="193"/>
    </row>
    <row r="176" spans="1:11" ht="11.25" customHeight="1" thickBot="1" x14ac:dyDescent="0.25">
      <c r="A176" s="99"/>
      <c r="E176" s="27"/>
      <c r="F176" s="27"/>
      <c r="G176" s="43"/>
      <c r="H176" s="193"/>
    </row>
    <row r="177" spans="1:8" ht="13.5" thickBot="1" x14ac:dyDescent="0.25">
      <c r="A177" s="403" t="s">
        <v>27</v>
      </c>
      <c r="B177" s="412"/>
      <c r="C177" s="236" t="s">
        <v>28</v>
      </c>
      <c r="D177" s="236" t="s">
        <v>21</v>
      </c>
      <c r="E177" s="237" t="s">
        <v>92</v>
      </c>
      <c r="F177" s="237" t="s">
        <v>29</v>
      </c>
      <c r="G177" s="238" t="s">
        <v>30</v>
      </c>
      <c r="H177" s="238" t="s">
        <v>154</v>
      </c>
    </row>
    <row r="178" spans="1:8" x14ac:dyDescent="0.2">
      <c r="A178" s="405" t="s">
        <v>190</v>
      </c>
      <c r="B178" s="390"/>
      <c r="C178" s="92" t="s">
        <v>189</v>
      </c>
      <c r="D178" s="275">
        <f>1/12</f>
        <v>8.3333333333333329E-2</v>
      </c>
      <c r="E178" s="270">
        <v>21.9</v>
      </c>
      <c r="F178" s="11">
        <f>D178*E178</f>
        <v>1.8249999999999997</v>
      </c>
      <c r="G178" s="146"/>
      <c r="H178" s="136"/>
    </row>
    <row r="179" spans="1:8" x14ac:dyDescent="0.2">
      <c r="A179" s="418" t="s">
        <v>191</v>
      </c>
      <c r="B179" s="385"/>
      <c r="C179" s="92" t="s">
        <v>189</v>
      </c>
      <c r="D179" s="275">
        <f>3/12</f>
        <v>0.25</v>
      </c>
      <c r="E179" s="270">
        <v>21</v>
      </c>
      <c r="F179" s="11">
        <f>D179*E179</f>
        <v>5.25</v>
      </c>
      <c r="G179" s="147"/>
      <c r="H179" s="193"/>
    </row>
    <row r="180" spans="1:8" x14ac:dyDescent="0.2">
      <c r="A180" s="418" t="s">
        <v>192</v>
      </c>
      <c r="B180" s="385"/>
      <c r="C180" s="92" t="s">
        <v>189</v>
      </c>
      <c r="D180" s="275">
        <f>2/12</f>
        <v>0.16666666666666666</v>
      </c>
      <c r="E180" s="270">
        <v>11.3</v>
      </c>
      <c r="F180" s="11">
        <f>D180*E180</f>
        <v>1.8833333333333333</v>
      </c>
      <c r="G180" s="147"/>
      <c r="H180" s="193"/>
    </row>
    <row r="181" spans="1:8" x14ac:dyDescent="0.2">
      <c r="A181" s="418" t="s">
        <v>193</v>
      </c>
      <c r="B181" s="385"/>
      <c r="C181" s="92" t="s">
        <v>209</v>
      </c>
      <c r="D181" s="275">
        <f>4</f>
        <v>4</v>
      </c>
      <c r="E181" s="270">
        <v>15</v>
      </c>
      <c r="F181" s="11">
        <f>D181*E181</f>
        <v>60</v>
      </c>
      <c r="G181" s="147"/>
      <c r="H181" s="193"/>
    </row>
    <row r="182" spans="1:8" ht="13.5" thickBot="1" x14ac:dyDescent="0.25">
      <c r="A182" s="418" t="s">
        <v>194</v>
      </c>
      <c r="B182" s="385"/>
      <c r="C182" s="92" t="s">
        <v>189</v>
      </c>
      <c r="D182" s="275">
        <v>4</v>
      </c>
      <c r="E182" s="270">
        <v>4.5</v>
      </c>
      <c r="F182" s="11">
        <f t="shared" ref="F182" si="6">D182*E182</f>
        <v>18</v>
      </c>
      <c r="G182" s="147"/>
      <c r="H182" s="193"/>
    </row>
    <row r="183" spans="1:8" ht="13.5" thickBot="1" x14ac:dyDescent="0.25">
      <c r="A183" s="100"/>
      <c r="B183" s="6"/>
      <c r="C183" s="6"/>
      <c r="D183" s="6"/>
      <c r="E183" s="254" t="s">
        <v>86</v>
      </c>
      <c r="F183" s="250">
        <v>1</v>
      </c>
      <c r="G183" s="245">
        <f>SUM(F178:F182)*F183</f>
        <v>86.958333333333329</v>
      </c>
      <c r="H183" s="245">
        <f>G183/G$42</f>
        <v>6.3013285024154583E-2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3.5" thickBot="1" x14ac:dyDescent="0.25">
      <c r="A185" s="12" t="s">
        <v>91</v>
      </c>
      <c r="B185" s="13"/>
      <c r="C185" s="13"/>
      <c r="D185" s="13"/>
      <c r="E185" s="14"/>
      <c r="F185" s="15"/>
      <c r="G185" s="245">
        <f>+G183</f>
        <v>86.958333333333329</v>
      </c>
      <c r="H185" s="245">
        <f>G185/G$42</f>
        <v>6.3013285024154583E-2</v>
      </c>
    </row>
    <row r="186" spans="1:8" ht="11.25" customHeight="1" thickBot="1" x14ac:dyDescent="0.25">
      <c r="A186" s="99"/>
      <c r="E186" s="27"/>
      <c r="F186" s="27"/>
      <c r="G186" s="135"/>
      <c r="H186" s="135"/>
    </row>
    <row r="187" spans="1:8" ht="17.25" customHeight="1" thickBot="1" x14ac:dyDescent="0.25">
      <c r="A187" s="12" t="s">
        <v>126</v>
      </c>
      <c r="B187" s="13"/>
      <c r="C187" s="16"/>
      <c r="D187" s="16"/>
      <c r="E187" s="17"/>
      <c r="F187" s="18"/>
      <c r="G187" s="242">
        <f>+G107+G173+G185</f>
        <v>13752.26068431205</v>
      </c>
      <c r="H187" s="242">
        <f>G187/G$42</f>
        <v>9.9654062929797469</v>
      </c>
    </row>
    <row r="188" spans="1:8" ht="17.25" customHeight="1" thickBot="1" x14ac:dyDescent="0.25">
      <c r="A188" s="12" t="s">
        <v>127</v>
      </c>
      <c r="B188" s="13"/>
      <c r="C188" s="16"/>
      <c r="D188" s="16"/>
      <c r="E188" s="17"/>
      <c r="F188" s="18"/>
      <c r="G188" s="244">
        <f>+G108+G173+G185</f>
        <v>13008.457008439324</v>
      </c>
      <c r="H188" s="244">
        <f>G188/G$42</f>
        <v>9.4264181220574805</v>
      </c>
    </row>
    <row r="189" spans="1:8" ht="11.25" customHeight="1" x14ac:dyDescent="0.2">
      <c r="A189" s="99"/>
      <c r="E189" s="27"/>
      <c r="F189" s="27"/>
      <c r="G189" s="135"/>
      <c r="H189" s="135"/>
    </row>
    <row r="190" spans="1:8" x14ac:dyDescent="0.2">
      <c r="A190" s="100" t="s">
        <v>169</v>
      </c>
      <c r="B190" s="6"/>
      <c r="E190" s="27"/>
      <c r="F190" s="27"/>
      <c r="G190" s="43"/>
      <c r="H190" s="43"/>
    </row>
    <row r="191" spans="1:8" ht="11.25" customHeight="1" thickBot="1" x14ac:dyDescent="0.25">
      <c r="A191" s="99"/>
      <c r="E191" s="27"/>
      <c r="F191" s="27"/>
      <c r="G191" s="43"/>
      <c r="H191" s="43"/>
    </row>
    <row r="192" spans="1:8" ht="13.5" thickBot="1" x14ac:dyDescent="0.25">
      <c r="A192" s="403" t="s">
        <v>27</v>
      </c>
      <c r="B192" s="412"/>
      <c r="C192" s="236" t="s">
        <v>28</v>
      </c>
      <c r="D192" s="236" t="s">
        <v>21</v>
      </c>
      <c r="E192" s="237" t="s">
        <v>92</v>
      </c>
      <c r="F192" s="237" t="s">
        <v>29</v>
      </c>
      <c r="G192" s="238" t="s">
        <v>30</v>
      </c>
      <c r="H192" s="238" t="s">
        <v>154</v>
      </c>
    </row>
    <row r="193" spans="1:8" ht="13.5" thickBot="1" x14ac:dyDescent="0.25">
      <c r="A193" s="405" t="s">
        <v>170</v>
      </c>
      <c r="B193" s="390"/>
      <c r="C193" s="8" t="s">
        <v>0</v>
      </c>
      <c r="D193" s="44">
        <f>BDI!C11*100</f>
        <v>31.75</v>
      </c>
      <c r="E193" s="9">
        <f>+G187</f>
        <v>13752.26068431205</v>
      </c>
      <c r="F193" s="9">
        <f>D193*E193/100</f>
        <v>4366.3427672690759</v>
      </c>
      <c r="G193" s="136"/>
      <c r="H193" s="136"/>
    </row>
    <row r="194" spans="1:8" ht="13.5" thickBot="1" x14ac:dyDescent="0.25">
      <c r="A194" s="99"/>
      <c r="E194" s="27"/>
      <c r="F194" s="27"/>
      <c r="G194" s="245">
        <f>+F193</f>
        <v>4366.3427672690759</v>
      </c>
      <c r="H194" s="245">
        <f>G194/G$42</f>
        <v>3.1640164980210694</v>
      </c>
    </row>
    <row r="195" spans="1:8" ht="11.25" customHeight="1" thickBot="1" x14ac:dyDescent="0.25">
      <c r="A195" s="99"/>
      <c r="E195" s="27"/>
      <c r="F195" s="27"/>
      <c r="G195" s="135"/>
      <c r="H195" s="135"/>
    </row>
    <row r="196" spans="1:8" ht="13.5" thickBot="1" x14ac:dyDescent="0.25">
      <c r="A196" s="12" t="s">
        <v>171</v>
      </c>
      <c r="B196" s="13"/>
      <c r="C196" s="16"/>
      <c r="D196" s="16"/>
      <c r="E196" s="17"/>
      <c r="F196" s="18"/>
      <c r="G196" s="244">
        <f>G194</f>
        <v>4366.3427672690759</v>
      </c>
      <c r="H196" s="244">
        <f>G196/G$42</f>
        <v>3.1640164980210694</v>
      </c>
    </row>
    <row r="197" spans="1:8" ht="13.5" thickBot="1" x14ac:dyDescent="0.25">
      <c r="A197" s="100"/>
      <c r="B197" s="6"/>
      <c r="C197" s="6"/>
      <c r="D197" s="6"/>
      <c r="E197" s="20"/>
      <c r="F197" s="20"/>
      <c r="G197" s="148"/>
      <c r="H197" s="148"/>
    </row>
    <row r="198" spans="1:8" ht="24.75" customHeight="1" thickBot="1" x14ac:dyDescent="0.25">
      <c r="A198" s="12" t="s">
        <v>172</v>
      </c>
      <c r="B198" s="13"/>
      <c r="C198" s="16"/>
      <c r="D198" s="16"/>
      <c r="E198" s="17"/>
      <c r="F198" s="18"/>
      <c r="G198" s="206">
        <f>G187+G196</f>
        <v>18118.603451581126</v>
      </c>
      <c r="H198" s="244">
        <f>G198/G$42</f>
        <v>13.129422791000817</v>
      </c>
    </row>
    <row r="199" spans="1:8" ht="12.6" customHeight="1" x14ac:dyDescent="0.2">
      <c r="A199" s="104"/>
      <c r="B199" s="24"/>
      <c r="C199" s="24"/>
      <c r="D199" s="24"/>
      <c r="E199" s="25"/>
      <c r="F199" s="25"/>
      <c r="G199" s="149"/>
      <c r="H199" s="149"/>
    </row>
    <row r="200" spans="1:8" ht="16.149999999999999" customHeight="1" x14ac:dyDescent="0.2">
      <c r="A200" s="418" t="s">
        <v>173</v>
      </c>
      <c r="B200" s="397"/>
      <c r="C200" s="82"/>
      <c r="D200" s="82"/>
      <c r="E200" s="157">
        <f>C143</f>
        <v>1380</v>
      </c>
      <c r="F200" s="156" t="s">
        <v>153</v>
      </c>
      <c r="G200" s="43"/>
      <c r="H200" s="43"/>
    </row>
    <row r="201" spans="1:8" ht="13.5" thickBot="1" x14ac:dyDescent="0.25">
      <c r="A201" s="99"/>
      <c r="E201" s="27"/>
      <c r="F201" s="27"/>
      <c r="G201" s="43"/>
      <c r="H201" s="43"/>
    </row>
    <row r="202" spans="1:8" ht="25.5" customHeight="1" thickBot="1" x14ac:dyDescent="0.25">
      <c r="A202" s="12" t="s">
        <v>174</v>
      </c>
      <c r="B202" s="13"/>
      <c r="C202" s="13"/>
      <c r="D202" s="13"/>
      <c r="E202" s="14"/>
      <c r="F202" s="155" t="s">
        <v>154</v>
      </c>
      <c r="G202" s="424">
        <f>IFERROR(G198/E200,"-")</f>
        <v>13.129422791000817</v>
      </c>
      <c r="H202" s="425"/>
    </row>
    <row r="203" spans="1:8" ht="12.6" customHeight="1" x14ac:dyDescent="0.2">
      <c r="A203" s="100"/>
      <c r="B203" s="6"/>
      <c r="C203" s="6"/>
      <c r="D203" s="6"/>
      <c r="E203" s="20"/>
      <c r="F203" s="20"/>
      <c r="G203" s="150"/>
      <c r="H203" s="150"/>
    </row>
    <row r="204" spans="1:8" x14ac:dyDescent="0.2">
      <c r="A204" s="100" t="s">
        <v>175</v>
      </c>
      <c r="B204" s="6"/>
      <c r="E204" s="27"/>
      <c r="F204" s="27"/>
      <c r="G204" s="43"/>
      <c r="H204" s="43"/>
    </row>
    <row r="205" spans="1:8" ht="11.25" customHeight="1" thickBot="1" x14ac:dyDescent="0.25">
      <c r="A205" s="99"/>
      <c r="E205" s="27"/>
      <c r="F205" s="27"/>
      <c r="G205" s="43"/>
      <c r="H205" s="43"/>
    </row>
    <row r="206" spans="1:8" ht="13.5" thickBot="1" x14ac:dyDescent="0.25">
      <c r="A206" s="240" t="s">
        <v>27</v>
      </c>
      <c r="B206" s="241"/>
      <c r="C206" s="236" t="s">
        <v>28</v>
      </c>
      <c r="D206" s="236" t="s">
        <v>21</v>
      </c>
      <c r="E206" s="237" t="s">
        <v>92</v>
      </c>
      <c r="F206" s="237" t="s">
        <v>29</v>
      </c>
      <c r="G206" s="238" t="s">
        <v>30</v>
      </c>
      <c r="H206" s="238" t="s">
        <v>154</v>
      </c>
    </row>
    <row r="207" spans="1:8" ht="13.5" thickBot="1" x14ac:dyDescent="0.25">
      <c r="A207" s="405" t="s">
        <v>152</v>
      </c>
      <c r="B207" s="390"/>
      <c r="C207" s="8" t="s">
        <v>0</v>
      </c>
      <c r="D207" s="44">
        <f>BDI!C$24*100</f>
        <v>23.93</v>
      </c>
      <c r="E207" s="9">
        <f>G187</f>
        <v>13752.26068431205</v>
      </c>
      <c r="F207" s="9">
        <f>D207*E207/100</f>
        <v>3290.9159817558739</v>
      </c>
      <c r="G207" s="136"/>
      <c r="H207" s="136"/>
    </row>
    <row r="208" spans="1:8" ht="13.5" thickBot="1" x14ac:dyDescent="0.25">
      <c r="A208" s="99"/>
      <c r="E208" s="27"/>
      <c r="F208" s="27"/>
      <c r="G208" s="245">
        <f>+F207</f>
        <v>3290.9159817558739</v>
      </c>
      <c r="H208" s="245">
        <f>G208/G$42</f>
        <v>2.3847217259100537</v>
      </c>
    </row>
    <row r="209" spans="1:9" ht="11.25" customHeight="1" thickBot="1" x14ac:dyDescent="0.25">
      <c r="A209" s="99"/>
      <c r="E209" s="27"/>
      <c r="F209" s="27"/>
      <c r="G209" s="135"/>
      <c r="H209" s="135"/>
    </row>
    <row r="210" spans="1:9" ht="13.5" thickBot="1" x14ac:dyDescent="0.25">
      <c r="A210" s="12" t="s">
        <v>176</v>
      </c>
      <c r="B210" s="13"/>
      <c r="C210" s="16"/>
      <c r="D210" s="16"/>
      <c r="E210" s="17"/>
      <c r="F210" s="18"/>
      <c r="G210" s="244">
        <f>G208</f>
        <v>3290.9159817558739</v>
      </c>
      <c r="H210" s="244">
        <f>G210/G$42</f>
        <v>2.3847217259100537</v>
      </c>
    </row>
    <row r="211" spans="1:9" ht="13.5" thickBot="1" x14ac:dyDescent="0.25">
      <c r="A211" s="100"/>
      <c r="B211" s="6"/>
      <c r="C211" s="6"/>
      <c r="D211" s="6"/>
      <c r="E211" s="20"/>
      <c r="F211" s="20"/>
      <c r="G211" s="148"/>
      <c r="H211" s="148"/>
    </row>
    <row r="212" spans="1:9" ht="24.75" customHeight="1" thickBot="1" x14ac:dyDescent="0.25">
      <c r="A212" s="12" t="s">
        <v>177</v>
      </c>
      <c r="B212" s="13"/>
      <c r="C212" s="16"/>
      <c r="D212" s="16"/>
      <c r="E212" s="17"/>
      <c r="F212" s="18"/>
      <c r="G212" s="206">
        <f>G187+G210</f>
        <v>17043.176666067924</v>
      </c>
      <c r="H212" s="244">
        <f>G212/G$42</f>
        <v>12.3501280188898</v>
      </c>
      <c r="I212" s="34"/>
    </row>
    <row r="213" spans="1:9" ht="12.6" customHeight="1" x14ac:dyDescent="0.2">
      <c r="A213" s="104"/>
      <c r="B213" s="24"/>
      <c r="C213" s="24"/>
      <c r="D213" s="24"/>
      <c r="E213" s="25"/>
      <c r="F213" s="25"/>
      <c r="G213" s="149"/>
      <c r="H213" s="149"/>
    </row>
    <row r="214" spans="1:9" ht="16.149999999999999" customHeight="1" x14ac:dyDescent="0.2">
      <c r="A214" s="154" t="s">
        <v>178</v>
      </c>
      <c r="B214" s="215"/>
      <c r="C214" s="82"/>
      <c r="D214" s="82"/>
      <c r="E214" s="157">
        <f>E$200</f>
        <v>1380</v>
      </c>
      <c r="F214" s="156" t="s">
        <v>153</v>
      </c>
      <c r="G214" s="43"/>
      <c r="H214" s="43"/>
    </row>
    <row r="215" spans="1:9" ht="13.5" thickBot="1" x14ac:dyDescent="0.25">
      <c r="A215" s="99"/>
      <c r="E215" s="27"/>
      <c r="F215" s="27"/>
      <c r="G215" s="43"/>
      <c r="H215" s="43"/>
    </row>
    <row r="216" spans="1:9" ht="25.5" customHeight="1" thickBot="1" x14ac:dyDescent="0.25">
      <c r="A216" s="12" t="s">
        <v>179</v>
      </c>
      <c r="B216" s="13"/>
      <c r="C216" s="13"/>
      <c r="D216" s="13"/>
      <c r="E216" s="14"/>
      <c r="F216" s="155" t="s">
        <v>154</v>
      </c>
      <c r="G216" s="424">
        <f>IFERROR(G212/E214,"-")</f>
        <v>12.3501280188898</v>
      </c>
      <c r="H216" s="425"/>
    </row>
    <row r="217" spans="1:9" x14ac:dyDescent="0.2">
      <c r="A217" s="120"/>
      <c r="B217" s="121"/>
      <c r="C217" s="121"/>
      <c r="D217" s="121"/>
      <c r="E217" s="122"/>
      <c r="F217" s="122"/>
      <c r="G217" s="135"/>
      <c r="H217" s="135"/>
    </row>
    <row r="218" spans="1:9" x14ac:dyDescent="0.2">
      <c r="A218" s="134" t="s">
        <v>180</v>
      </c>
      <c r="B218" s="216"/>
      <c r="E218" s="27"/>
      <c r="F218" s="27"/>
      <c r="G218" s="43"/>
      <c r="H218" s="43"/>
    </row>
    <row r="219" spans="1:9" ht="11.25" customHeight="1" thickBot="1" x14ac:dyDescent="0.25">
      <c r="A219" s="99"/>
      <c r="E219" s="27"/>
      <c r="F219" s="27"/>
      <c r="G219" s="43"/>
      <c r="H219" s="43"/>
    </row>
    <row r="220" spans="1:9" ht="13.5" thickBot="1" x14ac:dyDescent="0.25">
      <c r="A220" s="240" t="s">
        <v>27</v>
      </c>
      <c r="B220" s="241"/>
      <c r="C220" s="236" t="s">
        <v>28</v>
      </c>
      <c r="D220" s="236" t="s">
        <v>21</v>
      </c>
      <c r="E220" s="237" t="s">
        <v>92</v>
      </c>
      <c r="F220" s="237" t="s">
        <v>29</v>
      </c>
      <c r="G220" s="238" t="s">
        <v>30</v>
      </c>
      <c r="H220" s="238" t="s">
        <v>154</v>
      </c>
    </row>
    <row r="221" spans="1:9" ht="13.5" thickBot="1" x14ac:dyDescent="0.25">
      <c r="A221" s="101" t="s">
        <v>181</v>
      </c>
      <c r="B221" s="213"/>
      <c r="C221" s="8" t="s">
        <v>0</v>
      </c>
      <c r="D221" s="44">
        <f>BDI!C35*100</f>
        <v>16.93</v>
      </c>
      <c r="E221" s="9">
        <f>G188</f>
        <v>13008.457008439324</v>
      </c>
      <c r="F221" s="9">
        <f>D221*E221/100</f>
        <v>2202.3317715287772</v>
      </c>
      <c r="G221" s="136"/>
      <c r="H221" s="136"/>
    </row>
    <row r="222" spans="1:9" ht="13.5" thickBot="1" x14ac:dyDescent="0.25">
      <c r="A222" s="99"/>
      <c r="E222" s="27"/>
      <c r="F222" s="27"/>
      <c r="G222" s="245">
        <f>+F221</f>
        <v>2202.3317715287772</v>
      </c>
      <c r="H222" s="245">
        <f>G222/G$42</f>
        <v>1.5958925880643313</v>
      </c>
    </row>
    <row r="223" spans="1:9" ht="11.25" customHeight="1" thickBot="1" x14ac:dyDescent="0.25">
      <c r="A223" s="99"/>
      <c r="E223" s="27"/>
      <c r="F223" s="27"/>
      <c r="G223" s="135"/>
      <c r="H223" s="135"/>
    </row>
    <row r="224" spans="1:9" ht="13.5" thickBot="1" x14ac:dyDescent="0.25">
      <c r="A224" s="12" t="s">
        <v>182</v>
      </c>
      <c r="B224" s="13"/>
      <c r="C224" s="16"/>
      <c r="D224" s="16"/>
      <c r="E224" s="17"/>
      <c r="F224" s="18"/>
      <c r="G224" s="244">
        <f>G222</f>
        <v>2202.3317715287772</v>
      </c>
      <c r="H224" s="244">
        <f>G224/G$42</f>
        <v>1.5958925880643313</v>
      </c>
    </row>
    <row r="225" spans="1:11" ht="13.5" thickBot="1" x14ac:dyDescent="0.25">
      <c r="A225" s="100"/>
      <c r="B225" s="6"/>
      <c r="C225" s="6"/>
      <c r="D225" s="6"/>
      <c r="E225" s="20"/>
      <c r="F225" s="20"/>
      <c r="G225" s="148"/>
      <c r="H225" s="148"/>
    </row>
    <row r="226" spans="1:11" ht="24.75" customHeight="1" thickBot="1" x14ac:dyDescent="0.25">
      <c r="A226" s="12" t="s">
        <v>183</v>
      </c>
      <c r="B226" s="13"/>
      <c r="C226" s="16"/>
      <c r="D226" s="16"/>
      <c r="E226" s="17"/>
      <c r="F226" s="18"/>
      <c r="G226" s="244">
        <f>E221+G224</f>
        <v>15210.788779968101</v>
      </c>
      <c r="H226" s="244">
        <f>G226/G$42</f>
        <v>11.022310710121813</v>
      </c>
      <c r="I226" s="34"/>
    </row>
    <row r="227" spans="1:11" ht="12.6" customHeight="1" x14ac:dyDescent="0.2">
      <c r="A227" s="104"/>
      <c r="B227" s="24"/>
      <c r="C227" s="24"/>
      <c r="D227" s="24"/>
      <c r="E227" s="25"/>
      <c r="F227" s="25"/>
      <c r="G227" s="149"/>
      <c r="H227" s="149"/>
      <c r="I227" s="34"/>
    </row>
    <row r="228" spans="1:11" ht="12.6" customHeight="1" x14ac:dyDescent="0.2">
      <c r="A228" s="104" t="s">
        <v>125</v>
      </c>
      <c r="B228" s="24"/>
      <c r="C228" s="24"/>
      <c r="D228" s="24"/>
      <c r="E228" s="25"/>
      <c r="F228" s="25"/>
      <c r="G228" s="151"/>
      <c r="H228" s="151"/>
    </row>
    <row r="229" spans="1:11" x14ac:dyDescent="0.2">
      <c r="A229" s="153" t="s">
        <v>122</v>
      </c>
      <c r="B229" s="6"/>
      <c r="E229" s="27"/>
      <c r="F229" s="27"/>
      <c r="G229" s="43"/>
      <c r="H229" s="43"/>
    </row>
    <row r="230" spans="1:11" x14ac:dyDescent="0.2">
      <c r="A230" s="100" t="s">
        <v>120</v>
      </c>
      <c r="B230" s="6"/>
      <c r="E230" s="27"/>
      <c r="F230" s="27"/>
      <c r="G230" s="43"/>
      <c r="H230" s="43"/>
    </row>
    <row r="231" spans="1:11" x14ac:dyDescent="0.2">
      <c r="A231" s="426" t="s">
        <v>312</v>
      </c>
      <c r="B231" s="415"/>
      <c r="E231" s="27"/>
      <c r="F231" s="27"/>
      <c r="G231" s="43"/>
      <c r="H231" s="43"/>
    </row>
    <row r="232" spans="1:11" ht="11.25" customHeight="1" thickBot="1" x14ac:dyDescent="0.25">
      <c r="A232" s="123"/>
      <c r="E232" s="27"/>
      <c r="F232" s="27"/>
      <c r="G232" s="43"/>
      <c r="H232" s="43"/>
    </row>
    <row r="233" spans="1:11" ht="15.75" thickBot="1" x14ac:dyDescent="0.3">
      <c r="A233" s="240" t="s">
        <v>27</v>
      </c>
      <c r="B233" s="241"/>
      <c r="C233" s="236" t="s">
        <v>28</v>
      </c>
      <c r="D233" s="236" t="s">
        <v>21</v>
      </c>
      <c r="E233" s="237" t="s">
        <v>121</v>
      </c>
      <c r="F233" s="237" t="s">
        <v>29</v>
      </c>
      <c r="G233" s="238" t="s">
        <v>30</v>
      </c>
      <c r="H233" s="238" t="s">
        <v>154</v>
      </c>
      <c r="I233" s="353"/>
      <c r="J233" s="132"/>
      <c r="K233" s="131"/>
    </row>
    <row r="234" spans="1:11" ht="15.75" thickBot="1" x14ac:dyDescent="0.3">
      <c r="A234" s="405" t="s">
        <v>184</v>
      </c>
      <c r="B234" s="390"/>
      <c r="C234" s="124" t="s">
        <v>0</v>
      </c>
      <c r="D234" s="276">
        <v>6.4</v>
      </c>
      <c r="E234" s="125">
        <f>G226</f>
        <v>15210.788779968101</v>
      </c>
      <c r="F234" s="9">
        <f>G237*(D234/100)</f>
        <v>1040.0539336730326</v>
      </c>
      <c r="G234" s="136"/>
      <c r="H234" s="136"/>
      <c r="I234" s="354">
        <f>G237*12</f>
        <v>195010.11256369363</v>
      </c>
      <c r="J234" s="133"/>
      <c r="K234" s="133"/>
    </row>
    <row r="235" spans="1:11" ht="15.75" thickBot="1" x14ac:dyDescent="0.3">
      <c r="A235" s="99"/>
      <c r="E235" s="27"/>
      <c r="F235" s="27"/>
      <c r="G235" s="244">
        <f>F234</f>
        <v>1040.0539336730326</v>
      </c>
      <c r="H235" s="244">
        <f>G235/G$42</f>
        <v>0.75366227077755987</v>
      </c>
      <c r="I235" s="359">
        <v>11.2</v>
      </c>
      <c r="J235" s="131">
        <f>I235*I234/100</f>
        <v>21841.132607133688</v>
      </c>
      <c r="K235" s="131"/>
    </row>
    <row r="236" spans="1:11" ht="15.75" thickBot="1" x14ac:dyDescent="0.3">
      <c r="A236" s="126"/>
      <c r="B236" s="127"/>
      <c r="C236" s="127"/>
      <c r="D236" s="127"/>
      <c r="E236" s="128"/>
      <c r="F236" s="128"/>
      <c r="G236" s="152"/>
      <c r="H236" s="152"/>
      <c r="I236" s="353">
        <v>9360</v>
      </c>
      <c r="J236" s="131">
        <f>J235-I236</f>
        <v>12481.132607133688</v>
      </c>
      <c r="K236" s="360">
        <f>J236/I234</f>
        <v>6.4002489117363781E-2</v>
      </c>
    </row>
    <row r="237" spans="1:11" ht="24.75" customHeight="1" thickBot="1" x14ac:dyDescent="0.3">
      <c r="A237" s="12" t="s">
        <v>185</v>
      </c>
      <c r="B237" s="13"/>
      <c r="C237" s="16"/>
      <c r="D237" s="16"/>
      <c r="E237" s="17"/>
      <c r="F237" s="18"/>
      <c r="G237" s="206">
        <f>E234/((100-D234)/100)</f>
        <v>16250.842713641136</v>
      </c>
      <c r="H237" s="244">
        <f>G237/G$42</f>
        <v>11.775972980899374</v>
      </c>
      <c r="I237" s="353"/>
      <c r="J237" s="133"/>
      <c r="K237" s="132"/>
    </row>
    <row r="238" spans="1:11" ht="12.6" customHeight="1" x14ac:dyDescent="0.2">
      <c r="A238" s="104"/>
      <c r="B238" s="24"/>
      <c r="C238" s="24"/>
      <c r="D238" s="24"/>
      <c r="E238" s="25"/>
      <c r="F238" s="25"/>
      <c r="G238" s="149"/>
      <c r="H238" s="149"/>
    </row>
    <row r="239" spans="1:11" ht="16.149999999999999" customHeight="1" x14ac:dyDescent="0.2">
      <c r="A239" s="154" t="s">
        <v>186</v>
      </c>
      <c r="B239" s="215"/>
      <c r="C239" s="82"/>
      <c r="D239" s="82"/>
      <c r="E239" s="157">
        <f>E$200</f>
        <v>1380</v>
      </c>
      <c r="F239" s="156" t="s">
        <v>153</v>
      </c>
      <c r="G239" s="43"/>
      <c r="H239" s="43"/>
    </row>
    <row r="240" spans="1:11" ht="13.5" thickBot="1" x14ac:dyDescent="0.25">
      <c r="A240" s="99"/>
      <c r="E240" s="27"/>
      <c r="F240" s="27"/>
      <c r="G240" s="43"/>
      <c r="H240" s="43"/>
    </row>
    <row r="241" spans="1:8" ht="25.5" customHeight="1" thickBot="1" x14ac:dyDescent="0.25">
      <c r="A241" s="12" t="s">
        <v>187</v>
      </c>
      <c r="B241" s="13"/>
      <c r="C241" s="13"/>
      <c r="D241" s="13"/>
      <c r="E241" s="14"/>
      <c r="F241" s="155" t="s">
        <v>154</v>
      </c>
      <c r="G241" s="424">
        <f>IFERROR(G237/E239,"-")</f>
        <v>11.775972980899374</v>
      </c>
      <c r="H241" s="425"/>
    </row>
    <row r="242" spans="1:8" ht="9" customHeight="1" x14ac:dyDescent="0.2">
      <c r="E242" s="4"/>
      <c r="F242" s="4"/>
      <c r="G242" s="4"/>
      <c r="H242" s="27"/>
    </row>
    <row r="243" spans="1:8" x14ac:dyDescent="0.2">
      <c r="H243" s="27"/>
    </row>
    <row r="244" spans="1:8" x14ac:dyDescent="0.2">
      <c r="H244" s="27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6"/>
      <c r="D248" s="6"/>
      <c r="E248" s="317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A251" s="6"/>
      <c r="B251" s="6"/>
      <c r="C251" s="423"/>
      <c r="D251" s="423"/>
      <c r="E251" s="423"/>
      <c r="F251" s="317"/>
      <c r="G251" s="317"/>
      <c r="H251" s="20"/>
    </row>
    <row r="252" spans="1:8" x14ac:dyDescent="0.2">
      <c r="H252" s="27"/>
    </row>
    <row r="253" spans="1:8" x14ac:dyDescent="0.2">
      <c r="H253" s="27"/>
    </row>
    <row r="254" spans="1:8" x14ac:dyDescent="0.2">
      <c r="H254" s="27"/>
    </row>
  </sheetData>
  <mergeCells count="134">
    <mergeCell ref="C251:E251"/>
    <mergeCell ref="G216:H216"/>
    <mergeCell ref="A231:B231"/>
    <mergeCell ref="A234:B234"/>
    <mergeCell ref="G241:H241"/>
    <mergeCell ref="C249:E249"/>
    <mergeCell ref="C250:E250"/>
    <mergeCell ref="A182:B182"/>
    <mergeCell ref="A192:B192"/>
    <mergeCell ref="A193:B193"/>
    <mergeCell ref="A200:B200"/>
    <mergeCell ref="G202:H202"/>
    <mergeCell ref="A207:B207"/>
    <mergeCell ref="A170:B170"/>
    <mergeCell ref="A177:B177"/>
    <mergeCell ref="A178:B178"/>
    <mergeCell ref="A179:B179"/>
    <mergeCell ref="A180:B180"/>
    <mergeCell ref="A181:B181"/>
    <mergeCell ref="A161:B161"/>
    <mergeCell ref="A162:B162"/>
    <mergeCell ref="A166:B166"/>
    <mergeCell ref="A167:B167"/>
    <mergeCell ref="A168:B168"/>
    <mergeCell ref="A169:B169"/>
    <mergeCell ref="A152:B152"/>
    <mergeCell ref="A153:B153"/>
    <mergeCell ref="A154:B154"/>
    <mergeCell ref="A155:B155"/>
    <mergeCell ref="A159:B159"/>
    <mergeCell ref="A160:B160"/>
    <mergeCell ref="A146:B146"/>
    <mergeCell ref="A147:B147"/>
    <mergeCell ref="A148:B148"/>
    <mergeCell ref="A149:B149"/>
    <mergeCell ref="A150:B150"/>
    <mergeCell ref="A151:B151"/>
    <mergeCell ref="A137:B137"/>
    <mergeCell ref="A138:B138"/>
    <mergeCell ref="A139:B139"/>
    <mergeCell ref="A140:B140"/>
    <mergeCell ref="A144:B144"/>
    <mergeCell ref="A145:B145"/>
    <mergeCell ref="A127:B127"/>
    <mergeCell ref="A128:B128"/>
    <mergeCell ref="A133:B133"/>
    <mergeCell ref="A134:B134"/>
    <mergeCell ref="A135:B135"/>
    <mergeCell ref="A136:B136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6:B116"/>
    <mergeCell ref="A117:B117"/>
    <mergeCell ref="A120:B120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1" max="16383" man="1"/>
    <brk id="202" max="16383" man="1"/>
  </row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K254"/>
  <sheetViews>
    <sheetView topLeftCell="A222" zoomScaleNormal="100" zoomScaleSheetLayoutView="110" workbookViewId="0">
      <selection activeCell="J245" sqref="J245"/>
    </sheetView>
  </sheetViews>
  <sheetFormatPr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2.7109375" style="4" bestFit="1" customWidth="1"/>
    <col min="10" max="10" width="11.7109375" style="4" bestFit="1" customWidth="1"/>
    <col min="11" max="11" width="10.5703125" style="4" bestFit="1" customWidth="1"/>
    <col min="12" max="16384" width="9.140625" style="4"/>
  </cols>
  <sheetData>
    <row r="1" spans="1:9" s="91" customFormat="1" ht="23.25" customHeight="1" thickBot="1" x14ac:dyDescent="0.25">
      <c r="A1" s="368" t="s">
        <v>205</v>
      </c>
      <c r="B1" s="369"/>
      <c r="C1" s="369"/>
      <c r="D1" s="369"/>
      <c r="E1" s="369"/>
      <c r="F1" s="369"/>
      <c r="G1" s="369"/>
      <c r="H1" s="370"/>
      <c r="I1" s="4"/>
    </row>
    <row r="2" spans="1:9" s="2" customFormat="1" ht="15.75" customHeight="1" thickBot="1" x14ac:dyDescent="0.25">
      <c r="A2" s="233" t="s">
        <v>223</v>
      </c>
      <c r="B2" s="234"/>
      <c r="C2" s="277" t="s">
        <v>243</v>
      </c>
      <c r="D2" s="252"/>
      <c r="E2" s="252"/>
      <c r="F2" s="252"/>
      <c r="G2" s="252"/>
      <c r="H2" s="253"/>
      <c r="I2" s="4"/>
    </row>
    <row r="3" spans="1:9" s="91" customFormat="1" ht="23.25" customHeight="1" thickBot="1" x14ac:dyDescent="0.25">
      <c r="A3" s="248" t="s">
        <v>97</v>
      </c>
      <c r="B3" s="256" t="str">
        <f>'lote 21.1'!B3</f>
        <v>3827-2026</v>
      </c>
      <c r="C3" s="246" t="s">
        <v>250</v>
      </c>
      <c r="D3" s="371"/>
      <c r="E3" s="372"/>
      <c r="F3" s="246" t="s">
        <v>240</v>
      </c>
      <c r="G3" s="371"/>
      <c r="H3" s="373"/>
      <c r="I3" s="4"/>
    </row>
    <row r="4" spans="1:9" s="3" customFormat="1" ht="18.75" thickBot="1" x14ac:dyDescent="0.3">
      <c r="A4" s="249" t="s">
        <v>309</v>
      </c>
      <c r="B4" s="314">
        <v>22</v>
      </c>
      <c r="C4" s="247" t="s">
        <v>158</v>
      </c>
      <c r="D4" s="315">
        <v>1</v>
      </c>
      <c r="E4" s="217" t="s">
        <v>157</v>
      </c>
      <c r="F4" s="217"/>
      <c r="G4" s="217"/>
      <c r="H4" s="218"/>
    </row>
    <row r="5" spans="1:9" s="2" customFormat="1" ht="10.9" customHeight="1" thickBot="1" x14ac:dyDescent="0.25">
      <c r="A5" s="219"/>
      <c r="B5" s="220"/>
      <c r="C5" s="221"/>
      <c r="D5" s="221"/>
      <c r="E5" s="222"/>
      <c r="F5" s="222"/>
      <c r="G5" s="222"/>
      <c r="H5" s="223"/>
    </row>
    <row r="6" spans="1:9" s="2" customFormat="1" ht="15.75" customHeight="1" thickBot="1" x14ac:dyDescent="0.25">
      <c r="A6" s="233" t="s">
        <v>224</v>
      </c>
      <c r="B6" s="234"/>
      <c r="C6" s="234"/>
      <c r="D6" s="234"/>
      <c r="E6" s="234"/>
      <c r="F6" s="234"/>
      <c r="G6" s="234"/>
      <c r="H6" s="235"/>
    </row>
    <row r="7" spans="1:9" s="2" customFormat="1" ht="16.5" thickBot="1" x14ac:dyDescent="0.25">
      <c r="A7" s="130" t="s">
        <v>123</v>
      </c>
      <c r="B7" s="130"/>
      <c r="C7" s="374" t="s">
        <v>113</v>
      </c>
      <c r="D7" s="375"/>
      <c r="E7" s="374" t="s">
        <v>114</v>
      </c>
      <c r="F7" s="375"/>
      <c r="G7" s="374" t="s">
        <v>117</v>
      </c>
      <c r="H7" s="375"/>
      <c r="I7" s="4"/>
    </row>
    <row r="8" spans="1:9" s="2" customFormat="1" ht="28.5" customHeight="1" x14ac:dyDescent="0.2">
      <c r="A8" s="361" t="s">
        <v>87</v>
      </c>
      <c r="B8" s="362"/>
      <c r="C8" s="110" t="s">
        <v>115</v>
      </c>
      <c r="D8" s="22" t="s">
        <v>116</v>
      </c>
      <c r="E8" s="110" t="s">
        <v>115</v>
      </c>
      <c r="F8" s="22" t="s">
        <v>116</v>
      </c>
      <c r="G8" s="110" t="s">
        <v>115</v>
      </c>
      <c r="H8" s="22" t="s">
        <v>116</v>
      </c>
      <c r="I8" s="4"/>
    </row>
    <row r="9" spans="1:9" s="6" customFormat="1" ht="15.75" customHeight="1" x14ac:dyDescent="0.2">
      <c r="A9" s="363" t="str">
        <f>A51</f>
        <v>1. Mão-de-obra</v>
      </c>
      <c r="B9" s="364"/>
      <c r="C9" s="106">
        <f>+G107</f>
        <v>6533.115177272728</v>
      </c>
      <c r="D9" s="40">
        <f t="shared" ref="D9:D23" si="0">IFERROR(C9/$C$26,0)</f>
        <v>0.2846773823232075</v>
      </c>
      <c r="E9" s="106">
        <f>G107</f>
        <v>6533.115177272728</v>
      </c>
      <c r="F9" s="40">
        <f t="shared" ref="F9:F22" si="1">IFERROR(E9/$E$26,0)</f>
        <v>0.30264056419819724</v>
      </c>
      <c r="G9" s="106">
        <f>G108</f>
        <v>5480.0897485090927</v>
      </c>
      <c r="H9" s="40">
        <f t="shared" ref="H9:H22" si="2">IFERROR(G9/$G$26,0)</f>
        <v>0.26512088177031989</v>
      </c>
      <c r="I9" s="4"/>
    </row>
    <row r="10" spans="1:9" s="2" customFormat="1" ht="15.75" customHeight="1" x14ac:dyDescent="0.2">
      <c r="A10" s="365" t="s">
        <v>155</v>
      </c>
      <c r="B10" s="364"/>
      <c r="C10" s="107">
        <f>G60</f>
        <v>2087.2960261363633</v>
      </c>
      <c r="D10" s="26">
        <f t="shared" si="0"/>
        <v>9.0952930222513939E-2</v>
      </c>
      <c r="E10" s="107">
        <f t="shared" ref="E10:E22" si="3">C10</f>
        <v>2087.2960261363633</v>
      </c>
      <c r="F10" s="26">
        <f t="shared" si="1"/>
        <v>9.6692072595951029E-2</v>
      </c>
      <c r="G10" s="107">
        <f>G67</f>
        <v>1648.7158051636361</v>
      </c>
      <c r="H10" s="26">
        <f t="shared" si="2"/>
        <v>7.9763107560887225E-2</v>
      </c>
      <c r="I10" s="4"/>
    </row>
    <row r="11" spans="1:9" s="2" customFormat="1" ht="15.75" customHeight="1" x14ac:dyDescent="0.2">
      <c r="A11" s="366" t="s">
        <v>156</v>
      </c>
      <c r="B11" s="364"/>
      <c r="C11" s="107">
        <f>G77</f>
        <v>2881.2141511363634</v>
      </c>
      <c r="D11" s="26">
        <f t="shared" si="0"/>
        <v>0.12554753440004168</v>
      </c>
      <c r="E11" s="107">
        <f t="shared" si="3"/>
        <v>2881.2141511363634</v>
      </c>
      <c r="F11" s="26">
        <f t="shared" si="1"/>
        <v>0.13346960104256833</v>
      </c>
      <c r="G11" s="107">
        <f>G84</f>
        <v>2266.7689433454543</v>
      </c>
      <c r="H11" s="26">
        <f t="shared" si="2"/>
        <v>0.10966385745649911</v>
      </c>
      <c r="I11" s="4"/>
    </row>
    <row r="12" spans="1:9" s="2" customFormat="1" ht="15.75" customHeight="1" x14ac:dyDescent="0.2">
      <c r="A12" s="367" t="str">
        <f>A86</f>
        <v>1.3. Vale Transporte</v>
      </c>
      <c r="B12" s="364"/>
      <c r="C12" s="107">
        <f>G92</f>
        <v>210.82090909090908</v>
      </c>
      <c r="D12" s="26">
        <f t="shared" si="0"/>
        <v>9.1864207059721183E-3</v>
      </c>
      <c r="E12" s="107">
        <f t="shared" si="3"/>
        <v>210.82090909090908</v>
      </c>
      <c r="F12" s="26">
        <f t="shared" si="1"/>
        <v>9.7660851126589732E-3</v>
      </c>
      <c r="G12" s="107">
        <f t="shared" ref="G12:G21" si="4">E12</f>
        <v>210.82090909090908</v>
      </c>
      <c r="H12" s="26">
        <f t="shared" si="2"/>
        <v>1.0199290135532628E-2</v>
      </c>
      <c r="I12" s="4"/>
    </row>
    <row r="13" spans="1:9" s="2" customFormat="1" ht="15.75" customHeight="1" x14ac:dyDescent="0.2">
      <c r="A13" s="367" t="str">
        <f>A94</f>
        <v>1.4. Vale-refeição (diário)</v>
      </c>
      <c r="B13" s="364"/>
      <c r="C13" s="107">
        <f>G98</f>
        <v>1317.272727272727</v>
      </c>
      <c r="D13" s="26">
        <f t="shared" si="0"/>
        <v>5.7399531713490541E-2</v>
      </c>
      <c r="E13" s="107">
        <f t="shared" si="3"/>
        <v>1317.272727272727</v>
      </c>
      <c r="F13" s="26">
        <f t="shared" si="1"/>
        <v>6.1021450038347282E-2</v>
      </c>
      <c r="G13" s="107">
        <f t="shared" si="4"/>
        <v>1317.272727272727</v>
      </c>
      <c r="H13" s="26">
        <f t="shared" si="2"/>
        <v>6.3728245888956911E-2</v>
      </c>
      <c r="I13" s="4"/>
    </row>
    <row r="14" spans="1:9" s="2" customFormat="1" ht="15.75" customHeight="1" x14ac:dyDescent="0.2">
      <c r="A14" s="337" t="s">
        <v>303</v>
      </c>
      <c r="B14" s="336"/>
      <c r="C14" s="107">
        <f>G104</f>
        <v>36.511363636363633</v>
      </c>
      <c r="D14" s="26">
        <f t="shared" si="0"/>
        <v>1.5909652811891403E-3</v>
      </c>
      <c r="E14" s="107">
        <f>C14</f>
        <v>36.511363636363633</v>
      </c>
      <c r="F14" s="26">
        <f t="shared" si="1"/>
        <v>1.6913554086715825E-3</v>
      </c>
      <c r="G14" s="107">
        <f>E14</f>
        <v>36.511363636363633</v>
      </c>
      <c r="H14" s="26">
        <f t="shared" si="2"/>
        <v>1.7663807284439147E-3</v>
      </c>
      <c r="I14" s="4"/>
    </row>
    <row r="15" spans="1:9" s="6" customFormat="1" ht="15.75" customHeight="1" x14ac:dyDescent="0.2">
      <c r="A15" s="363" t="str">
        <f>A110</f>
        <v>2. Veículos</v>
      </c>
      <c r="B15" s="364"/>
      <c r="C15" s="106">
        <f>+G173</f>
        <v>10798.666105107717</v>
      </c>
      <c r="D15" s="40">
        <f t="shared" si="0"/>
        <v>0.47054673244988166</v>
      </c>
      <c r="E15" s="106">
        <f t="shared" si="3"/>
        <v>10798.666105107717</v>
      </c>
      <c r="F15" s="40">
        <f t="shared" si="1"/>
        <v>0.50023829581434609</v>
      </c>
      <c r="G15" s="106">
        <f t="shared" si="4"/>
        <v>10798.666105107717</v>
      </c>
      <c r="H15" s="40">
        <f t="shared" si="2"/>
        <v>0.5224279183581465</v>
      </c>
      <c r="I15" s="4"/>
    </row>
    <row r="16" spans="1:9" s="2" customFormat="1" ht="15.75" customHeight="1" x14ac:dyDescent="0.2">
      <c r="A16" s="376" t="str">
        <f>A111</f>
        <v>2.1 Depreciação</v>
      </c>
      <c r="B16" s="364"/>
      <c r="C16" s="107">
        <f>G118</f>
        <v>1050.2508951136365</v>
      </c>
      <c r="D16" s="46">
        <f t="shared" si="0"/>
        <v>4.5764182551633351E-2</v>
      </c>
      <c r="E16" s="107">
        <f t="shared" si="3"/>
        <v>1050.2508951136365</v>
      </c>
      <c r="F16" s="46">
        <f t="shared" si="1"/>
        <v>4.8651908748307056E-2</v>
      </c>
      <c r="G16" s="107">
        <f t="shared" si="4"/>
        <v>1050.2508951136365</v>
      </c>
      <c r="H16" s="46">
        <f t="shared" si="2"/>
        <v>5.0810015195161373E-2</v>
      </c>
      <c r="I16" s="4"/>
    </row>
    <row r="17" spans="1:10" s="2" customFormat="1" ht="15.75" customHeight="1" x14ac:dyDescent="0.2">
      <c r="A17" s="376" t="str">
        <f>A119</f>
        <v>2.2 Remuneração do Capital</v>
      </c>
      <c r="B17" s="364"/>
      <c r="C17" s="107">
        <f>G129</f>
        <v>1679.5760393910507</v>
      </c>
      <c r="D17" s="46">
        <f t="shared" si="0"/>
        <v>7.3186725984865433E-2</v>
      </c>
      <c r="E17" s="107">
        <f t="shared" si="3"/>
        <v>1679.5760393910507</v>
      </c>
      <c r="F17" s="46">
        <f t="shared" si="1"/>
        <v>7.7804818433841863E-2</v>
      </c>
      <c r="G17" s="107">
        <f t="shared" si="4"/>
        <v>1679.5760393910507</v>
      </c>
      <c r="H17" s="46">
        <f t="shared" si="2"/>
        <v>8.1256092691693996E-2</v>
      </c>
      <c r="I17" s="4"/>
    </row>
    <row r="18" spans="1:10" s="2" customFormat="1" ht="15.75" customHeight="1" x14ac:dyDescent="0.2">
      <c r="A18" s="376" t="str">
        <f>A131</f>
        <v>2.3. Impostos e Seguros</v>
      </c>
      <c r="B18" s="364"/>
      <c r="C18" s="107">
        <f>G141</f>
        <v>577.73833333333334</v>
      </c>
      <c r="D18" s="46">
        <f t="shared" si="0"/>
        <v>2.5174672715591737E-2</v>
      </c>
      <c r="E18" s="107">
        <f t="shared" si="3"/>
        <v>577.73833333333334</v>
      </c>
      <c r="F18" s="46">
        <f t="shared" si="1"/>
        <v>2.6763198017261448E-2</v>
      </c>
      <c r="G18" s="107">
        <f t="shared" si="4"/>
        <v>577.73833333333334</v>
      </c>
      <c r="H18" s="46">
        <f t="shared" si="2"/>
        <v>2.7950362748624644E-2</v>
      </c>
      <c r="I18" s="4"/>
    </row>
    <row r="19" spans="1:10" s="2" customFormat="1" ht="15.75" customHeight="1" x14ac:dyDescent="0.2">
      <c r="A19" s="376" t="str">
        <f>A142</f>
        <v>2.4. Consumos</v>
      </c>
      <c r="B19" s="364"/>
      <c r="C19" s="107">
        <f>G156</f>
        <v>3285.6827039363639</v>
      </c>
      <c r="D19" s="46">
        <f t="shared" si="0"/>
        <v>0.14317205895208349</v>
      </c>
      <c r="E19" s="107">
        <f t="shared" si="3"/>
        <v>3285.6827039363639</v>
      </c>
      <c r="F19" s="46">
        <f t="shared" si="1"/>
        <v>0.15220623551147422</v>
      </c>
      <c r="G19" s="107">
        <f t="shared" si="4"/>
        <v>3285.6827039363639</v>
      </c>
      <c r="H19" s="46">
        <f t="shared" si="2"/>
        <v>0.15895781559455099</v>
      </c>
      <c r="I19" s="4"/>
    </row>
    <row r="20" spans="1:10" s="2" customFormat="1" ht="15.75" customHeight="1" x14ac:dyDescent="0.2">
      <c r="A20" s="376" t="str">
        <f>A158</f>
        <v>2.5. Manutenção</v>
      </c>
      <c r="B20" s="364"/>
      <c r="C20" s="107">
        <f>G163</f>
        <v>3751.2999999999997</v>
      </c>
      <c r="D20" s="46">
        <f t="shared" si="0"/>
        <v>0.16346111086852919</v>
      </c>
      <c r="E20" s="107">
        <f t="shared" si="3"/>
        <v>3751.2999999999997</v>
      </c>
      <c r="F20" s="46">
        <f t="shared" si="1"/>
        <v>0.17377552938698235</v>
      </c>
      <c r="G20" s="107">
        <f t="shared" si="4"/>
        <v>3751.2999999999997</v>
      </c>
      <c r="H20" s="46">
        <f t="shared" si="2"/>
        <v>0.18148388245932953</v>
      </c>
      <c r="I20" s="4"/>
    </row>
    <row r="21" spans="1:10" s="2" customFormat="1" ht="15.75" customHeight="1" x14ac:dyDescent="0.2">
      <c r="A21" s="376" t="str">
        <f>A165</f>
        <v>2.6. Pneus</v>
      </c>
      <c r="B21" s="364"/>
      <c r="C21" s="107">
        <f>G171</f>
        <v>454.11813333333328</v>
      </c>
      <c r="D21" s="46">
        <f t="shared" si="0"/>
        <v>1.9787981377178451E-2</v>
      </c>
      <c r="E21" s="107">
        <f t="shared" si="3"/>
        <v>454.11813333333328</v>
      </c>
      <c r="F21" s="46">
        <f t="shared" si="1"/>
        <v>2.1036605716479147E-2</v>
      </c>
      <c r="G21" s="107">
        <f t="shared" si="4"/>
        <v>454.11813333333328</v>
      </c>
      <c r="H21" s="46">
        <f t="shared" si="2"/>
        <v>2.1969749668785968E-2</v>
      </c>
      <c r="I21" s="4"/>
    </row>
    <row r="22" spans="1:10" s="6" customFormat="1" ht="15.75" customHeight="1" x14ac:dyDescent="0.2">
      <c r="A22" s="363" t="str">
        <f>A175</f>
        <v>3. Ferramentas e Materiais de Consumo</v>
      </c>
      <c r="B22" s="364"/>
      <c r="C22" s="106">
        <f>+G185</f>
        <v>86.958333333333329</v>
      </c>
      <c r="D22" s="40">
        <f t="shared" si="0"/>
        <v>3.7891679593587604E-3</v>
      </c>
      <c r="E22" s="106">
        <f t="shared" si="3"/>
        <v>86.958333333333329</v>
      </c>
      <c r="F22" s="40">
        <f t="shared" si="1"/>
        <v>4.0282649773704243E-3</v>
      </c>
      <c r="G22" s="106">
        <f>E22</f>
        <v>86.958333333333329</v>
      </c>
      <c r="H22" s="40">
        <f t="shared" si="2"/>
        <v>4.2069511757326433E-3</v>
      </c>
      <c r="I22" s="4"/>
    </row>
    <row r="23" spans="1:10" s="6" customFormat="1" ht="15.75" customHeight="1" x14ac:dyDescent="0.2">
      <c r="A23" s="377" t="str">
        <f>A190</f>
        <v>4. Benefícios e Desp. Ind. - BDI - LUCRO REAL</v>
      </c>
      <c r="B23" s="364"/>
      <c r="C23" s="106">
        <f>+G196</f>
        <v>5530.4498279891241</v>
      </c>
      <c r="D23" s="40">
        <f t="shared" si="0"/>
        <v>0.24098671726755219</v>
      </c>
      <c r="E23" s="113"/>
      <c r="F23" s="109"/>
      <c r="G23" s="113"/>
      <c r="H23" s="112"/>
      <c r="I23" s="4"/>
    </row>
    <row r="24" spans="1:10" s="6" customFormat="1" ht="15.75" customHeight="1" x14ac:dyDescent="0.2">
      <c r="A24" s="377" t="str">
        <f>A204</f>
        <v>5. Benefícios e Desp. Ind. - BDI - LUCRO PRESUMIDO</v>
      </c>
      <c r="B24" s="364"/>
      <c r="C24" s="115"/>
      <c r="D24" s="111"/>
      <c r="E24" s="106">
        <f>G210</f>
        <v>4168.3043900403063</v>
      </c>
      <c r="F24" s="40">
        <f>IFERROR(E24/$E$26,0)</f>
        <v>0.19309287501008632</v>
      </c>
      <c r="G24" s="113"/>
      <c r="H24" s="114"/>
      <c r="I24" s="4"/>
    </row>
    <row r="25" spans="1:10" s="6" customFormat="1" ht="15.75" customHeight="1" thickBot="1" x14ac:dyDescent="0.25">
      <c r="A25" s="378" t="str">
        <f>A218</f>
        <v>6. Benef. Desp. Ind. + Impostos - SIMPLES NACIONAL</v>
      </c>
      <c r="B25" s="379"/>
      <c r="C25" s="116"/>
      <c r="D25" s="117"/>
      <c r="E25" s="118"/>
      <c r="F25" s="109"/>
      <c r="G25" s="119">
        <f>G222+G235</f>
        <v>4304.4409208493844</v>
      </c>
      <c r="H25" s="108">
        <f>IFERROR(G25/$G$26,0)</f>
        <v>0.20824424869580091</v>
      </c>
      <c r="I25" s="4"/>
    </row>
    <row r="26" spans="1:10" s="2" customFormat="1" ht="15.75" customHeight="1" thickBot="1" x14ac:dyDescent="0.25">
      <c r="A26" s="380" t="s">
        <v>206</v>
      </c>
      <c r="B26" s="381"/>
      <c r="C26" s="129">
        <f>C9+C15+C22+C23</f>
        <v>22949.1894437029</v>
      </c>
      <c r="D26" s="45">
        <f>D9+D15+D22+D23</f>
        <v>1.0000000000000002</v>
      </c>
      <c r="E26" s="129">
        <f>E9+E15+E22+E24</f>
        <v>21587.044005754084</v>
      </c>
      <c r="F26" s="45">
        <f>F9+F15+F22+F24</f>
        <v>1</v>
      </c>
      <c r="G26" s="129">
        <f>G9+G15+G22+G25</f>
        <v>20670.155107799528</v>
      </c>
      <c r="H26" s="45">
        <f>H9+H15+H22+H25</f>
        <v>1</v>
      </c>
      <c r="I26" s="4"/>
    </row>
    <row r="27" spans="1:10" s="2" customFormat="1" ht="15.75" customHeight="1" thickBot="1" x14ac:dyDescent="0.25">
      <c r="A27" s="380" t="s">
        <v>207</v>
      </c>
      <c r="B27" s="381"/>
      <c r="C27" s="129">
        <f>G202</f>
        <v>10.825089360237218</v>
      </c>
      <c r="D27" s="45"/>
      <c r="E27" s="129">
        <f>G216</f>
        <v>10.182567927242493</v>
      </c>
      <c r="F27" s="45"/>
      <c r="G27" s="129">
        <f>G241</f>
        <v>9.7500731640563831</v>
      </c>
      <c r="H27" s="45"/>
      <c r="I27" s="4"/>
    </row>
    <row r="28" spans="1:10" ht="13.5" thickBot="1" x14ac:dyDescent="0.25">
      <c r="A28" s="120"/>
      <c r="B28" s="121"/>
      <c r="C28" s="121"/>
      <c r="D28" s="121"/>
      <c r="E28" s="122"/>
      <c r="F28" s="122"/>
      <c r="G28" s="135"/>
      <c r="H28" s="191"/>
      <c r="J28" s="2"/>
    </row>
    <row r="29" spans="1:10" s="2" customFormat="1" ht="15" customHeight="1" thickBot="1" x14ac:dyDescent="0.25">
      <c r="A29" s="391" t="s">
        <v>241</v>
      </c>
      <c r="B29" s="392"/>
      <c r="C29" s="392"/>
      <c r="D29" s="392"/>
      <c r="E29" s="392"/>
      <c r="F29" s="392"/>
      <c r="G29" s="393"/>
      <c r="H29" s="192"/>
      <c r="I29" s="4"/>
    </row>
    <row r="30" spans="1:10" s="2" customFormat="1" ht="15" customHeight="1" thickBot="1" x14ac:dyDescent="0.25">
      <c r="A30" s="380" t="s">
        <v>225</v>
      </c>
      <c r="B30" s="394"/>
      <c r="C30" s="14"/>
      <c r="D30" s="14"/>
      <c r="E30" s="176"/>
      <c r="F30" s="170" t="s">
        <v>21</v>
      </c>
      <c r="G30" s="170" t="s">
        <v>159</v>
      </c>
      <c r="H30" s="192"/>
      <c r="I30" s="4"/>
    </row>
    <row r="31" spans="1:10" s="2" customFormat="1" ht="15" customHeight="1" x14ac:dyDescent="0.2">
      <c r="A31" s="395" t="s">
        <v>99</v>
      </c>
      <c r="B31" s="396"/>
      <c r="C31" s="168"/>
      <c r="D31" s="168"/>
      <c r="E31" s="169"/>
      <c r="F31" s="257">
        <v>1</v>
      </c>
      <c r="G31" s="258">
        <f>'lote 3.1'!G31</f>
        <v>2271</v>
      </c>
      <c r="H31" s="193"/>
      <c r="I31" s="4"/>
    </row>
    <row r="32" spans="1:10" s="2" customFormat="1" ht="15" customHeight="1" x14ac:dyDescent="0.2">
      <c r="A32" s="376" t="s">
        <v>136</v>
      </c>
      <c r="B32" s="397"/>
      <c r="C32" s="28"/>
      <c r="D32" s="28"/>
      <c r="E32" s="28"/>
      <c r="F32" s="260">
        <v>1</v>
      </c>
      <c r="G32" s="259">
        <f>'lote 3.1'!G32</f>
        <v>1621</v>
      </c>
      <c r="H32" s="193"/>
      <c r="I32" s="4"/>
    </row>
    <row r="33" spans="1:9" s="2" customFormat="1" ht="15" customHeight="1" thickBot="1" x14ac:dyDescent="0.25">
      <c r="A33" s="398" t="s">
        <v>26</v>
      </c>
      <c r="B33" s="399"/>
      <c r="C33" s="30"/>
      <c r="D33" s="30"/>
      <c r="E33" s="31"/>
      <c r="F33" s="32">
        <f>SUM(F31:F32)</f>
        <v>2</v>
      </c>
      <c r="G33" s="167"/>
      <c r="H33" s="193"/>
      <c r="I33" s="4"/>
    </row>
    <row r="34" spans="1:9" s="2" customFormat="1" ht="15" customHeight="1" thickBot="1" x14ac:dyDescent="0.25">
      <c r="A34" s="41"/>
      <c r="B34" s="20"/>
      <c r="C34" s="42"/>
      <c r="D34" s="27"/>
      <c r="E34" s="17"/>
      <c r="F34" s="17"/>
      <c r="G34" s="18"/>
      <c r="H34" s="193"/>
      <c r="I34" s="4"/>
    </row>
    <row r="35" spans="1:9" s="2" customFormat="1" ht="33" customHeight="1" x14ac:dyDescent="0.2">
      <c r="A35" s="382" t="s">
        <v>226</v>
      </c>
      <c r="B35" s="383"/>
      <c r="C35" s="178" t="s">
        <v>204</v>
      </c>
      <c r="D35" s="178" t="s">
        <v>220</v>
      </c>
      <c r="E35" s="178" t="s">
        <v>160</v>
      </c>
      <c r="F35" s="189" t="s">
        <v>21</v>
      </c>
      <c r="G35" s="173" t="s">
        <v>161</v>
      </c>
      <c r="H35" s="193"/>
      <c r="I35" s="4"/>
    </row>
    <row r="36" spans="1:9" s="2" customFormat="1" ht="15" customHeight="1" x14ac:dyDescent="0.2">
      <c r="A36" s="384" t="s">
        <v>253</v>
      </c>
      <c r="B36" s="385"/>
      <c r="C36" s="261">
        <v>10</v>
      </c>
      <c r="D36" s="183">
        <f>1/C36</f>
        <v>0.1</v>
      </c>
      <c r="E36" s="261">
        <v>15</v>
      </c>
      <c r="F36" s="262">
        <v>1</v>
      </c>
      <c r="G36" s="259">
        <v>270086</v>
      </c>
      <c r="H36" s="193"/>
      <c r="I36" s="4"/>
    </row>
    <row r="37" spans="1:9" s="2" customFormat="1" ht="37.5" customHeight="1" x14ac:dyDescent="0.2">
      <c r="A37" s="386" t="s">
        <v>306</v>
      </c>
      <c r="B37" s="387"/>
      <c r="C37" s="179"/>
      <c r="D37" s="321" t="s">
        <v>252</v>
      </c>
      <c r="E37" s="323" t="s">
        <v>257</v>
      </c>
      <c r="F37" s="318"/>
      <c r="G37" s="318"/>
      <c r="H37" s="193"/>
      <c r="I37" s="4"/>
    </row>
    <row r="38" spans="1:9" s="2" customFormat="1" ht="15" customHeight="1" x14ac:dyDescent="0.2">
      <c r="A38" s="384" t="s">
        <v>195</v>
      </c>
      <c r="B38" s="385"/>
      <c r="C38" s="179"/>
      <c r="D38" s="199"/>
      <c r="E38" s="179"/>
      <c r="F38" s="263">
        <v>5.5</v>
      </c>
      <c r="G38" s="265">
        <f>'lote 3.1'!G38</f>
        <v>7.32</v>
      </c>
      <c r="H38" s="193"/>
      <c r="I38" s="4"/>
    </row>
    <row r="39" spans="1:9" s="2" customFormat="1" ht="15" customHeight="1" thickBot="1" x14ac:dyDescent="0.25">
      <c r="A39" s="388" t="s">
        <v>196</v>
      </c>
      <c r="B39" s="389"/>
      <c r="C39" s="180"/>
      <c r="D39" s="181"/>
      <c r="E39" s="181"/>
      <c r="F39" s="264">
        <v>20</v>
      </c>
      <c r="G39" s="177"/>
      <c r="H39" s="193"/>
      <c r="I39" s="4"/>
    </row>
    <row r="40" spans="1:9" s="2" customFormat="1" ht="15" customHeight="1" thickBot="1" x14ac:dyDescent="0.25">
      <c r="A40" s="171"/>
      <c r="B40" s="212"/>
      <c r="C40" s="93"/>
      <c r="D40" s="93"/>
      <c r="E40" s="17"/>
      <c r="F40" s="174"/>
      <c r="G40" s="175"/>
      <c r="H40" s="193"/>
      <c r="I40" s="4"/>
    </row>
    <row r="41" spans="1:9" s="2" customFormat="1" x14ac:dyDescent="0.2">
      <c r="A41" s="382" t="s">
        <v>227</v>
      </c>
      <c r="B41" s="390"/>
      <c r="C41" s="189" t="s">
        <v>28</v>
      </c>
      <c r="D41" s="178"/>
      <c r="E41" s="189" t="s">
        <v>165</v>
      </c>
      <c r="F41" s="189" t="s">
        <v>167</v>
      </c>
      <c r="G41" s="172" t="s">
        <v>166</v>
      </c>
      <c r="H41" s="207"/>
      <c r="I41" s="4"/>
    </row>
    <row r="42" spans="1:9" s="2" customFormat="1" ht="15" customHeight="1" x14ac:dyDescent="0.2">
      <c r="A42" s="384" t="s">
        <v>162</v>
      </c>
      <c r="B42" s="385"/>
      <c r="C42" s="182" t="s">
        <v>153</v>
      </c>
      <c r="D42" s="183"/>
      <c r="E42" s="262">
        <v>106</v>
      </c>
      <c r="F42" s="161">
        <f>(E42/F39)+C48</f>
        <v>6.3</v>
      </c>
      <c r="G42" s="186">
        <f>E42*E43</f>
        <v>2120</v>
      </c>
      <c r="H42" s="193"/>
      <c r="I42" s="6">
        <f>26.5+26.5+53</f>
        <v>106</v>
      </c>
    </row>
    <row r="43" spans="1:9" s="2" customFormat="1" ht="15" customHeight="1" thickBot="1" x14ac:dyDescent="0.25">
      <c r="A43" s="388" t="s">
        <v>163</v>
      </c>
      <c r="B43" s="389"/>
      <c r="C43" s="180" t="s">
        <v>164</v>
      </c>
      <c r="D43" s="181"/>
      <c r="E43" s="264">
        <v>20</v>
      </c>
      <c r="F43" s="184"/>
      <c r="G43" s="177"/>
      <c r="H43" s="193"/>
      <c r="I43" s="6">
        <f>I42*203</f>
        <v>21518</v>
      </c>
    </row>
    <row r="44" spans="1:9" s="2" customFormat="1" ht="15" customHeight="1" thickBot="1" x14ac:dyDescent="0.25">
      <c r="A44" s="171"/>
      <c r="B44" s="212"/>
      <c r="C44" s="93"/>
      <c r="D44" s="93"/>
      <c r="E44" s="17"/>
      <c r="F44" s="174"/>
      <c r="G44" s="175"/>
      <c r="H44" s="193"/>
      <c r="I44" s="4"/>
    </row>
    <row r="45" spans="1:9" s="2" customFormat="1" ht="15" customHeight="1" thickBot="1" x14ac:dyDescent="0.25">
      <c r="A45" s="29" t="s">
        <v>228</v>
      </c>
      <c r="B45" s="212"/>
      <c r="C45" s="189" t="s">
        <v>0</v>
      </c>
      <c r="D45" s="408" t="s">
        <v>229</v>
      </c>
      <c r="E45" s="409"/>
      <c r="F45" s="409"/>
      <c r="G45" s="410"/>
      <c r="H45" s="193"/>
      <c r="I45" s="4"/>
    </row>
    <row r="46" spans="1:9" s="6" customFormat="1" ht="15.75" customHeight="1" thickBot="1" x14ac:dyDescent="0.25">
      <c r="A46" s="400" t="s">
        <v>98</v>
      </c>
      <c r="B46" s="394"/>
      <c r="C46" s="232">
        <f>F42/8.8</f>
        <v>0.71590909090909083</v>
      </c>
      <c r="D46" s="380" t="s">
        <v>143</v>
      </c>
      <c r="E46" s="411"/>
      <c r="F46" s="411"/>
      <c r="G46" s="185"/>
      <c r="H46" s="193"/>
      <c r="I46" s="4"/>
    </row>
    <row r="47" spans="1:9" s="6" customFormat="1" ht="15.75" customHeight="1" thickBot="1" x14ac:dyDescent="0.25">
      <c r="A47" s="400" t="s">
        <v>144</v>
      </c>
      <c r="B47" s="394"/>
      <c r="C47" s="266">
        <v>0.15</v>
      </c>
      <c r="D47" s="400" t="s">
        <v>242</v>
      </c>
      <c r="E47" s="401"/>
      <c r="F47" s="401"/>
      <c r="G47" s="402"/>
      <c r="H47" s="193"/>
      <c r="I47" s="4"/>
    </row>
    <row r="48" spans="1:9" s="6" customFormat="1" ht="15.75" customHeight="1" thickBot="1" x14ac:dyDescent="0.25">
      <c r="A48" s="400" t="s">
        <v>222</v>
      </c>
      <c r="B48" s="394"/>
      <c r="C48" s="281">
        <v>1</v>
      </c>
      <c r="D48" s="400" t="s">
        <v>244</v>
      </c>
      <c r="E48" s="401"/>
      <c r="F48" s="401"/>
      <c r="G48" s="402"/>
      <c r="H48" s="193"/>
      <c r="I48" s="4"/>
    </row>
    <row r="49" spans="1:9" ht="13.15" customHeight="1" thickBot="1" x14ac:dyDescent="0.25">
      <c r="A49" s="100"/>
      <c r="B49" s="6"/>
      <c r="E49" s="27"/>
      <c r="F49" s="27"/>
      <c r="G49" s="43"/>
      <c r="H49" s="193"/>
    </row>
    <row r="50" spans="1:9" s="2" customFormat="1" ht="15" customHeight="1" thickBot="1" x14ac:dyDescent="0.25">
      <c r="A50" s="391" t="s">
        <v>230</v>
      </c>
      <c r="B50" s="392"/>
      <c r="C50" s="392"/>
      <c r="D50" s="392"/>
      <c r="E50" s="392"/>
      <c r="F50" s="392"/>
      <c r="G50" s="393"/>
      <c r="H50" s="192"/>
      <c r="I50" s="4"/>
    </row>
    <row r="51" spans="1:9" ht="11.25" customHeight="1" x14ac:dyDescent="0.2">
      <c r="A51" s="100" t="s">
        <v>24</v>
      </c>
      <c r="B51" s="6"/>
      <c r="E51" s="27"/>
      <c r="F51" s="27"/>
      <c r="G51" s="43"/>
      <c r="H51" s="193"/>
    </row>
    <row r="52" spans="1:9" ht="13.9" customHeight="1" thickBot="1" x14ac:dyDescent="0.25">
      <c r="A52" s="100" t="s">
        <v>131</v>
      </c>
      <c r="B52" s="6"/>
      <c r="E52" s="27"/>
      <c r="F52" s="27"/>
      <c r="G52" s="43"/>
      <c r="H52" s="194"/>
    </row>
    <row r="53" spans="1:9" ht="13.9" customHeight="1" thickBot="1" x14ac:dyDescent="0.25">
      <c r="A53" s="403" t="s">
        <v>27</v>
      </c>
      <c r="B53" s="404"/>
      <c r="C53" s="236" t="s">
        <v>28</v>
      </c>
      <c r="D53" s="236" t="s">
        <v>21</v>
      </c>
      <c r="E53" s="237" t="s">
        <v>92</v>
      </c>
      <c r="F53" s="237" t="s">
        <v>29</v>
      </c>
      <c r="G53" s="238" t="s">
        <v>30</v>
      </c>
      <c r="H53" s="238" t="s">
        <v>154</v>
      </c>
    </row>
    <row r="54" spans="1:9" ht="13.15" customHeight="1" x14ac:dyDescent="0.2">
      <c r="A54" s="405" t="s">
        <v>130</v>
      </c>
      <c r="B54" s="390"/>
      <c r="C54" s="8" t="s">
        <v>5</v>
      </c>
      <c r="D54" s="8">
        <v>1</v>
      </c>
      <c r="E54" s="187">
        <f>G32</f>
        <v>1621</v>
      </c>
      <c r="F54" s="9">
        <f>D54*E54</f>
        <v>1621</v>
      </c>
      <c r="G54" s="136"/>
      <c r="H54" s="195"/>
    </row>
    <row r="55" spans="1:9" x14ac:dyDescent="0.2">
      <c r="A55" s="406" t="s">
        <v>1</v>
      </c>
      <c r="B55" s="407"/>
      <c r="C55" s="94"/>
      <c r="D55" s="94"/>
      <c r="E55" s="19"/>
      <c r="F55" s="39">
        <f>SUM(F54:F54)</f>
        <v>1621</v>
      </c>
      <c r="G55" s="137"/>
      <c r="H55" s="193"/>
    </row>
    <row r="56" spans="1:9" x14ac:dyDescent="0.2">
      <c r="A56" s="413" t="s">
        <v>2</v>
      </c>
      <c r="B56" s="385"/>
      <c r="C56" s="10" t="s">
        <v>0</v>
      </c>
      <c r="D56" s="44">
        <f>'Enc. Soc. - LR-LP e SN'!C$28*100</f>
        <v>70.61</v>
      </c>
      <c r="E56" s="11">
        <f>F55</f>
        <v>1621</v>
      </c>
      <c r="F56" s="11">
        <f>E56*D56/100</f>
        <v>1144.5880999999999</v>
      </c>
      <c r="G56" s="137"/>
      <c r="H56" s="193"/>
    </row>
    <row r="57" spans="1:9" x14ac:dyDescent="0.2">
      <c r="A57" s="342" t="s">
        <v>295</v>
      </c>
      <c r="B57" s="338"/>
      <c r="C57" s="97"/>
      <c r="D57" s="344">
        <v>1</v>
      </c>
      <c r="E57" s="345">
        <v>150</v>
      </c>
      <c r="F57" s="346">
        <f>E57</f>
        <v>150</v>
      </c>
      <c r="G57" s="137"/>
      <c r="H57" s="193"/>
    </row>
    <row r="58" spans="1:9" x14ac:dyDescent="0.2">
      <c r="A58" s="406" t="s">
        <v>292</v>
      </c>
      <c r="B58" s="397"/>
      <c r="C58" s="94"/>
      <c r="D58" s="94"/>
      <c r="E58" s="19"/>
      <c r="F58" s="39">
        <f>F55+F56+F57</f>
        <v>2915.5880999999999</v>
      </c>
      <c r="G58" s="137"/>
      <c r="H58" s="193"/>
    </row>
    <row r="59" spans="1:9" x14ac:dyDescent="0.2">
      <c r="A59" s="413" t="s">
        <v>3</v>
      </c>
      <c r="B59" s="385"/>
      <c r="C59" s="10" t="s">
        <v>4</v>
      </c>
      <c r="D59" s="188">
        <f>F32</f>
        <v>1</v>
      </c>
      <c r="E59" s="11">
        <f>F58</f>
        <v>2915.5880999999999</v>
      </c>
      <c r="F59" s="11">
        <f>D59*E59</f>
        <v>2915.5880999999999</v>
      </c>
      <c r="G59" s="137"/>
      <c r="H59" s="193"/>
    </row>
    <row r="60" spans="1:9" ht="13.9" customHeight="1" thickBot="1" x14ac:dyDescent="0.25">
      <c r="A60" s="99"/>
      <c r="E60" s="254" t="s">
        <v>86</v>
      </c>
      <c r="F60" s="197">
        <f>$C$46</f>
        <v>0.71590909090909083</v>
      </c>
      <c r="G60" s="239">
        <f>F59*F60</f>
        <v>2087.2960261363633</v>
      </c>
      <c r="H60" s="239">
        <f>G60/G$42</f>
        <v>0.98457359723413362</v>
      </c>
    </row>
    <row r="61" spans="1:9" ht="11.25" customHeight="1" x14ac:dyDescent="0.2">
      <c r="A61" s="99"/>
      <c r="E61" s="27"/>
      <c r="F61" s="27"/>
      <c r="G61" s="135"/>
      <c r="H61" s="193"/>
    </row>
    <row r="62" spans="1:9" ht="11.25" customHeight="1" x14ac:dyDescent="0.2">
      <c r="A62" s="100" t="s">
        <v>132</v>
      </c>
      <c r="B62" s="6"/>
      <c r="E62" s="27"/>
      <c r="F62" s="27"/>
      <c r="G62" s="43"/>
      <c r="H62" s="193"/>
    </row>
    <row r="63" spans="1:9" ht="11.25" customHeight="1" x14ac:dyDescent="0.2">
      <c r="A63" s="414" t="s">
        <v>2</v>
      </c>
      <c r="B63" s="415"/>
      <c r="C63" s="105" t="s">
        <v>0</v>
      </c>
      <c r="D63" s="44">
        <f>'Enc. Soc. - LR-LP e SN'!C$38*100</f>
        <v>32.817279999999997</v>
      </c>
      <c r="E63" s="11">
        <f>F55</f>
        <v>1621</v>
      </c>
      <c r="F63" s="11">
        <f>E63*D63/100</f>
        <v>531.96810879999998</v>
      </c>
      <c r="G63" s="43"/>
      <c r="H63" s="193"/>
    </row>
    <row r="64" spans="1:9" ht="11.25" customHeight="1" x14ac:dyDescent="0.2">
      <c r="A64" s="339" t="str">
        <f>A57</f>
        <v>Prêmio por assiduidade (verba indenizatória)</v>
      </c>
      <c r="B64" s="340"/>
      <c r="C64" s="105"/>
      <c r="D64" s="344">
        <v>1</v>
      </c>
      <c r="E64" s="345">
        <v>150</v>
      </c>
      <c r="F64" s="346">
        <f>E64</f>
        <v>150</v>
      </c>
      <c r="G64" s="43"/>
      <c r="H64" s="193"/>
    </row>
    <row r="65" spans="1:10" x14ac:dyDescent="0.2">
      <c r="A65" s="416" t="s">
        <v>292</v>
      </c>
      <c r="B65" s="417"/>
      <c r="C65" s="94"/>
      <c r="D65" s="94"/>
      <c r="E65" s="19"/>
      <c r="F65" s="39">
        <f>E63+F63+F64</f>
        <v>2302.9681087999998</v>
      </c>
      <c r="G65" s="43"/>
      <c r="H65" s="193"/>
    </row>
    <row r="66" spans="1:10" x14ac:dyDescent="0.2">
      <c r="A66" s="413" t="s">
        <v>3</v>
      </c>
      <c r="B66" s="385"/>
      <c r="C66" s="10" t="s">
        <v>4</v>
      </c>
      <c r="D66" s="10">
        <f>D59</f>
        <v>1</v>
      </c>
      <c r="E66" s="33">
        <f>F65</f>
        <v>2302.9681087999998</v>
      </c>
      <c r="F66" s="11">
        <f>D66*E66</f>
        <v>2302.9681087999998</v>
      </c>
      <c r="G66" s="43"/>
      <c r="H66" s="193"/>
    </row>
    <row r="67" spans="1:10" ht="13.9" customHeight="1" thickBot="1" x14ac:dyDescent="0.25">
      <c r="A67" s="99"/>
      <c r="E67" s="254" t="s">
        <v>86</v>
      </c>
      <c r="F67" s="197">
        <f>$C$46</f>
        <v>0.71590909090909083</v>
      </c>
      <c r="G67" s="239">
        <f>F66*F67</f>
        <v>1648.7158051636361</v>
      </c>
      <c r="H67" s="239">
        <f>G67/G$42</f>
        <v>0.77769613451114905</v>
      </c>
    </row>
    <row r="68" spans="1:10" ht="11.25" customHeight="1" x14ac:dyDescent="0.2">
      <c r="A68" s="99"/>
      <c r="E68" s="27"/>
      <c r="F68" s="27"/>
      <c r="G68" s="135"/>
      <c r="H68" s="193"/>
    </row>
    <row r="69" spans="1:10" ht="13.5" thickBot="1" x14ac:dyDescent="0.25">
      <c r="A69" s="100" t="s">
        <v>133</v>
      </c>
      <c r="B69" s="6"/>
      <c r="E69" s="27"/>
      <c r="F69" s="27"/>
      <c r="G69" s="43"/>
      <c r="H69" s="193"/>
    </row>
    <row r="70" spans="1:10" s="7" customFormat="1" ht="13.15" customHeight="1" thickBot="1" x14ac:dyDescent="0.25">
      <c r="A70" s="403" t="s">
        <v>27</v>
      </c>
      <c r="B70" s="412"/>
      <c r="C70" s="236" t="s">
        <v>28</v>
      </c>
      <c r="D70" s="236" t="s">
        <v>21</v>
      </c>
      <c r="E70" s="237" t="s">
        <v>92</v>
      </c>
      <c r="F70" s="237" t="s">
        <v>29</v>
      </c>
      <c r="G70" s="238" t="s">
        <v>30</v>
      </c>
      <c r="H70" s="238" t="s">
        <v>154</v>
      </c>
      <c r="I70" s="4"/>
      <c r="J70" s="4"/>
    </row>
    <row r="71" spans="1:10" x14ac:dyDescent="0.2">
      <c r="A71" s="405" t="s">
        <v>130</v>
      </c>
      <c r="B71" s="390"/>
      <c r="C71" s="8" t="s">
        <v>5</v>
      </c>
      <c r="D71" s="8">
        <v>1</v>
      </c>
      <c r="E71" s="187">
        <f>G31</f>
        <v>2271</v>
      </c>
      <c r="F71" s="9">
        <f>D71*E71</f>
        <v>2271</v>
      </c>
      <c r="G71" s="136"/>
      <c r="H71" s="136"/>
    </row>
    <row r="72" spans="1:10" s="6" customFormat="1" x14ac:dyDescent="0.2">
      <c r="A72" s="406" t="s">
        <v>1</v>
      </c>
      <c r="B72" s="397"/>
      <c r="C72" s="94"/>
      <c r="D72" s="94"/>
      <c r="E72" s="19"/>
      <c r="F72" s="38">
        <f>SUM(F71:F71)</f>
        <v>2271</v>
      </c>
      <c r="G72" s="138"/>
      <c r="H72" s="193"/>
      <c r="I72" s="4"/>
    </row>
    <row r="73" spans="1:10" x14ac:dyDescent="0.2">
      <c r="A73" s="413" t="s">
        <v>2</v>
      </c>
      <c r="B73" s="385"/>
      <c r="C73" s="10" t="s">
        <v>0</v>
      </c>
      <c r="D73" s="44">
        <f>'Enc. Soc. - LR-LP e SN'!C$28*100</f>
        <v>70.61</v>
      </c>
      <c r="E73" s="11">
        <f>F72</f>
        <v>2271</v>
      </c>
      <c r="F73" s="11">
        <f>E73*D73/100</f>
        <v>1603.5531000000001</v>
      </c>
      <c r="G73" s="137"/>
      <c r="H73" s="193"/>
    </row>
    <row r="74" spans="1:10" x14ac:dyDescent="0.2">
      <c r="A74" s="341" t="str">
        <f>A57</f>
        <v>Prêmio por assiduidade (verba indenizatória)</v>
      </c>
      <c r="B74" s="338"/>
      <c r="C74" s="347"/>
      <c r="D74" s="348">
        <v>1</v>
      </c>
      <c r="E74" s="349">
        <v>150</v>
      </c>
      <c r="F74" s="11">
        <f>E74</f>
        <v>150</v>
      </c>
      <c r="G74" s="137"/>
      <c r="H74" s="193"/>
    </row>
    <row r="75" spans="1:10" s="6" customFormat="1" x14ac:dyDescent="0.2">
      <c r="A75" s="406" t="s">
        <v>93</v>
      </c>
      <c r="B75" s="397"/>
      <c r="C75" s="84"/>
      <c r="D75" s="84"/>
      <c r="E75" s="85"/>
      <c r="F75" s="38">
        <f>F72+F73+F74</f>
        <v>4024.5531000000001</v>
      </c>
      <c r="G75" s="138"/>
      <c r="H75" s="193"/>
      <c r="I75" s="4"/>
    </row>
    <row r="76" spans="1:10" x14ac:dyDescent="0.2">
      <c r="A76" s="413" t="s">
        <v>3</v>
      </c>
      <c r="B76" s="385"/>
      <c r="C76" s="10" t="s">
        <v>4</v>
      </c>
      <c r="D76" s="10">
        <v>1</v>
      </c>
      <c r="E76" s="11">
        <f>F75</f>
        <v>4024.5531000000001</v>
      </c>
      <c r="F76" s="11">
        <f>D76*E76</f>
        <v>4024.5531000000001</v>
      </c>
      <c r="G76" s="137"/>
      <c r="H76" s="193"/>
    </row>
    <row r="77" spans="1:10" ht="13.5" thickBot="1" x14ac:dyDescent="0.25">
      <c r="A77" s="99"/>
      <c r="E77" s="254" t="s">
        <v>86</v>
      </c>
      <c r="F77" s="197">
        <f>$C$46</f>
        <v>0.71590909090909083</v>
      </c>
      <c r="G77" s="239">
        <f>F76*F77</f>
        <v>2881.2141511363634</v>
      </c>
      <c r="H77" s="239">
        <f>G77/G$42</f>
        <v>1.3590632788379073</v>
      </c>
    </row>
    <row r="78" spans="1:10" ht="11.25" customHeight="1" x14ac:dyDescent="0.2">
      <c r="A78" s="99"/>
      <c r="E78" s="27"/>
      <c r="F78" s="27"/>
      <c r="G78" s="135"/>
      <c r="H78" s="193"/>
    </row>
    <row r="79" spans="1:10" ht="11.25" customHeight="1" x14ac:dyDescent="0.2">
      <c r="A79" s="100" t="s">
        <v>134</v>
      </c>
      <c r="B79" s="6"/>
      <c r="E79" s="27"/>
      <c r="F79" s="27"/>
      <c r="G79" s="43"/>
      <c r="H79" s="193"/>
    </row>
    <row r="80" spans="1:10" ht="11.25" customHeight="1" x14ac:dyDescent="0.2">
      <c r="A80" s="419" t="s">
        <v>2</v>
      </c>
      <c r="B80" s="385"/>
      <c r="C80" s="92" t="s">
        <v>0</v>
      </c>
      <c r="D80" s="44">
        <f>'Enc. Soc. - LR-LP e SN'!C$38*100</f>
        <v>32.817279999999997</v>
      </c>
      <c r="E80" s="11">
        <f>F72</f>
        <v>2271</v>
      </c>
      <c r="F80" s="11">
        <f>E80*D80/100</f>
        <v>745.28042879999998</v>
      </c>
      <c r="G80" s="43"/>
      <c r="H80" s="193"/>
    </row>
    <row r="81" spans="1:8" ht="11.25" customHeight="1" x14ac:dyDescent="0.2">
      <c r="A81" s="350" t="str">
        <f>A57</f>
        <v>Prêmio por assiduidade (verba indenizatória)</v>
      </c>
      <c r="B81" s="338"/>
      <c r="C81" s="105"/>
      <c r="D81" s="344">
        <v>1</v>
      </c>
      <c r="E81" s="345">
        <v>150</v>
      </c>
      <c r="F81" s="346">
        <f>E81</f>
        <v>150</v>
      </c>
      <c r="G81" s="43"/>
      <c r="H81" s="193"/>
    </row>
    <row r="82" spans="1:8" x14ac:dyDescent="0.2">
      <c r="A82" s="406" t="s">
        <v>93</v>
      </c>
      <c r="B82" s="397"/>
      <c r="C82" s="94"/>
      <c r="D82" s="94"/>
      <c r="E82" s="19"/>
      <c r="F82" s="39">
        <f>E80+F80+F81</f>
        <v>3166.2804287999998</v>
      </c>
      <c r="G82" s="43"/>
      <c r="H82" s="193"/>
    </row>
    <row r="83" spans="1:8" x14ac:dyDescent="0.2">
      <c r="A83" s="413" t="s">
        <v>3</v>
      </c>
      <c r="B83" s="385"/>
      <c r="C83" s="10" t="s">
        <v>4</v>
      </c>
      <c r="D83" s="10">
        <f>D76</f>
        <v>1</v>
      </c>
      <c r="E83" s="11">
        <f>F82</f>
        <v>3166.2804287999998</v>
      </c>
      <c r="F83" s="11">
        <f>D83*E83</f>
        <v>3166.2804287999998</v>
      </c>
      <c r="G83" s="43"/>
      <c r="H83" s="193"/>
    </row>
    <row r="84" spans="1:8" ht="13.9" customHeight="1" thickBot="1" x14ac:dyDescent="0.25">
      <c r="A84" s="99"/>
      <c r="E84" s="254" t="s">
        <v>86</v>
      </c>
      <c r="F84" s="197">
        <f>$C$46</f>
        <v>0.71590909090909083</v>
      </c>
      <c r="G84" s="239">
        <f>F83*F84</f>
        <v>2266.7689433454543</v>
      </c>
      <c r="H84" s="239">
        <f>G84/G$42</f>
        <v>1.0692306336535162</v>
      </c>
    </row>
    <row r="85" spans="1:8" ht="11.25" customHeight="1" x14ac:dyDescent="0.2">
      <c r="A85" s="99"/>
      <c r="E85" s="27"/>
      <c r="F85" s="27"/>
      <c r="G85" s="135"/>
      <c r="H85" s="193"/>
    </row>
    <row r="86" spans="1:8" ht="13.5" thickBot="1" x14ac:dyDescent="0.25">
      <c r="A86" s="100" t="s">
        <v>101</v>
      </c>
      <c r="B86" s="6"/>
      <c r="C86" s="96"/>
      <c r="E86" s="4"/>
      <c r="F86" s="4"/>
      <c r="G86" s="43"/>
      <c r="H86" s="193"/>
    </row>
    <row r="87" spans="1:8" ht="13.5" thickBot="1" x14ac:dyDescent="0.25">
      <c r="A87" s="403" t="s">
        <v>27</v>
      </c>
      <c r="B87" s="412"/>
      <c r="C87" s="236" t="s">
        <v>28</v>
      </c>
      <c r="D87" s="236" t="s">
        <v>21</v>
      </c>
      <c r="E87" s="237" t="s">
        <v>92</v>
      </c>
      <c r="F87" s="237" t="s">
        <v>29</v>
      </c>
      <c r="G87" s="238" t="s">
        <v>30</v>
      </c>
      <c r="H87" s="238" t="s">
        <v>154</v>
      </c>
    </row>
    <row r="88" spans="1:8" x14ac:dyDescent="0.2">
      <c r="A88" s="420" t="s">
        <v>41</v>
      </c>
      <c r="B88" s="390"/>
      <c r="C88" s="10" t="s">
        <v>20</v>
      </c>
      <c r="D88" s="35">
        <v>1</v>
      </c>
      <c r="E88" s="267">
        <f>'lote 3.1'!E88</f>
        <v>6.6</v>
      </c>
      <c r="F88" s="11"/>
      <c r="G88" s="136"/>
      <c r="H88" s="136"/>
    </row>
    <row r="89" spans="1:8" x14ac:dyDescent="0.2">
      <c r="A89" s="413" t="s">
        <v>42</v>
      </c>
      <c r="B89" s="385"/>
      <c r="C89" s="10" t="s">
        <v>43</v>
      </c>
      <c r="D89" s="21">
        <f>E43</f>
        <v>20</v>
      </c>
      <c r="E89" s="11"/>
      <c r="F89" s="11"/>
      <c r="G89" s="137"/>
      <c r="H89" s="193"/>
    </row>
    <row r="90" spans="1:8" x14ac:dyDescent="0.2">
      <c r="A90" s="418" t="s">
        <v>135</v>
      </c>
      <c r="B90" s="385"/>
      <c r="C90" s="10" t="s">
        <v>6</v>
      </c>
      <c r="D90" s="21">
        <f>$D$89*2*(F32)</f>
        <v>40</v>
      </c>
      <c r="E90" s="9">
        <f>IF(E88=0,"",IFERROR((($D$89*2*$E$88)-(F54*0.06*D89/20))/($D$89*2),"-"))</f>
        <v>4.1684999999999999</v>
      </c>
      <c r="F90" s="11">
        <f>IFERROR(D90*E90,"-")</f>
        <v>166.74</v>
      </c>
      <c r="G90" s="137"/>
      <c r="H90" s="193"/>
    </row>
    <row r="91" spans="1:8" x14ac:dyDescent="0.2">
      <c r="A91" s="418" t="s">
        <v>100</v>
      </c>
      <c r="B91" s="385"/>
      <c r="C91" s="8" t="s">
        <v>6</v>
      </c>
      <c r="D91" s="21">
        <f>$D$89*2*(F31)</f>
        <v>40</v>
      </c>
      <c r="E91" s="9">
        <f>IF(E88=0,"",IFERROR((($D$89*2*$E$88)-(F71*0.06*D89/20))/($D$89*2),"-"))</f>
        <v>3.1935000000000002</v>
      </c>
      <c r="F91" s="9">
        <f>IFERROR(D91*E91,"-")</f>
        <v>127.74000000000001</v>
      </c>
      <c r="G91" s="137"/>
      <c r="H91" s="193"/>
    </row>
    <row r="92" spans="1:8" ht="13.5" thickBot="1" x14ac:dyDescent="0.25">
      <c r="A92" s="99"/>
      <c r="E92" s="95" t="s">
        <v>86</v>
      </c>
      <c r="F92" s="250">
        <f>$C$46</f>
        <v>0.71590909090909083</v>
      </c>
      <c r="G92" s="239">
        <f>SUM(F88:F91)*F92</f>
        <v>210.82090909090908</v>
      </c>
      <c r="H92" s="239">
        <f>G92/G$42</f>
        <v>9.9443825042881642E-2</v>
      </c>
    </row>
    <row r="93" spans="1:8" ht="11.25" customHeight="1" x14ac:dyDescent="0.2">
      <c r="A93" s="99"/>
      <c r="E93" s="27"/>
      <c r="F93" s="27"/>
      <c r="G93" s="135"/>
      <c r="H93" s="193"/>
    </row>
    <row r="94" spans="1:8" ht="13.5" thickBot="1" x14ac:dyDescent="0.25">
      <c r="A94" s="100" t="s">
        <v>102</v>
      </c>
      <c r="B94" s="6"/>
      <c r="E94" s="27"/>
      <c r="F94" s="27"/>
      <c r="G94" s="139"/>
      <c r="H94" s="193"/>
    </row>
    <row r="95" spans="1:8" ht="13.5" thickBot="1" x14ac:dyDescent="0.25">
      <c r="A95" s="240" t="s">
        <v>27</v>
      </c>
      <c r="B95" s="241"/>
      <c r="C95" s="236" t="s">
        <v>28</v>
      </c>
      <c r="D95" s="236" t="s">
        <v>21</v>
      </c>
      <c r="E95" s="237" t="s">
        <v>92</v>
      </c>
      <c r="F95" s="237" t="s">
        <v>29</v>
      </c>
      <c r="G95" s="238" t="s">
        <v>30</v>
      </c>
      <c r="H95" s="238" t="s">
        <v>154</v>
      </c>
    </row>
    <row r="96" spans="1:8" x14ac:dyDescent="0.2">
      <c r="A96" s="405" t="s">
        <v>136</v>
      </c>
      <c r="B96" s="390"/>
      <c r="C96" s="92" t="s">
        <v>7</v>
      </c>
      <c r="D96" s="36">
        <f>D89*(F32)</f>
        <v>20</v>
      </c>
      <c r="E96" s="262">
        <f>'lote 3.1'!E96</f>
        <v>46</v>
      </c>
      <c r="F96" s="23">
        <f>D96*E96</f>
        <v>920</v>
      </c>
      <c r="G96" s="140"/>
      <c r="H96" s="136"/>
    </row>
    <row r="97" spans="1:8" x14ac:dyDescent="0.2">
      <c r="A97" s="418" t="s">
        <v>99</v>
      </c>
      <c r="B97" s="385"/>
      <c r="C97" s="92" t="s">
        <v>7</v>
      </c>
      <c r="D97" s="36">
        <f>D89*(F31)</f>
        <v>20</v>
      </c>
      <c r="E97" s="262">
        <f>E96</f>
        <v>46</v>
      </c>
      <c r="F97" s="23">
        <f>D97*E97</f>
        <v>920</v>
      </c>
      <c r="G97" s="141"/>
      <c r="H97" s="193"/>
    </row>
    <row r="98" spans="1:8" ht="13.5" thickBot="1" x14ac:dyDescent="0.25">
      <c r="A98" s="99"/>
      <c r="E98" s="95" t="s">
        <v>86</v>
      </c>
      <c r="F98" s="250">
        <f>$C$46</f>
        <v>0.71590909090909083</v>
      </c>
      <c r="G98" s="239">
        <f>SUM(F96:F97)*F98</f>
        <v>1317.272727272727</v>
      </c>
      <c r="H98" s="239">
        <f>G98/G$42</f>
        <v>0.62135506003430518</v>
      </c>
    </row>
    <row r="99" spans="1:8" ht="13.5" thickBot="1" x14ac:dyDescent="0.25">
      <c r="A99" s="99"/>
      <c r="E99" s="27"/>
      <c r="F99" s="27"/>
      <c r="G99" s="135"/>
      <c r="H99" s="198"/>
    </row>
    <row r="100" spans="1:8" ht="13.5" thickBot="1" x14ac:dyDescent="0.25">
      <c r="A100" s="100" t="s">
        <v>299</v>
      </c>
      <c r="B100" s="6"/>
      <c r="E100" s="27"/>
      <c r="F100" s="27"/>
      <c r="G100" s="139"/>
      <c r="H100" s="193"/>
    </row>
    <row r="101" spans="1:8" ht="13.5" thickBot="1" x14ac:dyDescent="0.25">
      <c r="A101" s="240" t="s">
        <v>27</v>
      </c>
      <c r="B101" s="241"/>
      <c r="C101" s="236" t="s">
        <v>28</v>
      </c>
      <c r="D101" s="236" t="s">
        <v>21</v>
      </c>
      <c r="E101" s="237" t="s">
        <v>92</v>
      </c>
      <c r="F101" s="237" t="s">
        <v>29</v>
      </c>
      <c r="G101" s="238" t="s">
        <v>30</v>
      </c>
      <c r="H101" s="238" t="s">
        <v>154</v>
      </c>
    </row>
    <row r="102" spans="1:8" x14ac:dyDescent="0.2">
      <c r="A102" s="405" t="s">
        <v>136</v>
      </c>
      <c r="B102" s="390"/>
      <c r="C102" s="92" t="s">
        <v>7</v>
      </c>
      <c r="D102" s="351" t="s">
        <v>283</v>
      </c>
      <c r="E102" s="262">
        <f>'lote 3.1'!E102</f>
        <v>25.5</v>
      </c>
      <c r="F102" s="23">
        <f>E102</f>
        <v>25.5</v>
      </c>
      <c r="G102" s="140"/>
      <c r="H102" s="136"/>
    </row>
    <row r="103" spans="1:8" x14ac:dyDescent="0.2">
      <c r="A103" s="418" t="s">
        <v>99</v>
      </c>
      <c r="B103" s="385"/>
      <c r="C103" s="92" t="s">
        <v>7</v>
      </c>
      <c r="D103" s="351" t="s">
        <v>283</v>
      </c>
      <c r="E103" s="262">
        <f>E102</f>
        <v>25.5</v>
      </c>
      <c r="F103" s="23">
        <f>E103</f>
        <v>25.5</v>
      </c>
      <c r="G103" s="141"/>
      <c r="H103" s="193"/>
    </row>
    <row r="104" spans="1:8" ht="13.5" thickBot="1" x14ac:dyDescent="0.25">
      <c r="A104" s="99"/>
      <c r="E104" s="95" t="s">
        <v>86</v>
      </c>
      <c r="F104" s="250">
        <f>$C$46</f>
        <v>0.71590909090909083</v>
      </c>
      <c r="G104" s="239">
        <f>SUM(F102:F103)*F104</f>
        <v>36.511363636363633</v>
      </c>
      <c r="H104" s="239">
        <f>G104/G$42</f>
        <v>1.7222341337907374E-2</v>
      </c>
    </row>
    <row r="105" spans="1:8" ht="13.5" thickBot="1" x14ac:dyDescent="0.25">
      <c r="A105" s="99"/>
      <c r="E105" s="27"/>
      <c r="F105" s="27"/>
      <c r="G105" s="135"/>
      <c r="H105" s="198"/>
    </row>
    <row r="106" spans="1:8" ht="13.5" thickBot="1" x14ac:dyDescent="0.25">
      <c r="A106" s="99"/>
      <c r="E106" s="27"/>
      <c r="F106" s="27"/>
      <c r="G106" s="135"/>
      <c r="H106" s="198"/>
    </row>
    <row r="107" spans="1:8" ht="13.5" thickBot="1" x14ac:dyDescent="0.25">
      <c r="A107" s="12" t="s">
        <v>106</v>
      </c>
      <c r="B107" s="13"/>
      <c r="C107" s="13"/>
      <c r="D107" s="13"/>
      <c r="E107" s="14"/>
      <c r="F107" s="15"/>
      <c r="G107" s="242">
        <f>SUM(G54:G99)-G67-G84+G104</f>
        <v>6533.115177272728</v>
      </c>
      <c r="H107" s="243">
        <f>G107/G$42</f>
        <v>3.0816581024871357</v>
      </c>
    </row>
    <row r="108" spans="1:8" ht="13.5" thickBot="1" x14ac:dyDescent="0.25">
      <c r="A108" s="12" t="s">
        <v>107</v>
      </c>
      <c r="B108" s="13"/>
      <c r="C108" s="13"/>
      <c r="D108" s="13"/>
      <c r="E108" s="14"/>
      <c r="F108" s="15"/>
      <c r="G108" s="244">
        <f>SUM(G54:G99)-G60-G77+G104</f>
        <v>5480.0897485090927</v>
      </c>
      <c r="H108" s="239">
        <f>G108/G$42</f>
        <v>2.5849479945797609</v>
      </c>
    </row>
    <row r="109" spans="1:8" x14ac:dyDescent="0.2">
      <c r="A109" s="99"/>
      <c r="E109" s="27"/>
      <c r="F109" s="27"/>
      <c r="G109" s="135"/>
      <c r="H109" s="193"/>
    </row>
    <row r="110" spans="1:8" x14ac:dyDescent="0.2">
      <c r="A110" s="100" t="s">
        <v>211</v>
      </c>
      <c r="B110" s="6"/>
      <c r="E110" s="27"/>
      <c r="F110" s="27"/>
      <c r="G110" s="43"/>
      <c r="H110" s="193"/>
    </row>
    <row r="111" spans="1:8" ht="13.5" thickBot="1" x14ac:dyDescent="0.25">
      <c r="A111" s="100" t="s">
        <v>212</v>
      </c>
      <c r="B111" s="6"/>
      <c r="E111" s="27"/>
      <c r="F111" s="27"/>
      <c r="G111" s="43"/>
      <c r="H111" s="193"/>
    </row>
    <row r="112" spans="1:8" ht="13.5" thickBot="1" x14ac:dyDescent="0.25">
      <c r="A112" s="240" t="s">
        <v>27</v>
      </c>
      <c r="B112" s="241"/>
      <c r="C112" s="236" t="s">
        <v>28</v>
      </c>
      <c r="D112" s="236" t="s">
        <v>21</v>
      </c>
      <c r="E112" s="237" t="s">
        <v>92</v>
      </c>
      <c r="F112" s="237" t="s">
        <v>29</v>
      </c>
      <c r="G112" s="238" t="s">
        <v>30</v>
      </c>
      <c r="H112" s="238" t="s">
        <v>154</v>
      </c>
    </row>
    <row r="113" spans="1:10" x14ac:dyDescent="0.2">
      <c r="A113" s="405" t="s">
        <v>128</v>
      </c>
      <c r="B113" s="390"/>
      <c r="C113" s="8" t="s">
        <v>7</v>
      </c>
      <c r="D113" s="8">
        <v>1</v>
      </c>
      <c r="E113" s="187">
        <f>G36</f>
        <v>270086</v>
      </c>
      <c r="F113" s="9">
        <f>D113*E113</f>
        <v>270086</v>
      </c>
      <c r="G113" s="136"/>
      <c r="H113" s="136"/>
    </row>
    <row r="114" spans="1:10" x14ac:dyDescent="0.2">
      <c r="A114" s="418" t="s">
        <v>145</v>
      </c>
      <c r="B114" s="385"/>
      <c r="C114" s="10" t="s">
        <v>44</v>
      </c>
      <c r="D114" s="188">
        <v>10</v>
      </c>
      <c r="E114" s="33"/>
      <c r="F114" s="11"/>
      <c r="G114" s="137"/>
      <c r="H114" s="193"/>
    </row>
    <row r="115" spans="1:10" x14ac:dyDescent="0.2">
      <c r="A115" s="418" t="s">
        <v>137</v>
      </c>
      <c r="B115" s="385"/>
      <c r="C115" s="10" t="s">
        <v>0</v>
      </c>
      <c r="D115" s="262">
        <v>65.180000000000007</v>
      </c>
      <c r="E115" s="201">
        <f>F113</f>
        <v>270086</v>
      </c>
      <c r="F115" s="201">
        <f>D115*E115/100</f>
        <v>176042.05480000001</v>
      </c>
      <c r="G115" s="137"/>
      <c r="H115" s="193"/>
    </row>
    <row r="116" spans="1:10" x14ac:dyDescent="0.2">
      <c r="A116" s="406" t="s">
        <v>146</v>
      </c>
      <c r="B116" s="385"/>
      <c r="C116" s="37" t="s">
        <v>5</v>
      </c>
      <c r="D116" s="37">
        <f>D114*12</f>
        <v>120</v>
      </c>
      <c r="E116" s="38">
        <f>F115</f>
        <v>176042.05480000001</v>
      </c>
      <c r="F116" s="38">
        <f>IFERROR(E116/D116,0)</f>
        <v>1467.0171233333335</v>
      </c>
      <c r="G116" s="137"/>
      <c r="H116" s="193"/>
    </row>
    <row r="117" spans="1:10" x14ac:dyDescent="0.2">
      <c r="A117" s="406" t="s">
        <v>96</v>
      </c>
      <c r="B117" s="385"/>
      <c r="C117" s="158" t="s">
        <v>7</v>
      </c>
      <c r="D117" s="200">
        <f>F36</f>
        <v>1</v>
      </c>
      <c r="E117" s="159">
        <f>F116</f>
        <v>1467.0171233333335</v>
      </c>
      <c r="F117" s="160">
        <f>D117*E117</f>
        <v>1467.0171233333335</v>
      </c>
      <c r="G117" s="137"/>
      <c r="H117" s="193"/>
    </row>
    <row r="118" spans="1:10" ht="13.5" thickBot="1" x14ac:dyDescent="0.25">
      <c r="A118" s="103"/>
      <c r="B118" s="90"/>
      <c r="C118" s="90"/>
      <c r="D118" s="90"/>
      <c r="E118" s="95" t="s">
        <v>86</v>
      </c>
      <c r="F118" s="250">
        <f>$C$46</f>
        <v>0.71590909090909083</v>
      </c>
      <c r="G118" s="239">
        <f>F117*F118</f>
        <v>1050.2508951136365</v>
      </c>
      <c r="H118" s="239">
        <f>G118/G$42</f>
        <v>0.49540136561963988</v>
      </c>
    </row>
    <row r="119" spans="1:10" ht="13.5" thickBot="1" x14ac:dyDescent="0.25">
      <c r="A119" s="100" t="s">
        <v>213</v>
      </c>
      <c r="B119" s="6"/>
      <c r="E119" s="27"/>
      <c r="F119" s="278"/>
      <c r="G119" s="135"/>
      <c r="H119" s="193"/>
    </row>
    <row r="120" spans="1:10" ht="13.5" thickBot="1" x14ac:dyDescent="0.25">
      <c r="A120" s="403" t="s">
        <v>27</v>
      </c>
      <c r="B120" s="412"/>
      <c r="C120" s="236" t="s">
        <v>28</v>
      </c>
      <c r="D120" s="236" t="s">
        <v>21</v>
      </c>
      <c r="E120" s="237" t="s">
        <v>92</v>
      </c>
      <c r="F120" s="237" t="s">
        <v>29</v>
      </c>
      <c r="G120" s="238" t="s">
        <v>30</v>
      </c>
      <c r="H120" s="238" t="s">
        <v>154</v>
      </c>
      <c r="J120" s="34"/>
    </row>
    <row r="121" spans="1:10" x14ac:dyDescent="0.2">
      <c r="A121" s="405" t="s">
        <v>147</v>
      </c>
      <c r="B121" s="390"/>
      <c r="C121" s="8" t="s">
        <v>7</v>
      </c>
      <c r="D121" s="8">
        <v>1</v>
      </c>
      <c r="E121" s="9">
        <f>E113</f>
        <v>270086</v>
      </c>
      <c r="F121" s="9">
        <f>D121*E121</f>
        <v>270086</v>
      </c>
      <c r="G121" s="143"/>
      <c r="H121" s="136"/>
      <c r="I121" s="2"/>
      <c r="J121" s="34"/>
    </row>
    <row r="122" spans="1:10" x14ac:dyDescent="0.2">
      <c r="A122" s="413" t="s">
        <v>88</v>
      </c>
      <c r="B122" s="385"/>
      <c r="C122" s="10" t="s">
        <v>0</v>
      </c>
      <c r="D122" s="268">
        <f>'lote 21.1'!D122</f>
        <v>14.75</v>
      </c>
      <c r="E122" s="11"/>
      <c r="F122" s="11"/>
      <c r="G122" s="142"/>
      <c r="H122" s="193"/>
      <c r="I122" s="2"/>
      <c r="J122" s="34"/>
    </row>
    <row r="123" spans="1:10" x14ac:dyDescent="0.2">
      <c r="A123" s="418" t="s">
        <v>219</v>
      </c>
      <c r="B123" s="385"/>
      <c r="C123" s="10" t="s">
        <v>20</v>
      </c>
      <c r="D123" s="48">
        <f>F121</f>
        <v>270086</v>
      </c>
      <c r="E123" s="11"/>
      <c r="F123" s="11"/>
      <c r="G123" s="142"/>
      <c r="H123" s="193"/>
      <c r="I123" s="2"/>
      <c r="J123" s="34"/>
    </row>
    <row r="124" spans="1:10" x14ac:dyDescent="0.2">
      <c r="A124" s="418" t="s">
        <v>218</v>
      </c>
      <c r="B124" s="385"/>
      <c r="C124" s="10"/>
      <c r="D124" s="48">
        <f>F113-F115</f>
        <v>94043.945199999987</v>
      </c>
      <c r="E124" s="11"/>
      <c r="F124" s="11"/>
      <c r="G124" s="142"/>
      <c r="H124" s="193"/>
      <c r="I124" s="2"/>
      <c r="J124" s="34"/>
    </row>
    <row r="125" spans="1:10" x14ac:dyDescent="0.2">
      <c r="A125" s="418" t="s">
        <v>210</v>
      </c>
      <c r="B125" s="385"/>
      <c r="C125" s="10" t="s">
        <v>20</v>
      </c>
      <c r="D125" s="33">
        <f>(D123-D124)*((D114+1)/(2*D114))+D124</f>
        <v>190867.07533999998</v>
      </c>
      <c r="E125" s="11"/>
      <c r="F125" s="11"/>
      <c r="G125" s="142"/>
      <c r="H125" s="193"/>
      <c r="I125" s="2"/>
      <c r="J125" s="34"/>
    </row>
    <row r="126" spans="1:10" x14ac:dyDescent="0.2">
      <c r="A126" s="406" t="s">
        <v>148</v>
      </c>
      <c r="B126" s="385"/>
      <c r="C126" s="37" t="s">
        <v>20</v>
      </c>
      <c r="D126" s="37"/>
      <c r="E126" s="161">
        <f>D122*D125/12/100</f>
        <v>2346.0744677208331</v>
      </c>
      <c r="F126" s="38">
        <f>E126</f>
        <v>2346.0744677208331</v>
      </c>
      <c r="G126" s="142"/>
      <c r="H126" s="193"/>
      <c r="J126" s="34"/>
    </row>
    <row r="127" spans="1:10" x14ac:dyDescent="0.2">
      <c r="A127" s="406" t="s">
        <v>149</v>
      </c>
      <c r="B127" s="397"/>
      <c r="C127" s="94"/>
      <c r="D127" s="94"/>
      <c r="E127" s="19"/>
      <c r="F127" s="160">
        <f>F126</f>
        <v>2346.0744677208331</v>
      </c>
      <c r="G127" s="142"/>
      <c r="H127" s="193"/>
      <c r="I127" s="34"/>
      <c r="J127" s="34"/>
    </row>
    <row r="128" spans="1:10" x14ac:dyDescent="0.2">
      <c r="A128" s="406" t="s">
        <v>96</v>
      </c>
      <c r="B128" s="385"/>
      <c r="C128" s="37" t="s">
        <v>7</v>
      </c>
      <c r="D128" s="10">
        <f>D117</f>
        <v>1</v>
      </c>
      <c r="E128" s="38">
        <f>F127</f>
        <v>2346.0744677208331</v>
      </c>
      <c r="F128" s="39">
        <f>D128*E128</f>
        <v>2346.0744677208331</v>
      </c>
      <c r="G128" s="142"/>
      <c r="H128" s="193"/>
      <c r="I128" s="34">
        <f>(I127*2)/12/100</f>
        <v>0</v>
      </c>
      <c r="J128" s="34"/>
    </row>
    <row r="129" spans="1:11" ht="13.5" thickBot="1" x14ac:dyDescent="0.25">
      <c r="A129" s="99"/>
      <c r="D129" s="97"/>
      <c r="E129" s="95" t="s">
        <v>86</v>
      </c>
      <c r="F129" s="250">
        <f>$C$46</f>
        <v>0.71590909090909083</v>
      </c>
      <c r="G129" s="239">
        <f>F128*F129</f>
        <v>1679.5760393910507</v>
      </c>
      <c r="H129" s="239">
        <f>G129/G$42</f>
        <v>0.79225284876936353</v>
      </c>
      <c r="J129" s="34"/>
    </row>
    <row r="130" spans="1:11" ht="11.25" customHeight="1" x14ac:dyDescent="0.2">
      <c r="A130" s="99"/>
      <c r="E130" s="27"/>
      <c r="F130" s="27"/>
      <c r="G130" s="135"/>
      <c r="H130" s="193"/>
      <c r="I130" s="208"/>
      <c r="J130" s="34"/>
    </row>
    <row r="131" spans="1:11" x14ac:dyDescent="0.2">
      <c r="A131" s="100" t="s">
        <v>214</v>
      </c>
      <c r="B131" s="6"/>
      <c r="E131" s="27"/>
      <c r="F131" s="27"/>
      <c r="G131" s="43"/>
      <c r="H131" s="193"/>
      <c r="J131" s="34"/>
    </row>
    <row r="132" spans="1:11" ht="13.5" thickBot="1" x14ac:dyDescent="0.25">
      <c r="A132" s="100" t="str">
        <f>'lote 21.1'!A132</f>
        <v>Despesas consideradas específicas para o transporte escolar municipal</v>
      </c>
      <c r="B132" s="6"/>
      <c r="E132" s="27"/>
      <c r="F132" s="27"/>
      <c r="G132" s="43"/>
      <c r="H132" s="43"/>
      <c r="J132" s="34"/>
    </row>
    <row r="133" spans="1:11" ht="13.5" thickBot="1" x14ac:dyDescent="0.25">
      <c r="A133" s="403" t="s">
        <v>27</v>
      </c>
      <c r="B133" s="412"/>
      <c r="C133" s="236" t="s">
        <v>28</v>
      </c>
      <c r="D133" s="236" t="s">
        <v>21</v>
      </c>
      <c r="E133" s="237" t="s">
        <v>92</v>
      </c>
      <c r="F133" s="237" t="s">
        <v>29</v>
      </c>
      <c r="G133" s="238" t="s">
        <v>30</v>
      </c>
      <c r="H133" s="238" t="s">
        <v>154</v>
      </c>
      <c r="J133" s="34"/>
    </row>
    <row r="134" spans="1:11" x14ac:dyDescent="0.2">
      <c r="A134" s="420" t="s">
        <v>8</v>
      </c>
      <c r="B134" s="390"/>
      <c r="C134" s="8" t="s">
        <v>7</v>
      </c>
      <c r="D134" s="9">
        <f>D117</f>
        <v>1</v>
      </c>
      <c r="E134" s="9">
        <f>0.01*($F$113)</f>
        <v>2700.86</v>
      </c>
      <c r="F134" s="9">
        <f t="shared" ref="F134:F139" si="5">D134*E134</f>
        <v>2700.86</v>
      </c>
      <c r="G134" s="136"/>
      <c r="H134" s="136"/>
      <c r="J134" s="34"/>
    </row>
    <row r="135" spans="1:11" x14ac:dyDescent="0.2">
      <c r="A135" s="413" t="s">
        <v>85</v>
      </c>
      <c r="B135" s="385"/>
      <c r="C135" s="10" t="s">
        <v>7</v>
      </c>
      <c r="D135" s="9">
        <f>D117</f>
        <v>1</v>
      </c>
      <c r="E135" s="262">
        <v>562</v>
      </c>
      <c r="F135" s="11">
        <f t="shared" si="5"/>
        <v>562</v>
      </c>
      <c r="G135" s="137"/>
      <c r="H135" s="193"/>
      <c r="J135" s="34"/>
    </row>
    <row r="136" spans="1:11" x14ac:dyDescent="0.2">
      <c r="A136" s="413" t="s">
        <v>9</v>
      </c>
      <c r="B136" s="385"/>
      <c r="C136" s="10" t="s">
        <v>7</v>
      </c>
      <c r="D136" s="9">
        <f>D117</f>
        <v>1</v>
      </c>
      <c r="E136" s="262">
        <v>1310</v>
      </c>
      <c r="F136" s="11">
        <f t="shared" si="5"/>
        <v>1310</v>
      </c>
      <c r="G136" s="144"/>
      <c r="H136" s="193"/>
      <c r="J136" s="34"/>
    </row>
    <row r="137" spans="1:11" x14ac:dyDescent="0.2">
      <c r="A137" s="418" t="s">
        <v>197</v>
      </c>
      <c r="B137" s="385"/>
      <c r="C137" s="10" t="s">
        <v>7</v>
      </c>
      <c r="D137" s="9">
        <v>1</v>
      </c>
      <c r="E137" s="262">
        <v>1171</v>
      </c>
      <c r="F137" s="11">
        <f t="shared" si="5"/>
        <v>1171</v>
      </c>
      <c r="G137" s="144"/>
      <c r="H137" s="193"/>
      <c r="J137" s="34"/>
    </row>
    <row r="138" spans="1:11" x14ac:dyDescent="0.2">
      <c r="A138" s="418" t="s">
        <v>208</v>
      </c>
      <c r="B138" s="385"/>
      <c r="C138" s="10" t="s">
        <v>7</v>
      </c>
      <c r="D138" s="9">
        <v>1</v>
      </c>
      <c r="E138" s="262">
        <v>419</v>
      </c>
      <c r="F138" s="11">
        <f t="shared" si="5"/>
        <v>419</v>
      </c>
      <c r="G138" s="144"/>
      <c r="H138" s="193"/>
      <c r="J138" s="34"/>
    </row>
    <row r="139" spans="1:11" x14ac:dyDescent="0.2">
      <c r="A139" s="418" t="s">
        <v>198</v>
      </c>
      <c r="B139" s="385"/>
      <c r="C139" s="10" t="s">
        <v>7</v>
      </c>
      <c r="D139" s="9">
        <v>1</v>
      </c>
      <c r="E139" s="262">
        <v>770</v>
      </c>
      <c r="F139" s="11">
        <f t="shared" si="5"/>
        <v>770</v>
      </c>
      <c r="G139" s="144"/>
      <c r="H139" s="193"/>
      <c r="J139" s="34"/>
    </row>
    <row r="140" spans="1:11" x14ac:dyDescent="0.2">
      <c r="A140" s="406" t="s">
        <v>10</v>
      </c>
      <c r="B140" s="385"/>
      <c r="C140" s="37" t="s">
        <v>5</v>
      </c>
      <c r="D140" s="37">
        <v>12</v>
      </c>
      <c r="E140" s="38">
        <f>SUM(F134:F139)</f>
        <v>6932.8600000000006</v>
      </c>
      <c r="F140" s="38">
        <f>E140/D140</f>
        <v>577.73833333333334</v>
      </c>
      <c r="G140" s="137"/>
      <c r="H140" s="193"/>
      <c r="J140" s="34"/>
    </row>
    <row r="141" spans="1:11" ht="13.5" thickBot="1" x14ac:dyDescent="0.25">
      <c r="A141" s="279"/>
      <c r="B141" s="82"/>
      <c r="C141" s="82"/>
      <c r="D141" s="82"/>
      <c r="E141" s="280" t="s">
        <v>86</v>
      </c>
      <c r="F141" s="250">
        <v>1</v>
      </c>
      <c r="G141" s="239">
        <f>F140*F141</f>
        <v>577.73833333333334</v>
      </c>
      <c r="H141" s="239">
        <f>G141/G$42</f>
        <v>0.27251808176100628</v>
      </c>
      <c r="J141" s="34"/>
    </row>
    <row r="142" spans="1:11" x14ac:dyDescent="0.2">
      <c r="A142" s="100" t="s">
        <v>215</v>
      </c>
      <c r="B142" s="6"/>
      <c r="C142" s="98"/>
      <c r="E142" s="27"/>
      <c r="F142" s="27"/>
      <c r="G142" s="43"/>
      <c r="H142" s="193"/>
      <c r="J142" s="34"/>
    </row>
    <row r="143" spans="1:11" ht="13.5" thickBot="1" x14ac:dyDescent="0.25">
      <c r="A143" s="102" t="s">
        <v>150</v>
      </c>
      <c r="B143" s="214"/>
      <c r="C143" s="190">
        <f>G42</f>
        <v>2120</v>
      </c>
      <c r="E143" s="27"/>
      <c r="F143" s="27"/>
      <c r="G143" s="43"/>
      <c r="H143" s="193"/>
      <c r="J143" s="34"/>
    </row>
    <row r="144" spans="1:11" ht="13.5" thickBot="1" x14ac:dyDescent="0.25">
      <c r="A144" s="403" t="s">
        <v>27</v>
      </c>
      <c r="B144" s="412"/>
      <c r="C144" s="236" t="s">
        <v>28</v>
      </c>
      <c r="D144" s="236" t="s">
        <v>95</v>
      </c>
      <c r="E144" s="237" t="s">
        <v>92</v>
      </c>
      <c r="F144" s="237" t="s">
        <v>29</v>
      </c>
      <c r="G144" s="238" t="s">
        <v>30</v>
      </c>
      <c r="H144" s="238" t="s">
        <v>154</v>
      </c>
      <c r="J144" s="34"/>
      <c r="K144" s="34"/>
    </row>
    <row r="145" spans="1:11" x14ac:dyDescent="0.2">
      <c r="A145" s="420" t="s">
        <v>11</v>
      </c>
      <c r="B145" s="390"/>
      <c r="C145" s="8" t="s">
        <v>12</v>
      </c>
      <c r="D145" s="187">
        <f>F38</f>
        <v>5.5</v>
      </c>
      <c r="E145" s="187">
        <f>G38</f>
        <v>7.32</v>
      </c>
      <c r="F145" s="9"/>
      <c r="G145" s="136"/>
      <c r="H145" s="136"/>
      <c r="J145" s="34"/>
      <c r="K145" s="34"/>
    </row>
    <row r="146" spans="1:11" x14ac:dyDescent="0.2">
      <c r="A146" s="413" t="s">
        <v>13</v>
      </c>
      <c r="B146" s="385"/>
      <c r="C146" s="10" t="s">
        <v>14</v>
      </c>
      <c r="D146" s="35">
        <f>C143</f>
        <v>2120</v>
      </c>
      <c r="E146" s="89">
        <f>IFERROR(+E145/D145,"-")</f>
        <v>1.330909090909091</v>
      </c>
      <c r="F146" s="11">
        <f>IFERROR(D146*E146,"-")</f>
        <v>2821.5272727272732</v>
      </c>
      <c r="G146" s="137"/>
      <c r="H146" s="193"/>
      <c r="J146" s="34"/>
      <c r="K146" s="34"/>
    </row>
    <row r="147" spans="1:11" x14ac:dyDescent="0.2">
      <c r="A147" s="418" t="s">
        <v>232</v>
      </c>
      <c r="B147" s="385"/>
      <c r="C147" s="92" t="s">
        <v>233</v>
      </c>
      <c r="D147" s="269">
        <v>7.4</v>
      </c>
      <c r="E147" s="262">
        <v>18.3</v>
      </c>
      <c r="F147" s="11"/>
      <c r="G147" s="137"/>
      <c r="H147" s="193"/>
      <c r="J147" s="34"/>
      <c r="K147" s="34"/>
    </row>
    <row r="148" spans="1:11" x14ac:dyDescent="0.2">
      <c r="A148" s="413" t="s">
        <v>15</v>
      </c>
      <c r="B148" s="385"/>
      <c r="C148" s="10" t="s">
        <v>14</v>
      </c>
      <c r="D148" s="35">
        <f>D146</f>
        <v>2120</v>
      </c>
      <c r="E148" s="86">
        <f>+D147*E147/10000</f>
        <v>1.3542000000000002E-2</v>
      </c>
      <c r="F148" s="11">
        <f>D148*E148</f>
        <v>28.709040000000005</v>
      </c>
      <c r="G148" s="137"/>
      <c r="H148" s="193"/>
      <c r="J148" s="34"/>
      <c r="K148" s="34"/>
    </row>
    <row r="149" spans="1:11" x14ac:dyDescent="0.2">
      <c r="A149" s="418" t="s">
        <v>234</v>
      </c>
      <c r="B149" s="385"/>
      <c r="C149" s="92" t="s">
        <v>235</v>
      </c>
      <c r="D149" s="269">
        <v>4.5999999999999996</v>
      </c>
      <c r="E149" s="262">
        <v>21.6</v>
      </c>
      <c r="F149" s="11"/>
      <c r="G149" s="137"/>
      <c r="H149" s="193"/>
      <c r="J149" s="34"/>
      <c r="K149" s="34"/>
    </row>
    <row r="150" spans="1:11" x14ac:dyDescent="0.2">
      <c r="A150" s="413" t="s">
        <v>16</v>
      </c>
      <c r="B150" s="385"/>
      <c r="C150" s="10" t="s">
        <v>14</v>
      </c>
      <c r="D150" s="35">
        <f>D146</f>
        <v>2120</v>
      </c>
      <c r="E150" s="231">
        <f>+D149*E149/100000</f>
        <v>9.9360000000000008E-4</v>
      </c>
      <c r="F150" s="11">
        <f>D150*E150</f>
        <v>2.1064320000000003</v>
      </c>
      <c r="G150" s="137"/>
      <c r="H150" s="193"/>
      <c r="J150" s="34"/>
      <c r="K150" s="34"/>
    </row>
    <row r="151" spans="1:11" x14ac:dyDescent="0.2">
      <c r="A151" s="418" t="s">
        <v>237</v>
      </c>
      <c r="B151" s="385"/>
      <c r="C151" s="92" t="s">
        <v>236</v>
      </c>
      <c r="D151" s="269">
        <v>1</v>
      </c>
      <c r="E151" s="262">
        <v>20.9</v>
      </c>
      <c r="F151" s="11"/>
      <c r="G151" s="137"/>
      <c r="H151" s="193"/>
      <c r="J151" s="34"/>
      <c r="K151" s="34"/>
    </row>
    <row r="152" spans="1:11" x14ac:dyDescent="0.2">
      <c r="A152" s="413" t="s">
        <v>17</v>
      </c>
      <c r="B152" s="385"/>
      <c r="C152" s="10" t="s">
        <v>14</v>
      </c>
      <c r="D152" s="35">
        <f>D146</f>
        <v>2120</v>
      </c>
      <c r="E152" s="231">
        <f>+D151*E151/80000</f>
        <v>2.6124999999999998E-4</v>
      </c>
      <c r="F152" s="11">
        <f>D152*E152</f>
        <v>0.55384999999999995</v>
      </c>
      <c r="G152" s="137"/>
      <c r="H152" s="193"/>
      <c r="J152" s="34"/>
      <c r="K152" s="34"/>
    </row>
    <row r="153" spans="1:11" x14ac:dyDescent="0.2">
      <c r="A153" s="418" t="s">
        <v>239</v>
      </c>
      <c r="B153" s="385"/>
      <c r="C153" s="92" t="s">
        <v>238</v>
      </c>
      <c r="D153" s="269">
        <v>1</v>
      </c>
      <c r="E153" s="262">
        <v>19.899999999999999</v>
      </c>
      <c r="F153" s="11"/>
      <c r="G153" s="137"/>
      <c r="H153" s="193"/>
      <c r="J153" s="34"/>
      <c r="K153" s="34"/>
    </row>
    <row r="154" spans="1:11" x14ac:dyDescent="0.2">
      <c r="A154" s="413" t="s">
        <v>18</v>
      </c>
      <c r="B154" s="385"/>
      <c r="C154" s="10" t="s">
        <v>14</v>
      </c>
      <c r="D154" s="35">
        <f>D146</f>
        <v>2120</v>
      </c>
      <c r="E154" s="86">
        <f>+D153*E153/10000</f>
        <v>1.99E-3</v>
      </c>
      <c r="F154" s="11">
        <f>D154*E154</f>
        <v>4.2187999999999999</v>
      </c>
      <c r="G154" s="137"/>
      <c r="H154" s="193"/>
      <c r="J154" s="34"/>
      <c r="K154" s="34"/>
    </row>
    <row r="155" spans="1:11" x14ac:dyDescent="0.2">
      <c r="A155" s="406" t="s">
        <v>94</v>
      </c>
      <c r="B155" s="385"/>
      <c r="C155" s="37" t="s">
        <v>45</v>
      </c>
      <c r="D155" s="87"/>
      <c r="E155" s="88">
        <f>IFERROR(E146+E148+E150+E152+E154,0)</f>
        <v>1.347695940909091</v>
      </c>
      <c r="F155" s="38">
        <f>SUM(F145:F154)</f>
        <v>2857.1153947272733</v>
      </c>
      <c r="G155" s="137"/>
      <c r="H155" s="193"/>
      <c r="J155" s="34"/>
      <c r="K155" s="34"/>
    </row>
    <row r="156" spans="1:11" ht="13.5" thickBot="1" x14ac:dyDescent="0.25">
      <c r="A156" s="99"/>
      <c r="E156" s="255" t="s">
        <v>138</v>
      </c>
      <c r="F156" s="23">
        <f>$C$47+1</f>
        <v>1.1499999999999999</v>
      </c>
      <c r="G156" s="239">
        <f>F155*F156</f>
        <v>3285.6827039363639</v>
      </c>
      <c r="H156" s="239">
        <f>G156/G$42</f>
        <v>1.5498503320454546</v>
      </c>
      <c r="J156" s="34"/>
      <c r="K156" s="34"/>
    </row>
    <row r="157" spans="1:11" ht="11.25" customHeight="1" x14ac:dyDescent="0.2">
      <c r="A157" s="99"/>
      <c r="E157" s="27"/>
      <c r="F157" s="27"/>
      <c r="G157" s="135"/>
      <c r="H157" s="193"/>
      <c r="J157" s="34"/>
      <c r="K157" s="34"/>
    </row>
    <row r="158" spans="1:11" ht="13.5" thickBot="1" x14ac:dyDescent="0.25">
      <c r="A158" s="100" t="s">
        <v>216</v>
      </c>
      <c r="B158" s="6"/>
      <c r="E158" s="27"/>
      <c r="F158" s="27"/>
      <c r="G158" s="43"/>
      <c r="H158" s="193"/>
      <c r="J158" s="34"/>
      <c r="K158" s="34"/>
    </row>
    <row r="159" spans="1:11" ht="13.5" thickBot="1" x14ac:dyDescent="0.25">
      <c r="A159" s="403" t="s">
        <v>27</v>
      </c>
      <c r="B159" s="412"/>
      <c r="C159" s="236" t="s">
        <v>28</v>
      </c>
      <c r="D159" s="236" t="s">
        <v>21</v>
      </c>
      <c r="E159" s="237" t="s">
        <v>92</v>
      </c>
      <c r="F159" s="237" t="s">
        <v>29</v>
      </c>
      <c r="G159" s="238" t="s">
        <v>30</v>
      </c>
      <c r="H159" s="238" t="s">
        <v>154</v>
      </c>
      <c r="J159" s="34"/>
      <c r="K159" s="34"/>
    </row>
    <row r="160" spans="1:11" x14ac:dyDescent="0.2">
      <c r="A160" s="405" t="s">
        <v>188</v>
      </c>
      <c r="B160" s="390"/>
      <c r="C160" s="8" t="s">
        <v>45</v>
      </c>
      <c r="D160" s="35">
        <f>D146</f>
        <v>2120</v>
      </c>
      <c r="E160" s="270">
        <v>1.35</v>
      </c>
      <c r="F160" s="9">
        <f>D160*E160</f>
        <v>2862</v>
      </c>
      <c r="G160" s="136"/>
      <c r="H160" s="136"/>
      <c r="I160" s="34">
        <f>F160*12</f>
        <v>34344</v>
      </c>
      <c r="J160" s="34"/>
      <c r="K160" s="34"/>
    </row>
    <row r="161" spans="1:11" s="165" customFormat="1" x14ac:dyDescent="0.2">
      <c r="A161" s="418" t="s">
        <v>139</v>
      </c>
      <c r="B161" s="385"/>
      <c r="C161" s="162" t="s">
        <v>140</v>
      </c>
      <c r="D161" s="272">
        <v>4</v>
      </c>
      <c r="E161" s="271">
        <v>100</v>
      </c>
      <c r="F161" s="163">
        <f>D161*E161</f>
        <v>400</v>
      </c>
      <c r="G161" s="164"/>
      <c r="H161" s="196"/>
      <c r="I161" s="4"/>
    </row>
    <row r="162" spans="1:11" s="165" customFormat="1" x14ac:dyDescent="0.2">
      <c r="A162" s="406" t="s">
        <v>141</v>
      </c>
      <c r="B162" s="385"/>
      <c r="C162" s="92" t="s">
        <v>142</v>
      </c>
      <c r="D162" s="166"/>
      <c r="E162" s="23"/>
      <c r="F162" s="159">
        <f>SUM(F160:F161)</f>
        <v>3262</v>
      </c>
      <c r="G162" s="164"/>
      <c r="H162" s="196"/>
      <c r="I162" s="4"/>
    </row>
    <row r="163" spans="1:11" ht="13.5" thickBot="1" x14ac:dyDescent="0.25">
      <c r="A163" s="99"/>
      <c r="E163" s="255" t="s">
        <v>138</v>
      </c>
      <c r="F163" s="23">
        <f>$C$47+1</f>
        <v>1.1499999999999999</v>
      </c>
      <c r="G163" s="239">
        <f>F162*F163</f>
        <v>3751.2999999999997</v>
      </c>
      <c r="H163" s="239">
        <f>G163/G$42</f>
        <v>1.7694811320754715</v>
      </c>
      <c r="J163" s="34"/>
      <c r="K163" s="34"/>
    </row>
    <row r="164" spans="1:11" ht="11.25" customHeight="1" x14ac:dyDescent="0.2">
      <c r="A164" s="99"/>
      <c r="E164" s="27"/>
      <c r="F164" s="27"/>
      <c r="G164" s="135"/>
      <c r="H164" s="193"/>
      <c r="J164" s="34"/>
      <c r="K164" s="34"/>
    </row>
    <row r="165" spans="1:11" ht="13.5" thickBot="1" x14ac:dyDescent="0.25">
      <c r="A165" s="100" t="s">
        <v>217</v>
      </c>
      <c r="B165" s="6"/>
      <c r="E165" s="27"/>
      <c r="F165" s="27"/>
      <c r="G165" s="43"/>
      <c r="H165" s="193"/>
      <c r="J165" s="34"/>
      <c r="K165" s="34"/>
    </row>
    <row r="166" spans="1:11" ht="13.5" thickBot="1" x14ac:dyDescent="0.25">
      <c r="A166" s="403" t="s">
        <v>27</v>
      </c>
      <c r="B166" s="412"/>
      <c r="C166" s="236" t="s">
        <v>28</v>
      </c>
      <c r="D166" s="236" t="s">
        <v>21</v>
      </c>
      <c r="E166" s="237" t="s">
        <v>92</v>
      </c>
      <c r="F166" s="237" t="s">
        <v>29</v>
      </c>
      <c r="G166" s="238" t="s">
        <v>30</v>
      </c>
      <c r="H166" s="238" t="s">
        <v>154</v>
      </c>
      <c r="J166" s="34"/>
      <c r="K166" s="34"/>
    </row>
    <row r="167" spans="1:11" x14ac:dyDescent="0.2">
      <c r="A167" s="405" t="s">
        <v>260</v>
      </c>
      <c r="B167" s="390"/>
      <c r="C167" s="8" t="s">
        <v>7</v>
      </c>
      <c r="D167" s="273">
        <v>6</v>
      </c>
      <c r="E167" s="271">
        <v>1397</v>
      </c>
      <c r="F167" s="9">
        <f>D167*E167</f>
        <v>8382</v>
      </c>
      <c r="G167" s="136"/>
      <c r="H167" s="136"/>
      <c r="J167" s="34"/>
      <c r="K167" s="34"/>
    </row>
    <row r="168" spans="1:11" x14ac:dyDescent="0.2">
      <c r="A168" s="427" t="s">
        <v>261</v>
      </c>
      <c r="B168" s="428"/>
      <c r="C168" s="8"/>
      <c r="D168" s="273"/>
      <c r="E168" s="271"/>
      <c r="F168" s="9"/>
      <c r="G168" s="137"/>
      <c r="H168" s="43"/>
      <c r="J168" s="34"/>
      <c r="K168" s="34"/>
    </row>
    <row r="169" spans="1:11" x14ac:dyDescent="0.2">
      <c r="A169" s="418" t="s">
        <v>129</v>
      </c>
      <c r="B169" s="385"/>
      <c r="C169" s="10" t="s">
        <v>19</v>
      </c>
      <c r="D169" s="274">
        <v>45000</v>
      </c>
      <c r="E169" s="11">
        <f>F167</f>
        <v>8382</v>
      </c>
      <c r="F169" s="11">
        <f>IFERROR(E169/D169,"-")</f>
        <v>0.18626666666666666</v>
      </c>
      <c r="G169" s="137"/>
      <c r="H169" s="193"/>
      <c r="J169" s="34"/>
      <c r="K169" s="34"/>
    </row>
    <row r="170" spans="1:11" x14ac:dyDescent="0.2">
      <c r="A170" s="406" t="s">
        <v>25</v>
      </c>
      <c r="B170" s="385"/>
      <c r="C170" s="10" t="s">
        <v>14</v>
      </c>
      <c r="D170" s="35">
        <f>C143</f>
        <v>2120</v>
      </c>
      <c r="E170" s="11">
        <f>F169</f>
        <v>0.18626666666666666</v>
      </c>
      <c r="F170" s="38">
        <f>IFERROR(D170*E170,0)</f>
        <v>394.88533333333334</v>
      </c>
      <c r="G170" s="137"/>
      <c r="H170" s="193"/>
      <c r="J170" s="34"/>
      <c r="K170" s="34"/>
    </row>
    <row r="171" spans="1:11" ht="13.5" thickBot="1" x14ac:dyDescent="0.25">
      <c r="A171" s="99"/>
      <c r="E171" s="255" t="s">
        <v>138</v>
      </c>
      <c r="F171" s="23">
        <f>$C$47+1</f>
        <v>1.1499999999999999</v>
      </c>
      <c r="G171" s="239">
        <f>F170*F171</f>
        <v>454.11813333333328</v>
      </c>
      <c r="H171" s="239">
        <f>G171/G$42</f>
        <v>0.21420666666666663</v>
      </c>
      <c r="J171" s="34"/>
      <c r="K171" s="34"/>
    </row>
    <row r="172" spans="1:11" ht="11.25" customHeight="1" thickBot="1" x14ac:dyDescent="0.25">
      <c r="A172" s="99"/>
      <c r="E172" s="27"/>
      <c r="F172" s="27"/>
      <c r="G172" s="135"/>
      <c r="H172" s="193"/>
      <c r="J172" s="34"/>
      <c r="K172" s="34"/>
    </row>
    <row r="173" spans="1:11" ht="13.5" thickBot="1" x14ac:dyDescent="0.25">
      <c r="A173" s="12" t="s">
        <v>151</v>
      </c>
      <c r="B173" s="13"/>
      <c r="C173" s="13"/>
      <c r="D173" s="13"/>
      <c r="E173" s="14"/>
      <c r="F173" s="15"/>
      <c r="G173" s="245">
        <f>+SUM(G113:G172)</f>
        <v>10798.666105107717</v>
      </c>
      <c r="H173" s="239">
        <f>G173/G$42</f>
        <v>5.0937104269376023</v>
      </c>
    </row>
    <row r="174" spans="1:11" ht="11.25" customHeight="1" x14ac:dyDescent="0.2">
      <c r="A174" s="99"/>
      <c r="E174" s="27"/>
      <c r="F174" s="27"/>
      <c r="G174" s="135"/>
      <c r="H174" s="193"/>
    </row>
    <row r="175" spans="1:11" x14ac:dyDescent="0.2">
      <c r="A175" s="100" t="s">
        <v>168</v>
      </c>
      <c r="B175" s="6"/>
      <c r="C175" s="6"/>
      <c r="D175" s="6"/>
      <c r="E175" s="20"/>
      <c r="F175" s="20"/>
      <c r="G175" s="145"/>
      <c r="H175" s="193"/>
    </row>
    <row r="176" spans="1:11" ht="11.25" customHeight="1" thickBot="1" x14ac:dyDescent="0.25">
      <c r="A176" s="99"/>
      <c r="E176" s="27"/>
      <c r="F176" s="27"/>
      <c r="G176" s="43"/>
      <c r="H176" s="193"/>
    </row>
    <row r="177" spans="1:8" ht="13.5" thickBot="1" x14ac:dyDescent="0.25">
      <c r="A177" s="403" t="s">
        <v>27</v>
      </c>
      <c r="B177" s="412"/>
      <c r="C177" s="236" t="s">
        <v>28</v>
      </c>
      <c r="D177" s="236" t="s">
        <v>21</v>
      </c>
      <c r="E177" s="237" t="s">
        <v>92</v>
      </c>
      <c r="F177" s="237" t="s">
        <v>29</v>
      </c>
      <c r="G177" s="238" t="s">
        <v>30</v>
      </c>
      <c r="H177" s="238" t="s">
        <v>154</v>
      </c>
    </row>
    <row r="178" spans="1:8" x14ac:dyDescent="0.2">
      <c r="A178" s="405" t="s">
        <v>190</v>
      </c>
      <c r="B178" s="390"/>
      <c r="C178" s="92" t="s">
        <v>189</v>
      </c>
      <c r="D178" s="275">
        <f>1/12</f>
        <v>8.3333333333333329E-2</v>
      </c>
      <c r="E178" s="270">
        <v>21.9</v>
      </c>
      <c r="F178" s="11">
        <f>D178*E178</f>
        <v>1.8249999999999997</v>
      </c>
      <c r="G178" s="146"/>
      <c r="H178" s="136"/>
    </row>
    <row r="179" spans="1:8" x14ac:dyDescent="0.2">
      <c r="A179" s="418" t="s">
        <v>191</v>
      </c>
      <c r="B179" s="385"/>
      <c r="C179" s="92" t="s">
        <v>189</v>
      </c>
      <c r="D179" s="275">
        <f>3/12</f>
        <v>0.25</v>
      </c>
      <c r="E179" s="270">
        <v>21</v>
      </c>
      <c r="F179" s="11">
        <f>D179*E179</f>
        <v>5.25</v>
      </c>
      <c r="G179" s="147"/>
      <c r="H179" s="193"/>
    </row>
    <row r="180" spans="1:8" x14ac:dyDescent="0.2">
      <c r="A180" s="418" t="s">
        <v>192</v>
      </c>
      <c r="B180" s="385"/>
      <c r="C180" s="92" t="s">
        <v>189</v>
      </c>
      <c r="D180" s="275">
        <f>2/12</f>
        <v>0.16666666666666666</v>
      </c>
      <c r="E180" s="270">
        <v>11.3</v>
      </c>
      <c r="F180" s="11">
        <f>D180*E180</f>
        <v>1.8833333333333333</v>
      </c>
      <c r="G180" s="147"/>
      <c r="H180" s="193"/>
    </row>
    <row r="181" spans="1:8" x14ac:dyDescent="0.2">
      <c r="A181" s="418" t="s">
        <v>193</v>
      </c>
      <c r="B181" s="385"/>
      <c r="C181" s="92" t="s">
        <v>209</v>
      </c>
      <c r="D181" s="275">
        <f>4</f>
        <v>4</v>
      </c>
      <c r="E181" s="270">
        <v>15</v>
      </c>
      <c r="F181" s="11">
        <f>D181*E181</f>
        <v>60</v>
      </c>
      <c r="G181" s="147"/>
      <c r="H181" s="193"/>
    </row>
    <row r="182" spans="1:8" ht="13.5" thickBot="1" x14ac:dyDescent="0.25">
      <c r="A182" s="418" t="s">
        <v>194</v>
      </c>
      <c r="B182" s="385"/>
      <c r="C182" s="92" t="s">
        <v>189</v>
      </c>
      <c r="D182" s="275">
        <v>4</v>
      </c>
      <c r="E182" s="270">
        <v>4.5</v>
      </c>
      <c r="F182" s="11">
        <f t="shared" ref="F182" si="6">D182*E182</f>
        <v>18</v>
      </c>
      <c r="G182" s="147"/>
      <c r="H182" s="193"/>
    </row>
    <row r="183" spans="1:8" ht="13.5" thickBot="1" x14ac:dyDescent="0.25">
      <c r="A183" s="100"/>
      <c r="B183" s="6"/>
      <c r="C183" s="6"/>
      <c r="D183" s="6"/>
      <c r="E183" s="254" t="s">
        <v>86</v>
      </c>
      <c r="F183" s="250">
        <v>1</v>
      </c>
      <c r="G183" s="245">
        <f>SUM(F178:F182)*F183</f>
        <v>86.958333333333329</v>
      </c>
      <c r="H183" s="245">
        <f>G183/G$42</f>
        <v>4.1018081761006284E-2</v>
      </c>
    </row>
    <row r="184" spans="1:8" ht="11.25" customHeight="1" thickBot="1" x14ac:dyDescent="0.25">
      <c r="A184" s="99"/>
      <c r="E184" s="27"/>
      <c r="F184" s="27"/>
      <c r="G184" s="135"/>
      <c r="H184" s="135"/>
    </row>
    <row r="185" spans="1:8" ht="13.5" thickBot="1" x14ac:dyDescent="0.25">
      <c r="A185" s="12" t="s">
        <v>91</v>
      </c>
      <c r="B185" s="13"/>
      <c r="C185" s="13"/>
      <c r="D185" s="13"/>
      <c r="E185" s="14"/>
      <c r="F185" s="15"/>
      <c r="G185" s="245">
        <f>+G183</f>
        <v>86.958333333333329</v>
      </c>
      <c r="H185" s="245">
        <f>G185/G$42</f>
        <v>4.1018081761006284E-2</v>
      </c>
    </row>
    <row r="186" spans="1:8" ht="11.25" customHeight="1" thickBot="1" x14ac:dyDescent="0.25">
      <c r="A186" s="99"/>
      <c r="E186" s="27"/>
      <c r="F186" s="27"/>
      <c r="G186" s="135"/>
      <c r="H186" s="135"/>
    </row>
    <row r="187" spans="1:8" ht="17.25" customHeight="1" thickBot="1" x14ac:dyDescent="0.25">
      <c r="A187" s="12" t="s">
        <v>126</v>
      </c>
      <c r="B187" s="13"/>
      <c r="C187" s="16"/>
      <c r="D187" s="16"/>
      <c r="E187" s="17"/>
      <c r="F187" s="18"/>
      <c r="G187" s="242">
        <f>+G107+G173+G185</f>
        <v>17418.739615713777</v>
      </c>
      <c r="H187" s="242">
        <f>G187/G$42</f>
        <v>8.2163866111857438</v>
      </c>
    </row>
    <row r="188" spans="1:8" ht="17.25" customHeight="1" thickBot="1" x14ac:dyDescent="0.25">
      <c r="A188" s="12" t="s">
        <v>127</v>
      </c>
      <c r="B188" s="13"/>
      <c r="C188" s="16"/>
      <c r="D188" s="16"/>
      <c r="E188" s="17"/>
      <c r="F188" s="18"/>
      <c r="G188" s="244">
        <f>+G108+G173+G185</f>
        <v>16365.714186950145</v>
      </c>
      <c r="H188" s="244">
        <f>G188/G$42</f>
        <v>7.7196765032783699</v>
      </c>
    </row>
    <row r="189" spans="1:8" ht="11.25" customHeight="1" x14ac:dyDescent="0.2">
      <c r="A189" s="99"/>
      <c r="E189" s="27"/>
      <c r="F189" s="27"/>
      <c r="G189" s="135"/>
      <c r="H189" s="135"/>
    </row>
    <row r="190" spans="1:8" x14ac:dyDescent="0.2">
      <c r="A190" s="100" t="s">
        <v>169</v>
      </c>
      <c r="B190" s="6"/>
      <c r="E190" s="27"/>
      <c r="F190" s="27"/>
      <c r="G190" s="43"/>
      <c r="H190" s="43"/>
    </row>
    <row r="191" spans="1:8" ht="11.25" customHeight="1" thickBot="1" x14ac:dyDescent="0.25">
      <c r="A191" s="99"/>
      <c r="E191" s="27"/>
      <c r="F191" s="27"/>
      <c r="G191" s="43"/>
      <c r="H191" s="43"/>
    </row>
    <row r="192" spans="1:8" ht="13.5" thickBot="1" x14ac:dyDescent="0.25">
      <c r="A192" s="403" t="s">
        <v>27</v>
      </c>
      <c r="B192" s="412"/>
      <c r="C192" s="236" t="s">
        <v>28</v>
      </c>
      <c r="D192" s="236" t="s">
        <v>21</v>
      </c>
      <c r="E192" s="237" t="s">
        <v>92</v>
      </c>
      <c r="F192" s="237" t="s">
        <v>29</v>
      </c>
      <c r="G192" s="238" t="s">
        <v>30</v>
      </c>
      <c r="H192" s="238" t="s">
        <v>154</v>
      </c>
    </row>
    <row r="193" spans="1:8" ht="13.5" thickBot="1" x14ac:dyDescent="0.25">
      <c r="A193" s="405" t="s">
        <v>170</v>
      </c>
      <c r="B193" s="390"/>
      <c r="C193" s="8" t="s">
        <v>0</v>
      </c>
      <c r="D193" s="44">
        <f>BDI!C11*100</f>
        <v>31.75</v>
      </c>
      <c r="E193" s="9">
        <f>+G187</f>
        <v>17418.739615713777</v>
      </c>
      <c r="F193" s="9">
        <f>D193*E193/100</f>
        <v>5530.4498279891241</v>
      </c>
      <c r="G193" s="136"/>
      <c r="H193" s="136"/>
    </row>
    <row r="194" spans="1:8" ht="13.5" thickBot="1" x14ac:dyDescent="0.25">
      <c r="A194" s="99"/>
      <c r="E194" s="27"/>
      <c r="F194" s="27"/>
      <c r="G194" s="245">
        <f>+F193</f>
        <v>5530.4498279891241</v>
      </c>
      <c r="H194" s="245">
        <f>G194/G$42</f>
        <v>2.6087027490514738</v>
      </c>
    </row>
    <row r="195" spans="1:8" ht="11.25" customHeight="1" thickBot="1" x14ac:dyDescent="0.25">
      <c r="A195" s="99"/>
      <c r="E195" s="27"/>
      <c r="F195" s="27"/>
      <c r="G195" s="135"/>
      <c r="H195" s="135"/>
    </row>
    <row r="196" spans="1:8" ht="13.5" thickBot="1" x14ac:dyDescent="0.25">
      <c r="A196" s="12" t="s">
        <v>171</v>
      </c>
      <c r="B196" s="13"/>
      <c r="C196" s="16"/>
      <c r="D196" s="16"/>
      <c r="E196" s="17"/>
      <c r="F196" s="18"/>
      <c r="G196" s="244">
        <f>G194</f>
        <v>5530.4498279891241</v>
      </c>
      <c r="H196" s="244">
        <f>G196/G$42</f>
        <v>2.6087027490514738</v>
      </c>
    </row>
    <row r="197" spans="1:8" ht="13.5" thickBot="1" x14ac:dyDescent="0.25">
      <c r="A197" s="100"/>
      <c r="B197" s="6"/>
      <c r="C197" s="6"/>
      <c r="D197" s="6"/>
      <c r="E197" s="20"/>
      <c r="F197" s="20"/>
      <c r="G197" s="148"/>
      <c r="H197" s="148"/>
    </row>
    <row r="198" spans="1:8" ht="24.75" customHeight="1" thickBot="1" x14ac:dyDescent="0.25">
      <c r="A198" s="12" t="s">
        <v>172</v>
      </c>
      <c r="B198" s="13"/>
      <c r="C198" s="16"/>
      <c r="D198" s="16"/>
      <c r="E198" s="17"/>
      <c r="F198" s="18"/>
      <c r="G198" s="206">
        <f>G187+G196</f>
        <v>22949.1894437029</v>
      </c>
      <c r="H198" s="244">
        <f>G198/G$42</f>
        <v>10.825089360237218</v>
      </c>
    </row>
    <row r="199" spans="1:8" ht="12.6" customHeight="1" x14ac:dyDescent="0.2">
      <c r="A199" s="104"/>
      <c r="B199" s="24"/>
      <c r="C199" s="24"/>
      <c r="D199" s="24"/>
      <c r="E199" s="25"/>
      <c r="F199" s="25"/>
      <c r="G199" s="149"/>
      <c r="H199" s="149"/>
    </row>
    <row r="200" spans="1:8" ht="16.149999999999999" customHeight="1" x14ac:dyDescent="0.2">
      <c r="A200" s="418" t="s">
        <v>173</v>
      </c>
      <c r="B200" s="397"/>
      <c r="C200" s="82"/>
      <c r="D200" s="82"/>
      <c r="E200" s="157">
        <f>C143</f>
        <v>2120</v>
      </c>
      <c r="F200" s="156" t="s">
        <v>153</v>
      </c>
      <c r="G200" s="43"/>
      <c r="H200" s="43"/>
    </row>
    <row r="201" spans="1:8" ht="13.5" thickBot="1" x14ac:dyDescent="0.25">
      <c r="A201" s="99"/>
      <c r="E201" s="27"/>
      <c r="F201" s="27"/>
      <c r="G201" s="43"/>
      <c r="H201" s="43"/>
    </row>
    <row r="202" spans="1:8" ht="25.5" customHeight="1" thickBot="1" x14ac:dyDescent="0.25">
      <c r="A202" s="12" t="s">
        <v>174</v>
      </c>
      <c r="B202" s="13"/>
      <c r="C202" s="13"/>
      <c r="D202" s="13"/>
      <c r="E202" s="14"/>
      <c r="F202" s="155" t="s">
        <v>154</v>
      </c>
      <c r="G202" s="424">
        <f>IFERROR(G198/E200,"-")</f>
        <v>10.825089360237218</v>
      </c>
      <c r="H202" s="425"/>
    </row>
    <row r="203" spans="1:8" ht="12.6" customHeight="1" x14ac:dyDescent="0.2">
      <c r="A203" s="100"/>
      <c r="B203" s="6"/>
      <c r="C203" s="6"/>
      <c r="D203" s="6"/>
      <c r="E203" s="20"/>
      <c r="F203" s="20"/>
      <c r="G203" s="150"/>
      <c r="H203" s="150"/>
    </row>
    <row r="204" spans="1:8" x14ac:dyDescent="0.2">
      <c r="A204" s="100" t="s">
        <v>175</v>
      </c>
      <c r="B204" s="6"/>
      <c r="E204" s="27"/>
      <c r="F204" s="27"/>
      <c r="G204" s="43"/>
      <c r="H204" s="43"/>
    </row>
    <row r="205" spans="1:8" ht="11.25" customHeight="1" thickBot="1" x14ac:dyDescent="0.25">
      <c r="A205" s="99"/>
      <c r="E205" s="27"/>
      <c r="F205" s="27"/>
      <c r="G205" s="43"/>
      <c r="H205" s="43"/>
    </row>
    <row r="206" spans="1:8" ht="13.5" thickBot="1" x14ac:dyDescent="0.25">
      <c r="A206" s="240" t="s">
        <v>27</v>
      </c>
      <c r="B206" s="241"/>
      <c r="C206" s="236" t="s">
        <v>28</v>
      </c>
      <c r="D206" s="236" t="s">
        <v>21</v>
      </c>
      <c r="E206" s="237" t="s">
        <v>92</v>
      </c>
      <c r="F206" s="237" t="s">
        <v>29</v>
      </c>
      <c r="G206" s="238" t="s">
        <v>30</v>
      </c>
      <c r="H206" s="238" t="s">
        <v>154</v>
      </c>
    </row>
    <row r="207" spans="1:8" ht="13.5" thickBot="1" x14ac:dyDescent="0.25">
      <c r="A207" s="405" t="s">
        <v>152</v>
      </c>
      <c r="B207" s="390"/>
      <c r="C207" s="8" t="s">
        <v>0</v>
      </c>
      <c r="D207" s="44">
        <f>BDI!C$24*100</f>
        <v>23.93</v>
      </c>
      <c r="E207" s="9">
        <f>G187</f>
        <v>17418.739615713777</v>
      </c>
      <c r="F207" s="9">
        <f>D207*E207/100</f>
        <v>4168.3043900403063</v>
      </c>
      <c r="G207" s="136"/>
      <c r="H207" s="136"/>
    </row>
    <row r="208" spans="1:8" ht="13.5" thickBot="1" x14ac:dyDescent="0.25">
      <c r="A208" s="99"/>
      <c r="E208" s="27"/>
      <c r="F208" s="27"/>
      <c r="G208" s="245">
        <f>+F207</f>
        <v>4168.3043900403063</v>
      </c>
      <c r="H208" s="245">
        <f>G208/G$42</f>
        <v>1.9661813160567483</v>
      </c>
    </row>
    <row r="209" spans="1:9" ht="11.25" customHeight="1" thickBot="1" x14ac:dyDescent="0.25">
      <c r="A209" s="99"/>
      <c r="E209" s="27"/>
      <c r="F209" s="27"/>
      <c r="G209" s="135"/>
      <c r="H209" s="135"/>
    </row>
    <row r="210" spans="1:9" ht="13.5" thickBot="1" x14ac:dyDescent="0.25">
      <c r="A210" s="12" t="s">
        <v>176</v>
      </c>
      <c r="B210" s="13"/>
      <c r="C210" s="16"/>
      <c r="D210" s="16"/>
      <c r="E210" s="17"/>
      <c r="F210" s="18"/>
      <c r="G210" s="244">
        <f>G208</f>
        <v>4168.3043900403063</v>
      </c>
      <c r="H210" s="244">
        <f>G210/G$42</f>
        <v>1.9661813160567483</v>
      </c>
    </row>
    <row r="211" spans="1:9" ht="13.5" thickBot="1" x14ac:dyDescent="0.25">
      <c r="A211" s="100"/>
      <c r="B211" s="6"/>
      <c r="C211" s="6"/>
      <c r="D211" s="6"/>
      <c r="E211" s="20"/>
      <c r="F211" s="20"/>
      <c r="G211" s="148"/>
      <c r="H211" s="148"/>
    </row>
    <row r="212" spans="1:9" ht="24.75" customHeight="1" thickBot="1" x14ac:dyDescent="0.25">
      <c r="A212" s="12" t="s">
        <v>177</v>
      </c>
      <c r="B212" s="13"/>
      <c r="C212" s="16"/>
      <c r="D212" s="16"/>
      <c r="E212" s="17"/>
      <c r="F212" s="18"/>
      <c r="G212" s="206">
        <f>G187+G210</f>
        <v>21587.044005754084</v>
      </c>
      <c r="H212" s="244">
        <f>G212/G$42</f>
        <v>10.182567927242493</v>
      </c>
      <c r="I212" s="34"/>
    </row>
    <row r="213" spans="1:9" ht="12.6" customHeight="1" x14ac:dyDescent="0.2">
      <c r="A213" s="104"/>
      <c r="B213" s="24"/>
      <c r="C213" s="24"/>
      <c r="D213" s="24"/>
      <c r="E213" s="25"/>
      <c r="F213" s="25"/>
      <c r="G213" s="149"/>
      <c r="H213" s="149"/>
    </row>
    <row r="214" spans="1:9" ht="16.149999999999999" customHeight="1" x14ac:dyDescent="0.2">
      <c r="A214" s="154" t="s">
        <v>178</v>
      </c>
      <c r="B214" s="215"/>
      <c r="C214" s="82"/>
      <c r="D214" s="82"/>
      <c r="E214" s="157">
        <f>E$200</f>
        <v>2120</v>
      </c>
      <c r="F214" s="156" t="s">
        <v>153</v>
      </c>
      <c r="G214" s="43"/>
      <c r="H214" s="43"/>
    </row>
    <row r="215" spans="1:9" ht="13.5" thickBot="1" x14ac:dyDescent="0.25">
      <c r="A215" s="99"/>
      <c r="E215" s="27"/>
      <c r="F215" s="27"/>
      <c r="G215" s="43"/>
      <c r="H215" s="43"/>
    </row>
    <row r="216" spans="1:9" ht="25.5" customHeight="1" thickBot="1" x14ac:dyDescent="0.25">
      <c r="A216" s="12" t="s">
        <v>179</v>
      </c>
      <c r="B216" s="13"/>
      <c r="C216" s="13"/>
      <c r="D216" s="13"/>
      <c r="E216" s="14"/>
      <c r="F216" s="155" t="s">
        <v>154</v>
      </c>
      <c r="G216" s="424">
        <f>IFERROR(G212/E214,"-")</f>
        <v>10.182567927242493</v>
      </c>
      <c r="H216" s="425"/>
    </row>
    <row r="217" spans="1:9" x14ac:dyDescent="0.2">
      <c r="A217" s="120"/>
      <c r="B217" s="121"/>
      <c r="C217" s="121"/>
      <c r="D217" s="121"/>
      <c r="E217" s="122"/>
      <c r="F217" s="122"/>
      <c r="G217" s="135"/>
      <c r="H217" s="135"/>
    </row>
    <row r="218" spans="1:9" x14ac:dyDescent="0.2">
      <c r="A218" s="134" t="s">
        <v>180</v>
      </c>
      <c r="B218" s="216"/>
      <c r="E218" s="27"/>
      <c r="F218" s="27"/>
      <c r="G218" s="43"/>
      <c r="H218" s="43"/>
    </row>
    <row r="219" spans="1:9" ht="11.25" customHeight="1" thickBot="1" x14ac:dyDescent="0.25">
      <c r="A219" s="99"/>
      <c r="E219" s="27"/>
      <c r="F219" s="27"/>
      <c r="G219" s="43"/>
      <c r="H219" s="43"/>
    </row>
    <row r="220" spans="1:9" ht="13.5" thickBot="1" x14ac:dyDescent="0.25">
      <c r="A220" s="240" t="s">
        <v>27</v>
      </c>
      <c r="B220" s="241"/>
      <c r="C220" s="236" t="s">
        <v>28</v>
      </c>
      <c r="D220" s="236" t="s">
        <v>21</v>
      </c>
      <c r="E220" s="237" t="s">
        <v>92</v>
      </c>
      <c r="F220" s="237" t="s">
        <v>29</v>
      </c>
      <c r="G220" s="238" t="s">
        <v>30</v>
      </c>
      <c r="H220" s="238" t="s">
        <v>154</v>
      </c>
    </row>
    <row r="221" spans="1:9" ht="13.5" thickBot="1" x14ac:dyDescent="0.25">
      <c r="A221" s="101" t="s">
        <v>181</v>
      </c>
      <c r="B221" s="213"/>
      <c r="C221" s="8" t="s">
        <v>0</v>
      </c>
      <c r="D221" s="44">
        <f>BDI!C35*100</f>
        <v>16.93</v>
      </c>
      <c r="E221" s="9">
        <f>G188</f>
        <v>16365.714186950145</v>
      </c>
      <c r="F221" s="9">
        <f>D221*E221/100</f>
        <v>2770.7154118506592</v>
      </c>
      <c r="G221" s="136"/>
      <c r="H221" s="136"/>
    </row>
    <row r="222" spans="1:9" ht="13.5" thickBot="1" x14ac:dyDescent="0.25">
      <c r="A222" s="99"/>
      <c r="E222" s="27"/>
      <c r="F222" s="27"/>
      <c r="G222" s="245">
        <f>+F221</f>
        <v>2770.7154118506592</v>
      </c>
      <c r="H222" s="245">
        <f>G222/G$42</f>
        <v>1.306941232005028</v>
      </c>
    </row>
    <row r="223" spans="1:9" ht="11.25" customHeight="1" thickBot="1" x14ac:dyDescent="0.25">
      <c r="A223" s="99"/>
      <c r="E223" s="27"/>
      <c r="F223" s="27"/>
      <c r="G223" s="135"/>
      <c r="H223" s="135"/>
    </row>
    <row r="224" spans="1:9" ht="13.5" thickBot="1" x14ac:dyDescent="0.25">
      <c r="A224" s="12" t="s">
        <v>182</v>
      </c>
      <c r="B224" s="13"/>
      <c r="C224" s="16"/>
      <c r="D224" s="16"/>
      <c r="E224" s="17"/>
      <c r="F224" s="18"/>
      <c r="G224" s="244">
        <f>G222</f>
        <v>2770.7154118506592</v>
      </c>
      <c r="H224" s="244">
        <f>G224/G$42</f>
        <v>1.306941232005028</v>
      </c>
    </row>
    <row r="225" spans="1:11" ht="13.5" thickBot="1" x14ac:dyDescent="0.25">
      <c r="A225" s="100"/>
      <c r="B225" s="6"/>
      <c r="C225" s="6"/>
      <c r="D225" s="6"/>
      <c r="E225" s="20"/>
      <c r="F225" s="20"/>
      <c r="G225" s="148"/>
      <c r="H225" s="148"/>
    </row>
    <row r="226" spans="1:11" ht="24.75" customHeight="1" thickBot="1" x14ac:dyDescent="0.25">
      <c r="A226" s="12" t="s">
        <v>183</v>
      </c>
      <c r="B226" s="13"/>
      <c r="C226" s="16"/>
      <c r="D226" s="16"/>
      <c r="E226" s="17"/>
      <c r="F226" s="18"/>
      <c r="G226" s="244">
        <f>E221+G224</f>
        <v>19136.429598800805</v>
      </c>
      <c r="H226" s="244">
        <f>G226/G$42</f>
        <v>9.0266177352833985</v>
      </c>
      <c r="I226" s="34"/>
    </row>
    <row r="227" spans="1:11" ht="12.6" customHeight="1" x14ac:dyDescent="0.2">
      <c r="A227" s="104"/>
      <c r="B227" s="24"/>
      <c r="C227" s="24"/>
      <c r="D227" s="24"/>
      <c r="E227" s="25"/>
      <c r="F227" s="25"/>
      <c r="G227" s="149"/>
      <c r="H227" s="149"/>
      <c r="I227" s="34"/>
    </row>
    <row r="228" spans="1:11" ht="12.6" customHeight="1" x14ac:dyDescent="0.2">
      <c r="A228" s="104" t="s">
        <v>125</v>
      </c>
      <c r="B228" s="24"/>
      <c r="C228" s="24"/>
      <c r="D228" s="24"/>
      <c r="E228" s="25"/>
      <c r="F228" s="25"/>
      <c r="G228" s="151"/>
      <c r="H228" s="151"/>
    </row>
    <row r="229" spans="1:11" x14ac:dyDescent="0.2">
      <c r="A229" s="153" t="s">
        <v>122</v>
      </c>
      <c r="B229" s="6"/>
      <c r="E229" s="27"/>
      <c r="F229" s="27"/>
      <c r="G229" s="43"/>
      <c r="H229" s="43"/>
    </row>
    <row r="230" spans="1:11" x14ac:dyDescent="0.2">
      <c r="A230" s="100" t="s">
        <v>120</v>
      </c>
      <c r="B230" s="6"/>
      <c r="E230" s="27"/>
      <c r="F230" s="27"/>
      <c r="G230" s="43"/>
      <c r="H230" s="43"/>
    </row>
    <row r="231" spans="1:11" x14ac:dyDescent="0.2">
      <c r="A231" s="426" t="s">
        <v>310</v>
      </c>
      <c r="B231" s="415"/>
      <c r="E231" s="27"/>
      <c r="F231" s="27"/>
      <c r="G231" s="43"/>
      <c r="H231" s="43"/>
    </row>
    <row r="232" spans="1:11" ht="11.25" customHeight="1" thickBot="1" x14ac:dyDescent="0.25">
      <c r="A232" s="123"/>
      <c r="E232" s="27"/>
      <c r="F232" s="27"/>
      <c r="G232" s="43"/>
      <c r="H232" s="43"/>
    </row>
    <row r="233" spans="1:11" ht="15.75" thickBot="1" x14ac:dyDescent="0.3">
      <c r="A233" s="240" t="s">
        <v>27</v>
      </c>
      <c r="B233" s="241"/>
      <c r="C233" s="236" t="s">
        <v>28</v>
      </c>
      <c r="D233" s="236" t="s">
        <v>21</v>
      </c>
      <c r="E233" s="237" t="s">
        <v>121</v>
      </c>
      <c r="F233" s="237" t="s">
        <v>29</v>
      </c>
      <c r="G233" s="238" t="s">
        <v>30</v>
      </c>
      <c r="H233" s="238" t="s">
        <v>154</v>
      </c>
      <c r="I233" s="353"/>
      <c r="J233" s="132"/>
      <c r="K233" s="131"/>
    </row>
    <row r="234" spans="1:11" ht="15.75" thickBot="1" x14ac:dyDescent="0.3">
      <c r="A234" s="405" t="s">
        <v>184</v>
      </c>
      <c r="B234" s="390"/>
      <c r="C234" s="124" t="s">
        <v>0</v>
      </c>
      <c r="D234" s="276">
        <v>7.42</v>
      </c>
      <c r="E234" s="125">
        <f>G226</f>
        <v>19136.429598800805</v>
      </c>
      <c r="F234" s="9">
        <f>G237*(D234/100)</f>
        <v>1533.7255089987252</v>
      </c>
      <c r="G234" s="136"/>
      <c r="H234" s="136"/>
      <c r="I234" s="354"/>
      <c r="J234" s="133"/>
      <c r="K234" s="133"/>
    </row>
    <row r="235" spans="1:11" ht="15.75" thickBot="1" x14ac:dyDescent="0.3">
      <c r="A235" s="99"/>
      <c r="E235" s="27"/>
      <c r="F235" s="27"/>
      <c r="G235" s="244">
        <f>F234</f>
        <v>1533.7255089987252</v>
      </c>
      <c r="H235" s="244">
        <f>G235/G$42</f>
        <v>0.72345542877298363</v>
      </c>
      <c r="I235" s="353">
        <f>G237*12</f>
        <v>248041.86129359438</v>
      </c>
      <c r="J235" s="131"/>
      <c r="K235" s="131"/>
    </row>
    <row r="236" spans="1:11" ht="15.75" thickBot="1" x14ac:dyDescent="0.3">
      <c r="A236" s="126"/>
      <c r="B236" s="127"/>
      <c r="C236" s="127"/>
      <c r="D236" s="127"/>
      <c r="E236" s="128"/>
      <c r="F236" s="128"/>
      <c r="G236" s="152"/>
      <c r="H236" s="152"/>
      <c r="I236" s="359">
        <v>11.2</v>
      </c>
      <c r="J236" s="353">
        <f>I236*I235/100</f>
        <v>27780.688464882569</v>
      </c>
      <c r="K236" s="133"/>
    </row>
    <row r="237" spans="1:11" ht="24.75" customHeight="1" thickBot="1" x14ac:dyDescent="0.3">
      <c r="A237" s="12" t="s">
        <v>185</v>
      </c>
      <c r="B237" s="13"/>
      <c r="C237" s="16"/>
      <c r="D237" s="16"/>
      <c r="E237" s="17"/>
      <c r="F237" s="18"/>
      <c r="G237" s="206">
        <f>E234/((100-D234)/100)</f>
        <v>20670.155107799532</v>
      </c>
      <c r="H237" s="244">
        <f>G237/G$42</f>
        <v>9.7500731640563831</v>
      </c>
      <c r="I237" s="353">
        <v>9360</v>
      </c>
      <c r="J237" s="353">
        <f>J236-I237</f>
        <v>18420.688464882569</v>
      </c>
      <c r="K237" s="132">
        <f>J237/I235</f>
        <v>7.4264434111300862E-2</v>
      </c>
    </row>
    <row r="238" spans="1:11" ht="12.6" customHeight="1" x14ac:dyDescent="0.2">
      <c r="A238" s="104"/>
      <c r="B238" s="24"/>
      <c r="C238" s="24"/>
      <c r="D238" s="24"/>
      <c r="E238" s="25"/>
      <c r="F238" s="25"/>
      <c r="G238" s="149"/>
      <c r="H238" s="149"/>
    </row>
    <row r="239" spans="1:11" ht="16.149999999999999" customHeight="1" x14ac:dyDescent="0.2">
      <c r="A239" s="154" t="s">
        <v>186</v>
      </c>
      <c r="B239" s="215"/>
      <c r="C239" s="82"/>
      <c r="D239" s="82"/>
      <c r="E239" s="157">
        <f>E$200</f>
        <v>2120</v>
      </c>
      <c r="F239" s="156" t="s">
        <v>153</v>
      </c>
      <c r="G239" s="43"/>
      <c r="H239" s="43"/>
    </row>
    <row r="240" spans="1:11" ht="13.5" thickBot="1" x14ac:dyDescent="0.25">
      <c r="A240" s="99"/>
      <c r="E240" s="27"/>
      <c r="F240" s="27"/>
      <c r="G240" s="43"/>
      <c r="H240" s="43"/>
    </row>
    <row r="241" spans="1:8" ht="25.5" customHeight="1" thickBot="1" x14ac:dyDescent="0.25">
      <c r="A241" s="12" t="s">
        <v>187</v>
      </c>
      <c r="B241" s="13"/>
      <c r="C241" s="13"/>
      <c r="D241" s="13"/>
      <c r="E241" s="14"/>
      <c r="F241" s="155" t="s">
        <v>154</v>
      </c>
      <c r="G241" s="424">
        <f>IFERROR(G237/E239,"-")</f>
        <v>9.7500731640563831</v>
      </c>
      <c r="H241" s="425"/>
    </row>
    <row r="242" spans="1:8" ht="9" customHeight="1" x14ac:dyDescent="0.2">
      <c r="E242" s="4"/>
      <c r="F242" s="4"/>
      <c r="G242" s="4"/>
      <c r="H242" s="27"/>
    </row>
    <row r="243" spans="1:8" x14ac:dyDescent="0.2">
      <c r="H243" s="27"/>
    </row>
    <row r="244" spans="1:8" x14ac:dyDescent="0.2">
      <c r="H244" s="27"/>
    </row>
    <row r="245" spans="1:8" x14ac:dyDescent="0.2">
      <c r="A245" s="6"/>
      <c r="B245" s="6"/>
      <c r="C245" s="6"/>
      <c r="D245" s="6"/>
      <c r="E245" s="317"/>
      <c r="F245" s="317"/>
      <c r="G245" s="317"/>
      <c r="H245" s="20"/>
    </row>
    <row r="246" spans="1:8" x14ac:dyDescent="0.2">
      <c r="A246" s="6"/>
      <c r="B246" s="6"/>
      <c r="C246" s="6"/>
      <c r="D246" s="6"/>
      <c r="E246" s="317"/>
      <c r="F246" s="317"/>
      <c r="G246" s="317"/>
      <c r="H246" s="20"/>
    </row>
    <row r="247" spans="1:8" x14ac:dyDescent="0.2">
      <c r="A247" s="6"/>
      <c r="B247" s="6"/>
      <c r="C247" s="6"/>
      <c r="D247" s="6"/>
      <c r="E247" s="317"/>
      <c r="F247" s="317"/>
      <c r="G247" s="317"/>
      <c r="H247" s="20"/>
    </row>
    <row r="248" spans="1:8" x14ac:dyDescent="0.2">
      <c r="A248" s="6"/>
      <c r="B248" s="6"/>
      <c r="C248" s="6"/>
      <c r="D248" s="6"/>
      <c r="E248" s="317"/>
      <c r="F248" s="317"/>
      <c r="G248" s="317"/>
      <c r="H248" s="20"/>
    </row>
    <row r="249" spans="1:8" x14ac:dyDescent="0.2">
      <c r="A249" s="6"/>
      <c r="B249" s="6"/>
      <c r="C249" s="423"/>
      <c r="D249" s="423"/>
      <c r="E249" s="423"/>
      <c r="F249" s="317"/>
      <c r="G249" s="317"/>
      <c r="H249" s="20"/>
    </row>
    <row r="250" spans="1:8" x14ac:dyDescent="0.2">
      <c r="A250" s="6"/>
      <c r="B250" s="6"/>
      <c r="C250" s="423"/>
      <c r="D250" s="423"/>
      <c r="E250" s="423"/>
      <c r="F250" s="317"/>
      <c r="G250" s="317"/>
      <c r="H250" s="20"/>
    </row>
    <row r="251" spans="1:8" x14ac:dyDescent="0.2">
      <c r="A251" s="6"/>
      <c r="B251" s="6"/>
      <c r="C251" s="423"/>
      <c r="D251" s="423"/>
      <c r="E251" s="423"/>
      <c r="F251" s="317"/>
      <c r="G251" s="317"/>
      <c r="H251" s="20"/>
    </row>
    <row r="252" spans="1:8" x14ac:dyDescent="0.2">
      <c r="H252" s="27"/>
    </row>
    <row r="253" spans="1:8" x14ac:dyDescent="0.2">
      <c r="H253" s="27"/>
    </row>
    <row r="254" spans="1:8" x14ac:dyDescent="0.2">
      <c r="H254" s="27"/>
    </row>
  </sheetData>
  <mergeCells count="134"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C7:D7"/>
    <mergeCell ref="E7:F7"/>
    <mergeCell ref="G7:H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5:B35"/>
    <mergeCell ref="A36:B36"/>
    <mergeCell ref="A37:B37"/>
    <mergeCell ref="A38:B38"/>
    <mergeCell ref="A39:B39"/>
    <mergeCell ref="A41:B41"/>
    <mergeCell ref="A27:B27"/>
    <mergeCell ref="A29:G29"/>
    <mergeCell ref="A30:B30"/>
    <mergeCell ref="A31:B31"/>
    <mergeCell ref="A32:B32"/>
    <mergeCell ref="A33:B33"/>
    <mergeCell ref="A48:B48"/>
    <mergeCell ref="D48:G48"/>
    <mergeCell ref="A50:G50"/>
    <mergeCell ref="A53:B53"/>
    <mergeCell ref="A54:B54"/>
    <mergeCell ref="A55:B55"/>
    <mergeCell ref="A42:B42"/>
    <mergeCell ref="A43:B43"/>
    <mergeCell ref="D45:G45"/>
    <mergeCell ref="A46:B46"/>
    <mergeCell ref="D46:F46"/>
    <mergeCell ref="A47:B47"/>
    <mergeCell ref="D47:G47"/>
    <mergeCell ref="A70:B70"/>
    <mergeCell ref="A71:B71"/>
    <mergeCell ref="A72:B72"/>
    <mergeCell ref="A73:B73"/>
    <mergeCell ref="A75:B75"/>
    <mergeCell ref="A76:B76"/>
    <mergeCell ref="A56:B56"/>
    <mergeCell ref="A58:B58"/>
    <mergeCell ref="A59:B59"/>
    <mergeCell ref="A63:B63"/>
    <mergeCell ref="A65:B65"/>
    <mergeCell ref="A66:B66"/>
    <mergeCell ref="A90:B90"/>
    <mergeCell ref="A91:B91"/>
    <mergeCell ref="A96:B96"/>
    <mergeCell ref="A97:B97"/>
    <mergeCell ref="A102:B102"/>
    <mergeCell ref="A103:B103"/>
    <mergeCell ref="A80:B80"/>
    <mergeCell ref="A82:B82"/>
    <mergeCell ref="A83:B83"/>
    <mergeCell ref="A87:B87"/>
    <mergeCell ref="A88:B88"/>
    <mergeCell ref="A89:B89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6:B116"/>
    <mergeCell ref="A117:B117"/>
    <mergeCell ref="A120:B120"/>
    <mergeCell ref="A137:B137"/>
    <mergeCell ref="A138:B138"/>
    <mergeCell ref="A139:B139"/>
    <mergeCell ref="A140:B140"/>
    <mergeCell ref="A144:B144"/>
    <mergeCell ref="A145:B145"/>
    <mergeCell ref="A127:B127"/>
    <mergeCell ref="A128:B128"/>
    <mergeCell ref="A133:B133"/>
    <mergeCell ref="A134:B134"/>
    <mergeCell ref="A135:B135"/>
    <mergeCell ref="A136:B136"/>
    <mergeCell ref="A152:B152"/>
    <mergeCell ref="A153:B153"/>
    <mergeCell ref="A154:B154"/>
    <mergeCell ref="A155:B155"/>
    <mergeCell ref="A159:B159"/>
    <mergeCell ref="A160:B160"/>
    <mergeCell ref="A146:B146"/>
    <mergeCell ref="A147:B147"/>
    <mergeCell ref="A148:B148"/>
    <mergeCell ref="A149:B149"/>
    <mergeCell ref="A150:B150"/>
    <mergeCell ref="A151:B151"/>
    <mergeCell ref="A170:B170"/>
    <mergeCell ref="A177:B177"/>
    <mergeCell ref="A178:B178"/>
    <mergeCell ref="A179:B179"/>
    <mergeCell ref="A180:B180"/>
    <mergeCell ref="A181:B181"/>
    <mergeCell ref="A161:B161"/>
    <mergeCell ref="A162:B162"/>
    <mergeCell ref="A166:B166"/>
    <mergeCell ref="A167:B167"/>
    <mergeCell ref="A168:B168"/>
    <mergeCell ref="A169:B169"/>
    <mergeCell ref="C251:E251"/>
    <mergeCell ref="G216:H216"/>
    <mergeCell ref="A231:B231"/>
    <mergeCell ref="A234:B234"/>
    <mergeCell ref="G241:H241"/>
    <mergeCell ref="C249:E249"/>
    <mergeCell ref="C250:E250"/>
    <mergeCell ref="A182:B182"/>
    <mergeCell ref="A192:B192"/>
    <mergeCell ref="A193:B193"/>
    <mergeCell ref="A200:B200"/>
    <mergeCell ref="G202:H202"/>
    <mergeCell ref="A207:B207"/>
  </mergeCells>
  <pageMargins left="0.39370078740157483" right="0" top="0.59055118110236227" bottom="0.39370078740157483" header="0" footer="0"/>
  <pageSetup paperSize="9" scale="85" fitToHeight="0" orientation="portrait" r:id="rId1"/>
  <headerFooter alignWithMargins="0">
    <oddFooter>&amp;R&amp;P de &amp;N</oddFooter>
  </headerFooter>
  <rowBreaks count="3" manualBreakCount="3">
    <brk id="60" max="16383" man="1"/>
    <brk id="141" max="16383" man="1"/>
    <brk id="202" max="16383" man="1"/>
  </row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50"/>
  <sheetViews>
    <sheetView topLeftCell="A18" zoomScaleNormal="100" workbookViewId="0">
      <selection activeCell="E33" sqref="E33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6" width="49.85546875" style="1" customWidth="1"/>
    <col min="7" max="10" width="9.140625" style="1"/>
    <col min="11" max="11" width="11" style="1" bestFit="1" customWidth="1"/>
    <col min="12" max="16384" width="9.140625" style="1"/>
  </cols>
  <sheetData>
    <row r="1" spans="1:6" ht="72" customHeight="1" x14ac:dyDescent="0.2">
      <c r="A1" s="432" t="s">
        <v>202</v>
      </c>
      <c r="B1" s="433"/>
      <c r="C1" s="433"/>
      <c r="D1" s="433"/>
      <c r="E1" s="49"/>
      <c r="F1" s="49"/>
    </row>
    <row r="2" spans="1:6" ht="18" x14ac:dyDescent="0.2">
      <c r="A2" s="434" t="s">
        <v>203</v>
      </c>
      <c r="B2" s="435"/>
      <c r="C2" s="435"/>
      <c r="D2" s="435"/>
      <c r="E2" s="49"/>
      <c r="F2" s="49"/>
    </row>
    <row r="3" spans="1:6" ht="36" x14ac:dyDescent="0.2">
      <c r="A3" s="83" t="s">
        <v>46</v>
      </c>
      <c r="B3" s="202" t="s">
        <v>47</v>
      </c>
      <c r="C3" s="203" t="s">
        <v>109</v>
      </c>
      <c r="D3" s="325" t="s">
        <v>278</v>
      </c>
    </row>
    <row r="4" spans="1:6" ht="15" x14ac:dyDescent="0.2">
      <c r="A4" s="50" t="s">
        <v>48</v>
      </c>
      <c r="B4" s="51" t="s">
        <v>22</v>
      </c>
      <c r="C4" s="282">
        <v>0.2</v>
      </c>
      <c r="D4" s="53" t="s">
        <v>266</v>
      </c>
    </row>
    <row r="5" spans="1:6" ht="30" x14ac:dyDescent="0.2">
      <c r="A5" s="50" t="s">
        <v>49</v>
      </c>
      <c r="B5" s="51" t="s">
        <v>50</v>
      </c>
      <c r="C5" s="282">
        <v>1.4999999999999999E-2</v>
      </c>
      <c r="D5" s="326" t="s">
        <v>267</v>
      </c>
    </row>
    <row r="6" spans="1:6" ht="45" x14ac:dyDescent="0.2">
      <c r="A6" s="50" t="s">
        <v>51</v>
      </c>
      <c r="B6" s="51" t="s">
        <v>52</v>
      </c>
      <c r="C6" s="282">
        <v>0.01</v>
      </c>
      <c r="D6" s="326" t="s">
        <v>268</v>
      </c>
    </row>
    <row r="7" spans="1:6" ht="30" x14ac:dyDescent="0.2">
      <c r="A7" s="50" t="s">
        <v>53</v>
      </c>
      <c r="B7" s="51" t="s">
        <v>54</v>
      </c>
      <c r="C7" s="282">
        <v>2E-3</v>
      </c>
      <c r="D7" s="326" t="s">
        <v>269</v>
      </c>
    </row>
    <row r="8" spans="1:6" ht="30" x14ac:dyDescent="0.2">
      <c r="A8" s="50" t="s">
        <v>55</v>
      </c>
      <c r="B8" s="51" t="s">
        <v>56</v>
      </c>
      <c r="C8" s="282">
        <v>6.0000000000000001E-3</v>
      </c>
      <c r="D8" s="326" t="s">
        <v>270</v>
      </c>
    </row>
    <row r="9" spans="1:6" ht="30" x14ac:dyDescent="0.2">
      <c r="A9" s="50" t="s">
        <v>57</v>
      </c>
      <c r="B9" s="51" t="s">
        <v>58</v>
      </c>
      <c r="C9" s="282">
        <v>2.5000000000000001E-2</v>
      </c>
      <c r="D9" s="326" t="s">
        <v>279</v>
      </c>
    </row>
    <row r="10" spans="1:6" ht="15" x14ac:dyDescent="0.2">
      <c r="A10" s="50" t="s">
        <v>59</v>
      </c>
      <c r="B10" s="51" t="s">
        <v>60</v>
      </c>
      <c r="C10" s="282">
        <v>0.03</v>
      </c>
      <c r="D10" s="53" t="s">
        <v>271</v>
      </c>
    </row>
    <row r="11" spans="1:6" ht="30" x14ac:dyDescent="0.2">
      <c r="A11" s="50" t="s">
        <v>61</v>
      </c>
      <c r="B11" s="51" t="s">
        <v>23</v>
      </c>
      <c r="C11" s="282">
        <v>0.08</v>
      </c>
      <c r="D11" s="326" t="s">
        <v>272</v>
      </c>
    </row>
    <row r="12" spans="1:6" ht="15" x14ac:dyDescent="0.2">
      <c r="A12" s="50" t="s">
        <v>62</v>
      </c>
      <c r="B12" s="53" t="s">
        <v>63</v>
      </c>
      <c r="C12" s="54">
        <f>SUM(C4:C11)</f>
        <v>0.36800000000000005</v>
      </c>
      <c r="D12" s="53"/>
    </row>
    <row r="13" spans="1:6" ht="15" x14ac:dyDescent="0.2">
      <c r="A13" s="55"/>
      <c r="B13" s="56"/>
      <c r="C13" s="57"/>
      <c r="D13" s="57"/>
    </row>
    <row r="14" spans="1:6" ht="15" x14ac:dyDescent="0.2">
      <c r="A14" s="50" t="s">
        <v>64</v>
      </c>
      <c r="B14" s="58" t="s">
        <v>65</v>
      </c>
      <c r="C14" s="282">
        <v>0.1111</v>
      </c>
      <c r="D14" s="53" t="s">
        <v>273</v>
      </c>
    </row>
    <row r="15" spans="1:6" ht="15" x14ac:dyDescent="0.2">
      <c r="A15" s="50" t="s">
        <v>66</v>
      </c>
      <c r="B15" s="58" t="s">
        <v>67</v>
      </c>
      <c r="C15" s="282">
        <v>8.3299999999999999E-2</v>
      </c>
      <c r="D15" s="53" t="s">
        <v>274</v>
      </c>
    </row>
    <row r="16" spans="1:6" ht="30" x14ac:dyDescent="0.2">
      <c r="A16" s="50" t="s">
        <v>90</v>
      </c>
      <c r="B16" s="58" t="s">
        <v>69</v>
      </c>
      <c r="C16" s="282">
        <v>5.0000000000000001E-4</v>
      </c>
      <c r="D16" s="326" t="s">
        <v>275</v>
      </c>
    </row>
    <row r="17" spans="1:7" ht="30" x14ac:dyDescent="0.2">
      <c r="A17" s="50" t="s">
        <v>68</v>
      </c>
      <c r="B17" s="58" t="s">
        <v>71</v>
      </c>
      <c r="C17" s="282">
        <v>5.0000000000000001E-3</v>
      </c>
      <c r="D17" s="326" t="s">
        <v>275</v>
      </c>
    </row>
    <row r="18" spans="1:7" ht="30" x14ac:dyDescent="0.2">
      <c r="A18" s="50" t="s">
        <v>70</v>
      </c>
      <c r="B18" s="58" t="s">
        <v>72</v>
      </c>
      <c r="C18" s="282">
        <v>1E-3</v>
      </c>
      <c r="D18" s="326" t="s">
        <v>275</v>
      </c>
    </row>
    <row r="19" spans="1:7" ht="15" x14ac:dyDescent="0.2">
      <c r="A19" s="50" t="s">
        <v>73</v>
      </c>
      <c r="B19" s="53" t="s">
        <v>74</v>
      </c>
      <c r="C19" s="54">
        <f>SUM(C14:C18)</f>
        <v>0.20090000000000002</v>
      </c>
      <c r="D19" s="59"/>
    </row>
    <row r="20" spans="1:7" ht="15" x14ac:dyDescent="0.2">
      <c r="A20" s="55"/>
      <c r="B20" s="56"/>
      <c r="C20" s="57"/>
      <c r="D20" s="56"/>
    </row>
    <row r="21" spans="1:7" ht="15" x14ac:dyDescent="0.2">
      <c r="A21" s="50" t="s">
        <v>75</v>
      </c>
      <c r="B21" s="51" t="s">
        <v>281</v>
      </c>
      <c r="C21" s="282">
        <v>2.9000000000000001E-2</v>
      </c>
      <c r="D21" s="53" t="s">
        <v>276</v>
      </c>
      <c r="E21" s="60"/>
    </row>
    <row r="22" spans="1:7" ht="15" x14ac:dyDescent="0.2">
      <c r="A22" s="50" t="s">
        <v>89</v>
      </c>
      <c r="B22" s="51" t="s">
        <v>76</v>
      </c>
      <c r="C22" s="282">
        <v>3.2000000000000001E-2</v>
      </c>
      <c r="D22" s="62" t="s">
        <v>277</v>
      </c>
      <c r="G22" s="60"/>
    </row>
    <row r="23" spans="1:7" ht="15" x14ac:dyDescent="0.2">
      <c r="A23" s="50" t="s">
        <v>77</v>
      </c>
      <c r="B23" s="53" t="s">
        <v>78</v>
      </c>
      <c r="C23" s="54">
        <f>SUM(C21:C22)</f>
        <v>6.0999999999999999E-2</v>
      </c>
      <c r="D23" s="62"/>
    </row>
    <row r="24" spans="1:7" ht="15" x14ac:dyDescent="0.2">
      <c r="A24" s="55"/>
      <c r="B24" s="56"/>
      <c r="C24" s="57"/>
      <c r="D24" s="56"/>
    </row>
    <row r="25" spans="1:7" ht="15" x14ac:dyDescent="0.2">
      <c r="A25" s="50" t="s">
        <v>79</v>
      </c>
      <c r="B25" s="51" t="s">
        <v>80</v>
      </c>
      <c r="C25" s="333">
        <f>ROUND(C12*C19,4)</f>
        <v>7.3899999999999993E-2</v>
      </c>
      <c r="D25" s="53"/>
    </row>
    <row r="26" spans="1:7" ht="28.5" x14ac:dyDescent="0.2">
      <c r="A26" s="50" t="s">
        <v>81</v>
      </c>
      <c r="B26" s="61" t="s">
        <v>280</v>
      </c>
      <c r="C26" s="333">
        <f>ROUND((C21*C11),4)</f>
        <v>2.3E-3</v>
      </c>
      <c r="D26" s="335"/>
    </row>
    <row r="27" spans="1:7" ht="15" x14ac:dyDescent="0.2">
      <c r="A27" s="50" t="s">
        <v>82</v>
      </c>
      <c r="B27" s="53" t="s">
        <v>83</v>
      </c>
      <c r="C27" s="334">
        <f>SUM(C25:C26)</f>
        <v>7.619999999999999E-2</v>
      </c>
      <c r="D27" s="335"/>
    </row>
    <row r="28" spans="1:7" ht="15.75" thickBot="1" x14ac:dyDescent="0.25">
      <c r="A28" s="209"/>
      <c r="B28" s="210" t="s">
        <v>84</v>
      </c>
      <c r="C28" s="211">
        <f>C27+C23+C19+C12</f>
        <v>0.70610000000000006</v>
      </c>
      <c r="D28" s="56"/>
    </row>
    <row r="29" spans="1:7" ht="15.75" thickBot="1" x14ac:dyDescent="0.25">
      <c r="A29" s="52"/>
      <c r="B29" s="62"/>
      <c r="C29" s="63"/>
      <c r="D29" s="52"/>
    </row>
    <row r="30" spans="1:7" ht="18.75" thickBot="1" x14ac:dyDescent="0.25">
      <c r="A30" s="429" t="s">
        <v>202</v>
      </c>
      <c r="B30" s="430"/>
      <c r="C30" s="431"/>
      <c r="D30" s="59"/>
      <c r="E30" s="49"/>
    </row>
    <row r="31" spans="1:7" customFormat="1" ht="18.75" thickBot="1" x14ac:dyDescent="0.25">
      <c r="A31" s="429" t="s">
        <v>221</v>
      </c>
      <c r="B31" s="430"/>
      <c r="C31" s="431"/>
      <c r="D31" s="59"/>
    </row>
    <row r="32" spans="1:7" s="91" customFormat="1" ht="15" x14ac:dyDescent="0.2">
      <c r="A32" s="224" t="s">
        <v>231</v>
      </c>
      <c r="B32" s="224" t="s">
        <v>47</v>
      </c>
      <c r="C32" s="225" t="s">
        <v>109</v>
      </c>
      <c r="D32" s="327"/>
    </row>
    <row r="33" spans="1:3" s="91" customFormat="1" ht="14.25" x14ac:dyDescent="0.2">
      <c r="A33" s="230">
        <v>1</v>
      </c>
      <c r="B33" s="204" t="s">
        <v>23</v>
      </c>
      <c r="C33" s="289">
        <v>0.08</v>
      </c>
    </row>
    <row r="34" spans="1:3" s="91" customFormat="1" ht="14.25" x14ac:dyDescent="0.2">
      <c r="A34" s="230">
        <v>2</v>
      </c>
      <c r="B34" s="205" t="s">
        <v>103</v>
      </c>
      <c r="C34" s="283">
        <v>0.1111</v>
      </c>
    </row>
    <row r="35" spans="1:3" s="91" customFormat="1" ht="14.25" x14ac:dyDescent="0.2">
      <c r="A35" s="230">
        <v>3</v>
      </c>
      <c r="B35" s="205" t="s">
        <v>104</v>
      </c>
      <c r="C35" s="283">
        <v>8.3299999999999999E-2</v>
      </c>
    </row>
    <row r="36" spans="1:3" s="91" customFormat="1" ht="14.25" x14ac:dyDescent="0.2">
      <c r="A36" s="230">
        <v>4</v>
      </c>
      <c r="B36" s="205" t="s">
        <v>245</v>
      </c>
      <c r="C36" s="283">
        <v>3.2000000000000001E-2</v>
      </c>
    </row>
    <row r="37" spans="1:3" s="91" customFormat="1" ht="15" thickBot="1" x14ac:dyDescent="0.25">
      <c r="A37" s="230">
        <v>5</v>
      </c>
      <c r="B37" s="226" t="s">
        <v>105</v>
      </c>
      <c r="C37" s="288">
        <f>(C34+C35)*(C33+C36)</f>
        <v>2.1772800000000002E-2</v>
      </c>
    </row>
    <row r="38" spans="1:3" s="91" customFormat="1" ht="15.75" thickBot="1" x14ac:dyDescent="0.3">
      <c r="A38" s="227" t="s">
        <v>110</v>
      </c>
      <c r="B38" s="228"/>
      <c r="C38" s="229">
        <f>SUM(C33:C37)</f>
        <v>0.32817279999999999</v>
      </c>
    </row>
    <row r="39" spans="1:3" customFormat="1" x14ac:dyDescent="0.2"/>
    <row r="40" spans="1:3" ht="14.25" x14ac:dyDescent="0.2">
      <c r="A40" s="52"/>
      <c r="B40" s="64"/>
      <c r="C40" s="66"/>
    </row>
    <row r="41" spans="1:3" ht="14.25" x14ac:dyDescent="0.2">
      <c r="A41" s="52"/>
      <c r="B41" s="67"/>
      <c r="C41" s="52"/>
    </row>
    <row r="42" spans="1:3" ht="14.25" x14ac:dyDescent="0.2">
      <c r="A42" s="52"/>
      <c r="B42" s="64"/>
      <c r="C42" s="66"/>
    </row>
    <row r="43" spans="1:3" ht="14.25" x14ac:dyDescent="0.2">
      <c r="A43" s="52"/>
      <c r="B43" s="67"/>
      <c r="C43" s="52"/>
    </row>
    <row r="44" spans="1:3" ht="14.25" x14ac:dyDescent="0.2">
      <c r="A44" s="52"/>
      <c r="B44" s="64"/>
      <c r="C44" s="66"/>
    </row>
    <row r="45" spans="1:3" ht="14.25" x14ac:dyDescent="0.2">
      <c r="A45" s="52"/>
      <c r="B45" s="67"/>
      <c r="C45" s="52"/>
    </row>
    <row r="46" spans="1:3" ht="14.25" x14ac:dyDescent="0.2">
      <c r="A46" s="52"/>
      <c r="B46" s="64"/>
      <c r="C46" s="66"/>
    </row>
    <row r="47" spans="1:3" ht="16.5" x14ac:dyDescent="0.2">
      <c r="A47" s="65"/>
    </row>
    <row r="50" spans="1:1" x14ac:dyDescent="0.2">
      <c r="A50" s="68"/>
    </row>
  </sheetData>
  <mergeCells count="4">
    <mergeCell ref="A30:C30"/>
    <mergeCell ref="A31:C31"/>
    <mergeCell ref="A1:D1"/>
    <mergeCell ref="A2:D2"/>
  </mergeCells>
  <pageMargins left="0.90551181102362199" right="0.51181102362204722" top="0.74803149606299213" bottom="0.74803149606299213" header="0.31496062992125984" footer="0.31496062992125984"/>
  <pageSetup paperSize="9" orientation="landscape" verticalDpi="597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12"/>
  <sheetViews>
    <sheetView workbookViewId="0">
      <selection sqref="A1:C12"/>
    </sheetView>
  </sheetViews>
  <sheetFormatPr defaultRowHeight="12.75" x14ac:dyDescent="0.2"/>
  <cols>
    <col min="1" max="1" width="12.85546875" customWidth="1"/>
    <col min="2" max="2" width="21.85546875" customWidth="1"/>
    <col min="3" max="3" width="30" customWidth="1"/>
  </cols>
  <sheetData>
    <row r="1" spans="1:3" x14ac:dyDescent="0.2">
      <c r="A1" s="329" t="s">
        <v>284</v>
      </c>
      <c r="B1" s="329"/>
      <c r="C1" s="329"/>
    </row>
    <row r="2" spans="1:3" x14ac:dyDescent="0.2">
      <c r="A2" s="329" t="s">
        <v>285</v>
      </c>
      <c r="B2" s="329" t="s">
        <v>286</v>
      </c>
      <c r="C2" s="329" t="s">
        <v>287</v>
      </c>
    </row>
    <row r="3" spans="1:3" x14ac:dyDescent="0.2">
      <c r="A3" s="329">
        <v>1</v>
      </c>
      <c r="B3" s="329">
        <v>33.630000000000003</v>
      </c>
      <c r="C3" s="329">
        <v>66.37</v>
      </c>
    </row>
    <row r="4" spans="1:3" x14ac:dyDescent="0.2">
      <c r="A4" s="329">
        <v>2</v>
      </c>
      <c r="B4" s="329">
        <v>43.13</v>
      </c>
      <c r="C4" s="329">
        <v>56.87</v>
      </c>
    </row>
    <row r="5" spans="1:3" x14ac:dyDescent="0.2">
      <c r="A5" s="329">
        <v>3</v>
      </c>
      <c r="B5" s="329">
        <v>48.68</v>
      </c>
      <c r="C5" s="329">
        <v>51.32</v>
      </c>
    </row>
    <row r="6" spans="1:3" x14ac:dyDescent="0.2">
      <c r="A6" s="329">
        <v>4</v>
      </c>
      <c r="B6" s="329">
        <v>52.62</v>
      </c>
      <c r="C6" s="329">
        <v>47.38</v>
      </c>
    </row>
    <row r="7" spans="1:3" x14ac:dyDescent="0.2">
      <c r="A7" s="329">
        <v>5</v>
      </c>
      <c r="B7" s="329">
        <v>55.68</v>
      </c>
      <c r="C7" s="329">
        <v>44.32</v>
      </c>
    </row>
    <row r="8" spans="1:3" x14ac:dyDescent="0.2">
      <c r="A8" s="329">
        <v>6</v>
      </c>
      <c r="B8" s="329">
        <v>58.18</v>
      </c>
      <c r="C8" s="329">
        <v>41.82</v>
      </c>
    </row>
    <row r="9" spans="1:3" x14ac:dyDescent="0.2">
      <c r="A9" s="329">
        <v>7</v>
      </c>
      <c r="B9" s="329">
        <v>60.29</v>
      </c>
      <c r="C9" s="329">
        <v>39.71</v>
      </c>
    </row>
    <row r="10" spans="1:3" x14ac:dyDescent="0.2">
      <c r="A10" s="329">
        <v>8</v>
      </c>
      <c r="B10" s="329">
        <v>62.12</v>
      </c>
      <c r="C10" s="329">
        <v>37.880000000000003</v>
      </c>
    </row>
    <row r="11" spans="1:3" x14ac:dyDescent="0.2">
      <c r="A11" s="329">
        <v>9</v>
      </c>
      <c r="B11" s="329">
        <v>63.73</v>
      </c>
      <c r="C11" s="329">
        <v>36.270000000000003</v>
      </c>
    </row>
    <row r="12" spans="1:3" x14ac:dyDescent="0.2">
      <c r="A12" s="352">
        <v>10</v>
      </c>
      <c r="B12" s="352">
        <v>65.180000000000007</v>
      </c>
      <c r="C12" s="352">
        <v>34.82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35"/>
  <sheetViews>
    <sheetView topLeftCell="A12" zoomScaleNormal="100" workbookViewId="0">
      <selection activeCell="H35" sqref="H35"/>
    </sheetView>
  </sheetViews>
  <sheetFormatPr defaultRowHeight="12.75" x14ac:dyDescent="0.2"/>
  <cols>
    <col min="1" max="1" width="43.85546875" customWidth="1"/>
    <col min="2" max="3" width="12" customWidth="1"/>
    <col min="4" max="4" width="7" customWidth="1"/>
    <col min="5" max="5" width="16.7109375" customWidth="1"/>
    <col min="6" max="6" width="1.5703125" customWidth="1"/>
  </cols>
  <sheetData>
    <row r="1" spans="1:5" s="2" customFormat="1" ht="15.6" customHeight="1" thickBot="1" x14ac:dyDescent="0.25">
      <c r="A1" s="436" t="s">
        <v>112</v>
      </c>
      <c r="B1" s="437"/>
      <c r="C1" s="437"/>
      <c r="D1" s="437"/>
      <c r="E1" s="438"/>
    </row>
    <row r="2" spans="1:5" ht="16.5" thickBot="1" x14ac:dyDescent="0.25">
      <c r="A2" s="439" t="s">
        <v>124</v>
      </c>
      <c r="B2" s="440"/>
      <c r="C2" s="440"/>
      <c r="D2" s="440"/>
      <c r="E2" s="441"/>
    </row>
    <row r="3" spans="1:5" ht="30" x14ac:dyDescent="0.2">
      <c r="A3" s="307" t="s">
        <v>47</v>
      </c>
      <c r="B3" s="308" t="s">
        <v>246</v>
      </c>
      <c r="C3" s="309" t="s">
        <v>247</v>
      </c>
      <c r="D3" s="47"/>
      <c r="E3" s="310" t="s">
        <v>248</v>
      </c>
    </row>
    <row r="4" spans="1:5" ht="14.25" x14ac:dyDescent="0.2">
      <c r="A4" s="291" t="s">
        <v>31</v>
      </c>
      <c r="B4" s="292" t="s">
        <v>32</v>
      </c>
      <c r="C4" s="293">
        <v>0.05</v>
      </c>
      <c r="E4" s="294">
        <f>C4</f>
        <v>0.05</v>
      </c>
    </row>
    <row r="5" spans="1:5" ht="14.25" x14ac:dyDescent="0.2">
      <c r="A5" s="71" t="s">
        <v>33</v>
      </c>
      <c r="B5" s="251" t="s">
        <v>34</v>
      </c>
      <c r="C5" s="285">
        <v>1.2999999999999999E-2</v>
      </c>
      <c r="E5" s="295">
        <f>C5</f>
        <v>1.2999999999999999E-2</v>
      </c>
    </row>
    <row r="6" spans="1:5" ht="15" x14ac:dyDescent="0.2">
      <c r="A6" s="71" t="s">
        <v>35</v>
      </c>
      <c r="B6" s="251" t="s">
        <v>36</v>
      </c>
      <c r="C6" s="286">
        <v>0.1</v>
      </c>
      <c r="E6" s="296">
        <f>C6</f>
        <v>0.1</v>
      </c>
    </row>
    <row r="7" spans="1:5" ht="14.25" x14ac:dyDescent="0.2">
      <c r="A7" s="71" t="s">
        <v>249</v>
      </c>
      <c r="B7" s="444" t="s">
        <v>37</v>
      </c>
      <c r="C7" s="285">
        <v>0.02</v>
      </c>
      <c r="E7" s="297">
        <v>2.4E-2</v>
      </c>
    </row>
    <row r="8" spans="1:5" ht="15" thickBot="1" x14ac:dyDescent="0.25">
      <c r="A8" s="72" t="s">
        <v>38</v>
      </c>
      <c r="B8" s="445"/>
      <c r="C8" s="287">
        <v>9.2499999999999999E-2</v>
      </c>
      <c r="E8" s="298">
        <f>C8</f>
        <v>9.2499999999999999E-2</v>
      </c>
    </row>
    <row r="9" spans="1:5" ht="14.25" x14ac:dyDescent="0.2">
      <c r="A9" s="73" t="s">
        <v>39</v>
      </c>
      <c r="B9" s="74"/>
      <c r="C9" s="75"/>
      <c r="E9" s="305"/>
    </row>
    <row r="10" spans="1:5" ht="15" thickBot="1" x14ac:dyDescent="0.25">
      <c r="A10" s="299" t="s">
        <v>199</v>
      </c>
      <c r="B10" s="300"/>
      <c r="C10" s="301"/>
      <c r="E10" s="306"/>
    </row>
    <row r="11" spans="1:5" ht="27" customHeight="1" thickBot="1" x14ac:dyDescent="0.25">
      <c r="A11" s="302" t="s">
        <v>40</v>
      </c>
      <c r="B11" s="303"/>
      <c r="C11" s="304">
        <f>ROUND((((1+C4+C5)*(1+C6))/(1-(C7+C8))-1),4)</f>
        <v>0.3175</v>
      </c>
      <c r="D11" s="312"/>
      <c r="E11" s="311">
        <f>ROUND((((1+E4+E5)*(1+E6))/(1-(E7+E8))-1),4)</f>
        <v>0.32350000000000001</v>
      </c>
    </row>
    <row r="12" spans="1:5" ht="14.25" x14ac:dyDescent="0.2">
      <c r="A12" s="47"/>
      <c r="B12" s="47"/>
      <c r="C12" s="47"/>
      <c r="E12" s="47"/>
    </row>
    <row r="13" spans="1:5" ht="15" thickBot="1" x14ac:dyDescent="0.25">
      <c r="A13" s="47"/>
      <c r="B13" s="47"/>
      <c r="C13" s="47"/>
      <c r="E13" s="47"/>
    </row>
    <row r="14" spans="1:5" s="2" customFormat="1" ht="15.6" customHeight="1" thickBot="1" x14ac:dyDescent="0.25">
      <c r="A14" s="436" t="s">
        <v>111</v>
      </c>
      <c r="B14" s="437"/>
      <c r="C14" s="437"/>
      <c r="D14" s="437"/>
      <c r="E14" s="438"/>
    </row>
    <row r="15" spans="1:5" ht="16.5" thickBot="1" x14ac:dyDescent="0.25">
      <c r="A15" s="439" t="s">
        <v>124</v>
      </c>
      <c r="B15" s="440"/>
      <c r="C15" s="440"/>
      <c r="D15" s="440"/>
      <c r="E15" s="441"/>
    </row>
    <row r="16" spans="1:5" ht="30" x14ac:dyDescent="0.2">
      <c r="A16" s="307" t="s">
        <v>47</v>
      </c>
      <c r="B16" s="308" t="s">
        <v>246</v>
      </c>
      <c r="C16" s="309" t="s">
        <v>247</v>
      </c>
      <c r="D16" s="47"/>
      <c r="E16" s="310" t="s">
        <v>248</v>
      </c>
    </row>
    <row r="17" spans="1:5" ht="14.25" x14ac:dyDescent="0.2">
      <c r="A17" s="291" t="s">
        <v>31</v>
      </c>
      <c r="B17" s="292" t="s">
        <v>32</v>
      </c>
      <c r="C17" s="293">
        <v>0.05</v>
      </c>
      <c r="E17" s="294">
        <f>C17</f>
        <v>0.05</v>
      </c>
    </row>
    <row r="18" spans="1:5" ht="14.25" x14ac:dyDescent="0.2">
      <c r="A18" s="71" t="s">
        <v>33</v>
      </c>
      <c r="B18" s="251" t="s">
        <v>34</v>
      </c>
      <c r="C18" s="285">
        <v>1.2999999999999999E-2</v>
      </c>
      <c r="E18" s="295">
        <f>C18</f>
        <v>1.2999999999999999E-2</v>
      </c>
    </row>
    <row r="19" spans="1:5" ht="15" x14ac:dyDescent="0.2">
      <c r="A19" s="71" t="s">
        <v>35</v>
      </c>
      <c r="B19" s="251" t="s">
        <v>36</v>
      </c>
      <c r="C19" s="286">
        <v>0.1</v>
      </c>
      <c r="E19" s="296">
        <f>C19</f>
        <v>0.1</v>
      </c>
    </row>
    <row r="20" spans="1:5" ht="14.25" x14ac:dyDescent="0.2">
      <c r="A20" s="71" t="s">
        <v>249</v>
      </c>
      <c r="B20" s="444" t="s">
        <v>37</v>
      </c>
      <c r="C20" s="285">
        <v>0.02</v>
      </c>
      <c r="E20" s="297">
        <v>2.4E-2</v>
      </c>
    </row>
    <row r="21" spans="1:5" ht="15" thickBot="1" x14ac:dyDescent="0.25">
      <c r="A21" s="72" t="s">
        <v>38</v>
      </c>
      <c r="B21" s="445"/>
      <c r="C21" s="287">
        <v>3.6499999999999998E-2</v>
      </c>
      <c r="E21" s="298">
        <f>C21</f>
        <v>3.6499999999999998E-2</v>
      </c>
    </row>
    <row r="22" spans="1:5" ht="14.25" x14ac:dyDescent="0.2">
      <c r="A22" s="73" t="s">
        <v>39</v>
      </c>
      <c r="B22" s="74"/>
      <c r="C22" s="75"/>
      <c r="E22" s="305"/>
    </row>
    <row r="23" spans="1:5" ht="15" thickBot="1" x14ac:dyDescent="0.25">
      <c r="A23" s="76" t="s">
        <v>199</v>
      </c>
      <c r="B23" s="77"/>
      <c r="C23" s="78"/>
      <c r="E23" s="306"/>
    </row>
    <row r="24" spans="1:5" ht="27" customHeight="1" thickBot="1" x14ac:dyDescent="0.25">
      <c r="A24" s="79" t="s">
        <v>40</v>
      </c>
      <c r="B24" s="80"/>
      <c r="C24" s="81">
        <f>ROUND((((1+C17+C18)*(1+C19))/(1-(C20+C21))-1),4)</f>
        <v>0.23930000000000001</v>
      </c>
      <c r="D24" s="312"/>
      <c r="E24" s="311">
        <f>ROUND((((1+E17+E18)*(1+E19))/(1-(E20+E21))-1),4)</f>
        <v>0.24460000000000001</v>
      </c>
    </row>
    <row r="26" spans="1:5" ht="13.5" thickBot="1" x14ac:dyDescent="0.25"/>
    <row r="27" spans="1:5" s="2" customFormat="1" ht="15.6" customHeight="1" thickBot="1" x14ac:dyDescent="0.25">
      <c r="A27" s="436" t="s">
        <v>108</v>
      </c>
      <c r="B27" s="437"/>
      <c r="C27" s="437"/>
      <c r="D27" s="437"/>
      <c r="E27" s="438"/>
    </row>
    <row r="28" spans="1:5" ht="16.5" thickBot="1" x14ac:dyDescent="0.25">
      <c r="A28" s="439" t="s">
        <v>201</v>
      </c>
      <c r="B28" s="440"/>
      <c r="C28" s="440"/>
      <c r="D28" s="440"/>
      <c r="E28" s="441"/>
    </row>
    <row r="29" spans="1:5" ht="30.75" thickBot="1" x14ac:dyDescent="0.25">
      <c r="A29" s="307" t="s">
        <v>47</v>
      </c>
      <c r="B29" s="308" t="s">
        <v>246</v>
      </c>
      <c r="C29" s="309" t="s">
        <v>247</v>
      </c>
      <c r="D29" s="47"/>
      <c r="E29" s="310" t="s">
        <v>248</v>
      </c>
    </row>
    <row r="30" spans="1:5" ht="14.25" x14ac:dyDescent="0.2">
      <c r="A30" s="69" t="s">
        <v>31</v>
      </c>
      <c r="B30" s="70" t="s">
        <v>32</v>
      </c>
      <c r="C30" s="284">
        <v>0.05</v>
      </c>
      <c r="E30" s="313">
        <f>C30</f>
        <v>0.05</v>
      </c>
    </row>
    <row r="31" spans="1:5" ht="14.25" x14ac:dyDescent="0.2">
      <c r="A31" s="71" t="s">
        <v>33</v>
      </c>
      <c r="B31" s="251" t="s">
        <v>34</v>
      </c>
      <c r="C31" s="285">
        <v>1.2999999999999999E-2</v>
      </c>
      <c r="E31" s="295">
        <f>C31</f>
        <v>1.2999999999999999E-2</v>
      </c>
    </row>
    <row r="32" spans="1:5" ht="15.75" thickBot="1" x14ac:dyDescent="0.25">
      <c r="A32" s="71" t="s">
        <v>35</v>
      </c>
      <c r="B32" s="251" t="s">
        <v>36</v>
      </c>
      <c r="C32" s="286">
        <v>0.1</v>
      </c>
      <c r="E32" s="296">
        <f>C32</f>
        <v>0.1</v>
      </c>
    </row>
    <row r="33" spans="1:5" ht="14.25" x14ac:dyDescent="0.2">
      <c r="A33" s="73" t="s">
        <v>118</v>
      </c>
      <c r="B33" s="74"/>
      <c r="C33" s="75"/>
      <c r="E33" s="305"/>
    </row>
    <row r="34" spans="1:5" ht="15" thickBot="1" x14ac:dyDescent="0.25">
      <c r="A34" s="76" t="s">
        <v>200</v>
      </c>
      <c r="B34" s="77"/>
      <c r="C34" s="78"/>
      <c r="E34" s="306"/>
    </row>
    <row r="35" spans="1:5" ht="27" customHeight="1" thickBot="1" x14ac:dyDescent="0.25">
      <c r="A35" s="442" t="s">
        <v>119</v>
      </c>
      <c r="B35" s="443"/>
      <c r="C35" s="81">
        <f>ROUND((((1+C30+C31)*(1+C32))-1),4)</f>
        <v>0.16930000000000001</v>
      </c>
      <c r="D35" s="312"/>
      <c r="E35" s="311">
        <f>ROUND((((1+E30+E31)*(1+E32))-1),4)</f>
        <v>0.16930000000000001</v>
      </c>
    </row>
  </sheetData>
  <mergeCells count="9">
    <mergeCell ref="A1:E1"/>
    <mergeCell ref="A2:E2"/>
    <mergeCell ref="A14:E14"/>
    <mergeCell ref="A15:E15"/>
    <mergeCell ref="A35:B35"/>
    <mergeCell ref="B20:B21"/>
    <mergeCell ref="B7:B8"/>
    <mergeCell ref="A27:E27"/>
    <mergeCell ref="A28:E28"/>
  </mergeCells>
  <pageMargins left="0.39370078740157483" right="0.19685039370078741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20</vt:i4>
      </vt:variant>
      <vt:variant>
        <vt:lpstr>Intervalos Nomeados</vt:lpstr>
      </vt:variant>
      <vt:variant>
        <vt:i4>35</vt:i4>
      </vt:variant>
    </vt:vector>
  </HeadingPairs>
  <TitlesOfParts>
    <vt:vector size="55" baseType="lpstr">
      <vt:lpstr> lote 1.1</vt:lpstr>
      <vt:lpstr> lote 1.2</vt:lpstr>
      <vt:lpstr> lote 2.1</vt:lpstr>
      <vt:lpstr> lote 2.2</vt:lpstr>
      <vt:lpstr>lote 3.1</vt:lpstr>
      <vt:lpstr> lote 3.2</vt:lpstr>
      <vt:lpstr> lote 4,1</vt:lpstr>
      <vt:lpstr> lote 6.1</vt:lpstr>
      <vt:lpstr> lote 7.1 </vt:lpstr>
      <vt:lpstr> lote 14.1</vt:lpstr>
      <vt:lpstr>lote 16.1</vt:lpstr>
      <vt:lpstr>lote 16.2</vt:lpstr>
      <vt:lpstr>lote 16.3</vt:lpstr>
      <vt:lpstr>LOTE 17,01</vt:lpstr>
      <vt:lpstr>LOTE20.1</vt:lpstr>
      <vt:lpstr>lote 21.1</vt:lpstr>
      <vt:lpstr>lote 22.2</vt:lpstr>
      <vt:lpstr>Enc. Soc. - LR-LP e SN</vt:lpstr>
      <vt:lpstr>Depreciação TCE-RS</vt:lpstr>
      <vt:lpstr>BDI</vt:lpstr>
      <vt:lpstr>' lote 1.1'!Area_de_impressao</vt:lpstr>
      <vt:lpstr>' lote 1.2'!Area_de_impressao</vt:lpstr>
      <vt:lpstr>' lote 14.1'!Area_de_impressao</vt:lpstr>
      <vt:lpstr>' lote 2.1'!Area_de_impressao</vt:lpstr>
      <vt:lpstr>' lote 2.2'!Area_de_impressao</vt:lpstr>
      <vt:lpstr>' lote 3.2'!Area_de_impressao</vt:lpstr>
      <vt:lpstr>' lote 4,1'!Area_de_impressao</vt:lpstr>
      <vt:lpstr>' lote 6.1'!Area_de_impressao</vt:lpstr>
      <vt:lpstr>' lote 7.1 '!Area_de_impressao</vt:lpstr>
      <vt:lpstr>'Enc. Soc. - LR-LP e SN'!Area_de_impressao</vt:lpstr>
      <vt:lpstr>'lote 16.1'!Area_de_impressao</vt:lpstr>
      <vt:lpstr>'lote 16.2'!Area_de_impressao</vt:lpstr>
      <vt:lpstr>'lote 16.3'!Area_de_impressao</vt:lpstr>
      <vt:lpstr>'LOTE 17,01'!Area_de_impressao</vt:lpstr>
      <vt:lpstr>'lote 21.1'!Area_de_impressao</vt:lpstr>
      <vt:lpstr>'lote 22.2'!Area_de_impressao</vt:lpstr>
      <vt:lpstr>'lote 3.1'!Area_de_impressao</vt:lpstr>
      <vt:lpstr>LOTE20.1!Area_de_impressao</vt:lpstr>
      <vt:lpstr>' lote 1.1'!Titulos_de_impressao</vt:lpstr>
      <vt:lpstr>' lote 1.2'!Titulos_de_impressao</vt:lpstr>
      <vt:lpstr>' lote 14.1'!Titulos_de_impressao</vt:lpstr>
      <vt:lpstr>' lote 2.1'!Titulos_de_impressao</vt:lpstr>
      <vt:lpstr>' lote 2.2'!Titulos_de_impressao</vt:lpstr>
      <vt:lpstr>' lote 3.2'!Titulos_de_impressao</vt:lpstr>
      <vt:lpstr>' lote 4,1'!Titulos_de_impressao</vt:lpstr>
      <vt:lpstr>' lote 6.1'!Titulos_de_impressao</vt:lpstr>
      <vt:lpstr>' lote 7.1 '!Titulos_de_impressao</vt:lpstr>
      <vt:lpstr>'lote 16.1'!Titulos_de_impressao</vt:lpstr>
      <vt:lpstr>'lote 16.2'!Titulos_de_impressao</vt:lpstr>
      <vt:lpstr>'lote 16.3'!Titulos_de_impressao</vt:lpstr>
      <vt:lpstr>'LOTE 17,01'!Titulos_de_impressao</vt:lpstr>
      <vt:lpstr>'lote 21.1'!Titulos_de_impressao</vt:lpstr>
      <vt:lpstr>'lote 22.2'!Titulos_de_impressao</vt:lpstr>
      <vt:lpstr>'lote 3.1'!Titulos_de_impressao</vt:lpstr>
      <vt:lpstr>LOTE20.1!Titulos_de_impressao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Beatris Regina Vogel</cp:lastModifiedBy>
  <cp:lastPrinted>2026-04-20T12:21:10Z</cp:lastPrinted>
  <dcterms:created xsi:type="dcterms:W3CDTF">2000-12-13T10:02:50Z</dcterms:created>
  <dcterms:modified xsi:type="dcterms:W3CDTF">2026-05-08T14:57:22Z</dcterms:modified>
</cp:coreProperties>
</file>