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K:\Arquivos para Licitacon\Pregões Eletrônicos\2026\PE 036-2026 - Contratação Transporte Paresp\"/>
    </mc:Choice>
  </mc:AlternateContent>
  <xr:revisionPtr revIDLastSave="0" documentId="8_{AB103C34-E564-4ABB-AB1D-380947602A12}" xr6:coauthVersionLast="47" xr6:coauthVersionMax="47" xr10:uidLastSave="{00000000-0000-0000-0000-000000000000}"/>
  <bookViews>
    <workbookView xWindow="-120" yWindow="-120" windowWidth="29040" windowHeight="15720" tabRatio="802" xr2:uid="{00000000-000D-0000-FFFF-FFFF00000000}"/>
  </bookViews>
  <sheets>
    <sheet name="Van 18 lugares- Paresp" sheetId="45" r:id="rId1"/>
    <sheet name="Enc. Soc. - LR-LP e SN" sheetId="8" r:id="rId2"/>
    <sheet name="BDI" sheetId="4" r:id="rId3"/>
    <sheet name="Depr." sheetId="48" r:id="rId4"/>
  </sheets>
  <definedNames>
    <definedName name="AbaDeprec" localSheetId="3">#REF!</definedName>
    <definedName name="AbaDeprec" localSheetId="0">#REF!</definedName>
    <definedName name="AbaDeprec">#REF!</definedName>
    <definedName name="AbaRemun" localSheetId="3">#REF!</definedName>
    <definedName name="AbaRemun" localSheetId="0">#REF!</definedName>
    <definedName name="AbaRemun">#REF!</definedName>
    <definedName name="_xlnm.Print_Area" localSheetId="1">'Enc. Soc. - LR-LP e SN'!$A$1:$C$29</definedName>
    <definedName name="_xlnm.Print_Area" localSheetId="0">'Van 18 lugares- Paresp'!$A$1:$H$230</definedName>
    <definedName name="Escavadeira">#REF!</definedName>
    <definedName name="número" localSheetId="3">#REF!</definedName>
    <definedName name="número" localSheetId="0">#REF!</definedName>
    <definedName name="número">#REF!</definedName>
    <definedName name="_xlnm.Print_Titles" localSheetId="0">'Van 18 lugares- Paresp'!$4:$4</definedName>
    <definedName name="x" localSheetId="3">#REF!</definedName>
    <definedName name="x" localSheetId="0">#REF!</definedName>
    <definedName name="x">#REF!</definedName>
  </definedNames>
  <calcPr calcId="191029" iterateDelta="1E-4"/>
</workbook>
</file>

<file path=xl/calcChain.xml><?xml version="1.0" encoding="utf-8"?>
<calcChain xmlns="http://schemas.openxmlformats.org/spreadsheetml/2006/main">
  <c r="A13" i="45" l="1"/>
  <c r="F80" i="45"/>
  <c r="G80" i="45" l="1"/>
  <c r="E75" i="45" l="1"/>
  <c r="A62" i="45" l="1"/>
  <c r="G42" i="45" l="1"/>
  <c r="C45" i="45" s="1"/>
  <c r="F57" i="45" s="1"/>
  <c r="F64" i="45" s="1"/>
  <c r="F71" i="45" s="1"/>
  <c r="F76" i="45" l="1"/>
  <c r="F81" i="45" s="1"/>
  <c r="G81" i="45" s="1"/>
  <c r="F117" i="45"/>
  <c r="F96" i="45"/>
  <c r="F107" i="45"/>
  <c r="D160" i="45"/>
  <c r="C13" i="45" l="1"/>
  <c r="D56" i="45"/>
  <c r="E13" i="45" l="1"/>
  <c r="A21" i="45"/>
  <c r="G13" i="45" l="1"/>
  <c r="E124" i="45"/>
  <c r="E151" i="45" l="1"/>
  <c r="D93" i="45"/>
  <c r="F152" i="45" l="1"/>
  <c r="F151" i="45" l="1"/>
  <c r="G153" i="45" s="1"/>
  <c r="C21" i="45" s="1"/>
  <c r="E21" i="45" s="1"/>
  <c r="G21" i="45" s="1"/>
  <c r="C12" i="48" l="1"/>
  <c r="C11" i="48"/>
  <c r="C10" i="48"/>
  <c r="C9" i="48"/>
  <c r="C8" i="48"/>
  <c r="C7" i="48"/>
  <c r="C6" i="48"/>
  <c r="C5" i="48"/>
  <c r="C4" i="48"/>
  <c r="C3" i="48"/>
  <c r="C37" i="8" l="1"/>
  <c r="C38" i="8"/>
  <c r="F138" i="45" l="1"/>
  <c r="D145" i="45" l="1"/>
  <c r="F145" i="45" s="1"/>
  <c r="E130" i="45" l="1"/>
  <c r="E128" i="45"/>
  <c r="E126" i="45"/>
  <c r="F163" i="45" l="1"/>
  <c r="D162" i="45"/>
  <c r="F162" i="45" s="1"/>
  <c r="D161" i="45"/>
  <c r="F161" i="45" s="1"/>
  <c r="F160" i="45"/>
  <c r="D159" i="45"/>
  <c r="F159" i="45" s="1"/>
  <c r="F143" i="45"/>
  <c r="E146" i="45" s="1"/>
  <c r="F146" i="45" s="1"/>
  <c r="E147" i="45" s="1"/>
  <c r="E132" i="45"/>
  <c r="E121" i="45"/>
  <c r="D121" i="45"/>
  <c r="F115" i="45"/>
  <c r="F114" i="45"/>
  <c r="F113" i="45"/>
  <c r="D95" i="45"/>
  <c r="D92" i="45"/>
  <c r="D94" i="45" s="1"/>
  <c r="E91" i="45"/>
  <c r="E99" i="45" s="1"/>
  <c r="F99" i="45" s="1"/>
  <c r="D101" i="45" s="1"/>
  <c r="D69" i="45"/>
  <c r="D63" i="45"/>
  <c r="D60" i="45"/>
  <c r="E51" i="45"/>
  <c r="G40" i="45"/>
  <c r="D35" i="45"/>
  <c r="G32" i="45"/>
  <c r="F32" i="45"/>
  <c r="A25" i="45"/>
  <c r="A24" i="45"/>
  <c r="A23" i="45"/>
  <c r="A22" i="45"/>
  <c r="A20" i="45"/>
  <c r="A19" i="45"/>
  <c r="A18" i="45"/>
  <c r="A17" i="45"/>
  <c r="A16" i="45"/>
  <c r="A15" i="45"/>
  <c r="A14" i="45"/>
  <c r="A12" i="45"/>
  <c r="A11" i="45"/>
  <c r="A9" i="45"/>
  <c r="H80" i="45" l="1"/>
  <c r="I40" i="45"/>
  <c r="H81" i="45"/>
  <c r="F51" i="45"/>
  <c r="E70" i="45" s="1"/>
  <c r="C119" i="45"/>
  <c r="E179" i="45" s="1"/>
  <c r="E193" i="45" s="1"/>
  <c r="H153" i="45"/>
  <c r="E122" i="45"/>
  <c r="E133" i="45" s="1"/>
  <c r="G163" i="45"/>
  <c r="D112" i="45"/>
  <c r="F112" i="45" s="1"/>
  <c r="D111" i="45"/>
  <c r="F111" i="45" s="1"/>
  <c r="D75" i="45"/>
  <c r="F75" i="45" s="1"/>
  <c r="D70" i="45"/>
  <c r="F91" i="45"/>
  <c r="D110" i="45"/>
  <c r="D106" i="45"/>
  <c r="E32" i="4"/>
  <c r="E31" i="4"/>
  <c r="E30" i="4"/>
  <c r="E21" i="4"/>
  <c r="E19" i="4"/>
  <c r="E18" i="4"/>
  <c r="E17" i="4"/>
  <c r="E8" i="4"/>
  <c r="E6" i="4"/>
  <c r="E5" i="4"/>
  <c r="E4" i="4"/>
  <c r="D147" i="45" l="1"/>
  <c r="F147" i="45" s="1"/>
  <c r="G147" i="45" s="1"/>
  <c r="H147" i="45" s="1"/>
  <c r="D124" i="45"/>
  <c r="F124" i="45" s="1"/>
  <c r="D122" i="45"/>
  <c r="D126" i="45" s="1"/>
  <c r="F126" i="45" s="1"/>
  <c r="G75" i="45"/>
  <c r="G76" i="45"/>
  <c r="F52" i="45"/>
  <c r="E218" i="45"/>
  <c r="F70" i="45"/>
  <c r="E110" i="45"/>
  <c r="F110" i="45" s="1"/>
  <c r="E116" i="45" s="1"/>
  <c r="E93" i="45"/>
  <c r="F93" i="45" s="1"/>
  <c r="E94" i="45" s="1"/>
  <c r="F94" i="45" s="1"/>
  <c r="E95" i="45" s="1"/>
  <c r="F95" i="45" s="1"/>
  <c r="G96" i="45" s="1"/>
  <c r="G165" i="45"/>
  <c r="H163" i="45"/>
  <c r="D130" i="45"/>
  <c r="F130" i="45" s="1"/>
  <c r="E24" i="4"/>
  <c r="E35" i="4"/>
  <c r="E11" i="4"/>
  <c r="D132" i="45" l="1"/>
  <c r="F132" i="45" s="1"/>
  <c r="F122" i="45"/>
  <c r="D137" i="45"/>
  <c r="F137" i="45" s="1"/>
  <c r="F139" i="45" s="1"/>
  <c r="G139" i="45" s="1"/>
  <c r="D128" i="45"/>
  <c r="F128" i="45" s="1"/>
  <c r="H76" i="45"/>
  <c r="C12" i="45"/>
  <c r="H75" i="45"/>
  <c r="G70" i="45"/>
  <c r="H70" i="45" s="1"/>
  <c r="G71" i="45"/>
  <c r="C11" i="45" s="1"/>
  <c r="E60" i="45"/>
  <c r="E53" i="45"/>
  <c r="F133" i="45"/>
  <c r="G133" i="45" s="1"/>
  <c r="F116" i="45"/>
  <c r="G117" i="45" s="1"/>
  <c r="C20" i="45"/>
  <c r="D102" i="45"/>
  <c r="D103" i="45" s="1"/>
  <c r="C15" i="45"/>
  <c r="H96" i="45"/>
  <c r="C22" i="45"/>
  <c r="H165" i="45"/>
  <c r="E12" i="45"/>
  <c r="H71" i="45" l="1"/>
  <c r="F60" i="45"/>
  <c r="F61" i="45" s="1"/>
  <c r="E63" i="45" s="1"/>
  <c r="F63" i="45" s="1"/>
  <c r="E20" i="45"/>
  <c r="E11" i="45"/>
  <c r="G11" i="45" s="1"/>
  <c r="C19" i="45"/>
  <c r="E19" i="45" s="1"/>
  <c r="H139" i="45"/>
  <c r="E104" i="45"/>
  <c r="F104" i="45" s="1"/>
  <c r="F105" i="45" s="1"/>
  <c r="E106" i="45" s="1"/>
  <c r="F106" i="45" s="1"/>
  <c r="G107" i="45" s="1"/>
  <c r="C17" i="45"/>
  <c r="H117" i="45"/>
  <c r="H133" i="45"/>
  <c r="C18" i="45"/>
  <c r="E22" i="45"/>
  <c r="E15" i="45"/>
  <c r="G12" i="45"/>
  <c r="G63" i="45" l="1"/>
  <c r="H63" i="45" s="1"/>
  <c r="G64" i="45"/>
  <c r="H107" i="45"/>
  <c r="G155" i="45"/>
  <c r="G20" i="45"/>
  <c r="E17" i="45"/>
  <c r="G17" i="45" s="1"/>
  <c r="C16" i="45"/>
  <c r="G15" i="45"/>
  <c r="G22" i="45"/>
  <c r="G19" i="45"/>
  <c r="E18" i="45"/>
  <c r="G10" i="45" l="1"/>
  <c r="G86" i="45"/>
  <c r="H64" i="45"/>
  <c r="E16" i="45"/>
  <c r="C14" i="45"/>
  <c r="E14" i="45" s="1"/>
  <c r="H155" i="45"/>
  <c r="G18" i="45"/>
  <c r="G16" i="45" l="1"/>
  <c r="G14" i="45"/>
  <c r="C35" i="4" l="1"/>
  <c r="C24" i="4"/>
  <c r="D186" i="45" s="1"/>
  <c r="C11" i="4"/>
  <c r="D172" i="45" s="1"/>
  <c r="D200" i="45" l="1"/>
  <c r="C26" i="8"/>
  <c r="C12" i="8" l="1"/>
  <c r="C19" i="8" l="1"/>
  <c r="C25" i="8" s="1"/>
  <c r="C23" i="8" l="1"/>
  <c r="C27" i="8"/>
  <c r="C28" i="8" l="1"/>
  <c r="D53" i="45" s="1"/>
  <c r="F53" i="45" l="1"/>
  <c r="F54" i="45" s="1"/>
  <c r="E56" i="45" s="1"/>
  <c r="F56" i="45" s="1"/>
  <c r="G56" i="45" l="1"/>
  <c r="H56" i="45" s="1"/>
  <c r="G57" i="45"/>
  <c r="C10" i="45" l="1"/>
  <c r="E10" i="45" s="1"/>
  <c r="G85" i="45"/>
  <c r="H85" i="45" s="1"/>
  <c r="H57" i="45"/>
  <c r="E9" i="45"/>
  <c r="G168" i="45"/>
  <c r="G167" i="45" l="1"/>
  <c r="E186" i="45" s="1"/>
  <c r="F186" i="45" s="1"/>
  <c r="G186" i="45" s="1"/>
  <c r="C9" i="45"/>
  <c r="H86" i="45"/>
  <c r="G9" i="45"/>
  <c r="E200" i="45"/>
  <c r="H168" i="45"/>
  <c r="E172" i="45" l="1"/>
  <c r="F172" i="45" s="1"/>
  <c r="G172" i="45" s="1"/>
  <c r="H172" i="45" s="1"/>
  <c r="H167" i="45"/>
  <c r="G189" i="45"/>
  <c r="H186" i="45"/>
  <c r="F200" i="45"/>
  <c r="G200" i="45" s="1"/>
  <c r="G175" i="45" l="1"/>
  <c r="H175" i="45" s="1"/>
  <c r="G203" i="45"/>
  <c r="H200" i="45"/>
  <c r="E24" i="45"/>
  <c r="H189" i="45"/>
  <c r="G191" i="45"/>
  <c r="G195" i="45" s="1"/>
  <c r="G177" i="45" l="1"/>
  <c r="G181" i="45" s="1"/>
  <c r="C27" i="45" s="1"/>
  <c r="C23" i="45"/>
  <c r="C26" i="45" s="1"/>
  <c r="E26" i="45"/>
  <c r="E27" i="45"/>
  <c r="H191" i="45"/>
  <c r="H203" i="45"/>
  <c r="G205" i="45"/>
  <c r="D21" i="45" l="1"/>
  <c r="D13" i="45"/>
  <c r="F21" i="45"/>
  <c r="F13" i="45"/>
  <c r="H177" i="45"/>
  <c r="F12" i="45"/>
  <c r="F19" i="45"/>
  <c r="F20" i="45"/>
  <c r="F11" i="45"/>
  <c r="F15" i="45"/>
  <c r="F22" i="45"/>
  <c r="F17" i="45"/>
  <c r="F18" i="45"/>
  <c r="F16" i="45"/>
  <c r="F10" i="45"/>
  <c r="F24" i="45"/>
  <c r="D12" i="45"/>
  <c r="D20" i="45"/>
  <c r="D11" i="45"/>
  <c r="D15" i="45"/>
  <c r="D22" i="45"/>
  <c r="D19" i="45"/>
  <c r="D17" i="45"/>
  <c r="D18" i="45"/>
  <c r="D16" i="45"/>
  <c r="D10" i="45"/>
  <c r="D23" i="45"/>
  <c r="E213" i="45"/>
  <c r="G216" i="45" s="1"/>
  <c r="I213" i="45" s="1"/>
  <c r="H205" i="45"/>
  <c r="D9" i="45" l="1"/>
  <c r="F9" i="45"/>
  <c r="J214" i="45"/>
  <c r="J215" i="45" s="1"/>
  <c r="J216" i="45" s="1"/>
  <c r="D14" i="45"/>
  <c r="F14" i="45"/>
  <c r="G220" i="45"/>
  <c r="G27" i="45" s="1"/>
  <c r="F213" i="45"/>
  <c r="G213" i="45" s="1"/>
  <c r="H216" i="45"/>
  <c r="F26" i="45" l="1"/>
  <c r="G25" i="45"/>
  <c r="I26" i="45" s="1"/>
  <c r="H213" i="45"/>
  <c r="G26" i="45" l="1"/>
  <c r="H21" i="45" l="1"/>
  <c r="H13" i="45"/>
  <c r="H22" i="45"/>
  <c r="H18" i="45"/>
  <c r="H12" i="45"/>
  <c r="H15" i="45"/>
  <c r="H17" i="45"/>
  <c r="H11" i="45"/>
  <c r="H20" i="45"/>
  <c r="H16" i="45"/>
  <c r="H19" i="45"/>
  <c r="H10" i="45"/>
  <c r="H25" i="45"/>
  <c r="H9" i="45" l="1"/>
  <c r="H14" i="45"/>
  <c r="H26" i="45" l="1"/>
  <c r="D26" i="4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Clauber Bridi</author>
    <author>Win 11</author>
  </authors>
  <commentList>
    <comment ref="B3" authorId="0" shapeId="0" xr:uid="{00000000-0006-0000-0000-000001000000}">
      <text>
        <r>
          <rPr>
            <b/>
            <sz val="9"/>
            <color indexed="81"/>
            <rFont val="Segoe UI"/>
            <family val="2"/>
          </rPr>
          <t>Informar o nº do 
processo.</t>
        </r>
      </text>
    </comment>
    <comment ref="D3" authorId="0" shapeId="0" xr:uid="{00000000-0006-0000-0000-000002000000}">
      <text>
        <r>
          <rPr>
            <b/>
            <sz val="9"/>
            <color indexed="81"/>
            <rFont val="Segoe UI"/>
            <family val="2"/>
          </rPr>
          <t>Informar o nº da licitação.</t>
        </r>
      </text>
    </comment>
    <comment ref="G3" authorId="0" shapeId="0" xr:uid="{00000000-0006-0000-0000-000003000000}">
      <text>
        <r>
          <rPr>
            <b/>
            <sz val="9"/>
            <color indexed="81"/>
            <rFont val="Segoe UI"/>
            <family val="2"/>
          </rPr>
          <t>Informar a data da licitação.</t>
        </r>
      </text>
    </comment>
    <comment ref="F31" authorId="0" shapeId="0" xr:uid="{00000000-0006-0000-0000-000004000000}">
      <text>
        <r>
          <rPr>
            <b/>
            <sz val="9"/>
            <color indexed="81"/>
            <rFont val="Segoe UI"/>
            <family val="2"/>
          </rPr>
          <t>Informar a quantidade de motoristas.</t>
        </r>
      </text>
    </comment>
    <comment ref="G31" authorId="0" shapeId="0" xr:uid="{00000000-0006-0000-0000-000005000000}">
      <text>
        <r>
          <rPr>
            <b/>
            <sz val="9"/>
            <color indexed="81"/>
            <rFont val="Segoe UI"/>
            <family val="2"/>
          </rPr>
          <t>Adotado o Piso da categoria fixado na Convenção Coletiva.
Informar o valor do salário pago pela empresa.</t>
        </r>
      </text>
    </comment>
    <comment ref="C35" authorId="0" shapeId="0" xr:uid="{00000000-0006-0000-0000-000006000000}">
      <text>
        <r>
          <rPr>
            <b/>
            <sz val="9"/>
            <color indexed="81"/>
            <rFont val="Segoe UI"/>
            <family val="2"/>
          </rPr>
          <t>Informar a vida útil do veículo em anos. Determinado pela taxa de depreciação aplicável.
Ex.: Se taxa depr = 10% aa, então vida útil é de 10 anos. Se taxa depr. = 20 % aa, então vida útil é de 5 anos.</t>
        </r>
      </text>
    </comment>
    <comment ref="E35" authorId="0" shapeId="0" xr:uid="{00000000-0006-0000-0000-000007000000}">
      <text>
        <r>
          <rPr>
            <b/>
            <sz val="9"/>
            <color indexed="81"/>
            <rFont val="Segoe UI"/>
            <family val="2"/>
          </rPr>
          <t>Informar a quantidade de lugares do veículo, conforme consta no projeto.</t>
        </r>
      </text>
    </comment>
    <comment ref="F35" authorId="0" shapeId="0" xr:uid="{00000000-0006-0000-0000-000008000000}">
      <text>
        <r>
          <rPr>
            <b/>
            <sz val="9"/>
            <color indexed="81"/>
            <rFont val="Segoe UI"/>
            <family val="2"/>
          </rPr>
          <t>Informar a quantidade de veículos.</t>
        </r>
      </text>
    </comment>
    <comment ref="G35" authorId="0" shapeId="0" xr:uid="{00000000-0006-0000-0000-000009000000}">
      <text>
        <r>
          <rPr>
            <b/>
            <sz val="9"/>
            <color indexed="81"/>
            <rFont val="Segoe UI"/>
            <family val="2"/>
          </rPr>
          <t xml:space="preserve">Informar o valor do veículo.
</t>
        </r>
      </text>
    </comment>
    <comment ref="F37" authorId="0" shapeId="0" xr:uid="{00000000-0006-0000-0000-00000A000000}">
      <text>
        <r>
          <rPr>
            <b/>
            <sz val="9"/>
            <color indexed="81"/>
            <rFont val="Segoe UI"/>
            <family val="2"/>
          </rPr>
          <t>Informar o consumo médio (Km por litro), deste veículo.</t>
        </r>
      </text>
    </comment>
    <comment ref="G37" authorId="0" shapeId="0" xr:uid="{00000000-0006-0000-0000-00000B000000}">
      <text>
        <r>
          <rPr>
            <b/>
            <sz val="9"/>
            <color indexed="81"/>
            <rFont val="Segoe UI"/>
            <family val="2"/>
          </rPr>
          <t>Informar o valor do litro de combustível utilizado por este veículo (R$ por litro)</t>
        </r>
      </text>
    </comment>
    <comment ref="F40" authorId="0" shapeId="0" xr:uid="{00000000-0006-0000-0000-00000C000000}">
      <text>
        <r>
          <rPr>
            <b/>
            <sz val="9"/>
            <color indexed="81"/>
            <rFont val="Segoe UI"/>
            <family val="2"/>
          </rPr>
          <t>Informar a quantidade de Km percorridos por dia, conforme consta no projeto.</t>
        </r>
      </text>
    </comment>
    <comment ref="F41" authorId="0" shapeId="0" xr:uid="{00000000-0006-0000-0000-00000D000000}">
      <text>
        <r>
          <rPr>
            <b/>
            <sz val="9"/>
            <color indexed="81"/>
            <rFont val="Segoe UI"/>
            <family val="2"/>
          </rPr>
          <t>Informar o número de dias rodados por mês, conforme consta no projeto.</t>
        </r>
      </text>
    </comment>
    <comment ref="C45" authorId="1" shapeId="0" xr:uid="{00000000-0006-0000-0000-00000E000000}">
      <text>
        <r>
          <rPr>
            <b/>
            <sz val="9"/>
            <color indexed="81"/>
            <rFont val="Tahoma"/>
            <family val="2"/>
          </rPr>
          <t>É calculado o fator de utilização das equipes e veículos.
Fórmula: Tempo despendido com os deslocamentos diários, dividido pela quantia de horas normais do dia completo (8,80 hs).</t>
        </r>
      </text>
    </comment>
    <comment ref="D53" authorId="1" shapeId="0" xr:uid="{00000000-0006-0000-0000-00000F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60" authorId="1" shapeId="0" xr:uid="{00000000-0006-0000-0000-000010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E68" authorId="1" shapeId="0" xr:uid="{00000000-0006-0000-0000-000011000000}">
      <text>
        <r>
          <rPr>
            <sz val="9"/>
            <color indexed="81"/>
            <rFont val="Tahoma"/>
            <family val="2"/>
          </rPr>
          <t xml:space="preserve">Informar o valor unitário do VT no município.
</t>
        </r>
      </text>
    </comment>
    <comment ref="E70" authorId="1" shapeId="0" xr:uid="{00000000-0006-0000-0000-000012000000}">
      <text>
        <r>
          <rPr>
            <sz val="9"/>
            <color indexed="81"/>
            <rFont val="Tahoma"/>
            <family val="2"/>
          </rPr>
          <t xml:space="preserve">Valor Unitário considerando o desconto legal de até 6% do salário
</t>
        </r>
      </text>
    </comment>
    <comment ref="E75" authorId="1" shapeId="0" xr:uid="{00000000-0006-0000-0000-000013000000}">
      <text>
        <r>
          <rPr>
            <sz val="9"/>
            <color indexed="81"/>
            <rFont val="Tahoma"/>
            <family val="2"/>
          </rPr>
          <t>Informado o valor unitário diário do vale refeição, constante na CCT da categoria.</t>
        </r>
      </text>
    </comment>
    <comment ref="E80" authorId="1" shapeId="0" xr:uid="{00000000-0006-0000-0000-000014000000}">
      <text>
        <r>
          <rPr>
            <sz val="9"/>
            <color indexed="81"/>
            <rFont val="Tahoma"/>
            <family val="2"/>
          </rPr>
          <t>Informado o valor unitário diário do vale refeição, constante na CCT da categoria.</t>
        </r>
      </text>
    </comment>
    <comment ref="D93" authorId="1" shapeId="0" xr:uid="{00000000-0006-0000-0000-000015000000}">
      <text>
        <r>
          <rPr>
            <sz val="9"/>
            <color indexed="81"/>
            <rFont val="Tahoma"/>
            <family val="2"/>
          </rPr>
          <t>Percentual buscado automaticamente no plano "Depr.", no qual cada empresa poderá, caso haja interesse ou necessidade, adequar os percentuais à sua realidade.</t>
        </r>
      </text>
    </comment>
    <comment ref="D100" authorId="1" shapeId="0" xr:uid="{00000000-0006-0000-0000-000016000000}">
      <text>
        <r>
          <rPr>
            <b/>
            <sz val="9"/>
            <color indexed="81"/>
            <rFont val="Tahoma"/>
            <family val="2"/>
          </rPr>
          <t>Informar a taxa de juros anual para remuneração do capital. Recomenda-se usar da Taxa SELIC, vigente no mês da proposta.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10" authorId="0" shapeId="0" xr:uid="{00000000-0006-0000-0000-000017000000}">
      <text>
        <r>
          <rPr>
            <b/>
            <sz val="9"/>
            <color indexed="81"/>
            <rFont val="Segoe UI"/>
            <family val="2"/>
          </rPr>
          <t>Valor apurado por fórmula, onde foi aplicado 1,00% sobre o valor do veículo.</t>
        </r>
      </text>
    </comment>
    <comment ref="E111" authorId="1" shapeId="0" xr:uid="{00000000-0006-0000-0000-000018000000}">
      <text>
        <r>
          <rPr>
            <sz val="9"/>
            <color indexed="81"/>
            <rFont val="Tahoma"/>
            <family val="2"/>
          </rPr>
          <t xml:space="preserve">Informar o valor do licenciamento anual do veículo
</t>
        </r>
      </text>
    </comment>
    <comment ref="E112" authorId="1" shapeId="0" xr:uid="{00000000-0006-0000-0000-000019000000}">
      <text>
        <r>
          <rPr>
            <sz val="9"/>
            <color indexed="81"/>
            <rFont val="Tahoma"/>
            <family val="2"/>
          </rPr>
          <t>Informar o valor do seguro contra terceiros do veículo.</t>
        </r>
      </text>
    </comment>
    <comment ref="E113" authorId="1" shapeId="0" xr:uid="{00000000-0006-0000-0000-00001A000000}">
      <text>
        <r>
          <rPr>
            <sz val="9"/>
            <color indexed="81"/>
            <rFont val="Tahoma"/>
            <family val="2"/>
          </rPr>
          <t xml:space="preserve">Informar o valor do seguro contra acidentes em favor dos pacientes.
</t>
        </r>
      </text>
    </comment>
    <comment ref="E114" authorId="1" shapeId="0" xr:uid="{00000000-0006-0000-0000-00001B000000}">
      <text>
        <r>
          <rPr>
            <sz val="9"/>
            <color indexed="81"/>
            <rFont val="Tahoma"/>
            <family val="2"/>
          </rPr>
          <t>Informar o valor da  aferição do tacógrafo para o ano.</t>
        </r>
      </text>
    </comment>
    <comment ref="E115" authorId="0" shapeId="0" xr:uid="{00000000-0006-0000-0000-00001C000000}">
      <text>
        <r>
          <rPr>
            <b/>
            <sz val="9"/>
            <color indexed="81"/>
            <rFont val="Segoe UI"/>
            <family val="2"/>
          </rPr>
          <t>Informar o valor do custo com vistorias técnicas no ano.</t>
        </r>
      </text>
    </comment>
    <comment ref="E123" authorId="2" shapeId="0" xr:uid="{00000000-0006-0000-0000-00001D000000}">
      <text>
        <r>
          <rPr>
            <sz val="9"/>
            <color indexed="81"/>
            <rFont val="Segoe UI"/>
            <family val="2"/>
          </rPr>
          <t>Informar o preço unitario</t>
        </r>
      </text>
    </comment>
    <comment ref="D125" authorId="1" shapeId="0" xr:uid="{00000000-0006-0000-0000-00001E000000}">
      <text>
        <r>
          <rPr>
            <sz val="9"/>
            <color indexed="81"/>
            <rFont val="Tahoma"/>
            <family val="2"/>
          </rPr>
          <t>Informar o consumo de óleo do motor a cada 10.000km</t>
        </r>
      </text>
    </comment>
    <comment ref="E125" authorId="1" shapeId="0" xr:uid="{00000000-0006-0000-0000-00001F000000}">
      <text>
        <r>
          <rPr>
            <sz val="9"/>
            <color indexed="81"/>
            <rFont val="Tahoma"/>
            <family val="2"/>
          </rPr>
          <t xml:space="preserve">Informar o preço unitário do litro do óleo do motor
</t>
        </r>
      </text>
    </comment>
    <comment ref="D127" authorId="1" shapeId="0" xr:uid="{00000000-0006-0000-0000-000020000000}">
      <text>
        <r>
          <rPr>
            <sz val="9"/>
            <color indexed="81"/>
            <rFont val="Tahoma"/>
            <family val="2"/>
          </rPr>
          <t>Informar o consumo de óleo da transmissão a cada 100.000km</t>
        </r>
      </text>
    </comment>
    <comment ref="E127" authorId="1" shapeId="0" xr:uid="{00000000-0006-0000-0000-000021000000}">
      <text>
        <r>
          <rPr>
            <sz val="9"/>
            <color indexed="81"/>
            <rFont val="Tahoma"/>
            <family val="2"/>
          </rPr>
          <t xml:space="preserve">Informar o preço unitário do litro do óleo da transmissão
</t>
        </r>
      </text>
    </comment>
    <comment ref="D129" authorId="1" shapeId="0" xr:uid="{00000000-0006-0000-0000-000022000000}">
      <text>
        <r>
          <rPr>
            <sz val="9"/>
            <color indexed="81"/>
            <rFont val="Tahoma"/>
            <family val="2"/>
          </rPr>
          <t>Informar o consumo de óleo hidráulico a cada 80.000km</t>
        </r>
      </text>
    </comment>
    <comment ref="E129" authorId="1" shapeId="0" xr:uid="{00000000-0006-0000-0000-000023000000}">
      <text>
        <r>
          <rPr>
            <sz val="9"/>
            <color indexed="81"/>
            <rFont val="Tahoma"/>
            <family val="2"/>
          </rPr>
          <t xml:space="preserve">Informar o preço unitário do litro do óleo hidráulico
</t>
        </r>
      </text>
    </comment>
    <comment ref="D131" authorId="1" shapeId="0" xr:uid="{00000000-0006-0000-0000-000024000000}">
      <text>
        <r>
          <rPr>
            <sz val="9"/>
            <color indexed="81"/>
            <rFont val="Tahoma"/>
            <family val="2"/>
          </rPr>
          <t>Informar o consumo de graxa a cada 10.000km</t>
        </r>
      </text>
    </comment>
    <comment ref="E131" authorId="1" shapeId="0" xr:uid="{00000000-0006-0000-0000-000025000000}">
      <text>
        <r>
          <rPr>
            <sz val="9"/>
            <color indexed="81"/>
            <rFont val="Tahoma"/>
            <family val="2"/>
          </rPr>
          <t xml:space="preserve">Informar o preço unitário do Kg da graxa
</t>
        </r>
      </text>
    </comment>
    <comment ref="E137" authorId="1" shapeId="0" xr:uid="{00000000-0006-0000-0000-000026000000}">
      <text>
        <r>
          <rPr>
            <sz val="9"/>
            <color indexed="81"/>
            <rFont val="Tahoma"/>
            <family val="2"/>
          </rPr>
          <t>Informar o custo médio de manutenção, para este veículo,  em R$/km rodado.</t>
        </r>
      </text>
    </comment>
    <comment ref="D138" authorId="0" shapeId="0" xr:uid="{00000000-0006-0000-0000-000027000000}">
      <text>
        <r>
          <rPr>
            <b/>
            <sz val="9"/>
            <color indexed="81"/>
            <rFont val="Segoe UI"/>
            <family val="2"/>
          </rPr>
          <t>Informar o número médio de lavagens por mês para os veículos, considerando tráfego em rodovias pavimentadas.</t>
        </r>
      </text>
    </comment>
    <comment ref="E138" authorId="1" shapeId="0" xr:uid="{00000000-0006-0000-0000-000028000000}">
      <text>
        <r>
          <rPr>
            <sz val="9"/>
            <color indexed="81"/>
            <rFont val="Tahoma"/>
            <family val="2"/>
          </rPr>
          <t>Informar o custo de uma lavagem para este tipo de veículo.</t>
        </r>
      </text>
    </comment>
    <comment ref="D143" authorId="1" shapeId="0" xr:uid="{00000000-0006-0000-0000-000029000000}">
      <text>
        <r>
          <rPr>
            <sz val="9"/>
            <color indexed="81"/>
            <rFont val="Tahoma"/>
            <family val="2"/>
          </rPr>
          <t>Informar a quantidade de pneus novos deste veículo.</t>
        </r>
      </text>
    </comment>
    <comment ref="E143" authorId="1" shapeId="0" xr:uid="{00000000-0006-0000-0000-00002A000000}">
      <text>
        <r>
          <rPr>
            <sz val="9"/>
            <color indexed="81"/>
            <rFont val="Tahoma"/>
            <family val="2"/>
          </rPr>
          <t>Informar o preço unitário de cada pneu, deste veículo.</t>
        </r>
      </text>
    </comment>
    <comment ref="D144" authorId="1" shapeId="0" xr:uid="{00000000-0006-0000-0000-00002B000000}">
      <text>
        <r>
          <rPr>
            <sz val="9"/>
            <color indexed="81"/>
            <rFont val="Tahoma"/>
            <family val="2"/>
          </rPr>
          <t>Informar o número de recapagens por pneu</t>
        </r>
      </text>
    </comment>
    <comment ref="E145" authorId="1" shapeId="0" xr:uid="{00000000-0006-0000-0000-00002C000000}">
      <text>
        <r>
          <rPr>
            <sz val="9"/>
            <color indexed="81"/>
            <rFont val="Tahoma"/>
            <family val="2"/>
          </rPr>
          <t xml:space="preserve">Informar o preço unitário de cada recapagem
</t>
        </r>
      </text>
    </comment>
    <comment ref="D146" authorId="1" shapeId="0" xr:uid="{00000000-0006-0000-0000-00002D000000}">
      <text>
        <r>
          <rPr>
            <sz val="9"/>
            <color indexed="81"/>
            <rFont val="Tahoma"/>
            <family val="2"/>
          </rPr>
          <t xml:space="preserve">Informar a durabilidade média dos pneus considerando a primeira vida mais as recapagens, em km.
</t>
        </r>
      </text>
    </comment>
    <comment ref="E151" authorId="2" shapeId="0" xr:uid="{00000000-0006-0000-0000-00002E000000}">
      <text>
        <r>
          <rPr>
            <sz val="9"/>
            <color indexed="81"/>
            <rFont val="Segoe UI"/>
            <family val="2"/>
          </rPr>
          <t xml:space="preserve">Informar o valor
</t>
        </r>
      </text>
    </comment>
    <comment ref="E152" authorId="2" shapeId="0" xr:uid="{00000000-0006-0000-0000-00002F000000}">
      <text>
        <r>
          <rPr>
            <sz val="9"/>
            <color indexed="81"/>
            <rFont val="Segoe UI"/>
            <family val="2"/>
          </rPr>
          <t>Informar o valor</t>
        </r>
      </text>
    </comment>
    <comment ref="D159" authorId="1" shapeId="0" xr:uid="{00000000-0006-0000-0000-000030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59" authorId="1" shapeId="0" xr:uid="{00000000-0006-0000-0000-000031000000}">
      <text>
        <r>
          <rPr>
            <sz val="9"/>
            <color indexed="81"/>
            <rFont val="Tahoma"/>
            <family val="2"/>
          </rPr>
          <t>Informar o valor unitário de aquisição deste material.</t>
        </r>
      </text>
    </comment>
    <comment ref="D160" authorId="1" shapeId="0" xr:uid="{00000000-0006-0000-0000-000032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60" authorId="1" shapeId="0" xr:uid="{00000000-0006-0000-0000-000033000000}">
      <text>
        <r>
          <rPr>
            <sz val="9"/>
            <color indexed="81"/>
            <rFont val="Tahoma"/>
            <family val="2"/>
          </rPr>
          <t>Informar o valor unitário de aquisição deste material.</t>
        </r>
      </text>
    </comment>
    <comment ref="D161" authorId="1" shapeId="0" xr:uid="{00000000-0006-0000-0000-000034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61" authorId="1" shapeId="0" xr:uid="{00000000-0006-0000-0000-000035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62" authorId="0" shapeId="0" xr:uid="{00000000-0006-0000-0000-000036000000}">
      <text>
        <r>
          <rPr>
            <sz val="9"/>
            <color indexed="81"/>
            <rFont val="Segoe UI"/>
            <family val="2"/>
          </rPr>
          <t>Informar a quantidade por mês.
Fórmula para quando as quantidades forem para um ano: quantidade de pçs por ano, dividido por doze meses.</t>
        </r>
      </text>
    </comment>
    <comment ref="E162" authorId="1" shapeId="0" xr:uid="{00000000-0006-0000-0000-000037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63" authorId="1" shapeId="0" xr:uid="{00000000-0006-0000-0000-000038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63" authorId="1" shapeId="0" xr:uid="{00000000-0006-0000-0000-000039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72" authorId="1" shapeId="0" xr:uid="{00000000-0006-0000-0000-00003A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D186" authorId="1" shapeId="0" xr:uid="{00000000-0006-0000-0000-00003B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D200" authorId="1" shapeId="0" xr:uid="{00000000-0006-0000-0000-00003C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A210" authorId="0" shapeId="0" xr:uid="{00000000-0006-0000-0000-00003D000000}">
      <text>
        <r>
          <rPr>
            <b/>
            <sz val="9"/>
            <color indexed="81"/>
            <rFont val="Segoe UI"/>
            <family val="2"/>
          </rPr>
          <t>Com base no faturamento Bruto dos últimos 12 meses, informar a faixa de faturamento bruto , conforme Anexo III do Simples Nacional.</t>
        </r>
      </text>
    </comment>
    <comment ref="D213" authorId="1" shapeId="0" xr:uid="{00000000-0006-0000-0000-00003E000000}">
      <text>
        <r>
          <rPr>
            <sz val="9"/>
            <color indexed="81"/>
            <rFont val="Tahoma"/>
            <family val="2"/>
          </rPr>
          <t xml:space="preserve">Quando RBA12 for até R$ 180.000,00 a aliquota é de 6,00%, conforme Anexo III do Simples Nacional.
Para valores superiores a R$ 180.000,00 aplicar a fórmula: 
(RBA12 x ALIQ) – PD / RBA12.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C4" authorId="0" shapeId="0" xr:uid="{00000000-0006-0000-0100-000001000000}">
      <text>
        <r>
          <rPr>
            <b/>
            <sz val="9"/>
            <color indexed="81"/>
            <rFont val="Segoe UI"/>
            <family val="2"/>
          </rPr>
          <t>Preencher os campos que assim o requeiram, com os percentuais legais, conforme seu regime de tributação e os demais com a incidência que ocorre na sua empresa.</t>
        </r>
      </text>
    </comment>
    <comment ref="C33" authorId="0" shapeId="0" xr:uid="{00000000-0006-0000-0100-000002000000}">
      <text>
        <r>
          <rPr>
            <b/>
            <sz val="9"/>
            <color indexed="81"/>
            <rFont val="Segoe UI"/>
            <family val="2"/>
          </rPr>
          <t>Preencher os campos que assim o requeiram, com os percentuais legais, conforme seu regime de tributação e os demais com a incidência que ocorre na sua empresa.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C4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Informar o % de Administração Central.
É apurado dividindo-se o valor médio das despesas mensais com administração central, pelo faturamento médio mensal.</t>
        </r>
      </text>
    </comment>
    <comment ref="E4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Informar o % de Administração Central.
É apurado dividindo-se o valor médio das despesas mensais com administração central, pelo faturamento médio mensal.</t>
        </r>
      </text>
    </comment>
    <comment ref="C5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>Informar o % de Seguros, Riscos e Garantia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5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>Informar o % de Seguros, Riscos e Garantia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Informar o % de Lucro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6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>Informar o % de Lucro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>Informar o percentual de ISS, de acordo com a legislação tributária do município onde serão prestados os serviços. De 2% até o limite de 5%.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7" authorId="0" shapeId="0" xr:uid="{00000000-0006-0000-0200-000008000000}">
      <text>
        <r>
          <rPr>
            <b/>
            <sz val="9"/>
            <color indexed="81"/>
            <rFont val="Tahoma"/>
            <family val="2"/>
          </rPr>
          <t>Informar o percentual de ICMS, de acordo com a legislação tributária para transporte intermunicipal.
Base reduzida para 20%,aplica alíquota de 12,00% = 2,40%.</t>
        </r>
      </text>
    </comment>
    <comment ref="C8" authorId="0" shapeId="0" xr:uid="{00000000-0006-0000-0200-000009000000}">
      <text>
        <r>
          <rPr>
            <b/>
            <sz val="9"/>
            <color indexed="81"/>
            <rFont val="Tahoma"/>
            <family val="2"/>
          </rPr>
          <t>Informar o somatório percentual  do PIS e da COFINS, conforme seu regime de tributação: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8" authorId="0" shapeId="0" xr:uid="{00000000-0006-0000-0200-00000A000000}">
      <text>
        <r>
          <rPr>
            <b/>
            <sz val="9"/>
            <color indexed="81"/>
            <rFont val="Tahoma"/>
            <family val="2"/>
          </rPr>
          <t>Informar o somatório percentual  do PIS e da COFINS, conforme seu regime de tributação: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00000000-0006-0000-0200-00000B000000}">
      <text>
        <r>
          <rPr>
            <b/>
            <sz val="9"/>
            <color indexed="81"/>
            <rFont val="Tahoma"/>
            <family val="2"/>
          </rPr>
          <t>Informar o % de Administração Central.
É apurado dividindo-se o valor médio das despesas mensais com administração central, pelo faturamento médio mensal.</t>
        </r>
      </text>
    </comment>
    <comment ref="E17" authorId="0" shapeId="0" xr:uid="{00000000-0006-0000-0200-00000C000000}">
      <text>
        <r>
          <rPr>
            <b/>
            <sz val="9"/>
            <color indexed="81"/>
            <rFont val="Tahoma"/>
            <family val="2"/>
          </rPr>
          <t>Informar o % de Administração Central.
É apurado dividindo-se o valor médio das despesas mensais com administração central, pelo faturamento médio mensal.</t>
        </r>
      </text>
    </comment>
    <comment ref="C18" authorId="0" shapeId="0" xr:uid="{00000000-0006-0000-0200-00000D000000}">
      <text>
        <r>
          <rPr>
            <b/>
            <sz val="9"/>
            <color indexed="81"/>
            <rFont val="Tahoma"/>
            <family val="2"/>
          </rPr>
          <t>Informar o % de Seguros, Riscos e Garantia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8" authorId="0" shapeId="0" xr:uid="{00000000-0006-0000-0200-00000E000000}">
      <text>
        <r>
          <rPr>
            <b/>
            <sz val="9"/>
            <color indexed="81"/>
            <rFont val="Tahoma"/>
            <family val="2"/>
          </rPr>
          <t>Informar o % de Seguros, Riscos e Garantia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 shapeId="0" xr:uid="{00000000-0006-0000-0200-00000F000000}">
      <text>
        <r>
          <rPr>
            <b/>
            <sz val="9"/>
            <color indexed="81"/>
            <rFont val="Tahoma"/>
            <family val="2"/>
          </rPr>
          <t>Informar o % de Lucro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9" authorId="0" shapeId="0" xr:uid="{00000000-0006-0000-0200-000010000000}">
      <text>
        <r>
          <rPr>
            <b/>
            <sz val="9"/>
            <color indexed="81"/>
            <rFont val="Tahoma"/>
            <family val="2"/>
          </rPr>
          <t>Informar o % de Lucro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 xr:uid="{00000000-0006-0000-0200-000011000000}">
      <text>
        <r>
          <rPr>
            <b/>
            <sz val="9"/>
            <color indexed="81"/>
            <rFont val="Tahoma"/>
            <family val="2"/>
          </rPr>
          <t>Informar o percentual de ISS, de acordo com a legislação tributária do município onde serão prestados os serviços. De 2% até o limite de 5%.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0" authorId="0" shapeId="0" xr:uid="{00000000-0006-0000-0200-000012000000}">
      <text>
        <r>
          <rPr>
            <b/>
            <sz val="9"/>
            <color indexed="81"/>
            <rFont val="Tahoma"/>
            <family val="2"/>
          </rPr>
          <t>Informar o percentual de ICMS, de acordo com a legislação tributária para transporte intermunicipal.
Base reduzida para 20%,aplica alíquota de 12,00% = 2,40%.</t>
        </r>
      </text>
    </comment>
    <comment ref="C21" authorId="0" shapeId="0" xr:uid="{00000000-0006-0000-0200-000013000000}">
      <text>
        <r>
          <rPr>
            <b/>
            <sz val="9"/>
            <color indexed="81"/>
            <rFont val="Tahoma"/>
            <family val="2"/>
          </rPr>
          <t>Informar o somatório percentual  do PIS e da COFINS, conforme seu regime de tributação: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1" authorId="0" shapeId="0" xr:uid="{00000000-0006-0000-0200-000014000000}">
      <text>
        <r>
          <rPr>
            <b/>
            <sz val="9"/>
            <color indexed="81"/>
            <rFont val="Tahoma"/>
            <family val="2"/>
          </rPr>
          <t>Informar o somatório percentual  do PIS e da COFINS, conforme seu regime de tributação: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0" authorId="0" shapeId="0" xr:uid="{00000000-0006-0000-0200-000015000000}">
      <text>
        <r>
          <rPr>
            <b/>
            <sz val="9"/>
            <color indexed="81"/>
            <rFont val="Tahoma"/>
            <family val="2"/>
          </rPr>
          <t>Informar o % de Administração Central.
É apurado dividindo-se o valor médio das despesas mensais com administração central, pelo faturamento médio mensal.</t>
        </r>
      </text>
    </comment>
    <comment ref="E30" authorId="0" shapeId="0" xr:uid="{00000000-0006-0000-0200-000016000000}">
      <text>
        <r>
          <rPr>
            <b/>
            <sz val="9"/>
            <color indexed="81"/>
            <rFont val="Tahoma"/>
            <family val="2"/>
          </rPr>
          <t>Informar o % de Administração Central.
É apurado dividindo-se o valor médio das despesas mensais com administração central, pelo faturamento médio mensal.</t>
        </r>
      </text>
    </comment>
    <comment ref="C31" authorId="0" shapeId="0" xr:uid="{00000000-0006-0000-0200-000017000000}">
      <text>
        <r>
          <rPr>
            <b/>
            <sz val="9"/>
            <color indexed="81"/>
            <rFont val="Tahoma"/>
            <family val="2"/>
          </rPr>
          <t>Informar o % de Seguros, Riscos e Garantia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1" authorId="0" shapeId="0" xr:uid="{00000000-0006-0000-0200-000018000000}">
      <text>
        <r>
          <rPr>
            <b/>
            <sz val="9"/>
            <color indexed="81"/>
            <rFont val="Tahoma"/>
            <family val="2"/>
          </rPr>
          <t>Informar o % de Seguros, Riscos e Garantia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 shapeId="0" xr:uid="{00000000-0006-0000-0200-000019000000}">
      <text>
        <r>
          <rPr>
            <b/>
            <sz val="9"/>
            <color indexed="81"/>
            <rFont val="Tahoma"/>
            <family val="2"/>
          </rPr>
          <t>Informar o % de Lucro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2" authorId="0" shapeId="0" xr:uid="{00000000-0006-0000-0200-00001A000000}">
      <text>
        <r>
          <rPr>
            <b/>
            <sz val="9"/>
            <color indexed="81"/>
            <rFont val="Tahoma"/>
            <family val="2"/>
          </rPr>
          <t>Informar o % de Lucro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<sst xmlns="http://schemas.openxmlformats.org/spreadsheetml/2006/main" count="470" uniqueCount="268">
  <si>
    <t>%</t>
  </si>
  <si>
    <t>Soma</t>
  </si>
  <si>
    <t>Encargos Sociais</t>
  </si>
  <si>
    <t>Total do Efetivo</t>
  </si>
  <si>
    <t>homem</t>
  </si>
  <si>
    <t>mês</t>
  </si>
  <si>
    <t>vale</t>
  </si>
  <si>
    <t>unidade</t>
  </si>
  <si>
    <t>IPVA</t>
  </si>
  <si>
    <t>Seguro contra terceiros</t>
  </si>
  <si>
    <t>Impostos e seguros mensais</t>
  </si>
  <si>
    <t>Custo de óleo diesel / km rodado</t>
  </si>
  <si>
    <t>km/l</t>
  </si>
  <si>
    <t>km</t>
  </si>
  <si>
    <t>Custo mensal com óleo do motor</t>
  </si>
  <si>
    <t>Custo mensal com óleo da transmissão</t>
  </si>
  <si>
    <t>Custo mensal com óleo hidráulico</t>
  </si>
  <si>
    <t>Custo mensal com graxa</t>
  </si>
  <si>
    <t>km/jogo</t>
  </si>
  <si>
    <t>R$</t>
  </si>
  <si>
    <t>Quantidade</t>
  </si>
  <si>
    <t>INSS</t>
  </si>
  <si>
    <t>FGTS</t>
  </si>
  <si>
    <t>1. Mão-de-obra</t>
  </si>
  <si>
    <t>Custo mensal com pneus</t>
  </si>
  <si>
    <t>Total de mão-de-obra (postos de trabalho)</t>
  </si>
  <si>
    <t>Discriminação</t>
  </si>
  <si>
    <t>Unidade</t>
  </si>
  <si>
    <t>Subtotal</t>
  </si>
  <si>
    <r>
      <t xml:space="preserve">Total </t>
    </r>
    <r>
      <rPr>
        <b/>
        <u/>
        <sz val="9"/>
        <rFont val="Arial"/>
        <family val="2"/>
      </rPr>
      <t>(R$)</t>
    </r>
  </si>
  <si>
    <t>Administração Central</t>
  </si>
  <si>
    <t>AC</t>
  </si>
  <si>
    <t>Seguros/Riscos/Garantias</t>
  </si>
  <si>
    <t>SRG</t>
  </si>
  <si>
    <t>Lucro</t>
  </si>
  <si>
    <t>L</t>
  </si>
  <si>
    <t>T</t>
  </si>
  <si>
    <t>Tributos - PIS/COFINS</t>
  </si>
  <si>
    <t>Fórmula para o cálculo do BDI:</t>
  </si>
  <si>
    <t>Resultado do cálculo do BDI:</t>
  </si>
  <si>
    <t>Vale Transporte</t>
  </si>
  <si>
    <t>Dias Trabalhados por mês</t>
  </si>
  <si>
    <t>dia</t>
  </si>
  <si>
    <t>anos</t>
  </si>
  <si>
    <t>R$/km rodado</t>
  </si>
  <si>
    <t>Código</t>
  </si>
  <si>
    <t>Descrição</t>
  </si>
  <si>
    <t>A1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</si>
  <si>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</si>
  <si>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</si>
  <si>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</si>
  <si>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</si>
  <si>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</si>
  <si>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</si>
  <si>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</si>
  <si>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</si>
  <si>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</si>
  <si>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</si>
  <si>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</si>
  <si>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</si>
  <si>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</si>
  <si>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A</t>
  </si>
  <si>
    <t>SOMA GRUPO A</t>
  </si>
  <si>
    <t>B1</t>
  </si>
  <si>
    <t>Férias gozadas</t>
  </si>
  <si>
    <t>B2</t>
  </si>
  <si>
    <t>13º salário</t>
  </si>
  <si>
    <t>B4</t>
  </si>
  <si>
    <t>Licença Paternidade</t>
  </si>
  <si>
    <t>B5</t>
  </si>
  <si>
    <t>Faltas justificadas</t>
  </si>
  <si>
    <t>Auxilio acidente de trabalho</t>
  </si>
  <si>
    <t>B</t>
  </si>
  <si>
    <t>SOMA GRUPO B</t>
  </si>
  <si>
    <t>C1</t>
  </si>
  <si>
    <t>Aviso prévio indenizado</t>
  </si>
  <si>
    <t>Depósito rescisão sem justa causa</t>
  </si>
  <si>
    <t>C</t>
  </si>
  <si>
    <t>SOMA GRUPO C</t>
  </si>
  <si>
    <t>D1</t>
  </si>
  <si>
    <t>Reincidência de Grupo A sobre Grupo B</t>
  </si>
  <si>
    <t>D2</t>
  </si>
  <si>
    <t>D</t>
  </si>
  <si>
    <t>SOMA GRUPO D</t>
  </si>
  <si>
    <t>SOMA (A+B+C+D)</t>
  </si>
  <si>
    <t>Descrição do Item</t>
  </si>
  <si>
    <t>Taxa de juros anual nominal</t>
  </si>
  <si>
    <t>C2</t>
  </si>
  <si>
    <t>B3</t>
  </si>
  <si>
    <t>Custo Mensal com Ferramentas e Materiais de Consumo (R$/mês)</t>
  </si>
  <si>
    <t>Custo unitário</t>
  </si>
  <si>
    <t>Total por Motorista</t>
  </si>
  <si>
    <t>Custo com consumos/km rodado</t>
  </si>
  <si>
    <t>Consumo</t>
  </si>
  <si>
    <t>Total da frota</t>
  </si>
  <si>
    <t>Reincidência de FGTS sobre aviso prévio indenizado</t>
  </si>
  <si>
    <t>Nº do processo:</t>
  </si>
  <si>
    <t>Motorista (Vlr líq. desc. 6,% s/piso sal.)</t>
  </si>
  <si>
    <t>Férias (com adicional de férias)</t>
  </si>
  <si>
    <t>13º Salário</t>
  </si>
  <si>
    <t>Previdenciários s/Férias e 13º</t>
  </si>
  <si>
    <t>Custo Mensal com Mão-de-obra (R$/mês) - LUCRO REAL E PRESUMIDO</t>
  </si>
  <si>
    <t>Custo Mensal com Mão-de-obra (R$/mês) - SIMPLES NACIONAL</t>
  </si>
  <si>
    <t>B.D.I. PARA EMPRESAS DO SIMPLES NACIONAL</t>
  </si>
  <si>
    <t>Valor %</t>
  </si>
  <si>
    <t>Total</t>
  </si>
  <si>
    <t>B.D.I. PARA EMPRESAS DO LUCRO PRESUMIDO</t>
  </si>
  <si>
    <t>B.D.I. PARA EMPRESAS DO LUCRO REAL</t>
  </si>
  <si>
    <t>LUCRO REAL</t>
  </si>
  <si>
    <t>LUCRO PRESUMIDO</t>
  </si>
  <si>
    <t>Custo
(R$/mês)</t>
  </si>
  <si>
    <t>AV %</t>
  </si>
  <si>
    <t>SIMPLES NAC.</t>
  </si>
  <si>
    <t>Fórmula para o cálculo do BDI - Sem impostos</t>
  </si>
  <si>
    <t>Resultado cálculo do BDI - Sem impostos</t>
  </si>
  <si>
    <t>Receita Bruta Total em 12 (doze) meses</t>
  </si>
  <si>
    <t>Base = SN1</t>
  </si>
  <si>
    <t>Enquadramento no Anexo III da lei do Simples Nacional</t>
  </si>
  <si>
    <t>Formas de Tributação</t>
  </si>
  <si>
    <t>Composição BDI - Benefícios e Desp. Indiretas</t>
  </si>
  <si>
    <t>Tributos</t>
  </si>
  <si>
    <t>CUSTO TOTAL MENSAL C/CUSTOS E DESPESAS OPERACIONAIS - LUCRO REAL E PRESUMIDO (R$/mês)</t>
  </si>
  <si>
    <t>CUSTO TOTAL MENSAL C/CUSTOS E DESPESAS OPERACIONAIS - SIMPLES NACIONAL (R$/mês)</t>
  </si>
  <si>
    <t>Custo de aquisição do veículo</t>
  </si>
  <si>
    <r>
      <t xml:space="preserve">Custo jg. compl. </t>
    </r>
    <r>
      <rPr>
        <sz val="10"/>
        <rFont val="Arial"/>
        <family val="2"/>
      </rPr>
      <t>/ km rodado</t>
    </r>
  </si>
  <si>
    <t>Piso da categoria</t>
  </si>
  <si>
    <t>Depreciação do veículo</t>
  </si>
  <si>
    <t>Custo com lavagens</t>
  </si>
  <si>
    <t>Mês</t>
  </si>
  <si>
    <t>Custo com manutenção e lavagens</t>
  </si>
  <si>
    <t>R$/Mês</t>
  </si>
  <si>
    <t>Vida útil do veícuo</t>
  </si>
  <si>
    <t>Depreciação mensal veículos</t>
  </si>
  <si>
    <t>Custo do veículo</t>
  </si>
  <si>
    <t>Remuneração mensal de capital do veículo</t>
  </si>
  <si>
    <t>Total por veículo</t>
  </si>
  <si>
    <t>Quilometragem mensal</t>
  </si>
  <si>
    <t>Custo Mensal com Veículos (R$/mês)</t>
  </si>
  <si>
    <t>5.1. Benefícios e despesas indiretas</t>
  </si>
  <si>
    <t>Km</t>
  </si>
  <si>
    <t>R$/Km</t>
  </si>
  <si>
    <t>R$ / mês</t>
  </si>
  <si>
    <t>Capacidade
(Lugares)</t>
  </si>
  <si>
    <t>Valor
(R$)</t>
  </si>
  <si>
    <t>Distância percorrida</t>
  </si>
  <si>
    <t>Dias</t>
  </si>
  <si>
    <t>Km por dia</t>
  </si>
  <si>
    <t>Km por mês</t>
  </si>
  <si>
    <t>3. Ferramentas e Materiais de Consumo</t>
  </si>
  <si>
    <t>4. Benefícios e Desp. Ind. - BDI - LUCRO REAL</t>
  </si>
  <si>
    <t>4.1. Benefícios e despesas indiretas</t>
  </si>
  <si>
    <t>4.2. CUSTO MENSAL COM BDI (R$/mês) - LUCRO REAL</t>
  </si>
  <si>
    <t>4.3. PREÇO MENSAL TOTAL (R$/mês)  - LUCRO REAL  =  "A"</t>
  </si>
  <si>
    <r>
      <t>4.4- Quantidade de Km percorridos por mês = "</t>
    </r>
    <r>
      <rPr>
        <b/>
        <sz val="10"/>
        <rFont val="Arial"/>
        <family val="2"/>
      </rPr>
      <t>B</t>
    </r>
    <r>
      <rPr>
        <sz val="10"/>
        <rFont val="Arial"/>
        <family val="2"/>
      </rPr>
      <t>"</t>
    </r>
  </si>
  <si>
    <t>4.5. PREÇO POR QUILOMETRO PERCORRIDO - LUCRO REAL = [A/B]</t>
  </si>
  <si>
    <t>5. Benefícios e Desp. Ind. - BDI - LUCRO PRESUMIDO</t>
  </si>
  <si>
    <t>5.2. CUSTO MENSAL COM BDI (R$/mês) - LUCRO PRESUMIDO</t>
  </si>
  <si>
    <t>5.3. PREÇO MENSAL TOTAL (R$/mês)  - LUCRO PRESUMIDO  =  "AA"</t>
  </si>
  <si>
    <r>
      <t>5.4- Quantidade de Km percorridos por mês = "</t>
    </r>
    <r>
      <rPr>
        <b/>
        <sz val="10"/>
        <rFont val="Arial"/>
        <family val="2"/>
      </rPr>
      <t>BB</t>
    </r>
    <r>
      <rPr>
        <sz val="10"/>
        <rFont val="Arial"/>
        <family val="2"/>
      </rPr>
      <t>"</t>
    </r>
  </si>
  <si>
    <t>5.5. PREÇO POR QUILOMETRO PERCORRIDO - LUCRO PRESUMIDO = [AA/BB]</t>
  </si>
  <si>
    <t>6. Benef. Desp. Ind. + Impostos - SIMPLES NACIONAL</t>
  </si>
  <si>
    <t>6.1. Benefícios e despesas indiretas (sem impostos)</t>
  </si>
  <si>
    <t>6.2.CUSTO MENSAL COM BDI - Sem Impostos (R$/mês) - SIMPLES NACIONAL</t>
  </si>
  <si>
    <t>6.3. CUSTO MENSAL TOTAL - Sem Imposots (R$/mês)  - SIMPLES NACIONAL  =  "SN1"</t>
  </si>
  <si>
    <t>6.4. Impostos alíquota única</t>
  </si>
  <si>
    <t>6.5. PREÇO MENSAL TOTAL (R$/mês)  - SIMPLES NACIONAL  =  "SN2"</t>
  </si>
  <si>
    <r>
      <t>6.6. Quantidade de Km percorridos por mês = "</t>
    </r>
    <r>
      <rPr>
        <b/>
        <sz val="10"/>
        <rFont val="Arial"/>
        <family val="2"/>
      </rPr>
      <t>BB</t>
    </r>
    <r>
      <rPr>
        <sz val="10"/>
        <rFont val="Arial"/>
        <family val="2"/>
      </rPr>
      <t>"</t>
    </r>
  </si>
  <si>
    <t>6.7. PREÇO POR QUILOMETRO PERCORRIDO - SIMPLES NACIONAL = [SN2/BB]</t>
  </si>
  <si>
    <t>Custo de manutenção do veículo</t>
  </si>
  <si>
    <t>pçs / mês</t>
  </si>
  <si>
    <t>Recipiente térmico para água (5L) - 1 pç/ano</t>
  </si>
  <si>
    <t>Vassoura - 3 pçs/ano</t>
  </si>
  <si>
    <t>Balde - 2 pçs/ano</t>
  </si>
  <si>
    <t>Alcool Gel 70% - 4 litros / mês</t>
  </si>
  <si>
    <t>Panos - 4 pçs / mês</t>
  </si>
  <si>
    <t>Consumo médio (Km / litro) e Valor do litro (R$)</t>
  </si>
  <si>
    <t>Vistorias Técnicas</t>
  </si>
  <si>
    <t>{[(1+AC+SRG) x (1+L)] / (1-T)} -1</t>
  </si>
  <si>
    <t>{[(1+AC+SRG) x (1+L)]} -1</t>
  </si>
  <si>
    <t>Composição do BDI - Benefícios e Desp. Ind. - Sem Impostos</t>
  </si>
  <si>
    <t xml:space="preserve">Composição dos Encargos Sociais </t>
  </si>
  <si>
    <t>Empresas Lucro Real e Lucro Presumido</t>
  </si>
  <si>
    <t>Vida útil do 
Veículo</t>
  </si>
  <si>
    <t>PLANILHA DE COMPOSIÇÃO DE CUSTOS E FORMAÇÃO DE PREÇO</t>
  </si>
  <si>
    <t>PREÇO TOTAL MÊS (R$/Mês)</t>
  </si>
  <si>
    <t>PREÇO POR QUILOMETRO (R$/Km)</t>
  </si>
  <si>
    <t>Litros / mês</t>
  </si>
  <si>
    <t>Investimento médio total do veículo</t>
  </si>
  <si>
    <t>2. Veículos</t>
  </si>
  <si>
    <t>2.1 Depreciação</t>
  </si>
  <si>
    <t>2.2 Remuneração do Capital</t>
  </si>
  <si>
    <t>2.3. Impostos e Seguros</t>
  </si>
  <si>
    <t>2.4. Consumos</t>
  </si>
  <si>
    <t>2.5. Manutenção</t>
  </si>
  <si>
    <t>2.6. Pneus</t>
  </si>
  <si>
    <t>Valor residual do veículo proposto (Vr)</t>
  </si>
  <si>
    <t>Valor do veículo proposto (Vo)</t>
  </si>
  <si>
    <t>Empresas do Simples Nacional</t>
  </si>
  <si>
    <t>GRUPO A - Identificação</t>
  </si>
  <si>
    <t>GRUPO B - Orçamento Sintético</t>
  </si>
  <si>
    <t>C1- Mão-de-obra</t>
  </si>
  <si>
    <t>C2- Veículos</t>
  </si>
  <si>
    <t>C3- Distâncias</t>
  </si>
  <si>
    <t>CÁLCULOS (itenização numérica)</t>
  </si>
  <si>
    <t>Item</t>
  </si>
  <si>
    <t>Custo de óleo do motor /10.000 km rodados</t>
  </si>
  <si>
    <t>l/10.000 km</t>
  </si>
  <si>
    <t>Custo de óleo da transmissão /100.000 km</t>
  </si>
  <si>
    <t>l/100.000 km</t>
  </si>
  <si>
    <t>l/80.000 km</t>
  </si>
  <si>
    <t>Custo de óleo hidráulico / 80.000 km</t>
  </si>
  <si>
    <t>kg/10.000 km</t>
  </si>
  <si>
    <t>Custo de graxa /10.000 km rodados</t>
  </si>
  <si>
    <t>Data:</t>
  </si>
  <si>
    <t>GRUPO C - Informações sobre</t>
  </si>
  <si>
    <t/>
  </si>
  <si>
    <t>Provisão Multas FGTS (40% s/FGTS)</t>
  </si>
  <si>
    <t>Sigla</t>
  </si>
  <si>
    <t>Municipal
(%)</t>
  </si>
  <si>
    <t>Intermunicipal
(%)</t>
  </si>
  <si>
    <t>Tributos - (ISS p/Municipal) e (ICMS p/Interm.)</t>
  </si>
  <si>
    <t>Nº Licitação:</t>
  </si>
  <si>
    <t>1.1. Motorista</t>
  </si>
  <si>
    <t>1.1. Motorista - EMPRESA LUCRO REAL E PRESUMIDO</t>
  </si>
  <si>
    <t>1.1.1- Motorista - EMPRESA SIMPLES NACIONAL</t>
  </si>
  <si>
    <t>1.2. Vale Transporte</t>
  </si>
  <si>
    <t>1.3. Vale-refeição (diário)</t>
  </si>
  <si>
    <t>Veículo:</t>
  </si>
  <si>
    <t>Serviço:</t>
  </si>
  <si>
    <t>Motorista (Café e Almoço)</t>
  </si>
  <si>
    <t>Licenciamento</t>
  </si>
  <si>
    <t>Número de recapagens por pneu</t>
  </si>
  <si>
    <t>Custo de recapagem</t>
  </si>
  <si>
    <t>Dias rodados por mês</t>
  </si>
  <si>
    <t>Depreciação Referencial TCE/RS (%)</t>
  </si>
  <si>
    <t>Idade do veículo (ano)</t>
  </si>
  <si>
    <t>Depreciação Média</t>
  </si>
  <si>
    <t>Residual</t>
  </si>
  <si>
    <t>2.7. Rastreador GPS</t>
  </si>
  <si>
    <t>Mensalidade</t>
  </si>
  <si>
    <t>Custo mensal com GPS</t>
  </si>
  <si>
    <t>Taxa depre- ciação Anual</t>
  </si>
  <si>
    <t>Taxa de habilitação (Anual = R$ 149,00)</t>
  </si>
  <si>
    <t>Custo mensal com óleo diesel S-10</t>
  </si>
  <si>
    <t>Aferição do tacógrafo</t>
  </si>
  <si>
    <t>C4- Fatores</t>
  </si>
  <si>
    <t>Aplicação</t>
  </si>
  <si>
    <t xml:space="preserve">Fator de utilização (FU) </t>
  </si>
  <si>
    <t>Equipe, Vale transporte e vale alimentação</t>
  </si>
  <si>
    <t>Fator de utilização</t>
  </si>
  <si>
    <t>Custo de ARLA / km rodado</t>
  </si>
  <si>
    <t>Custo mensal com ARLA</t>
  </si>
  <si>
    <t xml:space="preserve">Van com 18 lugares </t>
  </si>
  <si>
    <t xml:space="preserve">Velocidade média </t>
  </si>
  <si>
    <t>até R$180.000,00</t>
  </si>
  <si>
    <t>Horas do Dia</t>
  </si>
  <si>
    <t>Seguro contra acidentes (usuários)</t>
  </si>
  <si>
    <t>2026-10772</t>
  </si>
  <si>
    <t>CONSIDERADO 10 MESES</t>
  </si>
  <si>
    <t>DECRETO 12.036-2026</t>
  </si>
  <si>
    <t>Prêmio assiduidade - cláusula décima segunda CCT</t>
  </si>
  <si>
    <t>Custo do jogo de pneus 225 / 75 R17,5"</t>
  </si>
  <si>
    <t xml:space="preserve">Transporte PARESP - Desenvolvimento Social </t>
  </si>
  <si>
    <t>Motoristas de fretamento</t>
  </si>
  <si>
    <t>1.4. Seguro de Vida em Grupo</t>
  </si>
  <si>
    <t>Veículo Sprinter 517 Van E.L.T.A 18 lugares Mercedez Benz ano 2026 - Diesel BS 10</t>
  </si>
  <si>
    <t>Consumo Médio</t>
  </si>
  <si>
    <t>Preço do diesel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</si>
</sst>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-* #,##0.00_-;\-* #,##0.00_-;_-* &quot;-&quot;??_-;_-@_-"/>
    <numFmt numFmtId="164" formatCode="&quot;R$ &quot;#,##0.00_);\(&quot;R$ &quot;#,##0.00\)"/>
    <numFmt numFmtId="165" formatCode="_(* #,##0.00_);_(* \(#,##0.00\);_(* &quot;-&quot;??_);_(@_)"/>
    <numFmt numFmtId="166" formatCode="_(* #,##0_);_(* \(#,##0\);_(* &quot;-&quot;??_);_(@_)"/>
    <numFmt numFmtId="167" formatCode="_(* #,##0.000_);_(* \(#,##0.000\);_(* &quot;-&quot;??_);_(@_)"/>
    <numFmt numFmtId="168" formatCode="&quot;R$ &quot;#,##0.00"/>
    <numFmt numFmtId="169" formatCode="_(* #,##0.0000_);_(* \(#,##0.0000\);_(* &quot;-&quot;??_);_(@_)"/>
    <numFmt numFmtId="170" formatCode="00"/>
    <numFmt numFmtId="171" formatCode="0.0%"/>
  </numFmts>
  <fonts count="3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u/>
      <sz val="10"/>
      <color indexed="12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u/>
      <sz val="9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sz val="10"/>
      <color rgb="FF000000"/>
      <name val="Arial"/>
      <family val="2"/>
    </font>
    <font>
      <sz val="13"/>
      <color theme="1"/>
      <name val="Arial"/>
      <family val="2"/>
    </font>
    <font>
      <sz val="10"/>
      <color theme="1"/>
      <name val="Arial"/>
      <family val="2"/>
    </font>
    <font>
      <b/>
      <sz val="12"/>
      <color rgb="FFFF0000"/>
      <name val="Arial"/>
      <family val="2"/>
    </font>
    <font>
      <b/>
      <sz val="16"/>
      <name val="Arial"/>
      <family val="2"/>
    </font>
    <font>
      <b/>
      <sz val="10"/>
      <color indexed="10"/>
      <name val="Arial"/>
      <family val="2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b/>
      <sz val="10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4">
    <xf numFmtId="0" fontId="0" fillId="0" borderId="0"/>
    <xf numFmtId="0" fontId="12" fillId="0" borderId="0" applyNumberFormat="0" applyFill="0" applyBorder="0" applyAlignment="0" applyProtection="0">
      <alignment vertical="top"/>
      <protection locked="0"/>
    </xf>
    <xf numFmtId="9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3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410">
    <xf numFmtId="0" fontId="0" fillId="0" borderId="0" xfId="0"/>
    <xf numFmtId="0" fontId="10" fillId="0" borderId="0" xfId="0" applyFont="1"/>
    <xf numFmtId="0" fontId="0" fillId="0" borderId="0" xfId="0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165" fontId="10" fillId="0" borderId="0" xfId="3" applyFont="1" applyAlignment="1">
      <alignment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10" fillId="0" borderId="2" xfId="0" applyFont="1" applyBorder="1" applyAlignment="1">
      <alignment horizontal="center" vertical="center"/>
    </xf>
    <xf numFmtId="165" fontId="10" fillId="0" borderId="2" xfId="3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65" fontId="10" fillId="0" borderId="1" xfId="3" applyFont="1" applyBorder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165" fontId="7" fillId="0" borderId="6" xfId="3" applyFont="1" applyBorder="1" applyAlignment="1">
      <alignment vertical="center"/>
    </xf>
    <xf numFmtId="165" fontId="7" fillId="0" borderId="7" xfId="3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165" fontId="10" fillId="0" borderId="6" xfId="3" applyFont="1" applyBorder="1" applyAlignment="1">
      <alignment vertical="center"/>
    </xf>
    <xf numFmtId="165" fontId="10" fillId="0" borderId="7" xfId="3" applyFont="1" applyBorder="1" applyAlignment="1">
      <alignment vertical="center"/>
    </xf>
    <xf numFmtId="165" fontId="7" fillId="0" borderId="0" xfId="3" applyFont="1" applyBorder="1" applyAlignment="1">
      <alignment horizontal="center" vertical="center"/>
    </xf>
    <xf numFmtId="165" fontId="7" fillId="0" borderId="0" xfId="3" applyFont="1" applyBorder="1" applyAlignment="1">
      <alignment vertical="center"/>
    </xf>
    <xf numFmtId="166" fontId="10" fillId="0" borderId="1" xfId="3" applyNumberFormat="1" applyFont="1" applyBorder="1" applyAlignment="1">
      <alignment vertical="center"/>
    </xf>
    <xf numFmtId="165" fontId="7" fillId="0" borderId="10" xfId="3" applyFont="1" applyBorder="1" applyAlignment="1">
      <alignment horizontal="center" vertical="center"/>
    </xf>
    <xf numFmtId="165" fontId="10" fillId="0" borderId="1" xfId="3" applyFont="1" applyBorder="1" applyAlignment="1">
      <alignment vertical="center"/>
    </xf>
    <xf numFmtId="0" fontId="8" fillId="0" borderId="0" xfId="0" applyFont="1" applyAlignment="1">
      <alignment vertical="center"/>
    </xf>
    <xf numFmtId="165" fontId="8" fillId="0" borderId="0" xfId="3" applyFont="1" applyBorder="1" applyAlignment="1">
      <alignment vertical="center"/>
    </xf>
    <xf numFmtId="10" fontId="0" fillId="0" borderId="13" xfId="2" applyNumberFormat="1" applyFont="1" applyBorder="1" applyAlignment="1">
      <alignment vertical="center"/>
    </xf>
    <xf numFmtId="165" fontId="10" fillId="0" borderId="0" xfId="3" applyFont="1" applyBorder="1" applyAlignment="1">
      <alignment vertical="center"/>
    </xf>
    <xf numFmtId="4" fontId="7" fillId="0" borderId="27" xfId="0" applyNumberFormat="1" applyFont="1" applyBorder="1" applyAlignment="1">
      <alignment vertical="center"/>
    </xf>
    <xf numFmtId="0" fontId="0" fillId="0" borderId="27" xfId="0" applyBorder="1" applyAlignment="1">
      <alignment vertical="center"/>
    </xf>
    <xf numFmtId="1" fontId="7" fillId="0" borderId="29" xfId="3" applyNumberFormat="1" applyFont="1" applyBorder="1" applyAlignment="1">
      <alignment horizontal="center" vertical="center"/>
    </xf>
    <xf numFmtId="165" fontId="10" fillId="0" borderId="1" xfId="3" applyFont="1" applyFill="1" applyBorder="1" applyAlignment="1">
      <alignment horizontal="center" vertical="center"/>
    </xf>
    <xf numFmtId="166" fontId="10" fillId="0" borderId="1" xfId="3" applyNumberFormat="1" applyFont="1" applyBorder="1" applyAlignment="1">
      <alignment horizontal="center" vertical="center"/>
    </xf>
    <xf numFmtId="166" fontId="10" fillId="0" borderId="1" xfId="3" applyNumberFormat="1" applyFont="1" applyFill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165" fontId="7" fillId="0" borderId="1" xfId="3" applyFont="1" applyBorder="1" applyAlignment="1">
      <alignment horizontal="center" vertical="center"/>
    </xf>
    <xf numFmtId="165" fontId="7" fillId="0" borderId="3" xfId="3" applyFont="1" applyBorder="1" applyAlignment="1">
      <alignment horizontal="center" vertical="center"/>
    </xf>
    <xf numFmtId="10" fontId="7" fillId="0" borderId="13" xfId="2" applyNumberFormat="1" applyFont="1" applyBorder="1" applyAlignment="1">
      <alignment vertical="center"/>
    </xf>
    <xf numFmtId="165" fontId="7" fillId="0" borderId="33" xfId="3" applyFont="1" applyBorder="1" applyAlignment="1">
      <alignment vertical="center"/>
    </xf>
    <xf numFmtId="4" fontId="7" fillId="0" borderId="0" xfId="0" applyNumberFormat="1" applyFont="1" applyAlignment="1">
      <alignment vertical="center"/>
    </xf>
    <xf numFmtId="165" fontId="10" fillId="0" borderId="34" xfId="3" applyFont="1" applyBorder="1" applyAlignment="1">
      <alignment vertical="center"/>
    </xf>
    <xf numFmtId="165" fontId="10" fillId="3" borderId="1" xfId="3" applyFont="1" applyFill="1" applyBorder="1" applyAlignment="1">
      <alignment horizontal="center" vertical="center"/>
    </xf>
    <xf numFmtId="9" fontId="7" fillId="0" borderId="16" xfId="2" applyFont="1" applyBorder="1" applyAlignment="1">
      <alignment vertical="center"/>
    </xf>
    <xf numFmtId="10" fontId="10" fillId="0" borderId="13" xfId="2" applyNumberFormat="1" applyFont="1" applyBorder="1" applyAlignment="1">
      <alignment vertical="center"/>
    </xf>
    <xf numFmtId="0" fontId="9" fillId="0" borderId="0" xfId="0" applyFont="1"/>
    <xf numFmtId="165" fontId="10" fillId="0" borderId="1" xfId="0" applyNumberFormat="1" applyFont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19" fillId="0" borderId="21" xfId="0" applyFont="1" applyBorder="1" applyAlignment="1">
      <alignment horizontal="left" vertical="center"/>
    </xf>
    <xf numFmtId="0" fontId="19" fillId="0" borderId="1" xfId="0" applyFont="1" applyBorder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20" fillId="0" borderId="1" xfId="0" applyFont="1" applyBorder="1" applyAlignment="1">
      <alignment horizontal="left" vertical="center"/>
    </xf>
    <xf numFmtId="10" fontId="20" fillId="0" borderId="18" xfId="0" applyNumberFormat="1" applyFont="1" applyBorder="1" applyAlignment="1">
      <alignment horizontal="right" vertical="center"/>
    </xf>
    <xf numFmtId="0" fontId="19" fillId="2" borderId="21" xfId="0" applyFont="1" applyFill="1" applyBorder="1" applyAlignment="1">
      <alignment horizontal="left" vertical="center"/>
    </xf>
    <xf numFmtId="0" fontId="20" fillId="2" borderId="1" xfId="0" applyFont="1" applyFill="1" applyBorder="1" applyAlignment="1">
      <alignment horizontal="left" vertical="center"/>
    </xf>
    <xf numFmtId="10" fontId="20" fillId="2" borderId="18" xfId="0" applyNumberFormat="1" applyFont="1" applyFill="1" applyBorder="1" applyAlignment="1">
      <alignment horizontal="right" vertical="center"/>
    </xf>
    <xf numFmtId="0" fontId="21" fillId="0" borderId="1" xfId="0" applyFont="1" applyBorder="1" applyAlignment="1">
      <alignment horizontal="left" vertical="center"/>
    </xf>
    <xf numFmtId="0" fontId="22" fillId="0" borderId="0" xfId="0" applyFont="1" applyAlignment="1">
      <alignment horizontal="left" vertical="center"/>
    </xf>
    <xf numFmtId="10" fontId="10" fillId="0" borderId="0" xfId="0" applyNumberFormat="1" applyFont="1"/>
    <xf numFmtId="0" fontId="19" fillId="0" borderId="1" xfId="0" applyFont="1" applyBorder="1" applyAlignment="1">
      <alignment horizontal="left" vertical="center" wrapText="1"/>
    </xf>
    <xf numFmtId="0" fontId="20" fillId="0" borderId="0" xfId="0" applyFont="1" applyAlignment="1">
      <alignment horizontal="left" vertical="center"/>
    </xf>
    <xf numFmtId="10" fontId="20" fillId="0" borderId="0" xfId="0" applyNumberFormat="1" applyFont="1" applyAlignment="1">
      <alignment horizontal="right" vertical="center"/>
    </xf>
    <xf numFmtId="10" fontId="19" fillId="0" borderId="0" xfId="0" applyNumberFormat="1" applyFont="1" applyAlignment="1">
      <alignment horizontal="right" vertical="center"/>
    </xf>
    <xf numFmtId="0" fontId="23" fillId="0" borderId="0" xfId="0" applyFont="1" applyAlignment="1">
      <alignment horizontal="justify" vertical="center"/>
    </xf>
    <xf numFmtId="0" fontId="24" fillId="0" borderId="0" xfId="0" applyFont="1"/>
    <xf numFmtId="0" fontId="19" fillId="0" borderId="0" xfId="0" applyFont="1" applyAlignment="1">
      <alignment horizontal="right" vertical="center"/>
    </xf>
    <xf numFmtId="0" fontId="12" fillId="0" borderId="0" xfId="1" applyBorder="1" applyAlignment="1" applyProtection="1">
      <alignment vertical="center"/>
    </xf>
    <xf numFmtId="0" fontId="9" fillId="0" borderId="19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9" fillId="0" borderId="21" xfId="0" applyFont="1" applyBorder="1" applyAlignment="1">
      <alignment horizontal="left" vertical="center"/>
    </xf>
    <xf numFmtId="0" fontId="9" fillId="0" borderId="22" xfId="0" applyFont="1" applyBorder="1" applyAlignment="1">
      <alignment horizontal="left" vertical="center"/>
    </xf>
    <xf numFmtId="0" fontId="9" fillId="0" borderId="23" xfId="0" applyFont="1" applyBorder="1" applyAlignment="1">
      <alignment vertical="center"/>
    </xf>
    <xf numFmtId="0" fontId="9" fillId="0" borderId="24" xfId="0" applyFont="1" applyBorder="1" applyAlignment="1">
      <alignment vertical="center"/>
    </xf>
    <xf numFmtId="10" fontId="9" fillId="0" borderId="25" xfId="0" applyNumberFormat="1" applyFont="1" applyBorder="1" applyAlignment="1">
      <alignment vertical="center"/>
    </xf>
    <xf numFmtId="0" fontId="9" fillId="0" borderId="26" xfId="0" applyFont="1" applyBorder="1" applyAlignment="1">
      <alignment horizontal="left" vertical="center"/>
    </xf>
    <xf numFmtId="0" fontId="9" fillId="0" borderId="27" xfId="0" applyFont="1" applyBorder="1" applyAlignment="1">
      <alignment horizontal="left" vertical="center"/>
    </xf>
    <xf numFmtId="0" fontId="9" fillId="0" borderId="28" xfId="0" applyFont="1" applyBorder="1" applyAlignment="1">
      <alignment vertical="center"/>
    </xf>
    <xf numFmtId="0" fontId="11" fillId="2" borderId="5" xfId="0" applyFont="1" applyFill="1" applyBorder="1" applyAlignment="1">
      <alignment vertical="center" wrapText="1"/>
    </xf>
    <xf numFmtId="0" fontId="9" fillId="2" borderId="6" xfId="0" applyFont="1" applyFill="1" applyBorder="1" applyAlignment="1">
      <alignment vertical="center"/>
    </xf>
    <xf numFmtId="10" fontId="11" fillId="2" borderId="7" xfId="0" applyNumberFormat="1" applyFont="1" applyFill="1" applyBorder="1" applyAlignment="1">
      <alignment horizontal="center" vertical="center" wrapText="1"/>
    </xf>
    <xf numFmtId="0" fontId="10" fillId="0" borderId="8" xfId="0" applyFont="1" applyBorder="1" applyAlignment="1">
      <alignment vertical="center"/>
    </xf>
    <xf numFmtId="0" fontId="20" fillId="0" borderId="2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165" fontId="7" fillId="0" borderId="8" xfId="3" applyFont="1" applyBorder="1" applyAlignment="1">
      <alignment horizontal="center" vertical="center"/>
    </xf>
    <xf numFmtId="167" fontId="10" fillId="0" borderId="1" xfId="3" applyNumberFormat="1" applyFont="1" applyBorder="1" applyAlignment="1">
      <alignment horizontal="center" vertical="center"/>
    </xf>
    <xf numFmtId="166" fontId="7" fillId="0" borderId="1" xfId="3" applyNumberFormat="1" applyFont="1" applyBorder="1" applyAlignment="1">
      <alignment horizontal="center" vertical="center"/>
    </xf>
    <xf numFmtId="167" fontId="7" fillId="0" borderId="1" xfId="3" applyNumberFormat="1" applyFont="1" applyBorder="1" applyAlignment="1">
      <alignment horizontal="center" vertical="center"/>
    </xf>
    <xf numFmtId="167" fontId="10" fillId="0" borderId="2" xfId="3" applyNumberFormat="1" applyFont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13" fillId="0" borderId="0" xfId="4" applyFont="1"/>
    <xf numFmtId="0" fontId="5" fillId="0" borderId="1" xfId="0" applyFont="1" applyBorder="1" applyAlignment="1">
      <alignment horizontal="center" vertical="center"/>
    </xf>
    <xf numFmtId="165" fontId="10" fillId="0" borderId="27" xfId="3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165" fontId="10" fillId="0" borderId="0" xfId="3" applyFont="1" applyBorder="1" applyAlignment="1">
      <alignment horizontal="right" vertical="center"/>
    </xf>
    <xf numFmtId="0" fontId="10" fillId="0" borderId="0" xfId="0" applyFont="1" applyAlignment="1">
      <alignment horizontal="right" vertical="center"/>
    </xf>
    <xf numFmtId="3" fontId="10" fillId="0" borderId="0" xfId="0" applyNumberFormat="1" applyFont="1" applyAlignment="1">
      <alignment vertical="center"/>
    </xf>
    <xf numFmtId="0" fontId="10" fillId="0" borderId="33" xfId="0" applyFont="1" applyBorder="1" applyAlignment="1">
      <alignment vertical="center"/>
    </xf>
    <xf numFmtId="0" fontId="7" fillId="0" borderId="33" xfId="0" applyFont="1" applyBorder="1" applyAlignment="1">
      <alignment vertical="center"/>
    </xf>
    <xf numFmtId="0" fontId="5" fillId="0" borderId="38" xfId="0" applyFont="1" applyBorder="1" applyAlignment="1">
      <alignment vertical="center"/>
    </xf>
    <xf numFmtId="0" fontId="7" fillId="0" borderId="21" xfId="0" applyFont="1" applyBorder="1" applyAlignment="1">
      <alignment vertical="center"/>
    </xf>
    <xf numFmtId="0" fontId="6" fillId="0" borderId="33" xfId="0" applyFont="1" applyBorder="1" applyAlignment="1">
      <alignment horizontal="left" vertical="center" wrapText="1"/>
    </xf>
    <xf numFmtId="0" fontId="8" fillId="0" borderId="33" xfId="0" applyFont="1" applyBorder="1" applyAlignment="1">
      <alignment vertical="center"/>
    </xf>
    <xf numFmtId="168" fontId="7" fillId="0" borderId="21" xfId="0" applyNumberFormat="1" applyFont="1" applyBorder="1" applyAlignment="1">
      <alignment vertical="center"/>
    </xf>
    <xf numFmtId="168" fontId="0" fillId="0" borderId="21" xfId="0" applyNumberFormat="1" applyBorder="1" applyAlignment="1">
      <alignment vertical="center"/>
    </xf>
    <xf numFmtId="10" fontId="7" fillId="0" borderId="34" xfId="2" applyNumberFormat="1" applyFont="1" applyBorder="1" applyAlignment="1">
      <alignment vertical="center"/>
    </xf>
    <xf numFmtId="0" fontId="7" fillId="6" borderId="34" xfId="0" applyFont="1" applyFill="1" applyBorder="1" applyAlignment="1">
      <alignment vertical="center"/>
    </xf>
    <xf numFmtId="165" fontId="7" fillId="0" borderId="17" xfId="3" applyFont="1" applyBorder="1" applyAlignment="1">
      <alignment horizontal="center" vertical="center" wrapText="1"/>
    </xf>
    <xf numFmtId="10" fontId="7" fillId="6" borderId="13" xfId="2" applyNumberFormat="1" applyFont="1" applyFill="1" applyBorder="1" applyAlignment="1">
      <alignment vertical="center"/>
    </xf>
    <xf numFmtId="0" fontId="7" fillId="6" borderId="13" xfId="0" applyFont="1" applyFill="1" applyBorder="1" applyAlignment="1">
      <alignment vertical="center"/>
    </xf>
    <xf numFmtId="0" fontId="7" fillId="6" borderId="18" xfId="0" applyFont="1" applyFill="1" applyBorder="1" applyAlignment="1">
      <alignment vertical="center"/>
    </xf>
    <xf numFmtId="168" fontId="7" fillId="6" borderId="21" xfId="0" applyNumberFormat="1" applyFont="1" applyFill="1" applyBorder="1" applyAlignment="1">
      <alignment vertical="center"/>
    </xf>
    <xf numFmtId="168" fontId="7" fillId="6" borderId="37" xfId="0" applyNumberFormat="1" applyFont="1" applyFill="1" applyBorder="1" applyAlignment="1">
      <alignment vertical="center"/>
    </xf>
    <xf numFmtId="10" fontId="7" fillId="6" borderId="34" xfId="2" applyNumberFormat="1" applyFont="1" applyFill="1" applyBorder="1" applyAlignment="1">
      <alignment vertical="center"/>
    </xf>
    <xf numFmtId="168" fontId="7" fillId="0" borderId="43" xfId="0" applyNumberFormat="1" applyFont="1" applyBorder="1" applyAlignment="1">
      <alignment vertical="center"/>
    </xf>
    <xf numFmtId="0" fontId="10" fillId="0" borderId="23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165" fontId="10" fillId="0" borderId="24" xfId="3" applyFont="1" applyBorder="1" applyAlignment="1">
      <alignment vertical="center"/>
    </xf>
    <xf numFmtId="0" fontId="10" fillId="0" borderId="44" xfId="0" applyFont="1" applyBorder="1" applyAlignment="1">
      <alignment vertical="center"/>
    </xf>
    <xf numFmtId="0" fontId="10" fillId="0" borderId="20" xfId="0" applyFont="1" applyBorder="1" applyAlignment="1">
      <alignment horizontal="center" vertical="center"/>
    </xf>
    <xf numFmtId="165" fontId="10" fillId="0" borderId="20" xfId="3" applyFont="1" applyBorder="1" applyAlignment="1">
      <alignment horizontal="center" vertical="center"/>
    </xf>
    <xf numFmtId="0" fontId="7" fillId="0" borderId="26" xfId="0" applyFont="1" applyBorder="1" applyAlignment="1">
      <alignment vertical="center"/>
    </xf>
    <xf numFmtId="0" fontId="7" fillId="0" borderId="27" xfId="0" applyFont="1" applyBorder="1" applyAlignment="1">
      <alignment vertical="center"/>
    </xf>
    <xf numFmtId="165" fontId="7" fillId="0" borderId="27" xfId="3" applyFont="1" applyBorder="1" applyAlignment="1">
      <alignment vertical="center"/>
    </xf>
    <xf numFmtId="164" fontId="7" fillId="5" borderId="5" xfId="0" applyNumberFormat="1" applyFont="1" applyFill="1" applyBorder="1" applyAlignment="1">
      <alignment vertical="center"/>
    </xf>
    <xf numFmtId="165" fontId="8" fillId="0" borderId="23" xfId="3" applyFont="1" applyFill="1" applyBorder="1" applyAlignment="1">
      <alignment horizontal="left" vertical="center"/>
    </xf>
    <xf numFmtId="165" fontId="7" fillId="0" borderId="33" xfId="3" applyFont="1" applyBorder="1" applyAlignment="1">
      <alignment horizontal="left" vertical="center"/>
    </xf>
    <xf numFmtId="165" fontId="10" fillId="0" borderId="25" xfId="3" applyFont="1" applyBorder="1" applyAlignment="1">
      <alignment vertical="center"/>
    </xf>
    <xf numFmtId="165" fontId="10" fillId="0" borderId="11" xfId="3" applyFont="1" applyBorder="1" applyAlignment="1">
      <alignment vertical="center"/>
    </xf>
    <xf numFmtId="165" fontId="10" fillId="0" borderId="46" xfId="3" applyFont="1" applyBorder="1" applyAlignment="1">
      <alignment vertical="center"/>
    </xf>
    <xf numFmtId="165" fontId="7" fillId="0" borderId="46" xfId="3" applyFont="1" applyBorder="1" applyAlignment="1">
      <alignment vertical="center"/>
    </xf>
    <xf numFmtId="165" fontId="7" fillId="0" borderId="34" xfId="3" applyFont="1" applyFill="1" applyBorder="1" applyAlignment="1">
      <alignment vertical="center"/>
    </xf>
    <xf numFmtId="165" fontId="10" fillId="0" borderId="46" xfId="3" applyFont="1" applyBorder="1" applyAlignment="1">
      <alignment horizontal="center" vertical="center"/>
    </xf>
    <xf numFmtId="165" fontId="10" fillId="0" borderId="11" xfId="3" applyFont="1" applyBorder="1" applyAlignment="1">
      <alignment horizontal="center" vertical="center"/>
    </xf>
    <xf numFmtId="165" fontId="7" fillId="0" borderId="46" xfId="3" applyFont="1" applyBorder="1" applyAlignment="1">
      <alignment horizontal="center" vertical="center"/>
    </xf>
    <xf numFmtId="165" fontId="7" fillId="0" borderId="34" xfId="3" applyFont="1" applyFill="1" applyBorder="1" applyAlignment="1">
      <alignment horizontal="center" vertical="center"/>
    </xf>
    <xf numFmtId="165" fontId="10" fillId="0" borderId="11" xfId="3" applyFont="1" applyFill="1" applyBorder="1" applyAlignment="1">
      <alignment horizontal="center" vertical="center"/>
    </xf>
    <xf numFmtId="165" fontId="10" fillId="0" borderId="46" xfId="3" applyFont="1" applyFill="1" applyBorder="1" applyAlignment="1">
      <alignment horizontal="center" vertical="center"/>
    </xf>
    <xf numFmtId="165" fontId="7" fillId="0" borderId="25" xfId="3" applyFont="1" applyFill="1" applyBorder="1" applyAlignment="1">
      <alignment horizontal="center" vertical="center"/>
    </xf>
    <xf numFmtId="165" fontId="8" fillId="0" borderId="25" xfId="3" applyFont="1" applyBorder="1" applyAlignment="1">
      <alignment vertical="center"/>
    </xf>
    <xf numFmtId="165" fontId="7" fillId="0" borderId="25" xfId="3" applyFont="1" applyBorder="1" applyAlignment="1">
      <alignment vertical="center"/>
    </xf>
    <xf numFmtId="165" fontId="8" fillId="0" borderId="34" xfId="3" applyFont="1" applyBorder="1" applyAlignment="1">
      <alignment vertical="center"/>
    </xf>
    <xf numFmtId="0" fontId="7" fillId="0" borderId="43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165" fontId="7" fillId="0" borderId="7" xfId="3" applyFont="1" applyFill="1" applyBorder="1" applyAlignment="1">
      <alignment horizontal="right" vertical="center"/>
    </xf>
    <xf numFmtId="165" fontId="5" fillId="0" borderId="9" xfId="3" applyFont="1" applyFill="1" applyBorder="1" applyAlignment="1">
      <alignment vertical="center"/>
    </xf>
    <xf numFmtId="165" fontId="7" fillId="0" borderId="8" xfId="3" applyFont="1" applyFill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165" fontId="7" fillId="0" borderId="2" xfId="3" applyFont="1" applyBorder="1" applyAlignment="1">
      <alignment horizontal="center" vertical="center"/>
    </xf>
    <xf numFmtId="165" fontId="7" fillId="0" borderId="47" xfId="3" applyFont="1" applyBorder="1" applyAlignment="1">
      <alignment horizontal="center" vertical="center"/>
    </xf>
    <xf numFmtId="165" fontId="7" fillId="0" borderId="1" xfId="3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65" fontId="5" fillId="0" borderId="2" xfId="3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10" fillId="0" borderId="1" xfId="0" applyFont="1" applyBorder="1" applyAlignment="1">
      <alignment vertical="center"/>
    </xf>
    <xf numFmtId="165" fontId="7" fillId="0" borderId="29" xfId="3" applyFont="1" applyBorder="1" applyAlignment="1">
      <alignment horizontal="center" vertical="center"/>
    </xf>
    <xf numFmtId="165" fontId="10" fillId="0" borderId="48" xfId="3" applyFont="1" applyBorder="1" applyAlignment="1">
      <alignment vertical="center"/>
    </xf>
    <xf numFmtId="0" fontId="0" fillId="0" borderId="48" xfId="0" applyBorder="1" applyAlignment="1">
      <alignment vertical="center"/>
    </xf>
    <xf numFmtId="165" fontId="7" fillId="0" borderId="16" xfId="3" applyFont="1" applyBorder="1" applyAlignment="1">
      <alignment horizontal="center" vertical="center"/>
    </xf>
    <xf numFmtId="165" fontId="5" fillId="0" borderId="26" xfId="3" applyFont="1" applyBorder="1" applyAlignment="1">
      <alignment vertical="center"/>
    </xf>
    <xf numFmtId="165" fontId="7" fillId="0" borderId="11" xfId="3" applyFont="1" applyBorder="1" applyAlignment="1">
      <alignment horizontal="center" vertical="center"/>
    </xf>
    <xf numFmtId="165" fontId="7" fillId="0" borderId="11" xfId="3" applyFont="1" applyBorder="1" applyAlignment="1">
      <alignment horizontal="center" vertical="center" wrapText="1"/>
    </xf>
    <xf numFmtId="1" fontId="10" fillId="0" borderId="6" xfId="3" applyNumberFormat="1" applyFont="1" applyBorder="1" applyAlignment="1">
      <alignment horizontal="center" vertical="center"/>
    </xf>
    <xf numFmtId="1" fontId="10" fillId="0" borderId="7" xfId="3" applyNumberFormat="1" applyFont="1" applyBorder="1" applyAlignment="1">
      <alignment horizontal="center" vertical="center"/>
    </xf>
    <xf numFmtId="165" fontId="7" fillId="0" borderId="35" xfId="3" applyFont="1" applyBorder="1" applyAlignment="1">
      <alignment vertical="center"/>
    </xf>
    <xf numFmtId="165" fontId="7" fillId="0" borderId="30" xfId="3" applyFont="1" applyBorder="1" applyAlignment="1">
      <alignment horizontal="center" vertical="center" wrapText="1"/>
    </xf>
    <xf numFmtId="1" fontId="5" fillId="0" borderId="31" xfId="3" applyNumberFormat="1" applyFont="1" applyFill="1" applyBorder="1" applyAlignment="1">
      <alignment horizontal="center" vertical="center"/>
    </xf>
    <xf numFmtId="1" fontId="10" fillId="0" borderId="31" xfId="3" applyNumberFormat="1" applyFont="1" applyFill="1" applyBorder="1" applyAlignment="1">
      <alignment horizontal="center" vertical="center"/>
    </xf>
    <xf numFmtId="1" fontId="5" fillId="0" borderId="1" xfId="3" applyNumberFormat="1" applyFont="1" applyFill="1" applyBorder="1" applyAlignment="1">
      <alignment horizontal="center" vertical="center"/>
    </xf>
    <xf numFmtId="10" fontId="10" fillId="0" borderId="1" xfId="2" applyNumberFormat="1" applyFont="1" applyFill="1" applyBorder="1" applyAlignment="1">
      <alignment horizontal="center" vertical="center"/>
    </xf>
    <xf numFmtId="165" fontId="10" fillId="0" borderId="31" xfId="3" applyFont="1" applyFill="1" applyBorder="1" applyAlignment="1">
      <alignment horizontal="center" vertical="center"/>
    </xf>
    <xf numFmtId="165" fontId="7" fillId="0" borderId="18" xfId="3" applyFont="1" applyFill="1" applyBorder="1" applyAlignment="1">
      <alignment horizontal="center" vertical="center"/>
    </xf>
    <xf numFmtId="165" fontId="10" fillId="0" borderId="2" xfId="3" applyFont="1" applyFill="1" applyBorder="1" applyAlignment="1">
      <alignment horizontal="center" vertical="center"/>
    </xf>
    <xf numFmtId="1" fontId="10" fillId="0" borderId="1" xfId="0" applyNumberFormat="1" applyFont="1" applyBorder="1" applyAlignment="1">
      <alignment horizontal="center" vertical="center"/>
    </xf>
    <xf numFmtId="165" fontId="7" fillId="0" borderId="30" xfId="3" applyFont="1" applyBorder="1" applyAlignment="1">
      <alignment horizontal="center" vertical="center"/>
    </xf>
    <xf numFmtId="3" fontId="7" fillId="0" borderId="1" xfId="0" applyNumberFormat="1" applyFont="1" applyBorder="1" applyAlignment="1">
      <alignment vertical="center"/>
    </xf>
    <xf numFmtId="165" fontId="0" fillId="0" borderId="40" xfId="3" applyFont="1" applyBorder="1" applyAlignment="1">
      <alignment vertical="center"/>
    </xf>
    <xf numFmtId="165" fontId="0" fillId="0" borderId="41" xfId="3" applyFont="1" applyBorder="1" applyAlignment="1">
      <alignment vertical="center"/>
    </xf>
    <xf numFmtId="165" fontId="10" fillId="0" borderId="41" xfId="3" applyFont="1" applyBorder="1" applyAlignment="1">
      <alignment vertical="center"/>
    </xf>
    <xf numFmtId="165" fontId="10" fillId="0" borderId="2" xfId="0" applyNumberFormat="1" applyFont="1" applyBorder="1" applyAlignment="1">
      <alignment horizontal="center" vertical="center"/>
    </xf>
    <xf numFmtId="165" fontId="5" fillId="0" borderId="1" xfId="3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9" fillId="0" borderId="52" xfId="4" applyFont="1" applyBorder="1"/>
    <xf numFmtId="0" fontId="9" fillId="0" borderId="54" xfId="4" applyFont="1" applyBorder="1"/>
    <xf numFmtId="165" fontId="7" fillId="5" borderId="40" xfId="3" applyFont="1" applyFill="1" applyBorder="1" applyAlignment="1">
      <alignment vertical="center"/>
    </xf>
    <xf numFmtId="165" fontId="5" fillId="0" borderId="41" xfId="3" applyFont="1" applyBorder="1" applyAlignment="1">
      <alignment vertical="center"/>
    </xf>
    <xf numFmtId="10" fontId="19" fillId="0" borderId="0" xfId="0" applyNumberFormat="1" applyFont="1" applyAlignment="1">
      <alignment horizontal="left" vertical="center"/>
    </xf>
    <xf numFmtId="0" fontId="19" fillId="6" borderId="22" xfId="0" applyFont="1" applyFill="1" applyBorder="1" applyAlignment="1">
      <alignment horizontal="left" vertical="center"/>
    </xf>
    <xf numFmtId="0" fontId="20" fillId="6" borderId="31" xfId="0" applyFont="1" applyFill="1" applyBorder="1" applyAlignment="1">
      <alignment horizontal="left" vertical="center"/>
    </xf>
    <xf numFmtId="10" fontId="20" fillId="6" borderId="32" xfId="0" applyNumberFormat="1" applyFont="1" applyFill="1" applyBorder="1" applyAlignment="1">
      <alignment horizontal="right" vertical="center"/>
    </xf>
    <xf numFmtId="165" fontId="5" fillId="0" borderId="27" xfId="3" applyFont="1" applyBorder="1" applyAlignment="1">
      <alignment vertical="center"/>
    </xf>
    <xf numFmtId="0" fontId="5" fillId="0" borderId="57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165" fontId="7" fillId="0" borderId="0" xfId="3" applyFont="1" applyBorder="1" applyAlignment="1">
      <alignment horizontal="left"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4" fontId="0" fillId="0" borderId="6" xfId="0" applyNumberFormat="1" applyBorder="1" applyAlignment="1">
      <alignment vertical="center"/>
    </xf>
    <xf numFmtId="165" fontId="0" fillId="0" borderId="6" xfId="3" applyFont="1" applyFill="1" applyBorder="1" applyAlignment="1">
      <alignment vertical="center"/>
    </xf>
    <xf numFmtId="0" fontId="0" fillId="0" borderId="7" xfId="0" applyBorder="1" applyAlignment="1">
      <alignment vertical="center"/>
    </xf>
    <xf numFmtId="0" fontId="11" fillId="0" borderId="38" xfId="4" applyFont="1" applyBorder="1" applyAlignment="1">
      <alignment horizontal="left" vertical="center"/>
    </xf>
    <xf numFmtId="0" fontId="11" fillId="0" borderId="39" xfId="4" applyFont="1" applyBorder="1" applyAlignment="1">
      <alignment horizontal="center" vertical="center" wrapText="1"/>
    </xf>
    <xf numFmtId="0" fontId="9" fillId="0" borderId="62" xfId="4" applyFont="1" applyBorder="1"/>
    <xf numFmtId="0" fontId="11" fillId="6" borderId="5" xfId="4" applyFont="1" applyFill="1" applyBorder="1"/>
    <xf numFmtId="0" fontId="13" fillId="0" borderId="6" xfId="4" applyFont="1" applyBorder="1"/>
    <xf numFmtId="10" fontId="11" fillId="6" borderId="16" xfId="4" applyNumberFormat="1" applyFont="1" applyFill="1" applyBorder="1" applyAlignment="1">
      <alignment horizontal="right"/>
    </xf>
    <xf numFmtId="0" fontId="9" fillId="0" borderId="0" xfId="4" applyFont="1" applyAlignment="1">
      <alignment horizontal="left"/>
    </xf>
    <xf numFmtId="169" fontId="10" fillId="0" borderId="1" xfId="3" applyNumberFormat="1" applyFont="1" applyBorder="1" applyAlignment="1">
      <alignment horizontal="center" vertical="center"/>
    </xf>
    <xf numFmtId="165" fontId="8" fillId="6" borderId="5" xfId="3" applyFont="1" applyFill="1" applyBorder="1" applyAlignment="1">
      <alignment vertical="center"/>
    </xf>
    <xf numFmtId="165" fontId="8" fillId="6" borderId="6" xfId="3" applyFont="1" applyFill="1" applyBorder="1" applyAlignment="1">
      <alignment vertical="center"/>
    </xf>
    <xf numFmtId="165" fontId="8" fillId="6" borderId="7" xfId="3" applyFont="1" applyFill="1" applyBorder="1" applyAlignment="1">
      <alignment vertical="center"/>
    </xf>
    <xf numFmtId="0" fontId="14" fillId="6" borderId="15" xfId="0" applyFont="1" applyFill="1" applyBorder="1" applyAlignment="1">
      <alignment horizontal="center" vertical="center"/>
    </xf>
    <xf numFmtId="165" fontId="14" fillId="6" borderId="15" xfId="3" applyFont="1" applyFill="1" applyBorder="1" applyAlignment="1">
      <alignment horizontal="center" vertical="center"/>
    </xf>
    <xf numFmtId="165" fontId="14" fillId="6" borderId="11" xfId="3" applyFont="1" applyFill="1" applyBorder="1" applyAlignment="1">
      <alignment horizontal="center" vertical="center"/>
    </xf>
    <xf numFmtId="165" fontId="7" fillId="6" borderId="50" xfId="3" applyFont="1" applyFill="1" applyBorder="1" applyAlignment="1">
      <alignment horizontal="center" vertical="center"/>
    </xf>
    <xf numFmtId="0" fontId="14" fillId="6" borderId="14" xfId="0" applyFont="1" applyFill="1" applyBorder="1" applyAlignment="1">
      <alignment horizontal="center" vertical="center"/>
    </xf>
    <xf numFmtId="0" fontId="14" fillId="6" borderId="35" xfId="0" applyFont="1" applyFill="1" applyBorder="1" applyAlignment="1">
      <alignment horizontal="center" vertical="center"/>
    </xf>
    <xf numFmtId="165" fontId="7" fillId="6" borderId="4" xfId="3" applyFont="1" applyFill="1" applyBorder="1" applyAlignment="1">
      <alignment vertical="center"/>
    </xf>
    <xf numFmtId="165" fontId="7" fillId="6" borderId="4" xfId="3" applyFont="1" applyFill="1" applyBorder="1" applyAlignment="1">
      <alignment horizontal="center" vertical="center"/>
    </xf>
    <xf numFmtId="165" fontId="7" fillId="6" borderId="40" xfId="3" applyFont="1" applyFill="1" applyBorder="1" applyAlignment="1">
      <alignment vertical="center"/>
    </xf>
    <xf numFmtId="165" fontId="7" fillId="6" borderId="40" xfId="3" applyFont="1" applyFill="1" applyBorder="1" applyAlignment="1">
      <alignment horizontal="center" vertical="center"/>
    </xf>
    <xf numFmtId="0" fontId="7" fillId="0" borderId="45" xfId="4" applyFont="1" applyBorder="1" applyAlignment="1">
      <alignment horizontal="right"/>
    </xf>
    <xf numFmtId="0" fontId="7" fillId="0" borderId="23" xfId="4" applyFont="1" applyBorder="1" applyAlignment="1">
      <alignment horizontal="right"/>
    </xf>
    <xf numFmtId="0" fontId="18" fillId="0" borderId="5" xfId="0" applyFont="1" applyBorder="1" applyAlignment="1">
      <alignment horizontal="right"/>
    </xf>
    <xf numFmtId="0" fontId="9" fillId="0" borderId="1" xfId="0" applyFont="1" applyBorder="1" applyAlignment="1">
      <alignment horizontal="center" vertical="center"/>
    </xf>
    <xf numFmtId="165" fontId="8" fillId="0" borderId="6" xfId="3" applyFont="1" applyFill="1" applyBorder="1" applyAlignment="1">
      <alignment vertical="center"/>
    </xf>
    <xf numFmtId="165" fontId="8" fillId="0" borderId="7" xfId="3" applyFont="1" applyFill="1" applyBorder="1" applyAlignment="1">
      <alignment vertical="center"/>
    </xf>
    <xf numFmtId="0" fontId="7" fillId="7" borderId="24" xfId="4" applyFont="1" applyFill="1" applyBorder="1" applyAlignment="1">
      <alignment horizontal="left"/>
    </xf>
    <xf numFmtId="1" fontId="10" fillId="7" borderId="10" xfId="3" applyNumberFormat="1" applyFont="1" applyFill="1" applyBorder="1" applyAlignment="1">
      <alignment horizontal="center" vertical="center"/>
    </xf>
    <xf numFmtId="165" fontId="10" fillId="7" borderId="39" xfId="3" applyFont="1" applyFill="1" applyBorder="1" applyAlignment="1">
      <alignment horizontal="center" vertical="center"/>
    </xf>
    <xf numFmtId="165" fontId="10" fillId="7" borderId="18" xfId="3" applyFont="1" applyFill="1" applyBorder="1" applyAlignment="1">
      <alignment horizontal="center" vertical="center"/>
    </xf>
    <xf numFmtId="1" fontId="10" fillId="7" borderId="1" xfId="3" applyNumberFormat="1" applyFont="1" applyFill="1" applyBorder="1" applyAlignment="1">
      <alignment horizontal="center" vertical="center"/>
    </xf>
    <xf numFmtId="165" fontId="10" fillId="7" borderId="1" xfId="3" applyFont="1" applyFill="1" applyBorder="1" applyAlignment="1">
      <alignment horizontal="center" vertical="center"/>
    </xf>
    <xf numFmtId="165" fontId="10" fillId="7" borderId="31" xfId="3" applyFont="1" applyFill="1" applyBorder="1" applyAlignment="1">
      <alignment horizontal="center" vertical="center"/>
    </xf>
    <xf numFmtId="165" fontId="10" fillId="7" borderId="0" xfId="3" applyFont="1" applyFill="1" applyBorder="1" applyAlignment="1">
      <alignment vertical="center"/>
    </xf>
    <xf numFmtId="2" fontId="10" fillId="7" borderId="1" xfId="0" applyNumberFormat="1" applyFont="1" applyFill="1" applyBorder="1" applyAlignment="1">
      <alignment horizontal="center" vertical="center"/>
    </xf>
    <xf numFmtId="4" fontId="10" fillId="7" borderId="1" xfId="0" applyNumberFormat="1" applyFont="1" applyFill="1" applyBorder="1" applyAlignment="1">
      <alignment horizontal="center" vertical="center"/>
    </xf>
    <xf numFmtId="165" fontId="10" fillId="7" borderId="2" xfId="3" applyFont="1" applyFill="1" applyBorder="1" applyAlignment="1">
      <alignment horizontal="center" vertical="center"/>
    </xf>
    <xf numFmtId="165" fontId="5" fillId="7" borderId="2" xfId="3" applyFont="1" applyFill="1" applyBorder="1" applyAlignment="1">
      <alignment horizontal="center" vertical="center"/>
    </xf>
    <xf numFmtId="166" fontId="5" fillId="7" borderId="1" xfId="3" applyNumberFormat="1" applyFont="1" applyFill="1" applyBorder="1" applyAlignment="1">
      <alignment horizontal="center" vertical="center"/>
    </xf>
    <xf numFmtId="0" fontId="10" fillId="7" borderId="2" xfId="0" applyFont="1" applyFill="1" applyBorder="1" applyAlignment="1">
      <alignment horizontal="center" vertical="center"/>
    </xf>
    <xf numFmtId="4" fontId="10" fillId="7" borderId="1" xfId="3" applyNumberFormat="1" applyFont="1" applyFill="1" applyBorder="1" applyAlignment="1">
      <alignment horizontal="center" vertical="center"/>
    </xf>
    <xf numFmtId="165" fontId="8" fillId="0" borderId="6" xfId="3" quotePrefix="1" applyFont="1" applyFill="1" applyBorder="1" applyAlignment="1">
      <alignment vertical="center"/>
    </xf>
    <xf numFmtId="165" fontId="10" fillId="0" borderId="0" xfId="3" applyFont="1" applyFill="1" applyBorder="1" applyAlignment="1">
      <alignment vertical="center"/>
    </xf>
    <xf numFmtId="10" fontId="19" fillId="7" borderId="18" xfId="0" applyNumberFormat="1" applyFont="1" applyFill="1" applyBorder="1" applyAlignment="1">
      <alignment horizontal="right" vertical="center"/>
    </xf>
    <xf numFmtId="10" fontId="9" fillId="7" borderId="55" xfId="4" applyNumberFormat="1" applyFont="1" applyFill="1" applyBorder="1" applyAlignment="1">
      <alignment horizontal="right"/>
    </xf>
    <xf numFmtId="10" fontId="9" fillId="7" borderId="10" xfId="0" applyNumberFormat="1" applyFont="1" applyFill="1" applyBorder="1" applyAlignment="1">
      <alignment horizontal="center" vertical="center"/>
    </xf>
    <xf numFmtId="10" fontId="9" fillId="7" borderId="18" xfId="0" applyNumberFormat="1" applyFont="1" applyFill="1" applyBorder="1" applyAlignment="1">
      <alignment horizontal="center" vertical="center"/>
    </xf>
    <xf numFmtId="10" fontId="11" fillId="7" borderId="18" xfId="0" applyNumberFormat="1" applyFont="1" applyFill="1" applyBorder="1" applyAlignment="1">
      <alignment horizontal="center" vertical="center"/>
    </xf>
    <xf numFmtId="10" fontId="9" fillId="7" borderId="32" xfId="0" applyNumberFormat="1" applyFont="1" applyFill="1" applyBorder="1" applyAlignment="1">
      <alignment horizontal="center" vertical="center"/>
    </xf>
    <xf numFmtId="10" fontId="9" fillId="0" borderId="63" xfId="8" applyNumberFormat="1" applyFont="1" applyFill="1" applyBorder="1"/>
    <xf numFmtId="10" fontId="19" fillId="0" borderId="18" xfId="0" applyNumberFormat="1" applyFont="1" applyBorder="1" applyAlignment="1">
      <alignment horizontal="right" vertical="center"/>
    </xf>
    <xf numFmtId="10" fontId="19" fillId="7" borderId="53" xfId="0" applyNumberFormat="1" applyFont="1" applyFill="1" applyBorder="1" applyAlignment="1">
      <alignment horizontal="right" vertical="center"/>
    </xf>
    <xf numFmtId="0" fontId="9" fillId="0" borderId="38" xfId="0" applyFont="1" applyBorder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10" fontId="9" fillId="7" borderId="39" xfId="0" applyNumberFormat="1" applyFont="1" applyFill="1" applyBorder="1" applyAlignment="1">
      <alignment horizontal="center" vertical="center"/>
    </xf>
    <xf numFmtId="10" fontId="9" fillId="0" borderId="65" xfId="0" applyNumberFormat="1" applyFont="1" applyBorder="1" applyAlignment="1">
      <alignment horizontal="center" vertical="center"/>
    </xf>
    <xf numFmtId="10" fontId="9" fillId="0" borderId="64" xfId="0" applyNumberFormat="1" applyFont="1" applyBorder="1" applyAlignment="1">
      <alignment horizontal="center" vertical="center"/>
    </xf>
    <xf numFmtId="10" fontId="11" fillId="0" borderId="64" xfId="0" applyNumberFormat="1" applyFont="1" applyBorder="1" applyAlignment="1">
      <alignment horizontal="center" vertical="center"/>
    </xf>
    <xf numFmtId="10" fontId="9" fillId="7" borderId="64" xfId="0" applyNumberFormat="1" applyFont="1" applyFill="1" applyBorder="1" applyAlignment="1">
      <alignment horizontal="center" vertical="center"/>
    </xf>
    <xf numFmtId="10" fontId="9" fillId="0" borderId="50" xfId="0" applyNumberFormat="1" applyFont="1" applyBorder="1" applyAlignment="1">
      <alignment horizontal="center" vertical="center"/>
    </xf>
    <xf numFmtId="0" fontId="9" fillId="0" borderId="33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34" xfId="0" applyFont="1" applyBorder="1" applyAlignment="1">
      <alignment vertical="center"/>
    </xf>
    <xf numFmtId="0" fontId="11" fillId="2" borderId="14" xfId="0" applyFont="1" applyFill="1" applyBorder="1" applyAlignment="1">
      <alignment vertical="center" wrapText="1"/>
    </xf>
    <xf numFmtId="0" fontId="9" fillId="2" borderId="15" xfId="0" applyFont="1" applyFill="1" applyBorder="1" applyAlignment="1">
      <alignment vertical="center"/>
    </xf>
    <xf numFmtId="10" fontId="11" fillId="2" borderId="16" xfId="0" applyNumberFormat="1" applyFont="1" applyFill="1" applyBorder="1" applyAlignment="1">
      <alignment horizontal="center" vertical="center" wrapText="1"/>
    </xf>
    <xf numFmtId="10" fontId="9" fillId="0" borderId="40" xfId="0" applyNumberFormat="1" applyFont="1" applyBorder="1" applyAlignment="1">
      <alignment vertical="center"/>
    </xf>
    <xf numFmtId="0" fontId="9" fillId="0" borderId="42" xfId="0" applyFont="1" applyBorder="1" applyAlignment="1">
      <alignment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wrapText="1"/>
    </xf>
    <xf numFmtId="0" fontId="11" fillId="0" borderId="66" xfId="0" applyFont="1" applyBorder="1" applyAlignment="1">
      <alignment horizontal="center" vertical="center" wrapText="1"/>
    </xf>
    <xf numFmtId="10" fontId="11" fillId="2" borderId="4" xfId="0" applyNumberFormat="1" applyFont="1" applyFill="1" applyBorder="1" applyAlignment="1">
      <alignment horizontal="center" vertical="center" wrapText="1"/>
    </xf>
    <xf numFmtId="0" fontId="0" fillId="0" borderId="42" xfId="0" applyBorder="1"/>
    <xf numFmtId="10" fontId="9" fillId="0" borderId="66" xfId="0" applyNumberFormat="1" applyFont="1" applyBorder="1" applyAlignment="1">
      <alignment horizontal="center" vertical="center"/>
    </xf>
    <xf numFmtId="165" fontId="7" fillId="0" borderId="0" xfId="3" applyFont="1" applyAlignment="1">
      <alignment vertical="center"/>
    </xf>
    <xf numFmtId="1" fontId="10" fillId="0" borderId="27" xfId="3" applyNumberFormat="1" applyFont="1" applyBorder="1" applyAlignment="1">
      <alignment horizontal="center" vertical="center"/>
    </xf>
    <xf numFmtId="1" fontId="10" fillId="0" borderId="28" xfId="3" applyNumberFormat="1" applyFont="1" applyBorder="1" applyAlignment="1">
      <alignment horizontal="center" vertical="center"/>
    </xf>
    <xf numFmtId="165" fontId="10" fillId="7" borderId="32" xfId="3" applyFont="1" applyFill="1" applyBorder="1" applyAlignment="1">
      <alignment horizontal="center" vertical="center"/>
    </xf>
    <xf numFmtId="169" fontId="7" fillId="6" borderId="50" xfId="3" applyNumberFormat="1" applyFont="1" applyFill="1" applyBorder="1" applyAlignment="1">
      <alignment horizontal="center" vertical="center"/>
    </xf>
    <xf numFmtId="165" fontId="5" fillId="7" borderId="20" xfId="3" applyFont="1" applyFill="1" applyBorder="1" applyAlignment="1">
      <alignment horizontal="center" vertical="center"/>
    </xf>
    <xf numFmtId="168" fontId="7" fillId="5" borderId="5" xfId="0" applyNumberFormat="1" applyFont="1" applyFill="1" applyBorder="1" applyAlignment="1">
      <alignment vertical="center"/>
    </xf>
    <xf numFmtId="0" fontId="18" fillId="0" borderId="67" xfId="0" applyFont="1" applyBorder="1" applyAlignment="1">
      <alignment vertical="center"/>
    </xf>
    <xf numFmtId="0" fontId="5" fillId="0" borderId="44" xfId="0" applyFont="1" applyBorder="1" applyAlignment="1">
      <alignment horizontal="left" vertical="center"/>
    </xf>
    <xf numFmtId="0" fontId="0" fillId="0" borderId="57" xfId="0" applyBorder="1" applyAlignment="1">
      <alignment horizontal="left" vertical="center"/>
    </xf>
    <xf numFmtId="165" fontId="5" fillId="0" borderId="2" xfId="3" applyFont="1" applyFill="1" applyBorder="1" applyAlignment="1">
      <alignment horizontal="center" vertical="center"/>
    </xf>
    <xf numFmtId="166" fontId="5" fillId="0" borderId="1" xfId="3" applyNumberFormat="1" applyFont="1" applyBorder="1" applyAlignment="1">
      <alignment horizontal="center" vertical="center"/>
    </xf>
    <xf numFmtId="0" fontId="5" fillId="7" borderId="2" xfId="0" applyFont="1" applyFill="1" applyBorder="1" applyAlignment="1">
      <alignment horizontal="center" vertical="center"/>
    </xf>
    <xf numFmtId="3" fontId="5" fillId="7" borderId="1" xfId="0" applyNumberFormat="1" applyFont="1" applyFill="1" applyBorder="1" applyAlignment="1">
      <alignment horizontal="center" vertical="center"/>
    </xf>
    <xf numFmtId="10" fontId="7" fillId="0" borderId="16" xfId="2" applyNumberFormat="1" applyFont="1" applyBorder="1" applyAlignment="1">
      <alignment vertical="center"/>
    </xf>
    <xf numFmtId="43" fontId="0" fillId="0" borderId="0" xfId="0" applyNumberFormat="1" applyAlignment="1">
      <alignment vertical="center"/>
    </xf>
    <xf numFmtId="0" fontId="5" fillId="0" borderId="0" xfId="4"/>
    <xf numFmtId="0" fontId="20" fillId="0" borderId="21" xfId="4" applyFont="1" applyBorder="1" applyAlignment="1">
      <alignment horizontal="center" vertical="center"/>
    </xf>
    <xf numFmtId="0" fontId="20" fillId="0" borderId="1" xfId="4" applyFont="1" applyBorder="1" applyAlignment="1">
      <alignment horizontal="center" vertical="center"/>
    </xf>
    <xf numFmtId="0" fontId="19" fillId="0" borderId="68" xfId="4" applyFont="1" applyBorder="1" applyAlignment="1">
      <alignment horizontal="center" vertical="center"/>
    </xf>
    <xf numFmtId="2" fontId="19" fillId="0" borderId="69" xfId="4" applyNumberFormat="1" applyFont="1" applyBorder="1" applyAlignment="1">
      <alignment horizontal="center" vertical="center"/>
    </xf>
    <xf numFmtId="0" fontId="19" fillId="0" borderId="70" xfId="4" applyFont="1" applyBorder="1" applyAlignment="1">
      <alignment horizontal="center" vertical="center"/>
    </xf>
    <xf numFmtId="2" fontId="19" fillId="0" borderId="71" xfId="4" applyNumberFormat="1" applyFont="1" applyBorder="1" applyAlignment="1">
      <alignment horizontal="center" vertical="center"/>
    </xf>
    <xf numFmtId="0" fontId="10" fillId="0" borderId="75" xfId="0" applyFont="1" applyBorder="1" applyAlignment="1">
      <alignment vertical="center"/>
    </xf>
    <xf numFmtId="0" fontId="10" fillId="0" borderId="74" xfId="0" applyFont="1" applyBorder="1" applyAlignment="1">
      <alignment vertical="center"/>
    </xf>
    <xf numFmtId="165" fontId="7" fillId="0" borderId="18" xfId="3" applyFont="1" applyBorder="1" applyAlignment="1">
      <alignment horizontal="center" vertical="center"/>
    </xf>
    <xf numFmtId="0" fontId="20" fillId="0" borderId="72" xfId="4" applyFont="1" applyBorder="1" applyAlignment="1">
      <alignment horizontal="center" vertical="center"/>
    </xf>
    <xf numFmtId="2" fontId="20" fillId="0" borderId="73" xfId="4" applyNumberFormat="1" applyFont="1" applyBorder="1" applyAlignment="1">
      <alignment horizontal="center" vertical="center"/>
    </xf>
    <xf numFmtId="43" fontId="10" fillId="0" borderId="0" xfId="0" applyNumberFormat="1" applyFont="1" applyAlignment="1">
      <alignment vertical="center"/>
    </xf>
    <xf numFmtId="43" fontId="4" fillId="0" borderId="0" xfId="7" applyNumberFormat="1"/>
    <xf numFmtId="10" fontId="5" fillId="0" borderId="0" xfId="2" applyNumberFormat="1" applyFont="1"/>
    <xf numFmtId="43" fontId="5" fillId="0" borderId="0" xfId="0" applyNumberFormat="1" applyFont="1" applyAlignment="1">
      <alignment vertical="center"/>
    </xf>
    <xf numFmtId="165" fontId="1" fillId="0" borderId="0" xfId="3" applyFont="1" applyFill="1"/>
    <xf numFmtId="0" fontId="4" fillId="0" borderId="0" xfId="7"/>
    <xf numFmtId="165" fontId="30" fillId="0" borderId="0" xfId="3" applyFont="1" applyFill="1" applyAlignment="1">
      <alignment vertical="center"/>
    </xf>
    <xf numFmtId="10" fontId="0" fillId="0" borderId="0" xfId="2" applyNumberFormat="1" applyFont="1" applyAlignment="1">
      <alignment vertical="center"/>
    </xf>
    <xf numFmtId="165" fontId="7" fillId="0" borderId="26" xfId="3" applyFont="1" applyBorder="1" applyAlignment="1">
      <alignment vertical="center"/>
    </xf>
    <xf numFmtId="10" fontId="7" fillId="0" borderId="7" xfId="2" applyNumberFormat="1" applyFont="1" applyFill="1" applyBorder="1" applyAlignment="1">
      <alignment vertical="center"/>
    </xf>
    <xf numFmtId="0" fontId="7" fillId="0" borderId="7" xfId="0" applyFont="1" applyBorder="1" applyAlignment="1">
      <alignment vertical="center"/>
    </xf>
    <xf numFmtId="169" fontId="5" fillId="0" borderId="49" xfId="3" applyNumberFormat="1" applyFont="1" applyBorder="1" applyAlignment="1">
      <alignment vertical="center"/>
    </xf>
    <xf numFmtId="0" fontId="5" fillId="0" borderId="49" xfId="0" applyFont="1" applyBorder="1" applyAlignment="1">
      <alignment vertical="center"/>
    </xf>
    <xf numFmtId="165" fontId="5" fillId="0" borderId="9" xfId="3" applyFont="1" applyFill="1" applyBorder="1" applyAlignment="1">
      <alignment horizontal="right" vertical="center"/>
    </xf>
    <xf numFmtId="0" fontId="5" fillId="0" borderId="12" xfId="0" applyFont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165" fontId="0" fillId="0" borderId="0" xfId="3" applyFont="1" applyAlignment="1">
      <alignment vertical="center"/>
    </xf>
    <xf numFmtId="0" fontId="0" fillId="0" borderId="13" xfId="0" applyBorder="1" applyAlignment="1">
      <alignment horizontal="left" vertical="center"/>
    </xf>
    <xf numFmtId="165" fontId="5" fillId="0" borderId="12" xfId="3" applyFont="1" applyBorder="1" applyAlignment="1">
      <alignment horizontal="left" vertical="center"/>
    </xf>
    <xf numFmtId="167" fontId="10" fillId="7" borderId="2" xfId="3" applyNumberFormat="1" applyFont="1" applyFill="1" applyBorder="1" applyAlignment="1">
      <alignment horizontal="center" vertical="center"/>
    </xf>
    <xf numFmtId="10" fontId="10" fillId="0" borderId="0" xfId="0" applyNumberFormat="1" applyFont="1" applyAlignment="1">
      <alignment vertical="center"/>
    </xf>
    <xf numFmtId="165" fontId="7" fillId="0" borderId="32" xfId="3" applyFont="1" applyFill="1" applyBorder="1" applyAlignment="1">
      <alignment horizontal="center" vertical="center"/>
    </xf>
    <xf numFmtId="165" fontId="0" fillId="0" borderId="12" xfId="3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165" fontId="7" fillId="0" borderId="34" xfId="3" applyFont="1" applyBorder="1" applyAlignment="1">
      <alignment vertical="center"/>
    </xf>
    <xf numFmtId="171" fontId="7" fillId="0" borderId="16" xfId="2" applyNumberFormat="1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170" fontId="18" fillId="0" borderId="6" xfId="0" applyNumberFormat="1" applyFont="1" applyBorder="1" applyAlignment="1">
      <alignment horizontal="left" vertical="center"/>
    </xf>
    <xf numFmtId="165" fontId="7" fillId="5" borderId="5" xfId="3" applyFont="1" applyFill="1" applyBorder="1" applyAlignment="1">
      <alignment horizontal="center" vertical="center"/>
    </xf>
    <xf numFmtId="165" fontId="7" fillId="5" borderId="7" xfId="3" applyFont="1" applyFill="1" applyBorder="1" applyAlignment="1">
      <alignment horizontal="center" vertical="center"/>
    </xf>
    <xf numFmtId="0" fontId="5" fillId="0" borderId="17" xfId="0" applyFont="1" applyBorder="1" applyAlignment="1">
      <alignment horizontal="left" vertical="center"/>
    </xf>
    <xf numFmtId="0" fontId="0" fillId="0" borderId="58" xfId="0" applyBorder="1" applyAlignment="1">
      <alignment horizontal="left" vertical="center"/>
    </xf>
    <xf numFmtId="0" fontId="7" fillId="7" borderId="33" xfId="0" applyFont="1" applyFill="1" applyBorder="1" applyAlignment="1">
      <alignment horizontal="left" vertical="center"/>
    </xf>
    <xf numFmtId="0" fontId="0" fillId="7" borderId="0" xfId="0" applyFill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14" fillId="6" borderId="5" xfId="0" applyFont="1" applyFill="1" applyBorder="1" applyAlignment="1">
      <alignment horizontal="left" vertical="center"/>
    </xf>
    <xf numFmtId="0" fontId="0" fillId="6" borderId="35" xfId="0" applyFill="1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10" fillId="0" borderId="17" xfId="0" applyFont="1" applyBorder="1" applyAlignment="1">
      <alignment horizontal="left" vertical="center"/>
    </xf>
    <xf numFmtId="0" fontId="10" fillId="0" borderId="12" xfId="0" applyFont="1" applyBorder="1" applyAlignment="1">
      <alignment horizontal="left" vertical="center"/>
    </xf>
    <xf numFmtId="165" fontId="8" fillId="6" borderId="5" xfId="3" applyFont="1" applyFill="1" applyBorder="1" applyAlignment="1">
      <alignment horizontal="left" vertical="center"/>
    </xf>
    <xf numFmtId="165" fontId="8" fillId="6" borderId="6" xfId="3" applyFont="1" applyFill="1" applyBorder="1" applyAlignment="1">
      <alignment horizontal="left" vertical="center"/>
    </xf>
    <xf numFmtId="165" fontId="8" fillId="6" borderId="7" xfId="3" applyFont="1" applyFill="1" applyBorder="1" applyAlignment="1">
      <alignment horizontal="left" vertical="center"/>
    </xf>
    <xf numFmtId="165" fontId="5" fillId="0" borderId="51" xfId="3" applyFont="1" applyFill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165" fontId="7" fillId="0" borderId="5" xfId="3" applyFont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165" fontId="5" fillId="0" borderId="17" xfId="3" applyFont="1" applyBorder="1" applyAlignment="1">
      <alignment horizontal="left" vertical="center"/>
    </xf>
    <xf numFmtId="0" fontId="0" fillId="0" borderId="60" xfId="0" applyBorder="1" applyAlignment="1">
      <alignment horizontal="left" vertical="center"/>
    </xf>
    <xf numFmtId="165" fontId="7" fillId="0" borderId="51" xfId="3" applyFont="1" applyBorder="1" applyAlignment="1">
      <alignment horizontal="left" vertical="center"/>
    </xf>
    <xf numFmtId="0" fontId="0" fillId="0" borderId="61" xfId="0" applyBorder="1" applyAlignment="1">
      <alignment horizontal="left" vertical="center"/>
    </xf>
    <xf numFmtId="0" fontId="7" fillId="0" borderId="17" xfId="0" applyFont="1" applyBorder="1" applyAlignment="1">
      <alignment horizontal="left" vertical="center"/>
    </xf>
    <xf numFmtId="0" fontId="7" fillId="0" borderId="58" xfId="0" applyFont="1" applyBorder="1" applyAlignment="1">
      <alignment horizontal="left" vertical="center"/>
    </xf>
    <xf numFmtId="165" fontId="5" fillId="0" borderId="12" xfId="3" applyFont="1" applyFill="1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5" fillId="0" borderId="49" xfId="0" applyFont="1" applyBorder="1" applyAlignment="1">
      <alignment horizontal="left" vertical="center"/>
    </xf>
    <xf numFmtId="165" fontId="7" fillId="0" borderId="67" xfId="3" applyFont="1" applyBorder="1" applyAlignment="1">
      <alignment horizontal="center" vertical="center"/>
    </xf>
    <xf numFmtId="165" fontId="7" fillId="0" borderId="6" xfId="3" applyFont="1" applyBorder="1" applyAlignment="1">
      <alignment horizontal="center" vertical="center"/>
    </xf>
    <xf numFmtId="165" fontId="7" fillId="0" borderId="7" xfId="3" applyFont="1" applyBorder="1" applyAlignment="1">
      <alignment horizontal="center" vertical="center"/>
    </xf>
    <xf numFmtId="165" fontId="7" fillId="0" borderId="5" xfId="3" applyFont="1" applyFill="1" applyBorder="1" applyAlignment="1">
      <alignment horizontal="left" vertical="center"/>
    </xf>
    <xf numFmtId="165" fontId="7" fillId="0" borderId="6" xfId="3" applyFont="1" applyBorder="1" applyAlignment="1">
      <alignment horizontal="left" vertical="center"/>
    </xf>
    <xf numFmtId="165" fontId="14" fillId="0" borderId="51" xfId="3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165" fontId="5" fillId="0" borderId="12" xfId="3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165" fontId="5" fillId="0" borderId="12" xfId="3" applyFont="1" applyFill="1" applyBorder="1" applyAlignment="1">
      <alignment horizontal="left" vertical="center"/>
    </xf>
    <xf numFmtId="0" fontId="26" fillId="0" borderId="5" xfId="4" applyFont="1" applyBorder="1" applyAlignment="1">
      <alignment horizontal="center" vertical="center" wrapText="1"/>
    </xf>
    <xf numFmtId="0" fontId="26" fillId="0" borderId="6" xfId="4" applyFont="1" applyBorder="1" applyAlignment="1">
      <alignment horizontal="center" vertical="center" wrapText="1"/>
    </xf>
    <xf numFmtId="0" fontId="26" fillId="0" borderId="7" xfId="4" applyFont="1" applyBorder="1" applyAlignment="1">
      <alignment horizontal="center" vertical="center" wrapText="1"/>
    </xf>
    <xf numFmtId="0" fontId="27" fillId="7" borderId="6" xfId="4" applyFont="1" applyFill="1" applyBorder="1" applyAlignment="1">
      <alignment horizontal="left" vertical="center"/>
    </xf>
    <xf numFmtId="0" fontId="27" fillId="7" borderId="35" xfId="4" applyFont="1" applyFill="1" applyBorder="1" applyAlignment="1">
      <alignment horizontal="left" vertical="center"/>
    </xf>
    <xf numFmtId="14" fontId="27" fillId="7" borderId="6" xfId="4" applyNumberFormat="1" applyFont="1" applyFill="1" applyBorder="1" applyAlignment="1">
      <alignment horizontal="left" vertical="center"/>
    </xf>
    <xf numFmtId="0" fontId="27" fillId="7" borderId="7" xfId="4" applyFont="1" applyFill="1" applyBorder="1" applyAlignment="1">
      <alignment horizontal="left" vertical="center"/>
    </xf>
    <xf numFmtId="165" fontId="7" fillId="0" borderId="5" xfId="3" applyFont="1" applyFill="1" applyBorder="1" applyAlignment="1">
      <alignment horizontal="center" vertical="center" wrapText="1"/>
    </xf>
    <xf numFmtId="165" fontId="7" fillId="0" borderId="7" xfId="3" applyFont="1" applyFill="1" applyBorder="1" applyAlignment="1">
      <alignment horizontal="center" vertical="center" wrapText="1"/>
    </xf>
    <xf numFmtId="165" fontId="7" fillId="0" borderId="12" xfId="3" applyFont="1" applyBorder="1" applyAlignment="1">
      <alignment horizontal="left" vertical="center"/>
    </xf>
    <xf numFmtId="165" fontId="14" fillId="0" borderId="12" xfId="3" applyFont="1" applyBorder="1" applyAlignment="1">
      <alignment horizontal="left" vertical="center"/>
    </xf>
    <xf numFmtId="165" fontId="7" fillId="0" borderId="17" xfId="3" applyFont="1" applyBorder="1" applyAlignment="1">
      <alignment horizontal="left" vertical="center"/>
    </xf>
    <xf numFmtId="165" fontId="7" fillId="0" borderId="36" xfId="3" applyFont="1" applyBorder="1" applyAlignment="1">
      <alignment horizontal="left" vertical="center"/>
    </xf>
    <xf numFmtId="165" fontId="13" fillId="0" borderId="12" xfId="3" applyFont="1" applyBorder="1" applyAlignment="1">
      <alignment horizontal="left" vertical="center"/>
    </xf>
    <xf numFmtId="165" fontId="0" fillId="0" borderId="12" xfId="3" applyFont="1" applyBorder="1" applyAlignment="1">
      <alignment horizontal="left" vertical="center"/>
    </xf>
    <xf numFmtId="0" fontId="18" fillId="0" borderId="6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6" borderId="19" xfId="0" applyFont="1" applyFill="1" applyBorder="1" applyAlignment="1">
      <alignment horizontal="center" vertical="center"/>
    </xf>
    <xf numFmtId="0" fontId="18" fillId="6" borderId="20" xfId="0" applyFont="1" applyFill="1" applyBorder="1" applyAlignment="1">
      <alignment horizontal="center" vertical="center"/>
    </xf>
    <xf numFmtId="0" fontId="18" fillId="6" borderId="10" xfId="0" applyFont="1" applyFill="1" applyBorder="1" applyAlignment="1">
      <alignment horizontal="center" vertical="center"/>
    </xf>
    <xf numFmtId="0" fontId="18" fillId="6" borderId="38" xfId="0" applyFont="1" applyFill="1" applyBorder="1" applyAlignment="1">
      <alignment horizontal="center" vertical="center"/>
    </xf>
    <xf numFmtId="0" fontId="18" fillId="6" borderId="2" xfId="0" applyFont="1" applyFill="1" applyBorder="1" applyAlignment="1">
      <alignment horizontal="center" vertical="center"/>
    </xf>
    <xf numFmtId="0" fontId="18" fillId="6" borderId="39" xfId="0" applyFont="1" applyFill="1" applyBorder="1" applyAlignment="1">
      <alignment horizontal="center" vertical="center"/>
    </xf>
    <xf numFmtId="0" fontId="18" fillId="6" borderId="5" xfId="0" applyFont="1" applyFill="1" applyBorder="1" applyAlignment="1">
      <alignment horizontal="center" vertical="center"/>
    </xf>
    <xf numFmtId="0" fontId="18" fillId="6" borderId="6" xfId="0" applyFont="1" applyFill="1" applyBorder="1" applyAlignment="1">
      <alignment horizontal="center" vertical="center"/>
    </xf>
    <xf numFmtId="0" fontId="18" fillId="6" borderId="7" xfId="0" applyFont="1" applyFill="1" applyBorder="1" applyAlignment="1">
      <alignment horizontal="center" vertical="center"/>
    </xf>
    <xf numFmtId="4" fontId="25" fillId="0" borderId="5" xfId="0" applyNumberFormat="1" applyFont="1" applyBorder="1" applyAlignment="1">
      <alignment horizontal="center" vertical="center"/>
    </xf>
    <xf numFmtId="4" fontId="25" fillId="0" borderId="6" xfId="0" applyNumberFormat="1" applyFont="1" applyBorder="1" applyAlignment="1">
      <alignment horizontal="center" vertical="center"/>
    </xf>
    <xf numFmtId="4" fontId="25" fillId="0" borderId="7" xfId="0" applyNumberFormat="1" applyFont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left" vertical="center" wrapText="1"/>
    </xf>
    <xf numFmtId="0" fontId="11" fillId="2" borderId="6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8" fillId="0" borderId="1" xfId="4" applyFont="1" applyBorder="1" applyAlignment="1">
      <alignment horizontal="center" vertical="center"/>
    </xf>
  </cellXfs>
  <cellStyles count="14">
    <cellStyle name="Hiperlink" xfId="1" builtinId="8"/>
    <cellStyle name="Normal" xfId="0" builtinId="0"/>
    <cellStyle name="Normal 2" xfId="7" xr:uid="{00000000-0005-0000-0000-000002000000}"/>
    <cellStyle name="Normal 3" xfId="4" xr:uid="{00000000-0005-0000-0000-000003000000}"/>
    <cellStyle name="Normal 4" xfId="10" xr:uid="{00000000-0005-0000-0000-000004000000}"/>
    <cellStyle name="Normal 5" xfId="11" xr:uid="{00000000-0005-0000-0000-000005000000}"/>
    <cellStyle name="Porcentagem" xfId="2" builtinId="5"/>
    <cellStyle name="Porcentagem 2" xfId="8" xr:uid="{00000000-0005-0000-0000-000007000000}"/>
    <cellStyle name="Porcentagem 3" xfId="9" xr:uid="{00000000-0005-0000-0000-000008000000}"/>
    <cellStyle name="Porcentagem 4" xfId="13" xr:uid="{00000000-0005-0000-0000-000009000000}"/>
    <cellStyle name="Separador de milhares 3" xfId="5" xr:uid="{00000000-0005-0000-0000-00000A000000}"/>
    <cellStyle name="Vírgula" xfId="3" builtinId="3"/>
    <cellStyle name="Vírgula 2" xfId="6" xr:uid="{00000000-0005-0000-0000-00000C000000}"/>
    <cellStyle name="Vírgula 3" xfId="12" xr:uid="{00000000-0005-0000-0000-00000D000000}"/>
  </cellStyles>
  <dxfs count="0"/>
  <tableStyles count="0" defaultTableStyle="TableStyleMedium2" defaultPivotStyle="PivotStyleLight16"/>
  <colors>
    <mruColors>
      <color rgb="FFFFFF99"/>
      <color rgb="FF66FFFF"/>
      <color rgb="FF00FF00"/>
      <color rgb="FFFF66FF"/>
      <color rgb="FFFF3399"/>
      <color rgb="FFCCFFCC"/>
      <color rgb="FFFFFFCC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33"/>
  <sheetViews>
    <sheetView tabSelected="1" topLeftCell="A28" zoomScale="110" zoomScaleNormal="110" zoomScaleSheetLayoutView="110" workbookViewId="0">
      <selection activeCell="J35" sqref="J35"/>
    </sheetView>
  </sheetViews>
  <sheetFormatPr defaultColWidth="9.140625" defaultRowHeight="12.75" x14ac:dyDescent="0.2"/>
  <cols>
    <col min="1" max="1" width="17.85546875" style="4" customWidth="1"/>
    <col min="2" max="2" width="26.85546875" style="4" customWidth="1"/>
    <col min="3" max="3" width="14.140625" style="4" bestFit="1" customWidth="1"/>
    <col min="4" max="4" width="12.85546875" style="4" bestFit="1" customWidth="1"/>
    <col min="5" max="5" width="14.7109375" style="5" customWidth="1"/>
    <col min="6" max="6" width="13.42578125" style="5" bestFit="1" customWidth="1"/>
    <col min="7" max="7" width="14.140625" style="5" bestFit="1" customWidth="1"/>
    <col min="8" max="8" width="8.28515625" style="5" customWidth="1"/>
    <col min="9" max="9" width="14.42578125" style="4" customWidth="1"/>
    <col min="10" max="11" width="10.5703125" style="4" bestFit="1" customWidth="1"/>
    <col min="12" max="16384" width="9.140625" style="4"/>
  </cols>
  <sheetData>
    <row r="1" spans="1:8" s="88" customFormat="1" ht="23.25" customHeight="1" thickBot="1" x14ac:dyDescent="0.25">
      <c r="A1" s="373" t="s">
        <v>183</v>
      </c>
      <c r="B1" s="374"/>
      <c r="C1" s="374"/>
      <c r="D1" s="374"/>
      <c r="E1" s="374"/>
      <c r="F1" s="374"/>
      <c r="G1" s="374"/>
      <c r="H1" s="375"/>
    </row>
    <row r="2" spans="1:8" s="2" customFormat="1" ht="15.75" customHeight="1" thickBot="1" x14ac:dyDescent="0.25">
      <c r="A2" s="207" t="s">
        <v>198</v>
      </c>
      <c r="B2" s="208"/>
      <c r="C2" s="241" t="s">
        <v>215</v>
      </c>
      <c r="D2" s="224"/>
      <c r="E2" s="224"/>
      <c r="F2" s="224"/>
      <c r="G2" s="224"/>
      <c r="H2" s="225"/>
    </row>
    <row r="3" spans="1:8" s="88" customFormat="1" ht="23.25" customHeight="1" thickBot="1" x14ac:dyDescent="0.25">
      <c r="A3" s="221" t="s">
        <v>96</v>
      </c>
      <c r="B3" s="226" t="s">
        <v>257</v>
      </c>
      <c r="C3" s="220" t="s">
        <v>221</v>
      </c>
      <c r="D3" s="376"/>
      <c r="E3" s="377"/>
      <c r="F3" s="220" t="s">
        <v>213</v>
      </c>
      <c r="G3" s="378">
        <v>46252</v>
      </c>
      <c r="H3" s="379"/>
    </row>
    <row r="4" spans="1:8" s="3" customFormat="1" ht="45" customHeight="1" thickBot="1" x14ac:dyDescent="0.3">
      <c r="A4" s="222" t="s">
        <v>227</v>
      </c>
      <c r="B4" s="331" t="s">
        <v>252</v>
      </c>
      <c r="C4" s="331"/>
      <c r="D4" s="282" t="s">
        <v>228</v>
      </c>
      <c r="E4" s="388" t="s">
        <v>262</v>
      </c>
      <c r="F4" s="388"/>
      <c r="G4" s="388"/>
      <c r="H4" s="389"/>
    </row>
    <row r="5" spans="1:8" s="2" customFormat="1" ht="10.9" customHeight="1" thickBot="1" x14ac:dyDescent="0.25">
      <c r="A5" s="194"/>
      <c r="B5" s="195"/>
      <c r="C5" s="196"/>
      <c r="D5" s="196"/>
      <c r="E5" s="197"/>
      <c r="F5" s="197"/>
      <c r="G5" s="197"/>
      <c r="H5" s="198"/>
    </row>
    <row r="6" spans="1:8" s="2" customFormat="1" ht="15.75" customHeight="1" thickBot="1" x14ac:dyDescent="0.25">
      <c r="A6" s="207" t="s">
        <v>199</v>
      </c>
      <c r="B6" s="208"/>
      <c r="C6" s="208"/>
      <c r="D6" s="208"/>
      <c r="E6" s="208"/>
      <c r="F6" s="208"/>
      <c r="G6" s="208"/>
      <c r="H6" s="209"/>
    </row>
    <row r="7" spans="1:8" s="2" customFormat="1" ht="16.5" thickBot="1" x14ac:dyDescent="0.25">
      <c r="A7" s="123" t="s">
        <v>118</v>
      </c>
      <c r="B7" s="123"/>
      <c r="C7" s="380" t="s">
        <v>108</v>
      </c>
      <c r="D7" s="381"/>
      <c r="E7" s="380" t="s">
        <v>109</v>
      </c>
      <c r="F7" s="381"/>
      <c r="G7" s="380" t="s">
        <v>112</v>
      </c>
      <c r="H7" s="381"/>
    </row>
    <row r="8" spans="1:8" s="2" customFormat="1" ht="28.5" customHeight="1" x14ac:dyDescent="0.2">
      <c r="A8" s="384" t="s">
        <v>85</v>
      </c>
      <c r="B8" s="385"/>
      <c r="C8" s="105" t="s">
        <v>110</v>
      </c>
      <c r="D8" s="22" t="s">
        <v>111</v>
      </c>
      <c r="E8" s="105" t="s">
        <v>110</v>
      </c>
      <c r="F8" s="22" t="s">
        <v>111</v>
      </c>
      <c r="G8" s="105" t="s">
        <v>110</v>
      </c>
      <c r="H8" s="22" t="s">
        <v>111</v>
      </c>
    </row>
    <row r="9" spans="1:8" s="6" customFormat="1" ht="15.75" customHeight="1" x14ac:dyDescent="0.2">
      <c r="A9" s="382" t="str">
        <f>A48</f>
        <v>1. Mão-de-obra</v>
      </c>
      <c r="B9" s="371"/>
      <c r="C9" s="101">
        <f>+G85</f>
        <v>1013.3093749999999</v>
      </c>
      <c r="D9" s="37">
        <f>SUM(D10:D13)</f>
        <v>0.15630000000000002</v>
      </c>
      <c r="E9" s="101">
        <f>G85</f>
        <v>1013.3093749999999</v>
      </c>
      <c r="F9" s="37">
        <f>SUM(F10:F13)</f>
        <v>0.16621550209030597</v>
      </c>
      <c r="G9" s="101">
        <f>G86</f>
        <v>838.98011363636351</v>
      </c>
      <c r="H9" s="37">
        <f>SUM(H10:H13)</f>
        <v>0.14219999999999999</v>
      </c>
    </row>
    <row r="10" spans="1:8" s="2" customFormat="1" ht="15.75" customHeight="1" x14ac:dyDescent="0.2">
      <c r="A10" s="386" t="s">
        <v>222</v>
      </c>
      <c r="B10" s="371"/>
      <c r="C10" s="102">
        <f>G57</f>
        <v>814.68636363636358</v>
      </c>
      <c r="D10" s="26">
        <f>ROUND(IFERROR(C10/$C$26,0),4)</f>
        <v>0.12570000000000001</v>
      </c>
      <c r="E10" s="102">
        <f t="shared" ref="E10:E22" si="0">C10</f>
        <v>814.68636363636358</v>
      </c>
      <c r="F10" s="26">
        <f>(IFERROR(E10/$E$26,0))</f>
        <v>0.13363490590220167</v>
      </c>
      <c r="G10" s="102">
        <f>G64</f>
        <v>640.35710227272716</v>
      </c>
      <c r="H10" s="26">
        <f t="shared" ref="H10:H21" si="1">ROUND(IFERROR(G10/$G$26,0),4)</f>
        <v>0.1085</v>
      </c>
    </row>
    <row r="11" spans="1:8" s="2" customFormat="1" ht="15.75" customHeight="1" x14ac:dyDescent="0.2">
      <c r="A11" s="387" t="str">
        <f>A66</f>
        <v>1.2. Vale Transporte</v>
      </c>
      <c r="B11" s="371"/>
      <c r="C11" s="102">
        <f>G71</f>
        <v>24.027840909090905</v>
      </c>
      <c r="D11" s="26">
        <f>ROUND(IFERROR(C11/$C$26,0),4)</f>
        <v>3.7000000000000002E-3</v>
      </c>
      <c r="E11" s="102">
        <f t="shared" si="0"/>
        <v>24.027840909090905</v>
      </c>
      <c r="F11" s="26">
        <f>(IFERROR(E11/$E$26,0))</f>
        <v>3.9413428311077647E-3</v>
      </c>
      <c r="G11" s="102">
        <f t="shared" ref="G11:G21" si="2">E11</f>
        <v>24.027840909090905</v>
      </c>
      <c r="H11" s="26">
        <f t="shared" si="1"/>
        <v>4.1000000000000003E-3</v>
      </c>
    </row>
    <row r="12" spans="1:8" s="2" customFormat="1" ht="15.75" customHeight="1" x14ac:dyDescent="0.2">
      <c r="A12" s="387" t="str">
        <f>A73</f>
        <v>1.3. Vale-refeição (diário)</v>
      </c>
      <c r="B12" s="371"/>
      <c r="C12" s="102">
        <f>G76</f>
        <v>169.88636363636363</v>
      </c>
      <c r="D12" s="26">
        <f>ROUND(IFERROR(C12/$C$26,0),4)</f>
        <v>2.6200000000000001E-2</v>
      </c>
      <c r="E12" s="102">
        <f t="shared" si="0"/>
        <v>169.88636363636363</v>
      </c>
      <c r="F12" s="26">
        <f>(IFERROR(E12/$E$26,0))</f>
        <v>2.7866856783116692E-2</v>
      </c>
      <c r="G12" s="102">
        <f t="shared" si="2"/>
        <v>169.88636363636363</v>
      </c>
      <c r="H12" s="26">
        <f t="shared" si="1"/>
        <v>2.8799999999999999E-2</v>
      </c>
    </row>
    <row r="13" spans="1:8" s="2" customFormat="1" ht="15.75" customHeight="1" x14ac:dyDescent="0.2">
      <c r="A13" s="325" t="str">
        <f>A78</f>
        <v>1.4. Seguro de Vida em Grupo</v>
      </c>
      <c r="B13" s="320"/>
      <c r="C13" s="102">
        <f>G81</f>
        <v>4.7088068181818175</v>
      </c>
      <c r="D13" s="26">
        <f>ROUND(IFERROR(C13/$C$26,0),4)</f>
        <v>6.9999999999999999E-4</v>
      </c>
      <c r="E13" s="102">
        <f>C13</f>
        <v>4.7088068181818175</v>
      </c>
      <c r="F13" s="26">
        <f>(IFERROR(E13/$E$26,0))</f>
        <v>7.7239657387986481E-4</v>
      </c>
      <c r="G13" s="102">
        <f>E13</f>
        <v>4.7088068181818175</v>
      </c>
      <c r="H13" s="26">
        <f t="shared" si="1"/>
        <v>8.0000000000000004E-4</v>
      </c>
    </row>
    <row r="14" spans="1:8" s="6" customFormat="1" ht="15.75" customHeight="1" x14ac:dyDescent="0.2">
      <c r="A14" s="382" t="str">
        <f>A88</f>
        <v>2. Veículos</v>
      </c>
      <c r="B14" s="371"/>
      <c r="C14" s="101">
        <f>+G155</f>
        <v>3805.3896424005679</v>
      </c>
      <c r="D14" s="37">
        <f>SUM(D15:D21)</f>
        <v>0.58719999999999994</v>
      </c>
      <c r="E14" s="101">
        <f t="shared" si="0"/>
        <v>3805.3896424005679</v>
      </c>
      <c r="F14" s="37">
        <f>SUM(F15:F21)</f>
        <v>0.62420694574237068</v>
      </c>
      <c r="G14" s="101">
        <f t="shared" si="2"/>
        <v>3805.3896424005679</v>
      </c>
      <c r="H14" s="37">
        <f>SUM(H15:H21)</f>
        <v>0.64470000000000005</v>
      </c>
    </row>
    <row r="15" spans="1:8" s="2" customFormat="1" ht="15.75" customHeight="1" x14ac:dyDescent="0.2">
      <c r="A15" s="370" t="str">
        <f>A89</f>
        <v>2.1 Depreciação</v>
      </c>
      <c r="B15" s="371"/>
      <c r="C15" s="102">
        <f>G96</f>
        <v>450.5355325520834</v>
      </c>
      <c r="D15" s="43">
        <f t="shared" ref="D15:D23" si="3">ROUND(IFERROR(C15/$C$26,0),4)</f>
        <v>6.9500000000000006E-2</v>
      </c>
      <c r="E15" s="102">
        <f t="shared" si="0"/>
        <v>450.5355325520834</v>
      </c>
      <c r="F15" s="26">
        <f t="shared" ref="F15:F22" si="4">(IFERROR(E15/$E$26,0))</f>
        <v>7.3902395063371401E-2</v>
      </c>
      <c r="G15" s="102">
        <f t="shared" si="2"/>
        <v>450.5355325520834</v>
      </c>
      <c r="H15" s="43">
        <f t="shared" si="1"/>
        <v>7.6300000000000007E-2</v>
      </c>
    </row>
    <row r="16" spans="1:8" s="2" customFormat="1" ht="15.75" customHeight="1" x14ac:dyDescent="0.2">
      <c r="A16" s="370" t="str">
        <f>A97</f>
        <v>2.2 Remuneração do Capital</v>
      </c>
      <c r="B16" s="371"/>
      <c r="C16" s="102">
        <f>G107</f>
        <v>683.86647727272725</v>
      </c>
      <c r="D16" s="43">
        <f t="shared" si="3"/>
        <v>0.1055</v>
      </c>
      <c r="E16" s="102">
        <f t="shared" si="0"/>
        <v>683.86647727272725</v>
      </c>
      <c r="F16" s="26">
        <f t="shared" si="4"/>
        <v>0.112176214576733</v>
      </c>
      <c r="G16" s="102">
        <f t="shared" si="2"/>
        <v>683.86647727272725</v>
      </c>
      <c r="H16" s="43">
        <f t="shared" si="1"/>
        <v>0.1159</v>
      </c>
    </row>
    <row r="17" spans="1:10" s="2" customFormat="1" ht="15.75" customHeight="1" x14ac:dyDescent="0.2">
      <c r="A17" s="370" t="str">
        <f>A108</f>
        <v>2.3. Impostos e Seguros</v>
      </c>
      <c r="B17" s="371"/>
      <c r="C17" s="102">
        <f>G117</f>
        <v>131.48096590909088</v>
      </c>
      <c r="D17" s="43">
        <f t="shared" si="3"/>
        <v>2.0299999999999999E-2</v>
      </c>
      <c r="E17" s="102">
        <f t="shared" si="0"/>
        <v>131.48096590909088</v>
      </c>
      <c r="F17" s="26">
        <f t="shared" si="4"/>
        <v>2.1567129746429072E-2</v>
      </c>
      <c r="G17" s="102">
        <f t="shared" si="2"/>
        <v>131.48096590909088</v>
      </c>
      <c r="H17" s="43">
        <f t="shared" si="1"/>
        <v>2.23E-2</v>
      </c>
    </row>
    <row r="18" spans="1:10" s="2" customFormat="1" ht="15.75" customHeight="1" x14ac:dyDescent="0.2">
      <c r="A18" s="370" t="str">
        <f>A118</f>
        <v>2.4. Consumos</v>
      </c>
      <c r="B18" s="371"/>
      <c r="C18" s="102">
        <f>G133</f>
        <v>1050.1500000000001</v>
      </c>
      <c r="D18" s="43">
        <f t="shared" si="3"/>
        <v>0.16200000000000001</v>
      </c>
      <c r="E18" s="102">
        <f t="shared" si="0"/>
        <v>1050.1500000000001</v>
      </c>
      <c r="F18" s="26">
        <f t="shared" si="4"/>
        <v>0.17225855580398128</v>
      </c>
      <c r="G18" s="102">
        <f t="shared" si="2"/>
        <v>1050.1500000000001</v>
      </c>
      <c r="H18" s="43">
        <f t="shared" si="1"/>
        <v>0.1779</v>
      </c>
    </row>
    <row r="19" spans="1:10" s="2" customFormat="1" ht="15.75" customHeight="1" x14ac:dyDescent="0.2">
      <c r="A19" s="370" t="str">
        <f>A135</f>
        <v>2.5. Manutenção</v>
      </c>
      <c r="B19" s="371"/>
      <c r="C19" s="102">
        <f>G139</f>
        <v>1180</v>
      </c>
      <c r="D19" s="43">
        <f t="shared" si="3"/>
        <v>0.18210000000000001</v>
      </c>
      <c r="E19" s="102">
        <f t="shared" si="0"/>
        <v>1180</v>
      </c>
      <c r="F19" s="26">
        <f t="shared" si="4"/>
        <v>0.19355815440527341</v>
      </c>
      <c r="G19" s="102">
        <f t="shared" si="2"/>
        <v>1180</v>
      </c>
      <c r="H19" s="43">
        <f t="shared" si="1"/>
        <v>0.19989999999999999</v>
      </c>
    </row>
    <row r="20" spans="1:10" s="2" customFormat="1" ht="15.75" customHeight="1" x14ac:dyDescent="0.2">
      <c r="A20" s="370" t="str">
        <f>A141</f>
        <v>2.6. Pneus</v>
      </c>
      <c r="B20" s="371"/>
      <c r="C20" s="102">
        <f>G147</f>
        <v>236.95</v>
      </c>
      <c r="D20" s="43">
        <f t="shared" si="3"/>
        <v>3.6600000000000001E-2</v>
      </c>
      <c r="E20" s="102">
        <f t="shared" si="0"/>
        <v>236.95</v>
      </c>
      <c r="F20" s="26">
        <f t="shared" si="4"/>
        <v>3.8867461598584348E-2</v>
      </c>
      <c r="G20" s="102">
        <f t="shared" si="2"/>
        <v>236.95</v>
      </c>
      <c r="H20" s="43">
        <f t="shared" si="1"/>
        <v>4.0099999999999997E-2</v>
      </c>
    </row>
    <row r="21" spans="1:10" s="2" customFormat="1" ht="15.75" customHeight="1" x14ac:dyDescent="0.2">
      <c r="A21" s="321" t="str">
        <f>A149</f>
        <v>2.7. Rastreador GPS</v>
      </c>
      <c r="B21" s="320"/>
      <c r="C21" s="102">
        <f>G153</f>
        <v>72.406666666666666</v>
      </c>
      <c r="D21" s="43">
        <f t="shared" si="3"/>
        <v>1.12E-2</v>
      </c>
      <c r="E21" s="102">
        <f t="shared" si="0"/>
        <v>72.406666666666666</v>
      </c>
      <c r="F21" s="26">
        <f t="shared" si="4"/>
        <v>1.1877034547998162E-2</v>
      </c>
      <c r="G21" s="102">
        <f t="shared" si="2"/>
        <v>72.406666666666666</v>
      </c>
      <c r="H21" s="43">
        <f t="shared" si="1"/>
        <v>1.23E-2</v>
      </c>
    </row>
    <row r="22" spans="1:10" s="6" customFormat="1" ht="15.75" customHeight="1" x14ac:dyDescent="0.2">
      <c r="A22" s="382" t="str">
        <f>A157</f>
        <v>3. Ferramentas e Materiais de Consumo</v>
      </c>
      <c r="B22" s="371"/>
      <c r="C22" s="101">
        <f>+G165</f>
        <v>100.5</v>
      </c>
      <c r="D22" s="37">
        <f t="shared" si="3"/>
        <v>1.55E-2</v>
      </c>
      <c r="E22" s="101">
        <f t="shared" si="0"/>
        <v>100.5</v>
      </c>
      <c r="F22" s="37">
        <f t="shared" si="4"/>
        <v>1.6485249591296592E-2</v>
      </c>
      <c r="G22" s="101">
        <f>E22</f>
        <v>100.5</v>
      </c>
      <c r="H22" s="37">
        <f>ROUND(IFERROR(G22/$G$26,0),4)</f>
        <v>1.7000000000000001E-2</v>
      </c>
    </row>
    <row r="23" spans="1:10" s="6" customFormat="1" ht="15.75" customHeight="1" x14ac:dyDescent="0.2">
      <c r="A23" s="383" t="str">
        <f>A170</f>
        <v>4. Benefícios e Desp. Ind. - BDI - LUCRO REAL</v>
      </c>
      <c r="B23" s="371"/>
      <c r="C23" s="101">
        <f>+G175</f>
        <v>1561.85</v>
      </c>
      <c r="D23" s="37">
        <f t="shared" si="3"/>
        <v>0.24099999999999999</v>
      </c>
      <c r="E23" s="109"/>
      <c r="F23" s="104"/>
      <c r="G23" s="109"/>
      <c r="H23" s="107"/>
    </row>
    <row r="24" spans="1:10" s="6" customFormat="1" ht="15.75" customHeight="1" x14ac:dyDescent="0.2">
      <c r="A24" s="383" t="str">
        <f>A183</f>
        <v>5. Benefícios e Desp. Ind. - BDI - LUCRO PRESUMIDO</v>
      </c>
      <c r="B24" s="371"/>
      <c r="C24" s="109"/>
      <c r="D24" s="106"/>
      <c r="E24" s="101">
        <f>G189</f>
        <v>1177.1600000000001</v>
      </c>
      <c r="F24" s="37">
        <f>(IFERROR(E24/$E$26,0))</f>
        <v>0.19309230257602683</v>
      </c>
      <c r="G24" s="109"/>
      <c r="H24" s="108"/>
    </row>
    <row r="25" spans="1:10" s="6" customFormat="1" ht="15.75" customHeight="1" thickBot="1" x14ac:dyDescent="0.25">
      <c r="A25" s="367" t="str">
        <f>A197</f>
        <v>6. Benef. Desp. Ind. + Impostos - SIMPLES NACIONAL</v>
      </c>
      <c r="B25" s="368"/>
      <c r="C25" s="110"/>
      <c r="D25" s="111"/>
      <c r="E25" s="110"/>
      <c r="F25" s="104"/>
      <c r="G25" s="112">
        <f>G200+G213</f>
        <v>1157.4499999999998</v>
      </c>
      <c r="H25" s="103">
        <f>ROUND(IFERROR(G25/$G$26,0),4)</f>
        <v>0.1961</v>
      </c>
      <c r="I25" s="39"/>
    </row>
    <row r="26" spans="1:10" s="2" customFormat="1" ht="15.75" customHeight="1" thickBot="1" x14ac:dyDescent="0.25">
      <c r="A26" s="351" t="s">
        <v>184</v>
      </c>
      <c r="B26" s="369"/>
      <c r="C26" s="281">
        <f>C9+C14+C22+C23</f>
        <v>6481.0490174005681</v>
      </c>
      <c r="D26" s="289">
        <f>D9+D14+D22+D23</f>
        <v>0.99999999999999989</v>
      </c>
      <c r="E26" s="281">
        <f>E9+E14+E22+E24</f>
        <v>6096.3590174005676</v>
      </c>
      <c r="F26" s="289">
        <f>F9+F14+F22+F24</f>
        <v>1</v>
      </c>
      <c r="G26" s="281">
        <f>G9+G14+G22+G25</f>
        <v>5902.3197560369308</v>
      </c>
      <c r="H26" s="42">
        <f>H9+H14+H22+H25</f>
        <v>1</v>
      </c>
      <c r="I26" s="319">
        <f>G9+G14+G22+G25</f>
        <v>5902.3197560369308</v>
      </c>
      <c r="J26" s="310"/>
    </row>
    <row r="27" spans="1:10" s="2" customFormat="1" ht="15.75" customHeight="1" thickBot="1" x14ac:dyDescent="0.25">
      <c r="A27" s="351" t="s">
        <v>185</v>
      </c>
      <c r="B27" s="369"/>
      <c r="C27" s="122">
        <f>G181</f>
        <v>4.99</v>
      </c>
      <c r="D27" s="42"/>
      <c r="E27" s="122">
        <f>G195</f>
        <v>4.6900000000000004</v>
      </c>
      <c r="F27" s="42"/>
      <c r="G27" s="281">
        <f>G220</f>
        <v>4.54</v>
      </c>
      <c r="H27" s="329"/>
      <c r="J27" s="310"/>
    </row>
    <row r="28" spans="1:10" ht="13.5" thickBot="1" x14ac:dyDescent="0.25">
      <c r="A28" s="113"/>
      <c r="B28" s="114"/>
      <c r="C28" s="114"/>
      <c r="D28" s="114"/>
      <c r="E28" s="115"/>
      <c r="F28" s="115"/>
      <c r="G28" s="125"/>
      <c r="H28" s="174"/>
    </row>
    <row r="29" spans="1:10" s="2" customFormat="1" ht="15" customHeight="1" thickBot="1" x14ac:dyDescent="0.25">
      <c r="A29" s="346" t="s">
        <v>214</v>
      </c>
      <c r="B29" s="347"/>
      <c r="C29" s="347"/>
      <c r="D29" s="347"/>
      <c r="E29" s="347"/>
      <c r="F29" s="347"/>
      <c r="G29" s="348"/>
      <c r="H29" s="175"/>
    </row>
    <row r="30" spans="1:10" s="2" customFormat="1" ht="15" customHeight="1" thickBot="1" x14ac:dyDescent="0.25">
      <c r="A30" s="351" t="s">
        <v>200</v>
      </c>
      <c r="B30" s="352"/>
      <c r="C30" s="14"/>
      <c r="D30" s="14"/>
      <c r="E30" s="162"/>
      <c r="F30" s="156" t="s">
        <v>20</v>
      </c>
      <c r="G30" s="156" t="s">
        <v>141</v>
      </c>
      <c r="H30" s="175"/>
    </row>
    <row r="31" spans="1:10" s="2" customFormat="1" ht="15" customHeight="1" x14ac:dyDescent="0.2">
      <c r="A31" s="353" t="s">
        <v>263</v>
      </c>
      <c r="B31" s="354"/>
      <c r="C31" s="154"/>
      <c r="D31" s="154"/>
      <c r="E31" s="155"/>
      <c r="F31" s="227">
        <v>1</v>
      </c>
      <c r="G31" s="228">
        <v>2498</v>
      </c>
      <c r="H31" s="176"/>
      <c r="I31" s="290"/>
    </row>
    <row r="32" spans="1:10" s="2" customFormat="1" ht="15" customHeight="1" thickBot="1" x14ac:dyDescent="0.25">
      <c r="A32" s="355" t="s">
        <v>25</v>
      </c>
      <c r="B32" s="356"/>
      <c r="C32" s="28"/>
      <c r="D32" s="28"/>
      <c r="E32" s="29"/>
      <c r="F32" s="30">
        <f>SUM(F31:F31)</f>
        <v>1</v>
      </c>
      <c r="G32" s="153">
        <f>SUM(G31:G31)</f>
        <v>2498</v>
      </c>
      <c r="H32" s="176"/>
    </row>
    <row r="33" spans="1:9" s="2" customFormat="1" ht="15" customHeight="1" thickBot="1" x14ac:dyDescent="0.25">
      <c r="A33" s="38"/>
      <c r="B33" s="20"/>
      <c r="C33" s="39"/>
      <c r="D33" s="27"/>
      <c r="E33" s="17"/>
      <c r="F33" s="17"/>
      <c r="G33" s="18"/>
      <c r="H33" s="176"/>
    </row>
    <row r="34" spans="1:9" s="2" customFormat="1" ht="33" customHeight="1" x14ac:dyDescent="0.2">
      <c r="A34" s="357" t="s">
        <v>201</v>
      </c>
      <c r="B34" s="358"/>
      <c r="C34" s="163" t="s">
        <v>182</v>
      </c>
      <c r="D34" s="163" t="s">
        <v>241</v>
      </c>
      <c r="E34" s="163" t="s">
        <v>142</v>
      </c>
      <c r="F34" s="172" t="s">
        <v>20</v>
      </c>
      <c r="G34" s="159" t="s">
        <v>143</v>
      </c>
      <c r="H34" s="176"/>
    </row>
    <row r="35" spans="1:9" s="2" customFormat="1" ht="31.5" customHeight="1" thickBot="1" x14ac:dyDescent="0.25">
      <c r="A35" s="359" t="s">
        <v>265</v>
      </c>
      <c r="B35" s="360"/>
      <c r="C35" s="230">
        <v>10</v>
      </c>
      <c r="D35" s="167">
        <f>1/C35</f>
        <v>0.1</v>
      </c>
      <c r="E35" s="230">
        <v>18</v>
      </c>
      <c r="F35" s="231">
        <v>1</v>
      </c>
      <c r="G35" s="229">
        <v>449185</v>
      </c>
      <c r="H35" s="176"/>
    </row>
    <row r="36" spans="1:9" s="2" customFormat="1" ht="33" customHeight="1" x14ac:dyDescent="0.2">
      <c r="A36" s="357"/>
      <c r="B36" s="358"/>
      <c r="C36" s="163"/>
      <c r="D36" s="163"/>
      <c r="E36" s="163"/>
      <c r="F36" s="163" t="s">
        <v>266</v>
      </c>
      <c r="G36" s="159" t="s">
        <v>267</v>
      </c>
      <c r="H36" s="176"/>
    </row>
    <row r="37" spans="1:9" s="2" customFormat="1" ht="15" customHeight="1" thickBot="1" x14ac:dyDescent="0.25">
      <c r="A37" s="349" t="s">
        <v>175</v>
      </c>
      <c r="B37" s="350"/>
      <c r="C37" s="165"/>
      <c r="D37" s="168"/>
      <c r="E37" s="165"/>
      <c r="F37" s="232">
        <v>8</v>
      </c>
      <c r="G37" s="278">
        <v>5.77</v>
      </c>
      <c r="H37" s="176"/>
    </row>
    <row r="38" spans="1:9" s="2" customFormat="1" ht="15" customHeight="1" thickBot="1" x14ac:dyDescent="0.25">
      <c r="A38" s="157"/>
      <c r="B38" s="189"/>
      <c r="C38" s="90"/>
      <c r="D38" s="90"/>
      <c r="E38" s="90"/>
      <c r="F38" s="276"/>
      <c r="G38" s="277"/>
      <c r="H38" s="176"/>
    </row>
    <row r="39" spans="1:9" s="2" customFormat="1" x14ac:dyDescent="0.2">
      <c r="A39" s="357" t="s">
        <v>202</v>
      </c>
      <c r="B39" s="335"/>
      <c r="C39" s="172" t="s">
        <v>27</v>
      </c>
      <c r="D39" s="163"/>
      <c r="E39" s="163"/>
      <c r="F39" s="172" t="s">
        <v>146</v>
      </c>
      <c r="G39" s="158" t="s">
        <v>147</v>
      </c>
      <c r="H39" s="184"/>
    </row>
    <row r="40" spans="1:9" s="2" customFormat="1" ht="15" customHeight="1" x14ac:dyDescent="0.2">
      <c r="A40" s="372" t="s">
        <v>144</v>
      </c>
      <c r="B40" s="339"/>
      <c r="C40" s="166" t="s">
        <v>139</v>
      </c>
      <c r="D40" s="167"/>
      <c r="E40" s="167"/>
      <c r="F40" s="231">
        <v>65</v>
      </c>
      <c r="G40" s="169">
        <f>F40*F41</f>
        <v>1300</v>
      </c>
      <c r="H40" s="176"/>
      <c r="I40" s="290">
        <f>G40*10</f>
        <v>13000</v>
      </c>
    </row>
    <row r="41" spans="1:9" s="2" customFormat="1" ht="15" customHeight="1" thickBot="1" x14ac:dyDescent="0.25">
      <c r="A41" s="349" t="s">
        <v>233</v>
      </c>
      <c r="B41" s="350"/>
      <c r="C41" s="164" t="s">
        <v>145</v>
      </c>
      <c r="D41" s="165"/>
      <c r="E41" s="165"/>
      <c r="F41" s="232">
        <v>20</v>
      </c>
      <c r="G41" s="324" t="s">
        <v>255</v>
      </c>
      <c r="H41" s="176"/>
      <c r="I41" s="2" t="s">
        <v>258</v>
      </c>
    </row>
    <row r="42" spans="1:9" s="2" customFormat="1" ht="15" customHeight="1" thickBot="1" x14ac:dyDescent="0.25">
      <c r="A42" s="349" t="s">
        <v>253</v>
      </c>
      <c r="B42" s="350"/>
      <c r="C42" s="164" t="s">
        <v>13</v>
      </c>
      <c r="D42" s="165"/>
      <c r="E42" s="165"/>
      <c r="F42" s="232">
        <v>40</v>
      </c>
      <c r="G42" s="324">
        <f>F40/F42</f>
        <v>1.625</v>
      </c>
      <c r="H42" s="176"/>
    </row>
    <row r="43" spans="1:9" s="2" customFormat="1" ht="15" customHeight="1" thickBot="1" x14ac:dyDescent="0.25">
      <c r="A43" s="157"/>
      <c r="B43" s="189"/>
      <c r="C43" s="90"/>
      <c r="D43" s="90"/>
      <c r="E43" s="17"/>
      <c r="F43" s="160"/>
      <c r="G43" s="161"/>
      <c r="H43" s="176"/>
    </row>
    <row r="44" spans="1:9" s="2" customFormat="1" ht="15" customHeight="1" thickBot="1" x14ac:dyDescent="0.25">
      <c r="A44" s="311" t="s">
        <v>245</v>
      </c>
      <c r="B44" s="189"/>
      <c r="C44" s="172" t="s">
        <v>0</v>
      </c>
      <c r="D44" s="362" t="s">
        <v>246</v>
      </c>
      <c r="E44" s="363"/>
      <c r="F44" s="363"/>
      <c r="G44" s="364"/>
      <c r="H44" s="184"/>
    </row>
    <row r="45" spans="1:9" s="6" customFormat="1" ht="15.75" customHeight="1" thickBot="1" x14ac:dyDescent="0.25">
      <c r="A45" s="365" t="s">
        <v>247</v>
      </c>
      <c r="B45" s="352"/>
      <c r="C45" s="312">
        <f>G42/8.8</f>
        <v>0.18465909090909088</v>
      </c>
      <c r="D45" s="351" t="s">
        <v>248</v>
      </c>
      <c r="E45" s="366"/>
      <c r="F45" s="366"/>
      <c r="G45" s="313"/>
      <c r="H45" s="184"/>
      <c r="I45" s="2"/>
    </row>
    <row r="46" spans="1:9" s="2" customFormat="1" ht="15" customHeight="1" thickBot="1" x14ac:dyDescent="0.25">
      <c r="A46" s="157"/>
      <c r="B46" s="189"/>
      <c r="C46" s="90"/>
      <c r="D46" s="90"/>
      <c r="E46" s="17"/>
      <c r="F46" s="160"/>
      <c r="G46" s="161"/>
      <c r="H46" s="176"/>
    </row>
    <row r="47" spans="1:9" s="2" customFormat="1" ht="15" customHeight="1" thickBot="1" x14ac:dyDescent="0.25">
      <c r="A47" s="346" t="s">
        <v>203</v>
      </c>
      <c r="B47" s="347"/>
      <c r="C47" s="347"/>
      <c r="D47" s="347"/>
      <c r="E47" s="347"/>
      <c r="F47" s="347"/>
      <c r="G47" s="348"/>
      <c r="H47" s="175"/>
    </row>
    <row r="48" spans="1:9" ht="11.25" customHeight="1" x14ac:dyDescent="0.2">
      <c r="A48" s="96" t="s">
        <v>23</v>
      </c>
      <c r="B48" s="6"/>
      <c r="E48" s="27"/>
      <c r="F48" s="27"/>
      <c r="G48" s="40"/>
      <c r="H48" s="176"/>
    </row>
    <row r="49" spans="1:9" ht="13.5" thickBot="1" x14ac:dyDescent="0.25">
      <c r="A49" s="96" t="s">
        <v>223</v>
      </c>
      <c r="B49" s="6"/>
      <c r="E49" s="27"/>
      <c r="F49" s="27"/>
      <c r="G49" s="40"/>
      <c r="H49" s="176"/>
    </row>
    <row r="50" spans="1:9" s="7" customFormat="1" ht="13.15" customHeight="1" thickBot="1" x14ac:dyDescent="0.25">
      <c r="A50" s="340" t="s">
        <v>26</v>
      </c>
      <c r="B50" s="341"/>
      <c r="C50" s="210" t="s">
        <v>27</v>
      </c>
      <c r="D50" s="210" t="s">
        <v>20</v>
      </c>
      <c r="E50" s="211" t="s">
        <v>90</v>
      </c>
      <c r="F50" s="211" t="s">
        <v>28</v>
      </c>
      <c r="G50" s="212" t="s">
        <v>29</v>
      </c>
      <c r="H50" s="212" t="s">
        <v>140</v>
      </c>
    </row>
    <row r="51" spans="1:9" x14ac:dyDescent="0.2">
      <c r="A51" s="334" t="s">
        <v>125</v>
      </c>
      <c r="B51" s="335"/>
      <c r="C51" s="8" t="s">
        <v>5</v>
      </c>
      <c r="D51" s="8">
        <v>1</v>
      </c>
      <c r="E51" s="170">
        <f>G31</f>
        <v>2498</v>
      </c>
      <c r="F51" s="9">
        <f>D51*E51</f>
        <v>2498</v>
      </c>
      <c r="G51" s="126"/>
      <c r="H51" s="126"/>
    </row>
    <row r="52" spans="1:9" s="6" customFormat="1" x14ac:dyDescent="0.2">
      <c r="A52" s="343" t="s">
        <v>1</v>
      </c>
      <c r="B52" s="342"/>
      <c r="C52" s="91"/>
      <c r="D52" s="91"/>
      <c r="E52" s="19"/>
      <c r="F52" s="35">
        <f>SUM(F51:F51)</f>
        <v>2498</v>
      </c>
      <c r="G52" s="128"/>
      <c r="H52" s="176"/>
    </row>
    <row r="53" spans="1:9" x14ac:dyDescent="0.2">
      <c r="A53" s="345" t="s">
        <v>2</v>
      </c>
      <c r="B53" s="339"/>
      <c r="C53" s="10" t="s">
        <v>0</v>
      </c>
      <c r="D53" s="41">
        <f>'Enc. Soc. - LR-LP e SN'!C$28*100</f>
        <v>70.61</v>
      </c>
      <c r="E53" s="11">
        <f>F52</f>
        <v>2498</v>
      </c>
      <c r="F53" s="11">
        <f>ROUND(E53*D53/100,2)</f>
        <v>1763.84</v>
      </c>
      <c r="G53" s="127"/>
      <c r="H53" s="176"/>
      <c r="I53" s="6"/>
    </row>
    <row r="54" spans="1:9" s="6" customFormat="1" x14ac:dyDescent="0.2">
      <c r="A54" s="343" t="s">
        <v>91</v>
      </c>
      <c r="B54" s="342"/>
      <c r="C54" s="81"/>
      <c r="D54" s="81"/>
      <c r="E54" s="82"/>
      <c r="F54" s="35">
        <f>F52+F53</f>
        <v>4261.84</v>
      </c>
      <c r="G54" s="128"/>
      <c r="H54" s="176"/>
    </row>
    <row r="55" spans="1:9" s="6" customFormat="1" x14ac:dyDescent="0.2">
      <c r="A55" s="326" t="s">
        <v>260</v>
      </c>
      <c r="B55" s="327"/>
      <c r="C55" s="81"/>
      <c r="D55" s="81"/>
      <c r="E55" s="82"/>
      <c r="F55" s="35">
        <v>150</v>
      </c>
      <c r="G55" s="328"/>
      <c r="H55" s="176"/>
    </row>
    <row r="56" spans="1:9" ht="13.5" thickBot="1" x14ac:dyDescent="0.25">
      <c r="A56" s="345" t="s">
        <v>3</v>
      </c>
      <c r="B56" s="339"/>
      <c r="C56" s="10" t="s">
        <v>4</v>
      </c>
      <c r="D56" s="171">
        <f>F31</f>
        <v>1</v>
      </c>
      <c r="E56" s="11">
        <f>F54</f>
        <v>4261.84</v>
      </c>
      <c r="F56" s="11">
        <f>D56*E56+F55</f>
        <v>4411.84</v>
      </c>
      <c r="G56" s="213">
        <f>F56</f>
        <v>4411.84</v>
      </c>
      <c r="H56" s="213">
        <f>G56/G$40</f>
        <v>3.3937230769230768</v>
      </c>
      <c r="I56" s="6"/>
    </row>
    <row r="57" spans="1:9" s="151" customFormat="1" ht="13.9" customHeight="1" thickBot="1" x14ac:dyDescent="0.25">
      <c r="A57" s="315"/>
      <c r="B57" s="192"/>
      <c r="C57" s="192"/>
      <c r="D57" s="192"/>
      <c r="E57" s="316" t="s">
        <v>249</v>
      </c>
      <c r="F57" s="314">
        <f>C45</f>
        <v>0.18465909090909088</v>
      </c>
      <c r="G57" s="213">
        <f>F56*F57</f>
        <v>814.68636363636358</v>
      </c>
      <c r="H57" s="213">
        <f>G57/G$40</f>
        <v>0.62668181818181812</v>
      </c>
      <c r="I57" s="6"/>
    </row>
    <row r="58" spans="1:9" ht="11.25" customHeight="1" x14ac:dyDescent="0.2">
      <c r="A58" s="95"/>
      <c r="E58" s="27"/>
      <c r="F58" s="27"/>
      <c r="G58" s="125"/>
      <c r="H58" s="176"/>
      <c r="I58" s="6"/>
    </row>
    <row r="59" spans="1:9" ht="11.25" customHeight="1" x14ac:dyDescent="0.2">
      <c r="A59" s="96" t="s">
        <v>224</v>
      </c>
      <c r="B59" s="6"/>
      <c r="E59" s="27"/>
      <c r="F59" s="27"/>
      <c r="G59" s="40"/>
      <c r="H59" s="176"/>
      <c r="I59" s="6"/>
    </row>
    <row r="60" spans="1:9" ht="11.25" customHeight="1" x14ac:dyDescent="0.2">
      <c r="A60" s="361" t="s">
        <v>2</v>
      </c>
      <c r="B60" s="339"/>
      <c r="C60" s="89" t="s">
        <v>0</v>
      </c>
      <c r="D60" s="41">
        <f>'Enc. Soc. - LR-LP e SN'!C$38*100</f>
        <v>32.817279999999997</v>
      </c>
      <c r="E60" s="11">
        <f>F52</f>
        <v>2498</v>
      </c>
      <c r="F60" s="11">
        <f>ROUND(E60*D60/100,2)</f>
        <v>819.78</v>
      </c>
      <c r="G60" s="40"/>
      <c r="H60" s="176"/>
      <c r="I60" s="6"/>
    </row>
    <row r="61" spans="1:9" x14ac:dyDescent="0.2">
      <c r="A61" s="343" t="s">
        <v>91</v>
      </c>
      <c r="B61" s="342"/>
      <c r="C61" s="91"/>
      <c r="D61" s="91"/>
      <c r="E61" s="19"/>
      <c r="F61" s="36">
        <f>E60+F60</f>
        <v>3317.7799999999997</v>
      </c>
      <c r="G61" s="40"/>
      <c r="H61" s="176"/>
      <c r="I61" s="6"/>
    </row>
    <row r="62" spans="1:9" x14ac:dyDescent="0.2">
      <c r="A62" s="326" t="str">
        <f>A55</f>
        <v>Prêmio assiduidade - cláusula décima segunda CCT</v>
      </c>
      <c r="B62" s="327"/>
      <c r="C62" s="91"/>
      <c r="D62" s="91"/>
      <c r="E62" s="19"/>
      <c r="F62" s="36">
        <v>150</v>
      </c>
      <c r="G62" s="40"/>
      <c r="H62" s="176"/>
      <c r="I62" s="6"/>
    </row>
    <row r="63" spans="1:9" ht="13.5" thickBot="1" x14ac:dyDescent="0.25">
      <c r="A63" s="345" t="s">
        <v>3</v>
      </c>
      <c r="B63" s="339"/>
      <c r="C63" s="10" t="s">
        <v>4</v>
      </c>
      <c r="D63" s="10">
        <f>D56</f>
        <v>1</v>
      </c>
      <c r="E63" s="11">
        <f>F61</f>
        <v>3317.7799999999997</v>
      </c>
      <c r="F63" s="11">
        <f>D63*E63+F62</f>
        <v>3467.7799999999997</v>
      </c>
      <c r="G63" s="213">
        <f>F63</f>
        <v>3467.7799999999997</v>
      </c>
      <c r="H63" s="213">
        <f>G63/G$40</f>
        <v>2.6675230769230769</v>
      </c>
      <c r="I63" s="6"/>
    </row>
    <row r="64" spans="1:9" s="151" customFormat="1" ht="13.9" customHeight="1" thickBot="1" x14ac:dyDescent="0.25">
      <c r="A64" s="315"/>
      <c r="B64" s="192"/>
      <c r="C64" s="192"/>
      <c r="D64" s="192"/>
      <c r="E64" s="316" t="s">
        <v>249</v>
      </c>
      <c r="F64" s="314">
        <f>F57</f>
        <v>0.18465909090909088</v>
      </c>
      <c r="G64" s="213">
        <f>F63*F64</f>
        <v>640.35710227272716</v>
      </c>
      <c r="H64" s="213">
        <f>G64/G$40</f>
        <v>0.49258238636363627</v>
      </c>
      <c r="I64" s="6"/>
    </row>
    <row r="65" spans="1:9" ht="11.25" customHeight="1" x14ac:dyDescent="0.2">
      <c r="A65" s="95"/>
      <c r="E65" s="27"/>
      <c r="F65" s="27"/>
      <c r="G65" s="125"/>
      <c r="H65" s="176"/>
      <c r="I65" s="6"/>
    </row>
    <row r="66" spans="1:9" ht="13.5" thickBot="1" x14ac:dyDescent="0.25">
      <c r="A66" s="96" t="s">
        <v>225</v>
      </c>
      <c r="B66" s="6"/>
      <c r="C66" s="93"/>
      <c r="E66" s="4"/>
      <c r="F66" s="4"/>
      <c r="G66" s="40"/>
      <c r="H66" s="176"/>
      <c r="I66" s="6"/>
    </row>
    <row r="67" spans="1:9" ht="13.5" thickBot="1" x14ac:dyDescent="0.25">
      <c r="A67" s="340" t="s">
        <v>26</v>
      </c>
      <c r="B67" s="341"/>
      <c r="C67" s="210" t="s">
        <v>27</v>
      </c>
      <c r="D67" s="210" t="s">
        <v>20</v>
      </c>
      <c r="E67" s="211" t="s">
        <v>90</v>
      </c>
      <c r="F67" s="211" t="s">
        <v>28</v>
      </c>
      <c r="G67" s="212" t="s">
        <v>29</v>
      </c>
      <c r="H67" s="212" t="s">
        <v>140</v>
      </c>
      <c r="I67" s="6"/>
    </row>
    <row r="68" spans="1:9" x14ac:dyDescent="0.2">
      <c r="A68" s="344" t="s">
        <v>40</v>
      </c>
      <c r="B68" s="335"/>
      <c r="C68" s="10" t="s">
        <v>19</v>
      </c>
      <c r="D68" s="32">
        <v>1</v>
      </c>
      <c r="E68" s="233">
        <v>7</v>
      </c>
      <c r="F68" s="11"/>
      <c r="G68" s="126"/>
      <c r="H68" s="126"/>
      <c r="I68" s="6" t="s">
        <v>259</v>
      </c>
    </row>
    <row r="69" spans="1:9" x14ac:dyDescent="0.2">
      <c r="A69" s="345" t="s">
        <v>41</v>
      </c>
      <c r="B69" s="339"/>
      <c r="C69" s="10" t="s">
        <v>42</v>
      </c>
      <c r="D69" s="21">
        <f>F41</f>
        <v>20</v>
      </c>
      <c r="E69" s="11"/>
      <c r="F69" s="11"/>
      <c r="G69" s="127"/>
      <c r="H69" s="176"/>
      <c r="I69" s="6"/>
    </row>
    <row r="70" spans="1:9" ht="13.5" thickBot="1" x14ac:dyDescent="0.25">
      <c r="A70" s="338" t="s">
        <v>97</v>
      </c>
      <c r="B70" s="339"/>
      <c r="C70" s="8" t="s">
        <v>6</v>
      </c>
      <c r="D70" s="21">
        <f>$D$69*2*(F31)</f>
        <v>40</v>
      </c>
      <c r="E70" s="9">
        <f>IF(E68=0,"",IFERROR((($D$69*2*$E$68)-(F51*0.06*D69/D69))/($D$69*2),"-"))</f>
        <v>3.2530000000000001</v>
      </c>
      <c r="F70" s="9">
        <f>IFERROR(D70*E70,"-")</f>
        <v>130.12</v>
      </c>
      <c r="G70" s="213">
        <f>F70</f>
        <v>130.12</v>
      </c>
      <c r="H70" s="279">
        <f>G70/G$40</f>
        <v>0.1000923076923077</v>
      </c>
      <c r="I70" s="6"/>
    </row>
    <row r="71" spans="1:9" s="151" customFormat="1" ht="13.9" customHeight="1" thickBot="1" x14ac:dyDescent="0.25">
      <c r="A71" s="315"/>
      <c r="B71" s="192"/>
      <c r="C71" s="192"/>
      <c r="D71" s="192"/>
      <c r="E71" s="316" t="s">
        <v>249</v>
      </c>
      <c r="F71" s="314">
        <f>F64</f>
        <v>0.18465909090909088</v>
      </c>
      <c r="G71" s="213">
        <f>F70*F71</f>
        <v>24.027840909090905</v>
      </c>
      <c r="H71" s="213">
        <f>G71/G$40</f>
        <v>1.8482954545454542E-2</v>
      </c>
      <c r="I71" s="6"/>
    </row>
    <row r="72" spans="1:9" ht="11.25" customHeight="1" x14ac:dyDescent="0.2">
      <c r="A72" s="95"/>
      <c r="E72" s="27"/>
      <c r="F72" s="27"/>
      <c r="G72" s="125"/>
      <c r="H72" s="176"/>
      <c r="I72" s="6"/>
    </row>
    <row r="73" spans="1:9" ht="13.5" thickBot="1" x14ac:dyDescent="0.25">
      <c r="A73" s="96" t="s">
        <v>226</v>
      </c>
      <c r="B73" s="6"/>
      <c r="E73" s="27"/>
      <c r="F73" s="27"/>
      <c r="G73" s="129"/>
      <c r="H73" s="176"/>
      <c r="I73" s="6"/>
    </row>
    <row r="74" spans="1:9" ht="13.5" thickBot="1" x14ac:dyDescent="0.25">
      <c r="A74" s="214" t="s">
        <v>26</v>
      </c>
      <c r="B74" s="215"/>
      <c r="C74" s="210" t="s">
        <v>27</v>
      </c>
      <c r="D74" s="210" t="s">
        <v>20</v>
      </c>
      <c r="E74" s="211" t="s">
        <v>90</v>
      </c>
      <c r="F74" s="211" t="s">
        <v>28</v>
      </c>
      <c r="G74" s="212" t="s">
        <v>29</v>
      </c>
      <c r="H74" s="212" t="s">
        <v>140</v>
      </c>
      <c r="I74" s="6"/>
    </row>
    <row r="75" spans="1:9" ht="13.5" thickBot="1" x14ac:dyDescent="0.25">
      <c r="A75" s="338" t="s">
        <v>229</v>
      </c>
      <c r="B75" s="339"/>
      <c r="C75" s="89" t="s">
        <v>7</v>
      </c>
      <c r="D75" s="33">
        <f>D69*(F31)</f>
        <v>20</v>
      </c>
      <c r="E75" s="231">
        <f>30+16</f>
        <v>46</v>
      </c>
      <c r="F75" s="23">
        <f>D75*E75</f>
        <v>920</v>
      </c>
      <c r="G75" s="213">
        <f>F75</f>
        <v>920</v>
      </c>
      <c r="H75" s="213">
        <f>G75/G$40</f>
        <v>0.70769230769230773</v>
      </c>
      <c r="I75" s="6"/>
    </row>
    <row r="76" spans="1:9" s="151" customFormat="1" ht="13.9" customHeight="1" thickBot="1" x14ac:dyDescent="0.25">
      <c r="A76" s="315"/>
      <c r="B76" s="192"/>
      <c r="C76" s="192"/>
      <c r="D76" s="192"/>
      <c r="E76" s="316" t="s">
        <v>249</v>
      </c>
      <c r="F76" s="314">
        <f>F71</f>
        <v>0.18465909090909088</v>
      </c>
      <c r="G76" s="213">
        <f>F75*F76</f>
        <v>169.88636363636363</v>
      </c>
      <c r="H76" s="213">
        <f>G76/G$40</f>
        <v>0.13068181818181818</v>
      </c>
      <c r="I76" s="6"/>
    </row>
    <row r="77" spans="1:9" x14ac:dyDescent="0.2">
      <c r="A77" s="95"/>
      <c r="E77" s="92"/>
      <c r="F77" s="92"/>
      <c r="G77" s="40"/>
      <c r="H77" s="176"/>
      <c r="I77" s="6"/>
    </row>
    <row r="78" spans="1:9" ht="13.5" thickBot="1" x14ac:dyDescent="0.25">
      <c r="A78" s="96" t="s">
        <v>264</v>
      </c>
      <c r="B78" s="6"/>
      <c r="E78" s="27"/>
      <c r="F78" s="27"/>
      <c r="G78" s="129"/>
      <c r="H78" s="176"/>
      <c r="I78" s="6"/>
    </row>
    <row r="79" spans="1:9" ht="13.5" thickBot="1" x14ac:dyDescent="0.25">
      <c r="A79" s="214" t="s">
        <v>26</v>
      </c>
      <c r="B79" s="215"/>
      <c r="C79" s="210" t="s">
        <v>27</v>
      </c>
      <c r="D79" s="210" t="s">
        <v>20</v>
      </c>
      <c r="E79" s="211" t="s">
        <v>90</v>
      </c>
      <c r="F79" s="211" t="s">
        <v>28</v>
      </c>
      <c r="G79" s="212" t="s">
        <v>29</v>
      </c>
      <c r="H79" s="212" t="s">
        <v>140</v>
      </c>
      <c r="I79" s="6"/>
    </row>
    <row r="80" spans="1:9" ht="13.5" thickBot="1" x14ac:dyDescent="0.25">
      <c r="A80" s="338" t="s">
        <v>229</v>
      </c>
      <c r="B80" s="339"/>
      <c r="C80" s="89" t="s">
        <v>7</v>
      </c>
      <c r="D80" s="33">
        <v>1</v>
      </c>
      <c r="E80" s="231">
        <v>25.5</v>
      </c>
      <c r="F80" s="23">
        <f>D80*E80</f>
        <v>25.5</v>
      </c>
      <c r="G80" s="213">
        <f>F80</f>
        <v>25.5</v>
      </c>
      <c r="H80" s="213">
        <f>G80/G$40</f>
        <v>1.9615384615384614E-2</v>
      </c>
      <c r="I80" s="6"/>
    </row>
    <row r="81" spans="1:9" ht="13.5" thickBot="1" x14ac:dyDescent="0.25">
      <c r="A81" s="315"/>
      <c r="B81" s="192"/>
      <c r="C81" s="192"/>
      <c r="D81" s="192"/>
      <c r="E81" s="316" t="s">
        <v>249</v>
      </c>
      <c r="F81" s="314">
        <f>F76</f>
        <v>0.18465909090909088</v>
      </c>
      <c r="G81" s="213">
        <f>F80*F81</f>
        <v>4.7088068181818175</v>
      </c>
      <c r="H81" s="213">
        <f>G81/G$40</f>
        <v>3.6221590909090904E-3</v>
      </c>
      <c r="I81" s="6"/>
    </row>
    <row r="82" spans="1:9" x14ac:dyDescent="0.2">
      <c r="A82" s="95"/>
      <c r="E82" s="92"/>
      <c r="F82" s="92"/>
      <c r="G82" s="40"/>
      <c r="H82" s="176"/>
      <c r="I82" s="6"/>
    </row>
    <row r="83" spans="1:9" x14ac:dyDescent="0.2">
      <c r="A83" s="95"/>
      <c r="E83" s="92"/>
      <c r="F83" s="92"/>
      <c r="G83" s="40"/>
      <c r="H83" s="176"/>
      <c r="I83" s="6"/>
    </row>
    <row r="84" spans="1:9" ht="13.5" thickBot="1" x14ac:dyDescent="0.25">
      <c r="A84" s="95"/>
      <c r="E84" s="27"/>
      <c r="F84" s="27"/>
      <c r="G84" s="40"/>
      <c r="H84" s="176"/>
      <c r="I84" s="6"/>
    </row>
    <row r="85" spans="1:9" ht="13.5" thickBot="1" x14ac:dyDescent="0.25">
      <c r="A85" s="12" t="s">
        <v>101</v>
      </c>
      <c r="B85" s="13"/>
      <c r="C85" s="13"/>
      <c r="D85" s="13"/>
      <c r="E85" s="14"/>
      <c r="F85" s="15"/>
      <c r="G85" s="216">
        <f>G57+G71+G76+G81</f>
        <v>1013.3093749999999</v>
      </c>
      <c r="H85" s="217">
        <f>G85/G$40</f>
        <v>0.77946874999999993</v>
      </c>
      <c r="I85" s="6"/>
    </row>
    <row r="86" spans="1:9" ht="13.5" thickBot="1" x14ac:dyDescent="0.25">
      <c r="A86" s="12" t="s">
        <v>102</v>
      </c>
      <c r="B86" s="13"/>
      <c r="C86" s="13"/>
      <c r="D86" s="13"/>
      <c r="E86" s="14"/>
      <c r="F86" s="15"/>
      <c r="G86" s="218">
        <f>G64+G71+G76+G81</f>
        <v>838.98011363636351</v>
      </c>
      <c r="H86" s="213">
        <f>G86/G$40</f>
        <v>0.64536931818181809</v>
      </c>
      <c r="I86" s="6"/>
    </row>
    <row r="87" spans="1:9" x14ac:dyDescent="0.2">
      <c r="A87" s="95"/>
      <c r="E87" s="27"/>
      <c r="F87" s="27"/>
      <c r="G87" s="125"/>
      <c r="H87" s="176"/>
      <c r="I87" s="6"/>
    </row>
    <row r="88" spans="1:9" x14ac:dyDescent="0.2">
      <c r="A88" s="96" t="s">
        <v>188</v>
      </c>
      <c r="B88" s="6"/>
      <c r="E88" s="27"/>
      <c r="F88" s="27"/>
      <c r="G88" s="40"/>
      <c r="H88" s="176"/>
    </row>
    <row r="89" spans="1:9" ht="13.5" thickBot="1" x14ac:dyDescent="0.25">
      <c r="A89" s="96" t="s">
        <v>189</v>
      </c>
      <c r="B89" s="6"/>
      <c r="E89" s="27"/>
      <c r="F89" s="27"/>
      <c r="G89" s="40"/>
      <c r="H89" s="176"/>
    </row>
    <row r="90" spans="1:9" ht="13.5" thickBot="1" x14ac:dyDescent="0.25">
      <c r="A90" s="214" t="s">
        <v>26</v>
      </c>
      <c r="B90" s="215"/>
      <c r="C90" s="210" t="s">
        <v>27</v>
      </c>
      <c r="D90" s="210" t="s">
        <v>20</v>
      </c>
      <c r="E90" s="211" t="s">
        <v>90</v>
      </c>
      <c r="F90" s="211" t="s">
        <v>28</v>
      </c>
      <c r="G90" s="212" t="s">
        <v>29</v>
      </c>
      <c r="H90" s="212" t="s">
        <v>140</v>
      </c>
    </row>
    <row r="91" spans="1:9" x14ac:dyDescent="0.2">
      <c r="A91" s="334" t="s">
        <v>123</v>
      </c>
      <c r="B91" s="335"/>
      <c r="C91" s="8" t="s">
        <v>7</v>
      </c>
      <c r="D91" s="8">
        <v>1</v>
      </c>
      <c r="E91" s="170">
        <f>G35</f>
        <v>449185</v>
      </c>
      <c r="F91" s="9">
        <f>D91*E91</f>
        <v>449185</v>
      </c>
      <c r="G91" s="126"/>
      <c r="H91" s="126"/>
    </row>
    <row r="92" spans="1:9" x14ac:dyDescent="0.2">
      <c r="A92" s="338" t="s">
        <v>131</v>
      </c>
      <c r="B92" s="339"/>
      <c r="C92" s="10" t="s">
        <v>43</v>
      </c>
      <c r="D92" s="171">
        <f>C35</f>
        <v>10</v>
      </c>
      <c r="E92" s="31"/>
      <c r="F92" s="11"/>
      <c r="G92" s="127"/>
      <c r="H92" s="176"/>
    </row>
    <row r="93" spans="1:9" x14ac:dyDescent="0.2">
      <c r="A93" s="338" t="s">
        <v>126</v>
      </c>
      <c r="B93" s="339"/>
      <c r="C93" s="10" t="s">
        <v>0</v>
      </c>
      <c r="D93" s="41">
        <f>Depr.!B12</f>
        <v>65.180000000000007</v>
      </c>
      <c r="E93" s="178">
        <f>F91</f>
        <v>449185</v>
      </c>
      <c r="F93" s="178">
        <f>D93*E93/100</f>
        <v>292778.78300000005</v>
      </c>
      <c r="G93" s="127"/>
      <c r="H93" s="176"/>
    </row>
    <row r="94" spans="1:9" x14ac:dyDescent="0.2">
      <c r="A94" s="343" t="s">
        <v>132</v>
      </c>
      <c r="B94" s="339"/>
      <c r="C94" s="34" t="s">
        <v>5</v>
      </c>
      <c r="D94" s="34">
        <f>D92*12</f>
        <v>120</v>
      </c>
      <c r="E94" s="35">
        <f>F93</f>
        <v>292778.78300000005</v>
      </c>
      <c r="F94" s="35">
        <f>IFERROR(E94/D94,0)</f>
        <v>2439.8231916666673</v>
      </c>
      <c r="G94" s="127"/>
      <c r="H94" s="176"/>
    </row>
    <row r="95" spans="1:9" x14ac:dyDescent="0.2">
      <c r="A95" s="343" t="s">
        <v>94</v>
      </c>
      <c r="B95" s="339"/>
      <c r="C95" s="145" t="s">
        <v>7</v>
      </c>
      <c r="D95" s="177">
        <f>F35</f>
        <v>1</v>
      </c>
      <c r="E95" s="146">
        <f>F94</f>
        <v>2439.8231916666673</v>
      </c>
      <c r="F95" s="300">
        <f>D95*E95</f>
        <v>2439.8231916666673</v>
      </c>
      <c r="G95" s="40"/>
      <c r="H95" s="176"/>
    </row>
    <row r="96" spans="1:9" ht="13.5" thickBot="1" x14ac:dyDescent="0.25">
      <c r="A96" s="99"/>
      <c r="B96" s="87"/>
      <c r="C96" s="87"/>
      <c r="D96" s="87"/>
      <c r="E96" s="316" t="s">
        <v>249</v>
      </c>
      <c r="F96" s="314">
        <f>F71</f>
        <v>0.18465909090909088</v>
      </c>
      <c r="G96" s="213">
        <f>F95*F96</f>
        <v>450.5355325520834</v>
      </c>
      <c r="H96" s="213">
        <f>G96/G$40</f>
        <v>0.34656579427083339</v>
      </c>
    </row>
    <row r="97" spans="1:8" ht="13.5" thickBot="1" x14ac:dyDescent="0.25">
      <c r="A97" s="96" t="s">
        <v>190</v>
      </c>
      <c r="B97" s="6"/>
      <c r="E97" s="27"/>
      <c r="F97" s="242"/>
      <c r="G97" s="40"/>
      <c r="H97" s="176"/>
    </row>
    <row r="98" spans="1:8" ht="13.5" thickBot="1" x14ac:dyDescent="0.25">
      <c r="A98" s="340" t="s">
        <v>26</v>
      </c>
      <c r="B98" s="341"/>
      <c r="C98" s="210" t="s">
        <v>27</v>
      </c>
      <c r="D98" s="210" t="s">
        <v>20</v>
      </c>
      <c r="E98" s="211" t="s">
        <v>90</v>
      </c>
      <c r="F98" s="211" t="s">
        <v>28</v>
      </c>
      <c r="G98" s="212" t="s">
        <v>29</v>
      </c>
      <c r="H98" s="212" t="s">
        <v>140</v>
      </c>
    </row>
    <row r="99" spans="1:8" x14ac:dyDescent="0.2">
      <c r="A99" s="334" t="s">
        <v>133</v>
      </c>
      <c r="B99" s="335"/>
      <c r="C99" s="8" t="s">
        <v>7</v>
      </c>
      <c r="D99" s="8">
        <v>1</v>
      </c>
      <c r="E99" s="9">
        <f>E91</f>
        <v>449185</v>
      </c>
      <c r="F99" s="9">
        <f>D99*E99</f>
        <v>449185</v>
      </c>
      <c r="G99" s="131"/>
      <c r="H99" s="126"/>
    </row>
    <row r="100" spans="1:8" x14ac:dyDescent="0.2">
      <c r="A100" s="345" t="s">
        <v>86</v>
      </c>
      <c r="B100" s="339"/>
      <c r="C100" s="10" t="s">
        <v>0</v>
      </c>
      <c r="D100" s="234">
        <v>14</v>
      </c>
      <c r="E100" s="11"/>
      <c r="F100" s="11"/>
      <c r="G100" s="130"/>
      <c r="H100" s="176"/>
    </row>
    <row r="101" spans="1:8" x14ac:dyDescent="0.2">
      <c r="A101" s="338" t="s">
        <v>196</v>
      </c>
      <c r="B101" s="339"/>
      <c r="C101" s="10" t="s">
        <v>19</v>
      </c>
      <c r="D101" s="45">
        <f>F99</f>
        <v>449185</v>
      </c>
      <c r="E101" s="11"/>
      <c r="F101" s="11"/>
      <c r="G101" s="130"/>
      <c r="H101" s="176"/>
    </row>
    <row r="102" spans="1:8" x14ac:dyDescent="0.2">
      <c r="A102" s="338" t="s">
        <v>195</v>
      </c>
      <c r="B102" s="339"/>
      <c r="C102" s="10"/>
      <c r="D102" s="45">
        <f>F91-F93</f>
        <v>156406.21699999995</v>
      </c>
      <c r="E102" s="11"/>
      <c r="F102" s="11"/>
      <c r="G102" s="130"/>
      <c r="H102" s="176"/>
    </row>
    <row r="103" spans="1:8" x14ac:dyDescent="0.2">
      <c r="A103" s="338" t="s">
        <v>187</v>
      </c>
      <c r="B103" s="339"/>
      <c r="C103" s="10" t="s">
        <v>19</v>
      </c>
      <c r="D103" s="31">
        <f>(D101-D102)*((D92+1)/(2*D92))+D102</f>
        <v>317434.54764999996</v>
      </c>
      <c r="E103" s="11"/>
      <c r="F103" s="11"/>
      <c r="G103" s="130"/>
      <c r="H103" s="176"/>
    </row>
    <row r="104" spans="1:8" x14ac:dyDescent="0.2">
      <c r="A104" s="343" t="s">
        <v>134</v>
      </c>
      <c r="B104" s="339"/>
      <c r="C104" s="34" t="s">
        <v>19</v>
      </c>
      <c r="D104" s="34"/>
      <c r="E104" s="148">
        <f>ROUND(D100*D103/12/100,2)</f>
        <v>3703.4</v>
      </c>
      <c r="F104" s="35">
        <f>E104</f>
        <v>3703.4</v>
      </c>
      <c r="G104" s="130"/>
      <c r="H104" s="176"/>
    </row>
    <row r="105" spans="1:8" x14ac:dyDescent="0.2">
      <c r="A105" s="343" t="s">
        <v>135</v>
      </c>
      <c r="B105" s="342"/>
      <c r="C105" s="91"/>
      <c r="D105" s="91"/>
      <c r="E105" s="19"/>
      <c r="F105" s="147">
        <f>F104</f>
        <v>3703.4</v>
      </c>
      <c r="G105" s="130"/>
      <c r="H105" s="176"/>
    </row>
    <row r="106" spans="1:8" x14ac:dyDescent="0.2">
      <c r="A106" s="343" t="s">
        <v>94</v>
      </c>
      <c r="B106" s="339"/>
      <c r="C106" s="34" t="s">
        <v>7</v>
      </c>
      <c r="D106" s="10">
        <f>D95</f>
        <v>1</v>
      </c>
      <c r="E106" s="35">
        <f>F105</f>
        <v>3703.4</v>
      </c>
      <c r="F106" s="300">
        <f>D106*E106</f>
        <v>3703.4</v>
      </c>
      <c r="G106" s="130"/>
      <c r="H106" s="176"/>
    </row>
    <row r="107" spans="1:8" ht="11.25" customHeight="1" thickBot="1" x14ac:dyDescent="0.25">
      <c r="A107" s="95"/>
      <c r="E107" s="316" t="s">
        <v>249</v>
      </c>
      <c r="F107" s="314">
        <f>F71</f>
        <v>0.18465909090909088</v>
      </c>
      <c r="G107" s="213">
        <f>F106*F107</f>
        <v>683.86647727272725</v>
      </c>
      <c r="H107" s="213">
        <f>G107/G$40</f>
        <v>0.52605113636363632</v>
      </c>
    </row>
    <row r="108" spans="1:8" ht="13.5" thickBot="1" x14ac:dyDescent="0.25">
      <c r="A108" s="96" t="s">
        <v>191</v>
      </c>
      <c r="B108" s="6"/>
      <c r="E108" s="27"/>
      <c r="F108" s="27"/>
      <c r="G108" s="125"/>
      <c r="H108" s="176"/>
    </row>
    <row r="109" spans="1:8" ht="13.5" thickBot="1" x14ac:dyDescent="0.25">
      <c r="A109" s="340" t="s">
        <v>26</v>
      </c>
      <c r="B109" s="341"/>
      <c r="C109" s="210" t="s">
        <v>27</v>
      </c>
      <c r="D109" s="210" t="s">
        <v>20</v>
      </c>
      <c r="E109" s="211" t="s">
        <v>90</v>
      </c>
      <c r="F109" s="211" t="s">
        <v>28</v>
      </c>
      <c r="G109" s="212" t="s">
        <v>29</v>
      </c>
      <c r="H109" s="212" t="s">
        <v>140</v>
      </c>
    </row>
    <row r="110" spans="1:8" x14ac:dyDescent="0.2">
      <c r="A110" s="344" t="s">
        <v>8</v>
      </c>
      <c r="B110" s="335"/>
      <c r="C110" s="8" t="s">
        <v>7</v>
      </c>
      <c r="D110" s="9">
        <f>D95</f>
        <v>1</v>
      </c>
      <c r="E110" s="9">
        <f>0.01*($F$91)</f>
        <v>4491.8500000000004</v>
      </c>
      <c r="F110" s="9">
        <f t="shared" ref="F110:F115" si="5">D110*E110</f>
        <v>4491.8500000000004</v>
      </c>
      <c r="G110" s="126"/>
      <c r="H110" s="126"/>
    </row>
    <row r="111" spans="1:8" x14ac:dyDescent="0.2">
      <c r="A111" s="338" t="s">
        <v>230</v>
      </c>
      <c r="B111" s="339"/>
      <c r="C111" s="10" t="s">
        <v>7</v>
      </c>
      <c r="D111" s="9">
        <f>D95</f>
        <v>1</v>
      </c>
      <c r="E111" s="231">
        <v>114.09</v>
      </c>
      <c r="F111" s="11">
        <f t="shared" si="5"/>
        <v>114.09</v>
      </c>
      <c r="G111" s="127"/>
      <c r="H111" s="176"/>
    </row>
    <row r="112" spans="1:8" x14ac:dyDescent="0.2">
      <c r="A112" s="345" t="s">
        <v>9</v>
      </c>
      <c r="B112" s="339"/>
      <c r="C112" s="10" t="s">
        <v>7</v>
      </c>
      <c r="D112" s="9">
        <f>D95</f>
        <v>1</v>
      </c>
      <c r="E112" s="231">
        <v>1373.55</v>
      </c>
      <c r="F112" s="11">
        <f t="shared" si="5"/>
        <v>1373.55</v>
      </c>
      <c r="G112" s="132"/>
      <c r="H112" s="176"/>
    </row>
    <row r="113" spans="1:8" x14ac:dyDescent="0.2">
      <c r="A113" s="338" t="s">
        <v>256</v>
      </c>
      <c r="B113" s="339"/>
      <c r="C113" s="10" t="s">
        <v>7</v>
      </c>
      <c r="D113" s="9">
        <v>1</v>
      </c>
      <c r="E113" s="231">
        <v>1228.52</v>
      </c>
      <c r="F113" s="11">
        <f t="shared" si="5"/>
        <v>1228.52</v>
      </c>
      <c r="G113" s="132"/>
      <c r="H113" s="176"/>
    </row>
    <row r="114" spans="1:8" x14ac:dyDescent="0.2">
      <c r="A114" s="338" t="s">
        <v>244</v>
      </c>
      <c r="B114" s="339"/>
      <c r="C114" s="10" t="s">
        <v>7</v>
      </c>
      <c r="D114" s="9">
        <v>1</v>
      </c>
      <c r="E114" s="231">
        <v>566.17999999999995</v>
      </c>
      <c r="F114" s="11">
        <f t="shared" si="5"/>
        <v>566.17999999999995</v>
      </c>
      <c r="G114" s="132"/>
      <c r="H114" s="176"/>
    </row>
    <row r="115" spans="1:8" x14ac:dyDescent="0.2">
      <c r="A115" s="338" t="s">
        <v>176</v>
      </c>
      <c r="B115" s="339"/>
      <c r="C115" s="10" t="s">
        <v>7</v>
      </c>
      <c r="D115" s="9">
        <v>1</v>
      </c>
      <c r="E115" s="231">
        <v>770</v>
      </c>
      <c r="F115" s="11">
        <f t="shared" si="5"/>
        <v>770</v>
      </c>
      <c r="G115" s="132"/>
      <c r="H115" s="176"/>
    </row>
    <row r="116" spans="1:8" x14ac:dyDescent="0.2">
      <c r="A116" s="343" t="s">
        <v>10</v>
      </c>
      <c r="B116" s="339"/>
      <c r="C116" s="34" t="s">
        <v>5</v>
      </c>
      <c r="D116" s="34">
        <v>12</v>
      </c>
      <c r="E116" s="35">
        <f>SUM(F110:F115)</f>
        <v>8544.19</v>
      </c>
      <c r="F116" s="35">
        <f>ROUND(E116/D116,2)</f>
        <v>712.02</v>
      </c>
      <c r="G116" s="132"/>
      <c r="H116" s="176"/>
    </row>
    <row r="117" spans="1:8" ht="13.5" thickBot="1" x14ac:dyDescent="0.25">
      <c r="A117" s="298"/>
      <c r="B117" s="299"/>
      <c r="C117" s="299"/>
      <c r="D117" s="299"/>
      <c r="E117" s="316" t="s">
        <v>249</v>
      </c>
      <c r="F117" s="314">
        <f>F71</f>
        <v>0.18465909090909088</v>
      </c>
      <c r="G117" s="213">
        <f>F116*F117</f>
        <v>131.48096590909088</v>
      </c>
      <c r="H117" s="213">
        <f>G117/G$40</f>
        <v>0.10113920454545453</v>
      </c>
    </row>
    <row r="118" spans="1:8" x14ac:dyDescent="0.2">
      <c r="A118" s="96" t="s">
        <v>192</v>
      </c>
      <c r="B118" s="6"/>
      <c r="C118" s="94"/>
      <c r="E118" s="27"/>
      <c r="F118" s="27"/>
      <c r="G118" s="40"/>
      <c r="H118" s="176"/>
    </row>
    <row r="119" spans="1:8" ht="13.5" thickBot="1" x14ac:dyDescent="0.25">
      <c r="A119" s="98" t="s">
        <v>136</v>
      </c>
      <c r="B119" s="191"/>
      <c r="C119" s="173">
        <f>G40</f>
        <v>1300</v>
      </c>
      <c r="E119" s="27"/>
      <c r="F119" s="27"/>
      <c r="G119" s="40"/>
      <c r="H119" s="176"/>
    </row>
    <row r="120" spans="1:8" ht="13.5" thickBot="1" x14ac:dyDescent="0.25">
      <c r="A120" s="340" t="s">
        <v>26</v>
      </c>
      <c r="B120" s="341"/>
      <c r="C120" s="210" t="s">
        <v>27</v>
      </c>
      <c r="D120" s="210" t="s">
        <v>93</v>
      </c>
      <c r="E120" s="211" t="s">
        <v>90</v>
      </c>
      <c r="F120" s="211" t="s">
        <v>28</v>
      </c>
      <c r="G120" s="212" t="s">
        <v>29</v>
      </c>
      <c r="H120" s="212" t="s">
        <v>140</v>
      </c>
    </row>
    <row r="121" spans="1:8" x14ac:dyDescent="0.2">
      <c r="A121" s="344" t="s">
        <v>11</v>
      </c>
      <c r="B121" s="335"/>
      <c r="C121" s="8" t="s">
        <v>12</v>
      </c>
      <c r="D121" s="170">
        <f>F37</f>
        <v>8</v>
      </c>
      <c r="E121" s="170">
        <f>G37</f>
        <v>5.77</v>
      </c>
      <c r="F121" s="9"/>
      <c r="G121" s="126"/>
      <c r="H121" s="126"/>
    </row>
    <row r="122" spans="1:8" x14ac:dyDescent="0.2">
      <c r="A122" s="338" t="s">
        <v>243</v>
      </c>
      <c r="B122" s="339"/>
      <c r="C122" s="10" t="s">
        <v>13</v>
      </c>
      <c r="D122" s="32">
        <f>C119</f>
        <v>1300</v>
      </c>
      <c r="E122" s="86">
        <f>IFERROR(+E121/D121,"-")</f>
        <v>0.72124999999999995</v>
      </c>
      <c r="F122" s="11">
        <f>IFERROR(D122*E122,"-")</f>
        <v>937.62499999999989</v>
      </c>
      <c r="G122" s="127"/>
      <c r="H122" s="176"/>
    </row>
    <row r="123" spans="1:8" x14ac:dyDescent="0.2">
      <c r="A123" s="317" t="s">
        <v>250</v>
      </c>
      <c r="B123" s="318"/>
      <c r="C123" s="10" t="s">
        <v>12</v>
      </c>
      <c r="D123" s="231">
        <v>65</v>
      </c>
      <c r="E123" s="322">
        <v>4</v>
      </c>
      <c r="F123" s="11"/>
      <c r="G123" s="127"/>
      <c r="H123" s="176"/>
    </row>
    <row r="124" spans="1:8" x14ac:dyDescent="0.2">
      <c r="A124" s="317" t="s">
        <v>251</v>
      </c>
      <c r="B124" s="318"/>
      <c r="C124" s="10" t="s">
        <v>13</v>
      </c>
      <c r="D124" s="32">
        <f>C119</f>
        <v>1300</v>
      </c>
      <c r="E124" s="86">
        <f>IFERROR(+E123/D123,"-")</f>
        <v>6.1538461538461542E-2</v>
      </c>
      <c r="F124" s="11">
        <f>IFERROR(D124*E124,"-")</f>
        <v>80</v>
      </c>
      <c r="G124" s="127"/>
      <c r="H124" s="176"/>
    </row>
    <row r="125" spans="1:8" x14ac:dyDescent="0.2">
      <c r="A125" s="338" t="s">
        <v>205</v>
      </c>
      <c r="B125" s="339"/>
      <c r="C125" s="89" t="s">
        <v>206</v>
      </c>
      <c r="D125" s="235">
        <v>10.5</v>
      </c>
      <c r="E125" s="231">
        <v>20.23</v>
      </c>
      <c r="F125" s="11"/>
      <c r="G125" s="127"/>
      <c r="H125" s="176"/>
    </row>
    <row r="126" spans="1:8" x14ac:dyDescent="0.2">
      <c r="A126" s="345" t="s">
        <v>14</v>
      </c>
      <c r="B126" s="339"/>
      <c r="C126" s="10" t="s">
        <v>13</v>
      </c>
      <c r="D126" s="32">
        <f>D122</f>
        <v>1300</v>
      </c>
      <c r="E126" s="83">
        <f>+D125*E125/10000</f>
        <v>2.12415E-2</v>
      </c>
      <c r="F126" s="11">
        <f>D126*E126</f>
        <v>27.613949999999999</v>
      </c>
      <c r="G126" s="127"/>
      <c r="H126" s="176"/>
    </row>
    <row r="127" spans="1:8" x14ac:dyDescent="0.2">
      <c r="A127" s="338" t="s">
        <v>207</v>
      </c>
      <c r="B127" s="339"/>
      <c r="C127" s="89" t="s">
        <v>208</v>
      </c>
      <c r="D127" s="235">
        <v>4.5999999999999996</v>
      </c>
      <c r="E127" s="231">
        <v>23.9</v>
      </c>
      <c r="F127" s="11"/>
      <c r="G127" s="127"/>
      <c r="H127" s="176"/>
    </row>
    <row r="128" spans="1:8" x14ac:dyDescent="0.2">
      <c r="A128" s="345" t="s">
        <v>15</v>
      </c>
      <c r="B128" s="339"/>
      <c r="C128" s="10" t="s">
        <v>13</v>
      </c>
      <c r="D128" s="32">
        <f>D122</f>
        <v>1300</v>
      </c>
      <c r="E128" s="206">
        <f>+D127*E127/100000</f>
        <v>1.0993999999999999E-3</v>
      </c>
      <c r="F128" s="11">
        <f>D128*E128</f>
        <v>1.4292199999999999</v>
      </c>
      <c r="G128" s="127"/>
      <c r="H128" s="176"/>
    </row>
    <row r="129" spans="1:10" x14ac:dyDescent="0.2">
      <c r="A129" s="338" t="s">
        <v>210</v>
      </c>
      <c r="B129" s="339"/>
      <c r="C129" s="89" t="s">
        <v>209</v>
      </c>
      <c r="D129" s="235">
        <v>1.7</v>
      </c>
      <c r="E129" s="231">
        <v>23.01</v>
      </c>
      <c r="F129" s="11"/>
      <c r="G129" s="127"/>
      <c r="H129" s="176"/>
    </row>
    <row r="130" spans="1:10" x14ac:dyDescent="0.2">
      <c r="A130" s="345" t="s">
        <v>16</v>
      </c>
      <c r="B130" s="339"/>
      <c r="C130" s="10" t="s">
        <v>13</v>
      </c>
      <c r="D130" s="32">
        <f>D122</f>
        <v>1300</v>
      </c>
      <c r="E130" s="206">
        <f>+D129*E129/80000</f>
        <v>4.8896250000000007E-4</v>
      </c>
      <c r="F130" s="11">
        <f>D130*E130</f>
        <v>0.63565125000000011</v>
      </c>
      <c r="G130" s="127"/>
      <c r="H130" s="176"/>
    </row>
    <row r="131" spans="1:10" x14ac:dyDescent="0.2">
      <c r="A131" s="338" t="s">
        <v>212</v>
      </c>
      <c r="B131" s="339"/>
      <c r="C131" s="89" t="s">
        <v>211</v>
      </c>
      <c r="D131" s="235">
        <v>1</v>
      </c>
      <c r="E131" s="231">
        <v>21.91</v>
      </c>
      <c r="F131" s="11"/>
      <c r="G131" s="127"/>
      <c r="H131" s="176"/>
    </row>
    <row r="132" spans="1:10" x14ac:dyDescent="0.2">
      <c r="A132" s="345" t="s">
        <v>17</v>
      </c>
      <c r="B132" s="339"/>
      <c r="C132" s="10" t="s">
        <v>13</v>
      </c>
      <c r="D132" s="32">
        <f>D122</f>
        <v>1300</v>
      </c>
      <c r="E132" s="83">
        <f>+D131*E131/10000</f>
        <v>2.1909999999999998E-3</v>
      </c>
      <c r="F132" s="11">
        <f>D132*E132</f>
        <v>2.8482999999999996</v>
      </c>
      <c r="G132" s="127"/>
      <c r="H132" s="176"/>
    </row>
    <row r="133" spans="1:10" ht="13.5" thickBot="1" x14ac:dyDescent="0.25">
      <c r="A133" s="343" t="s">
        <v>92</v>
      </c>
      <c r="B133" s="339"/>
      <c r="C133" s="34" t="s">
        <v>44</v>
      </c>
      <c r="D133" s="84"/>
      <c r="E133" s="85">
        <f>IFERROR(E122+E126+E128+E130+E132,0)</f>
        <v>0.74627086249999997</v>
      </c>
      <c r="F133" s="35">
        <f>ROUND(SUM(F121:F132),2)</f>
        <v>1050.1500000000001</v>
      </c>
      <c r="G133" s="213">
        <f>F133</f>
        <v>1050.1500000000001</v>
      </c>
      <c r="H133" s="213">
        <f>G133/G$40</f>
        <v>0.80780769230769234</v>
      </c>
    </row>
    <row r="134" spans="1:10" ht="11.25" customHeight="1" x14ac:dyDescent="0.2">
      <c r="A134" s="95"/>
      <c r="E134" s="27"/>
      <c r="F134" s="27"/>
      <c r="G134" s="125"/>
      <c r="H134" s="176"/>
    </row>
    <row r="135" spans="1:10" ht="13.5" thickBot="1" x14ac:dyDescent="0.25">
      <c r="A135" s="96" t="s">
        <v>193</v>
      </c>
      <c r="B135" s="6"/>
      <c r="E135" s="27"/>
      <c r="F135" s="27"/>
      <c r="G135" s="40"/>
      <c r="H135" s="176"/>
    </row>
    <row r="136" spans="1:10" ht="13.5" thickBot="1" x14ac:dyDescent="0.25">
      <c r="A136" s="340" t="s">
        <v>26</v>
      </c>
      <c r="B136" s="341"/>
      <c r="C136" s="210" t="s">
        <v>27</v>
      </c>
      <c r="D136" s="210" t="s">
        <v>20</v>
      </c>
      <c r="E136" s="211" t="s">
        <v>90</v>
      </c>
      <c r="F136" s="211" t="s">
        <v>28</v>
      </c>
      <c r="G136" s="212" t="s">
        <v>29</v>
      </c>
      <c r="H136" s="212" t="s">
        <v>140</v>
      </c>
    </row>
    <row r="137" spans="1:10" x14ac:dyDescent="0.2">
      <c r="A137" s="334" t="s">
        <v>168</v>
      </c>
      <c r="B137" s="335"/>
      <c r="C137" s="8" t="s">
        <v>44</v>
      </c>
      <c r="D137" s="32">
        <f>D122</f>
        <v>1300</v>
      </c>
      <c r="E137" s="236">
        <v>0.6</v>
      </c>
      <c r="F137" s="9">
        <f>D137*E137</f>
        <v>780</v>
      </c>
      <c r="G137" s="126"/>
      <c r="H137" s="126"/>
      <c r="J137" s="303"/>
    </row>
    <row r="138" spans="1:10" x14ac:dyDescent="0.2">
      <c r="A138" s="338" t="s">
        <v>127</v>
      </c>
      <c r="B138" s="339"/>
      <c r="C138" s="149" t="s">
        <v>128</v>
      </c>
      <c r="D138" s="238">
        <v>4</v>
      </c>
      <c r="E138" s="237">
        <v>100</v>
      </c>
      <c r="F138" s="150">
        <f>D138*E138</f>
        <v>400</v>
      </c>
      <c r="G138" s="40"/>
      <c r="H138" s="40"/>
    </row>
    <row r="139" spans="1:10" s="151" customFormat="1" ht="13.5" thickBot="1" x14ac:dyDescent="0.25">
      <c r="A139" s="343" t="s">
        <v>129</v>
      </c>
      <c r="B139" s="339"/>
      <c r="C139" s="89" t="s">
        <v>130</v>
      </c>
      <c r="D139" s="152"/>
      <c r="E139" s="23"/>
      <c r="F139" s="146">
        <f>ROUND(SUM(F137:F138),2)</f>
        <v>1180</v>
      </c>
      <c r="G139" s="213">
        <f>F139</f>
        <v>1180</v>
      </c>
      <c r="H139" s="213">
        <f>G139/G$40</f>
        <v>0.90769230769230769</v>
      </c>
    </row>
    <row r="140" spans="1:10" ht="11.25" customHeight="1" x14ac:dyDescent="0.2">
      <c r="A140" s="95"/>
      <c r="E140" s="27"/>
      <c r="F140" s="27"/>
      <c r="G140" s="125"/>
      <c r="H140" s="176"/>
    </row>
    <row r="141" spans="1:10" ht="13.5" thickBot="1" x14ac:dyDescent="0.25">
      <c r="A141" s="96" t="s">
        <v>194</v>
      </c>
      <c r="B141" s="6"/>
      <c r="E141" s="27"/>
      <c r="F141" s="27"/>
      <c r="G141" s="40"/>
      <c r="H141" s="176"/>
    </row>
    <row r="142" spans="1:10" ht="13.5" thickBot="1" x14ac:dyDescent="0.25">
      <c r="A142" s="340" t="s">
        <v>26</v>
      </c>
      <c r="B142" s="341"/>
      <c r="C142" s="210" t="s">
        <v>27</v>
      </c>
      <c r="D142" s="210" t="s">
        <v>20</v>
      </c>
      <c r="E142" s="211" t="s">
        <v>90</v>
      </c>
      <c r="F142" s="211" t="s">
        <v>28</v>
      </c>
      <c r="G142" s="212" t="s">
        <v>29</v>
      </c>
      <c r="H142" s="212" t="s">
        <v>140</v>
      </c>
    </row>
    <row r="143" spans="1:10" x14ac:dyDescent="0.2">
      <c r="A143" s="334" t="s">
        <v>261</v>
      </c>
      <c r="B143" s="335"/>
      <c r="C143" s="8" t="s">
        <v>7</v>
      </c>
      <c r="D143" s="239">
        <v>6</v>
      </c>
      <c r="E143" s="237">
        <v>1367</v>
      </c>
      <c r="F143" s="9">
        <f>D143*E143</f>
        <v>8202</v>
      </c>
      <c r="G143" s="126"/>
      <c r="H143" s="126"/>
    </row>
    <row r="144" spans="1:10" x14ac:dyDescent="0.2">
      <c r="A144" s="283" t="s">
        <v>231</v>
      </c>
      <c r="B144" s="284"/>
      <c r="C144" s="149" t="s">
        <v>27</v>
      </c>
      <c r="D144" s="287">
        <v>0</v>
      </c>
      <c r="E144" s="285"/>
      <c r="F144" s="150"/>
      <c r="G144" s="127"/>
      <c r="H144" s="40"/>
    </row>
    <row r="145" spans="1:8" x14ac:dyDescent="0.2">
      <c r="A145" s="283" t="s">
        <v>232</v>
      </c>
      <c r="B145" s="284"/>
      <c r="C145" s="149" t="s">
        <v>27</v>
      </c>
      <c r="D145" s="150">
        <f>D143*D144</f>
        <v>0</v>
      </c>
      <c r="E145" s="237">
        <v>0</v>
      </c>
      <c r="F145" s="150">
        <f>D145*E145</f>
        <v>0</v>
      </c>
      <c r="G145" s="127"/>
      <c r="H145" s="40"/>
    </row>
    <row r="146" spans="1:8" x14ac:dyDescent="0.2">
      <c r="A146" s="338" t="s">
        <v>124</v>
      </c>
      <c r="B146" s="339"/>
      <c r="C146" s="10" t="s">
        <v>18</v>
      </c>
      <c r="D146" s="288">
        <v>45000</v>
      </c>
      <c r="E146" s="178">
        <f>F143+F145</f>
        <v>8202</v>
      </c>
      <c r="F146" s="178">
        <f>IFERROR(E146/D146,"-")</f>
        <v>0.18226666666666666</v>
      </c>
      <c r="G146" s="127"/>
      <c r="H146" s="176"/>
    </row>
    <row r="147" spans="1:8" ht="13.5" thickBot="1" x14ac:dyDescent="0.25">
      <c r="A147" s="343" t="s">
        <v>24</v>
      </c>
      <c r="B147" s="339"/>
      <c r="C147" s="10" t="s">
        <v>13</v>
      </c>
      <c r="D147" s="286">
        <f>C119</f>
        <v>1300</v>
      </c>
      <c r="E147" s="178">
        <f>F146</f>
        <v>0.18226666666666666</v>
      </c>
      <c r="F147" s="178">
        <f>ROUND(D147*E147,2)</f>
        <v>236.95</v>
      </c>
      <c r="G147" s="213">
        <f>F147</f>
        <v>236.95</v>
      </c>
      <c r="H147" s="213">
        <f>G147/G$40</f>
        <v>0.18226923076923077</v>
      </c>
    </row>
    <row r="148" spans="1:8" ht="11.25" customHeight="1" x14ac:dyDescent="0.2">
      <c r="A148" s="95"/>
      <c r="E148" s="27"/>
      <c r="F148" s="27"/>
      <c r="G148" s="125"/>
      <c r="H148" s="176"/>
    </row>
    <row r="149" spans="1:8" ht="13.5" thickBot="1" x14ac:dyDescent="0.25">
      <c r="A149" s="96" t="s">
        <v>238</v>
      </c>
      <c r="B149" s="6"/>
      <c r="E149" s="27"/>
      <c r="F149" s="27"/>
      <c r="G149" s="40"/>
      <c r="H149" s="176"/>
    </row>
    <row r="150" spans="1:8" ht="13.5" thickBot="1" x14ac:dyDescent="0.25">
      <c r="A150" s="340" t="s">
        <v>26</v>
      </c>
      <c r="B150" s="341"/>
      <c r="C150" s="210" t="s">
        <v>27</v>
      </c>
      <c r="D150" s="210" t="s">
        <v>20</v>
      </c>
      <c r="E150" s="211" t="s">
        <v>90</v>
      </c>
      <c r="F150" s="211" t="s">
        <v>28</v>
      </c>
      <c r="G150" s="212" t="s">
        <v>29</v>
      </c>
      <c r="H150" s="212" t="s">
        <v>140</v>
      </c>
    </row>
    <row r="151" spans="1:8" x14ac:dyDescent="0.2">
      <c r="A151" s="334" t="s">
        <v>242</v>
      </c>
      <c r="B151" s="335"/>
      <c r="C151" s="149" t="s">
        <v>141</v>
      </c>
      <c r="D151" s="287">
        <v>1</v>
      </c>
      <c r="E151" s="237">
        <f>149/12</f>
        <v>12.416666666666666</v>
      </c>
      <c r="F151" s="9">
        <f>D151*E151</f>
        <v>12.416666666666666</v>
      </c>
      <c r="G151" s="126"/>
      <c r="H151" s="126"/>
    </row>
    <row r="152" spans="1:8" x14ac:dyDescent="0.2">
      <c r="A152" s="283" t="s">
        <v>239</v>
      </c>
      <c r="B152" s="284"/>
      <c r="C152" s="149" t="s">
        <v>141</v>
      </c>
      <c r="D152" s="287">
        <v>1</v>
      </c>
      <c r="E152" s="237">
        <v>59.99</v>
      </c>
      <c r="F152" s="150">
        <f>D152*E152</f>
        <v>59.99</v>
      </c>
      <c r="G152" s="127"/>
      <c r="H152" s="40"/>
    </row>
    <row r="153" spans="1:8" ht="13.5" thickBot="1" x14ac:dyDescent="0.25">
      <c r="A153" s="343" t="s">
        <v>240</v>
      </c>
      <c r="B153" s="339"/>
      <c r="C153" s="10"/>
      <c r="D153" s="286"/>
      <c r="E153" s="178"/>
      <c r="F153" s="178"/>
      <c r="G153" s="213">
        <f>F151+F152</f>
        <v>72.406666666666666</v>
      </c>
      <c r="H153" s="213">
        <f>G153/G$40</f>
        <v>5.56974358974359E-2</v>
      </c>
    </row>
    <row r="154" spans="1:8" ht="11.25" customHeight="1" thickBot="1" x14ac:dyDescent="0.25">
      <c r="A154" s="95"/>
      <c r="E154" s="27"/>
      <c r="F154" s="27"/>
      <c r="G154" s="125"/>
      <c r="H154" s="176"/>
    </row>
    <row r="155" spans="1:8" ht="13.5" thickBot="1" x14ac:dyDescent="0.25">
      <c r="A155" s="12" t="s">
        <v>137</v>
      </c>
      <c r="B155" s="13"/>
      <c r="C155" s="13"/>
      <c r="D155" s="13"/>
      <c r="E155" s="14"/>
      <c r="F155" s="15"/>
      <c r="G155" s="219">
        <f>+SUM(G91:G154)</f>
        <v>3805.3896424005679</v>
      </c>
      <c r="H155" s="213">
        <f>G155/G$40</f>
        <v>2.9272228018465909</v>
      </c>
    </row>
    <row r="156" spans="1:8" ht="11.25" customHeight="1" x14ac:dyDescent="0.2">
      <c r="A156" s="95"/>
      <c r="E156" s="27"/>
      <c r="F156" s="27"/>
      <c r="G156" s="125"/>
      <c r="H156" s="176"/>
    </row>
    <row r="157" spans="1:8" ht="13.5" thickBot="1" x14ac:dyDescent="0.25">
      <c r="A157" s="96" t="s">
        <v>148</v>
      </c>
      <c r="B157" s="6"/>
      <c r="C157" s="6"/>
      <c r="D157" s="6"/>
      <c r="E157" s="20"/>
      <c r="F157" s="20"/>
      <c r="G157" s="133"/>
      <c r="H157" s="176"/>
    </row>
    <row r="158" spans="1:8" ht="13.5" thickBot="1" x14ac:dyDescent="0.25">
      <c r="A158" s="340" t="s">
        <v>26</v>
      </c>
      <c r="B158" s="341"/>
      <c r="C158" s="210" t="s">
        <v>27</v>
      </c>
      <c r="D158" s="210" t="s">
        <v>20</v>
      </c>
      <c r="E158" s="211" t="s">
        <v>90</v>
      </c>
      <c r="F158" s="211" t="s">
        <v>28</v>
      </c>
      <c r="G158" s="212" t="s">
        <v>29</v>
      </c>
      <c r="H158" s="212" t="s">
        <v>140</v>
      </c>
    </row>
    <row r="159" spans="1:8" x14ac:dyDescent="0.2">
      <c r="A159" s="334" t="s">
        <v>170</v>
      </c>
      <c r="B159" s="335"/>
      <c r="C159" s="89" t="s">
        <v>169</v>
      </c>
      <c r="D159" s="240">
        <f>1/12</f>
        <v>8.3333333333333329E-2</v>
      </c>
      <c r="E159" s="237">
        <v>28</v>
      </c>
      <c r="F159" s="11">
        <f>D159*E159</f>
        <v>2.333333333333333</v>
      </c>
      <c r="G159" s="134"/>
      <c r="H159" s="126"/>
    </row>
    <row r="160" spans="1:8" x14ac:dyDescent="0.2">
      <c r="A160" s="338" t="s">
        <v>171</v>
      </c>
      <c r="B160" s="339"/>
      <c r="C160" s="89" t="s">
        <v>169</v>
      </c>
      <c r="D160" s="240">
        <f>3/12</f>
        <v>0.25</v>
      </c>
      <c r="E160" s="237">
        <v>19.899999999999999</v>
      </c>
      <c r="F160" s="11">
        <f>D160*E160</f>
        <v>4.9749999999999996</v>
      </c>
      <c r="G160" s="135"/>
      <c r="H160" s="176"/>
    </row>
    <row r="161" spans="1:8" x14ac:dyDescent="0.2">
      <c r="A161" s="338" t="s">
        <v>172</v>
      </c>
      <c r="B161" s="339"/>
      <c r="C161" s="89" t="s">
        <v>169</v>
      </c>
      <c r="D161" s="240">
        <f>2/12</f>
        <v>0.16666666666666666</v>
      </c>
      <c r="E161" s="237">
        <v>14.8</v>
      </c>
      <c r="F161" s="11">
        <f>D161*E161</f>
        <v>2.4666666666666668</v>
      </c>
      <c r="G161" s="135"/>
      <c r="H161" s="176"/>
    </row>
    <row r="162" spans="1:8" ht="13.5" thickBot="1" x14ac:dyDescent="0.25">
      <c r="A162" s="338" t="s">
        <v>173</v>
      </c>
      <c r="B162" s="339"/>
      <c r="C162" s="89" t="s">
        <v>186</v>
      </c>
      <c r="D162" s="240">
        <f>4</f>
        <v>4</v>
      </c>
      <c r="E162" s="237">
        <v>17.98</v>
      </c>
      <c r="F162" s="11">
        <f>D162*E162</f>
        <v>71.92</v>
      </c>
      <c r="G162" s="135"/>
      <c r="H162" s="176"/>
    </row>
    <row r="163" spans="1:8" ht="13.5" thickBot="1" x14ac:dyDescent="0.25">
      <c r="A163" s="338" t="s">
        <v>174</v>
      </c>
      <c r="B163" s="339"/>
      <c r="C163" s="89" t="s">
        <v>169</v>
      </c>
      <c r="D163" s="240">
        <v>4</v>
      </c>
      <c r="E163" s="237">
        <v>4.7</v>
      </c>
      <c r="F163" s="11">
        <f t="shared" ref="F163" si="6">D163*E163</f>
        <v>18.8</v>
      </c>
      <c r="G163" s="217">
        <f>ROUND(SUM(F159:F163),2)</f>
        <v>100.5</v>
      </c>
      <c r="H163" s="217">
        <f>G163/G$40</f>
        <v>7.7307692307692313E-2</v>
      </c>
    </row>
    <row r="164" spans="1:8" ht="11.25" customHeight="1" thickBot="1" x14ac:dyDescent="0.25">
      <c r="A164" s="95"/>
      <c r="E164" s="27"/>
      <c r="F164" s="27"/>
      <c r="G164" s="40"/>
      <c r="H164" s="40"/>
    </row>
    <row r="165" spans="1:8" ht="13.5" thickBot="1" x14ac:dyDescent="0.25">
      <c r="A165" s="12" t="s">
        <v>89</v>
      </c>
      <c r="B165" s="13"/>
      <c r="C165" s="13"/>
      <c r="D165" s="13"/>
      <c r="E165" s="14"/>
      <c r="F165" s="15"/>
      <c r="G165" s="219">
        <f>+G163</f>
        <v>100.5</v>
      </c>
      <c r="H165" s="219">
        <f>G165/G$40</f>
        <v>7.7307692307692313E-2</v>
      </c>
    </row>
    <row r="166" spans="1:8" ht="11.25" customHeight="1" thickBot="1" x14ac:dyDescent="0.25">
      <c r="A166" s="95"/>
      <c r="E166" s="27"/>
      <c r="F166" s="27"/>
      <c r="G166" s="125"/>
      <c r="H166" s="125"/>
    </row>
    <row r="167" spans="1:8" ht="17.25" customHeight="1" thickBot="1" x14ac:dyDescent="0.25">
      <c r="A167" s="12" t="s">
        <v>121</v>
      </c>
      <c r="B167" s="13"/>
      <c r="C167" s="16"/>
      <c r="D167" s="16"/>
      <c r="E167" s="17"/>
      <c r="F167" s="18"/>
      <c r="G167" s="216">
        <f>+G85+G155+G165</f>
        <v>4919.1990174005678</v>
      </c>
      <c r="H167" s="216">
        <f>G167/G$40</f>
        <v>3.7839992441542827</v>
      </c>
    </row>
    <row r="168" spans="1:8" ht="17.25" customHeight="1" thickBot="1" x14ac:dyDescent="0.25">
      <c r="A168" s="12" t="s">
        <v>122</v>
      </c>
      <c r="B168" s="13"/>
      <c r="C168" s="16"/>
      <c r="D168" s="16"/>
      <c r="E168" s="17"/>
      <c r="F168" s="18"/>
      <c r="G168" s="218">
        <f>+G86+G155+G165</f>
        <v>4744.869756036931</v>
      </c>
      <c r="H168" s="218">
        <f>G168/G$40</f>
        <v>3.6498998123361006</v>
      </c>
    </row>
    <row r="169" spans="1:8" ht="11.25" customHeight="1" x14ac:dyDescent="0.2">
      <c r="A169" s="95"/>
      <c r="E169" s="27"/>
      <c r="F169" s="27"/>
      <c r="G169" s="125"/>
      <c r="H169" s="125"/>
    </row>
    <row r="170" spans="1:8" ht="13.5" thickBot="1" x14ac:dyDescent="0.25">
      <c r="A170" s="96" t="s">
        <v>149</v>
      </c>
      <c r="B170" s="6"/>
      <c r="E170" s="27"/>
      <c r="F170" s="27"/>
      <c r="G170" s="40"/>
      <c r="H170" s="40"/>
    </row>
    <row r="171" spans="1:8" ht="13.5" thickBot="1" x14ac:dyDescent="0.25">
      <c r="A171" s="340" t="s">
        <v>26</v>
      </c>
      <c r="B171" s="341"/>
      <c r="C171" s="210" t="s">
        <v>27</v>
      </c>
      <c r="D171" s="210" t="s">
        <v>20</v>
      </c>
      <c r="E171" s="211" t="s">
        <v>90</v>
      </c>
      <c r="F171" s="211" t="s">
        <v>28</v>
      </c>
      <c r="G171" s="212" t="s">
        <v>29</v>
      </c>
      <c r="H171" s="212" t="s">
        <v>140</v>
      </c>
    </row>
    <row r="172" spans="1:8" ht="13.5" thickBot="1" x14ac:dyDescent="0.25">
      <c r="A172" s="334" t="s">
        <v>150</v>
      </c>
      <c r="B172" s="335"/>
      <c r="C172" s="8" t="s">
        <v>0</v>
      </c>
      <c r="D172" s="41">
        <f>BDI!C11*100</f>
        <v>31.75</v>
      </c>
      <c r="E172" s="9">
        <f>+G167</f>
        <v>4919.1990174005678</v>
      </c>
      <c r="F172" s="9">
        <f>ROUND(D172*E172/100,2)</f>
        <v>1561.85</v>
      </c>
      <c r="G172" s="219">
        <f>+F172</f>
        <v>1561.85</v>
      </c>
      <c r="H172" s="219">
        <f>G172/G$40</f>
        <v>1.2014230769230769</v>
      </c>
    </row>
    <row r="173" spans="1:8" x14ac:dyDescent="0.2">
      <c r="A173" s="95"/>
      <c r="E173" s="27"/>
      <c r="F173" s="27"/>
      <c r="G173" s="125"/>
      <c r="H173" s="125"/>
    </row>
    <row r="174" spans="1:8" ht="11.25" customHeight="1" thickBot="1" x14ac:dyDescent="0.25">
      <c r="A174" s="95"/>
      <c r="E174" s="27"/>
      <c r="F174" s="27"/>
      <c r="G174" s="40"/>
      <c r="H174" s="40"/>
    </row>
    <row r="175" spans="1:8" ht="13.5" thickBot="1" x14ac:dyDescent="0.25">
      <c r="A175" s="12" t="s">
        <v>151</v>
      </c>
      <c r="B175" s="13"/>
      <c r="C175" s="16"/>
      <c r="D175" s="16"/>
      <c r="E175" s="17"/>
      <c r="F175" s="18"/>
      <c r="G175" s="218">
        <f>G172</f>
        <v>1561.85</v>
      </c>
      <c r="H175" s="218">
        <f>G175/G$40</f>
        <v>1.2014230769230769</v>
      </c>
    </row>
    <row r="176" spans="1:8" ht="13.5" thickBot="1" x14ac:dyDescent="0.25">
      <c r="A176" s="96"/>
      <c r="B176" s="6"/>
      <c r="C176" s="6"/>
      <c r="D176" s="6"/>
      <c r="E176" s="20"/>
      <c r="F176" s="20"/>
      <c r="G176" s="136"/>
      <c r="H176" s="136"/>
    </row>
    <row r="177" spans="1:8" ht="24.75" customHeight="1" thickBot="1" x14ac:dyDescent="0.25">
      <c r="A177" s="12" t="s">
        <v>152</v>
      </c>
      <c r="B177" s="13"/>
      <c r="C177" s="16"/>
      <c r="D177" s="16"/>
      <c r="E177" s="17"/>
      <c r="F177" s="18"/>
      <c r="G177" s="183">
        <f>G167+G175</f>
        <v>6481.0490174005681</v>
      </c>
      <c r="H177" s="218">
        <f>G177/G$40</f>
        <v>4.9854223210773601</v>
      </c>
    </row>
    <row r="178" spans="1:8" ht="12.6" customHeight="1" x14ac:dyDescent="0.2">
      <c r="A178" s="100"/>
      <c r="B178" s="24"/>
      <c r="C178" s="24"/>
      <c r="D178" s="24"/>
      <c r="E178" s="25"/>
      <c r="F178" s="25"/>
      <c r="G178" s="137"/>
      <c r="H178" s="137"/>
    </row>
    <row r="179" spans="1:8" ht="16.149999999999999" customHeight="1" x14ac:dyDescent="0.2">
      <c r="A179" s="338" t="s">
        <v>153</v>
      </c>
      <c r="B179" s="342"/>
      <c r="C179" s="79"/>
      <c r="D179" s="79"/>
      <c r="E179" s="144">
        <f>C119</f>
        <v>1300</v>
      </c>
      <c r="F179" s="143" t="s">
        <v>139</v>
      </c>
      <c r="G179" s="40"/>
      <c r="H179" s="40"/>
    </row>
    <row r="180" spans="1:8" ht="13.5" thickBot="1" x14ac:dyDescent="0.25">
      <c r="A180" s="95"/>
      <c r="E180" s="27"/>
      <c r="F180" s="27"/>
      <c r="G180" s="40"/>
      <c r="H180" s="40"/>
    </row>
    <row r="181" spans="1:8" ht="25.5" customHeight="1" thickBot="1" x14ac:dyDescent="0.25">
      <c r="A181" s="12" t="s">
        <v>154</v>
      </c>
      <c r="B181" s="13"/>
      <c r="C181" s="13"/>
      <c r="D181" s="13"/>
      <c r="E181" s="14"/>
      <c r="F181" s="142" t="s">
        <v>140</v>
      </c>
      <c r="G181" s="332">
        <f>ROUND(IFERROR(G177/E179,"-"),2)</f>
        <v>4.99</v>
      </c>
      <c r="H181" s="333"/>
    </row>
    <row r="182" spans="1:8" ht="12.6" customHeight="1" x14ac:dyDescent="0.2">
      <c r="A182" s="96"/>
      <c r="B182" s="6"/>
      <c r="C182" s="6"/>
      <c r="D182" s="6"/>
      <c r="E182" s="20"/>
      <c r="F182" s="20"/>
      <c r="G182" s="138"/>
      <c r="H182" s="138"/>
    </row>
    <row r="183" spans="1:8" x14ac:dyDescent="0.2">
      <c r="A183" s="96" t="s">
        <v>155</v>
      </c>
      <c r="B183" s="6"/>
      <c r="E183" s="27"/>
      <c r="F183" s="27"/>
      <c r="G183" s="40"/>
      <c r="H183" s="40"/>
    </row>
    <row r="184" spans="1:8" ht="11.25" customHeight="1" thickBot="1" x14ac:dyDescent="0.25">
      <c r="A184" s="95"/>
      <c r="E184" s="27"/>
      <c r="F184" s="27"/>
      <c r="G184" s="40"/>
      <c r="H184" s="40"/>
    </row>
    <row r="185" spans="1:8" ht="13.5" thickBot="1" x14ac:dyDescent="0.25">
      <c r="A185" s="214" t="s">
        <v>26</v>
      </c>
      <c r="B185" s="215"/>
      <c r="C185" s="210" t="s">
        <v>27</v>
      </c>
      <c r="D185" s="210" t="s">
        <v>20</v>
      </c>
      <c r="E185" s="211" t="s">
        <v>90</v>
      </c>
      <c r="F185" s="211" t="s">
        <v>28</v>
      </c>
      <c r="G185" s="212" t="s">
        <v>29</v>
      </c>
      <c r="H185" s="212" t="s">
        <v>140</v>
      </c>
    </row>
    <row r="186" spans="1:8" ht="13.5" thickBot="1" x14ac:dyDescent="0.25">
      <c r="A186" s="334" t="s">
        <v>138</v>
      </c>
      <c r="B186" s="335"/>
      <c r="C186" s="8" t="s">
        <v>0</v>
      </c>
      <c r="D186" s="41">
        <f>BDI!C$24*100</f>
        <v>23.93</v>
      </c>
      <c r="E186" s="9">
        <f>G167</f>
        <v>4919.1990174005678</v>
      </c>
      <c r="F186" s="9">
        <f>ROUND(D186*E186/100,2)</f>
        <v>1177.1600000000001</v>
      </c>
      <c r="G186" s="219">
        <f>+F186</f>
        <v>1177.1600000000001</v>
      </c>
      <c r="H186" s="219">
        <f>G186/G$40</f>
        <v>0.90550769230769235</v>
      </c>
    </row>
    <row r="187" spans="1:8" x14ac:dyDescent="0.2">
      <c r="A187" s="95"/>
      <c r="E187" s="27"/>
      <c r="F187" s="27"/>
      <c r="G187" s="138"/>
      <c r="H187" s="138"/>
    </row>
    <row r="188" spans="1:8" ht="11.25" customHeight="1" thickBot="1" x14ac:dyDescent="0.25">
      <c r="A188" s="95"/>
      <c r="E188" s="27"/>
      <c r="F188" s="27"/>
      <c r="G188" s="40"/>
      <c r="H188" s="40"/>
    </row>
    <row r="189" spans="1:8" ht="13.5" thickBot="1" x14ac:dyDescent="0.25">
      <c r="A189" s="12" t="s">
        <v>156</v>
      </c>
      <c r="B189" s="13"/>
      <c r="C189" s="16"/>
      <c r="D189" s="16"/>
      <c r="E189" s="17"/>
      <c r="F189" s="18"/>
      <c r="G189" s="218">
        <f>G186</f>
        <v>1177.1600000000001</v>
      </c>
      <c r="H189" s="218">
        <f>G189/G$40</f>
        <v>0.90550769230769235</v>
      </c>
    </row>
    <row r="190" spans="1:8" ht="13.5" thickBot="1" x14ac:dyDescent="0.25">
      <c r="A190" s="96"/>
      <c r="B190" s="6"/>
      <c r="C190" s="6"/>
      <c r="D190" s="6"/>
      <c r="E190" s="20"/>
      <c r="F190" s="20"/>
      <c r="G190" s="136"/>
      <c r="H190" s="136"/>
    </row>
    <row r="191" spans="1:8" ht="24.75" customHeight="1" thickBot="1" x14ac:dyDescent="0.25">
      <c r="A191" s="12" t="s">
        <v>157</v>
      </c>
      <c r="B191" s="13"/>
      <c r="C191" s="16"/>
      <c r="D191" s="16"/>
      <c r="E191" s="17"/>
      <c r="F191" s="18"/>
      <c r="G191" s="183">
        <f>G167+G189</f>
        <v>6096.3590174005676</v>
      </c>
      <c r="H191" s="218">
        <f>G191/G$40</f>
        <v>4.6895069364619753</v>
      </c>
    </row>
    <row r="192" spans="1:8" ht="12.6" customHeight="1" x14ac:dyDescent="0.2">
      <c r="A192" s="100"/>
      <c r="B192" s="24"/>
      <c r="C192" s="24"/>
      <c r="D192" s="24"/>
      <c r="E192" s="25"/>
      <c r="F192" s="25"/>
      <c r="G192" s="137"/>
      <c r="H192" s="137"/>
    </row>
    <row r="193" spans="1:8" ht="16.149999999999999" customHeight="1" x14ac:dyDescent="0.2">
      <c r="A193" s="141" t="s">
        <v>158</v>
      </c>
      <c r="B193" s="192"/>
      <c r="C193" s="79"/>
      <c r="D193" s="79"/>
      <c r="E193" s="144">
        <f>E$179</f>
        <v>1300</v>
      </c>
      <c r="F193" s="143" t="s">
        <v>139</v>
      </c>
      <c r="G193" s="40"/>
      <c r="H193" s="40"/>
    </row>
    <row r="194" spans="1:8" ht="13.5" thickBot="1" x14ac:dyDescent="0.25">
      <c r="A194" s="95"/>
      <c r="E194" s="27"/>
      <c r="F194" s="27"/>
      <c r="G194" s="40"/>
      <c r="H194" s="40"/>
    </row>
    <row r="195" spans="1:8" ht="25.5" customHeight="1" thickBot="1" x14ac:dyDescent="0.25">
      <c r="A195" s="12" t="s">
        <v>159</v>
      </c>
      <c r="B195" s="13"/>
      <c r="C195" s="13"/>
      <c r="D195" s="13"/>
      <c r="E195" s="14"/>
      <c r="F195" s="142" t="s">
        <v>140</v>
      </c>
      <c r="G195" s="332">
        <f>ROUND(IFERROR(G191/E193,"-"),2)</f>
        <v>4.6900000000000004</v>
      </c>
      <c r="H195" s="333"/>
    </row>
    <row r="196" spans="1:8" x14ac:dyDescent="0.2">
      <c r="A196" s="113"/>
      <c r="B196" s="114"/>
      <c r="C196" s="114"/>
      <c r="D196" s="114"/>
      <c r="E196" s="115"/>
      <c r="F196" s="115"/>
      <c r="G196" s="125"/>
      <c r="H196" s="125"/>
    </row>
    <row r="197" spans="1:8" x14ac:dyDescent="0.2">
      <c r="A197" s="124" t="s">
        <v>160</v>
      </c>
      <c r="B197" s="193"/>
      <c r="E197" s="27"/>
      <c r="F197" s="27"/>
      <c r="G197" s="40"/>
      <c r="H197" s="40"/>
    </row>
    <row r="198" spans="1:8" ht="11.25" customHeight="1" thickBot="1" x14ac:dyDescent="0.25">
      <c r="A198" s="95"/>
      <c r="E198" s="27"/>
      <c r="F198" s="27"/>
      <c r="G198" s="40"/>
      <c r="H198" s="40"/>
    </row>
    <row r="199" spans="1:8" ht="13.5" thickBot="1" x14ac:dyDescent="0.25">
      <c r="A199" s="214" t="s">
        <v>26</v>
      </c>
      <c r="B199" s="215"/>
      <c r="C199" s="210" t="s">
        <v>27</v>
      </c>
      <c r="D199" s="210" t="s">
        <v>20</v>
      </c>
      <c r="E199" s="211" t="s">
        <v>90</v>
      </c>
      <c r="F199" s="211" t="s">
        <v>28</v>
      </c>
      <c r="G199" s="212" t="s">
        <v>29</v>
      </c>
      <c r="H199" s="212" t="s">
        <v>140</v>
      </c>
    </row>
    <row r="200" spans="1:8" ht="13.5" thickBot="1" x14ac:dyDescent="0.25">
      <c r="A200" s="97" t="s">
        <v>161</v>
      </c>
      <c r="B200" s="190"/>
      <c r="C200" s="8" t="s">
        <v>0</v>
      </c>
      <c r="D200" s="41">
        <f>BDI!C35*100</f>
        <v>16.93</v>
      </c>
      <c r="E200" s="9">
        <f>G168</f>
        <v>4744.869756036931</v>
      </c>
      <c r="F200" s="9">
        <f>ROUND(D200*E200/100,2)</f>
        <v>803.31</v>
      </c>
      <c r="G200" s="219">
        <f>+F200</f>
        <v>803.31</v>
      </c>
      <c r="H200" s="219">
        <f>G200/G$40</f>
        <v>0.61793076923076917</v>
      </c>
    </row>
    <row r="201" spans="1:8" x14ac:dyDescent="0.2">
      <c r="A201" s="95"/>
      <c r="E201" s="27"/>
      <c r="F201" s="27"/>
      <c r="G201" s="125"/>
      <c r="H201" s="125"/>
    </row>
    <row r="202" spans="1:8" ht="11.25" customHeight="1" thickBot="1" x14ac:dyDescent="0.25">
      <c r="A202" s="95"/>
      <c r="E202" s="27"/>
      <c r="F202" s="27"/>
      <c r="G202" s="40"/>
      <c r="H202" s="40"/>
    </row>
    <row r="203" spans="1:8" ht="13.5" thickBot="1" x14ac:dyDescent="0.25">
      <c r="A203" s="12" t="s">
        <v>162</v>
      </c>
      <c r="B203" s="13"/>
      <c r="C203" s="16"/>
      <c r="D203" s="16"/>
      <c r="E203" s="17"/>
      <c r="F203" s="18"/>
      <c r="G203" s="218">
        <f>G200</f>
        <v>803.31</v>
      </c>
      <c r="H203" s="218">
        <f>G203/G$40</f>
        <v>0.61793076923076917</v>
      </c>
    </row>
    <row r="204" spans="1:8" ht="13.5" thickBot="1" x14ac:dyDescent="0.25">
      <c r="A204" s="96"/>
      <c r="B204" s="6"/>
      <c r="C204" s="6"/>
      <c r="D204" s="6"/>
      <c r="E204" s="20"/>
      <c r="F204" s="20"/>
      <c r="G204" s="136"/>
      <c r="H204" s="136"/>
    </row>
    <row r="205" spans="1:8" ht="24.75" customHeight="1" thickBot="1" x14ac:dyDescent="0.25">
      <c r="A205" s="12" t="s">
        <v>163</v>
      </c>
      <c r="B205" s="13"/>
      <c r="C205" s="16"/>
      <c r="D205" s="16"/>
      <c r="E205" s="17"/>
      <c r="F205" s="18"/>
      <c r="G205" s="218">
        <f>E200+G203</f>
        <v>5548.1797560369305</v>
      </c>
      <c r="H205" s="218">
        <f>G205/G$40</f>
        <v>4.2678305815668693</v>
      </c>
    </row>
    <row r="206" spans="1:8" ht="12.6" customHeight="1" x14ac:dyDescent="0.2">
      <c r="A206" s="100"/>
      <c r="B206" s="24"/>
      <c r="C206" s="24"/>
      <c r="D206" s="24"/>
      <c r="E206" s="25"/>
      <c r="F206" s="25"/>
      <c r="G206" s="137"/>
      <c r="H206" s="137"/>
    </row>
    <row r="207" spans="1:8" ht="12.6" customHeight="1" x14ac:dyDescent="0.2">
      <c r="A207" s="100" t="s">
        <v>120</v>
      </c>
      <c r="B207" s="24"/>
      <c r="C207" s="24"/>
      <c r="D207" s="24"/>
      <c r="E207" s="25"/>
      <c r="F207" s="25"/>
      <c r="G207" s="139"/>
      <c r="H207" s="139"/>
    </row>
    <row r="208" spans="1:8" x14ac:dyDescent="0.2">
      <c r="A208" s="140" t="s">
        <v>117</v>
      </c>
      <c r="B208" s="6"/>
      <c r="E208" s="27"/>
      <c r="F208" s="27"/>
      <c r="G208" s="40"/>
      <c r="H208" s="40"/>
    </row>
    <row r="209" spans="1:11" x14ac:dyDescent="0.2">
      <c r="A209" s="96" t="s">
        <v>115</v>
      </c>
      <c r="B209" s="6"/>
      <c r="E209" s="27"/>
      <c r="F209" s="27"/>
      <c r="G209" s="40"/>
      <c r="H209" s="40"/>
    </row>
    <row r="210" spans="1:11" x14ac:dyDescent="0.2">
      <c r="A210" s="336" t="s">
        <v>254</v>
      </c>
      <c r="B210" s="337"/>
      <c r="E210" s="27"/>
      <c r="F210" s="27"/>
      <c r="G210" s="40"/>
      <c r="H210" s="40"/>
    </row>
    <row r="211" spans="1:11" ht="11.25" customHeight="1" thickBot="1" x14ac:dyDescent="0.25">
      <c r="A211" s="116"/>
      <c r="E211" s="27"/>
      <c r="F211" s="27"/>
      <c r="G211" s="40"/>
      <c r="H211" s="40"/>
    </row>
    <row r="212" spans="1:11" ht="15.75" thickBot="1" x14ac:dyDescent="0.3">
      <c r="A212" s="214" t="s">
        <v>26</v>
      </c>
      <c r="B212" s="215"/>
      <c r="C212" s="210" t="s">
        <v>27</v>
      </c>
      <c r="D212" s="210" t="s">
        <v>20</v>
      </c>
      <c r="E212" s="211" t="s">
        <v>116</v>
      </c>
      <c r="F212" s="211" t="s">
        <v>28</v>
      </c>
      <c r="G212" s="212" t="s">
        <v>29</v>
      </c>
      <c r="H212" s="212" t="s">
        <v>140</v>
      </c>
      <c r="I212" s="304"/>
      <c r="J212" s="305"/>
      <c r="K212" s="304"/>
    </row>
    <row r="213" spans="1:11" ht="15.75" thickBot="1" x14ac:dyDescent="0.3">
      <c r="A213" s="334" t="s">
        <v>164</v>
      </c>
      <c r="B213" s="335"/>
      <c r="C213" s="117" t="s">
        <v>0</v>
      </c>
      <c r="D213" s="280">
        <v>6</v>
      </c>
      <c r="E213" s="118">
        <f>G205</f>
        <v>5548.1797560369305</v>
      </c>
      <c r="F213" s="9">
        <f>ROUND(G216*(D213/100),2)</f>
        <v>354.14</v>
      </c>
      <c r="G213" s="218">
        <f>F213</f>
        <v>354.14</v>
      </c>
      <c r="H213" s="218">
        <f>G213/G$40</f>
        <v>0.27241538461538461</v>
      </c>
      <c r="I213" s="306">
        <f>G216*12</f>
        <v>70827.826672811876</v>
      </c>
      <c r="J213" s="307"/>
      <c r="K213" s="307"/>
    </row>
    <row r="214" spans="1:11" ht="15.75" x14ac:dyDescent="0.25">
      <c r="A214" s="95"/>
      <c r="E214" s="27"/>
      <c r="F214" s="27"/>
      <c r="G214" s="137"/>
      <c r="H214" s="137"/>
      <c r="I214" s="304">
        <v>6</v>
      </c>
      <c r="J214" s="304">
        <f>I213*I214/100</f>
        <v>4249.669600368713</v>
      </c>
      <c r="K214" s="304"/>
    </row>
    <row r="215" spans="1:11" ht="15.75" thickBot="1" x14ac:dyDescent="0.3">
      <c r="A215" s="119"/>
      <c r="B215" s="120"/>
      <c r="C215" s="120"/>
      <c r="D215" s="120"/>
      <c r="E215" s="121"/>
      <c r="F215" s="121"/>
      <c r="G215" s="40"/>
      <c r="H215" s="40"/>
      <c r="I215" s="308"/>
      <c r="J215" s="304">
        <f>J214-I215</f>
        <v>4249.669600368713</v>
      </c>
      <c r="K215" s="309"/>
    </row>
    <row r="216" spans="1:11" ht="24.75" customHeight="1" thickBot="1" x14ac:dyDescent="0.25">
      <c r="A216" s="12" t="s">
        <v>165</v>
      </c>
      <c r="B216" s="13"/>
      <c r="C216" s="16"/>
      <c r="D216" s="16"/>
      <c r="E216" s="17"/>
      <c r="F216" s="18"/>
      <c r="G216" s="183">
        <f>E213/((100-D213)/100)</f>
        <v>5902.31888940099</v>
      </c>
      <c r="H216" s="218">
        <f>G216/G$40</f>
        <v>4.5402452995392233</v>
      </c>
      <c r="J216" s="323">
        <f>J215/I213</f>
        <v>6.0000000000000005E-2</v>
      </c>
    </row>
    <row r="217" spans="1:11" ht="12.6" customHeight="1" x14ac:dyDescent="0.2">
      <c r="A217" s="100"/>
      <c r="B217" s="24"/>
      <c r="C217" s="24"/>
      <c r="D217" s="24"/>
      <c r="E217" s="25"/>
      <c r="F217" s="25"/>
      <c r="G217" s="137"/>
      <c r="H217" s="137"/>
    </row>
    <row r="218" spans="1:11" ht="16.149999999999999" customHeight="1" x14ac:dyDescent="0.2">
      <c r="A218" s="141" t="s">
        <v>166</v>
      </c>
      <c r="B218" s="192"/>
      <c r="C218" s="79"/>
      <c r="D218" s="79"/>
      <c r="E218" s="144">
        <f>E$179</f>
        <v>1300</v>
      </c>
      <c r="F218" s="143" t="s">
        <v>139</v>
      </c>
      <c r="G218" s="40"/>
      <c r="H218" s="40"/>
    </row>
    <row r="219" spans="1:11" ht="13.5" thickBot="1" x14ac:dyDescent="0.25">
      <c r="A219" s="95"/>
      <c r="E219" s="27"/>
      <c r="F219" s="27"/>
      <c r="G219" s="40"/>
      <c r="H219" s="40"/>
    </row>
    <row r="220" spans="1:11" ht="25.5" customHeight="1" thickBot="1" x14ac:dyDescent="0.25">
      <c r="A220" s="12" t="s">
        <v>167</v>
      </c>
      <c r="B220" s="13"/>
      <c r="C220" s="13"/>
      <c r="D220" s="13"/>
      <c r="E220" s="14"/>
      <c r="F220" s="142" t="s">
        <v>140</v>
      </c>
      <c r="G220" s="332">
        <f>ROUND(IFERROR(G216/E218,"-"),2)</f>
        <v>4.54</v>
      </c>
      <c r="H220" s="333"/>
    </row>
    <row r="221" spans="1:11" ht="9" customHeight="1" x14ac:dyDescent="0.2">
      <c r="E221" s="4"/>
      <c r="F221" s="4"/>
      <c r="G221" s="4"/>
      <c r="H221" s="27"/>
    </row>
    <row r="222" spans="1:11" x14ac:dyDescent="0.2">
      <c r="H222" s="27"/>
    </row>
    <row r="223" spans="1:11" x14ac:dyDescent="0.2">
      <c r="H223" s="27"/>
    </row>
    <row r="224" spans="1:11" x14ac:dyDescent="0.2">
      <c r="A224" s="6"/>
      <c r="B224" s="6"/>
      <c r="C224" s="6"/>
      <c r="D224" s="6"/>
      <c r="E224" s="275"/>
      <c r="F224" s="275"/>
      <c r="G224" s="275"/>
      <c r="H224" s="20"/>
    </row>
    <row r="225" spans="1:8" x14ac:dyDescent="0.2">
      <c r="A225" s="6"/>
      <c r="B225" s="6"/>
      <c r="C225" s="6"/>
      <c r="D225" s="6"/>
      <c r="E225" s="275"/>
      <c r="F225" s="275"/>
      <c r="G225" s="275"/>
      <c r="H225" s="20"/>
    </row>
    <row r="226" spans="1:8" x14ac:dyDescent="0.2">
      <c r="A226" s="6"/>
      <c r="B226" s="6"/>
      <c r="C226" s="6"/>
      <c r="D226" s="6"/>
      <c r="E226" s="275"/>
      <c r="F226" s="275"/>
      <c r="G226" s="275"/>
      <c r="H226" s="20"/>
    </row>
    <row r="227" spans="1:8" x14ac:dyDescent="0.2">
      <c r="A227" s="6"/>
      <c r="B227" s="6"/>
      <c r="C227" s="6"/>
      <c r="D227" s="6"/>
      <c r="E227" s="275"/>
      <c r="F227" s="275"/>
      <c r="G227" s="275"/>
      <c r="H227" s="20"/>
    </row>
    <row r="228" spans="1:8" x14ac:dyDescent="0.2">
      <c r="A228" s="6"/>
      <c r="B228" s="6"/>
      <c r="C228" s="330"/>
      <c r="D228" s="330"/>
      <c r="E228" s="330"/>
      <c r="F228" s="275"/>
      <c r="G228" s="275"/>
      <c r="H228" s="20"/>
    </row>
    <row r="229" spans="1:8" x14ac:dyDescent="0.2">
      <c r="A229" s="6"/>
      <c r="B229" s="6"/>
      <c r="C229" s="330"/>
      <c r="D229" s="330"/>
      <c r="E229" s="330"/>
      <c r="F229" s="275"/>
      <c r="G229" s="275"/>
      <c r="H229" s="20"/>
    </row>
    <row r="230" spans="1:8" x14ac:dyDescent="0.2">
      <c r="A230" s="6"/>
      <c r="B230" s="6"/>
      <c r="C230" s="330"/>
      <c r="D230" s="330"/>
      <c r="E230" s="330"/>
      <c r="F230" s="275"/>
      <c r="G230" s="275"/>
      <c r="H230" s="20"/>
    </row>
    <row r="231" spans="1:8" x14ac:dyDescent="0.2">
      <c r="H231" s="27"/>
    </row>
    <row r="232" spans="1:8" x14ac:dyDescent="0.2">
      <c r="H232" s="27"/>
    </row>
    <row r="233" spans="1:8" x14ac:dyDescent="0.2">
      <c r="H233" s="27"/>
    </row>
  </sheetData>
  <mergeCells count="120">
    <mergeCell ref="A1:H1"/>
    <mergeCell ref="D3:E3"/>
    <mergeCell ref="G3:H3"/>
    <mergeCell ref="C7:D7"/>
    <mergeCell ref="E7:F7"/>
    <mergeCell ref="G7:H7"/>
    <mergeCell ref="A22:B22"/>
    <mergeCell ref="A23:B23"/>
    <mergeCell ref="A24:B24"/>
    <mergeCell ref="A15:B15"/>
    <mergeCell ref="A16:B16"/>
    <mergeCell ref="A17:B17"/>
    <mergeCell ref="A8:B8"/>
    <mergeCell ref="A9:B9"/>
    <mergeCell ref="A10:B10"/>
    <mergeCell ref="A11:B11"/>
    <mergeCell ref="A12:B12"/>
    <mergeCell ref="A14:B14"/>
    <mergeCell ref="E4:H4"/>
    <mergeCell ref="A25:B25"/>
    <mergeCell ref="A26:B26"/>
    <mergeCell ref="A27:B27"/>
    <mergeCell ref="A18:B18"/>
    <mergeCell ref="A19:B19"/>
    <mergeCell ref="A20:B20"/>
    <mergeCell ref="A37:B37"/>
    <mergeCell ref="A39:B39"/>
    <mergeCell ref="A40:B40"/>
    <mergeCell ref="A41:B41"/>
    <mergeCell ref="A29:G29"/>
    <mergeCell ref="A30:B30"/>
    <mergeCell ref="A31:B31"/>
    <mergeCell ref="A32:B32"/>
    <mergeCell ref="A34:B34"/>
    <mergeCell ref="A35:B35"/>
    <mergeCell ref="A56:B56"/>
    <mergeCell ref="A60:B60"/>
    <mergeCell ref="D44:G44"/>
    <mergeCell ref="A45:B45"/>
    <mergeCell ref="D45:F45"/>
    <mergeCell ref="A42:B42"/>
    <mergeCell ref="A36:B36"/>
    <mergeCell ref="A61:B61"/>
    <mergeCell ref="A63:B63"/>
    <mergeCell ref="A67:B67"/>
    <mergeCell ref="A68:B68"/>
    <mergeCell ref="A47:G47"/>
    <mergeCell ref="A50:B50"/>
    <mergeCell ref="A51:B51"/>
    <mergeCell ref="A52:B52"/>
    <mergeCell ref="A53:B53"/>
    <mergeCell ref="A54:B54"/>
    <mergeCell ref="A94:B94"/>
    <mergeCell ref="A95:B95"/>
    <mergeCell ref="A98:B98"/>
    <mergeCell ref="A99:B99"/>
    <mergeCell ref="A100:B100"/>
    <mergeCell ref="A101:B101"/>
    <mergeCell ref="A69:B69"/>
    <mergeCell ref="A70:B70"/>
    <mergeCell ref="A75:B75"/>
    <mergeCell ref="A91:B91"/>
    <mergeCell ref="A92:B92"/>
    <mergeCell ref="A93:B93"/>
    <mergeCell ref="A80:B80"/>
    <mergeCell ref="A110:B110"/>
    <mergeCell ref="A111:B111"/>
    <mergeCell ref="A112:B112"/>
    <mergeCell ref="A113:B113"/>
    <mergeCell ref="A114:B114"/>
    <mergeCell ref="A115:B115"/>
    <mergeCell ref="A102:B102"/>
    <mergeCell ref="A103:B103"/>
    <mergeCell ref="A104:B104"/>
    <mergeCell ref="A105:B105"/>
    <mergeCell ref="A106:B106"/>
    <mergeCell ref="A109:B109"/>
    <mergeCell ref="A150:B150"/>
    <mergeCell ref="A151:B151"/>
    <mergeCell ref="A153:B153"/>
    <mergeCell ref="A116:B116"/>
    <mergeCell ref="A120:B120"/>
    <mergeCell ref="A121:B121"/>
    <mergeCell ref="A122:B122"/>
    <mergeCell ref="A125:B125"/>
    <mergeCell ref="A126:B126"/>
    <mergeCell ref="A137:B137"/>
    <mergeCell ref="A139:B139"/>
    <mergeCell ref="A142:B142"/>
    <mergeCell ref="A127:B127"/>
    <mergeCell ref="A128:B128"/>
    <mergeCell ref="A129:B129"/>
    <mergeCell ref="A130:B130"/>
    <mergeCell ref="A131:B131"/>
    <mergeCell ref="A132:B132"/>
    <mergeCell ref="A138:B138"/>
    <mergeCell ref="C228:E228"/>
    <mergeCell ref="C229:E229"/>
    <mergeCell ref="C230:E230"/>
    <mergeCell ref="B4:C4"/>
    <mergeCell ref="G181:H181"/>
    <mergeCell ref="A186:B186"/>
    <mergeCell ref="G195:H195"/>
    <mergeCell ref="A210:B210"/>
    <mergeCell ref="A213:B213"/>
    <mergeCell ref="G220:H220"/>
    <mergeCell ref="A161:B161"/>
    <mergeCell ref="A162:B162"/>
    <mergeCell ref="A163:B163"/>
    <mergeCell ref="A171:B171"/>
    <mergeCell ref="A172:B172"/>
    <mergeCell ref="A179:B179"/>
    <mergeCell ref="A143:B143"/>
    <mergeCell ref="A146:B146"/>
    <mergeCell ref="A147:B147"/>
    <mergeCell ref="A158:B158"/>
    <mergeCell ref="A159:B159"/>
    <mergeCell ref="A160:B160"/>
    <mergeCell ref="A133:B133"/>
    <mergeCell ref="A136:B136"/>
  </mergeCells>
  <pageMargins left="0.39370078740157483" right="0" top="0.59055118110236227" bottom="0.39370078740157483" header="0" footer="0"/>
  <pageSetup paperSize="9" scale="82" fitToHeight="0" orientation="portrait" r:id="rId1"/>
  <headerFooter alignWithMargins="0">
    <oddFooter>&amp;R&amp;P de &amp;N</oddFooter>
  </headerFooter>
  <rowBreaks count="3" manualBreakCount="3">
    <brk id="64" max="7" man="1"/>
    <brk id="133" max="7" man="1"/>
    <brk id="195" max="7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50"/>
  <sheetViews>
    <sheetView topLeftCell="A13" zoomScaleNormal="100" workbookViewId="0">
      <selection sqref="A1:C1"/>
    </sheetView>
  </sheetViews>
  <sheetFormatPr defaultColWidth="9.140625" defaultRowHeight="12.75" x14ac:dyDescent="0.2"/>
  <cols>
    <col min="1" max="1" width="13.5703125" style="1" customWidth="1"/>
    <col min="2" max="2" width="39.5703125" style="1" bestFit="1" customWidth="1"/>
    <col min="3" max="3" width="14.5703125" style="1" customWidth="1"/>
    <col min="4" max="4" width="37.28515625" style="1" customWidth="1"/>
    <col min="5" max="10" width="9.140625" style="1"/>
    <col min="11" max="11" width="11" style="1" bestFit="1" customWidth="1"/>
    <col min="12" max="16384" width="9.140625" style="1"/>
  </cols>
  <sheetData>
    <row r="1" spans="1:6" ht="18" x14ac:dyDescent="0.2">
      <c r="A1" s="390" t="s">
        <v>180</v>
      </c>
      <c r="B1" s="391"/>
      <c r="C1" s="392"/>
      <c r="D1" s="46"/>
      <c r="E1" s="46"/>
      <c r="F1" s="46"/>
    </row>
    <row r="2" spans="1:6" ht="18" x14ac:dyDescent="0.2">
      <c r="A2" s="393" t="s">
        <v>181</v>
      </c>
      <c r="B2" s="394"/>
      <c r="C2" s="395"/>
      <c r="D2" s="46"/>
      <c r="E2" s="46"/>
      <c r="F2" s="46"/>
    </row>
    <row r="3" spans="1:6" ht="15" x14ac:dyDescent="0.2">
      <c r="A3" s="80" t="s">
        <v>45</v>
      </c>
      <c r="B3" s="179" t="s">
        <v>46</v>
      </c>
      <c r="C3" s="180" t="s">
        <v>104</v>
      </c>
      <c r="D3" s="49"/>
    </row>
    <row r="4" spans="1:6" ht="14.25" x14ac:dyDescent="0.2">
      <c r="A4" s="47" t="s">
        <v>47</v>
      </c>
      <c r="B4" s="48" t="s">
        <v>21</v>
      </c>
      <c r="C4" s="243">
        <v>0.2</v>
      </c>
      <c r="D4" s="49"/>
    </row>
    <row r="5" spans="1:6" ht="14.25" x14ac:dyDescent="0.2">
      <c r="A5" s="47" t="s">
        <v>48</v>
      </c>
      <c r="B5" s="48" t="s">
        <v>49</v>
      </c>
      <c r="C5" s="243">
        <v>1.4999999999999999E-2</v>
      </c>
      <c r="D5" s="49"/>
    </row>
    <row r="6" spans="1:6" ht="14.25" x14ac:dyDescent="0.2">
      <c r="A6" s="47" t="s">
        <v>50</v>
      </c>
      <c r="B6" s="48" t="s">
        <v>51</v>
      </c>
      <c r="C6" s="243">
        <v>0.01</v>
      </c>
      <c r="D6" s="49"/>
    </row>
    <row r="7" spans="1:6" ht="14.25" x14ac:dyDescent="0.2">
      <c r="A7" s="47" t="s">
        <v>52</v>
      </c>
      <c r="B7" s="48" t="s">
        <v>53</v>
      </c>
      <c r="C7" s="243">
        <v>2E-3</v>
      </c>
      <c r="D7" s="49"/>
    </row>
    <row r="8" spans="1:6" ht="14.25" x14ac:dyDescent="0.2">
      <c r="A8" s="47" t="s">
        <v>54</v>
      </c>
      <c r="B8" s="48" t="s">
        <v>55</v>
      </c>
      <c r="C8" s="243">
        <v>6.0000000000000001E-3</v>
      </c>
      <c r="D8" s="49"/>
    </row>
    <row r="9" spans="1:6" ht="14.25" x14ac:dyDescent="0.2">
      <c r="A9" s="47" t="s">
        <v>56</v>
      </c>
      <c r="B9" s="48" t="s">
        <v>57</v>
      </c>
      <c r="C9" s="243">
        <v>2.5000000000000001E-2</v>
      </c>
      <c r="D9" s="49"/>
    </row>
    <row r="10" spans="1:6" ht="14.25" x14ac:dyDescent="0.2">
      <c r="A10" s="47" t="s">
        <v>58</v>
      </c>
      <c r="B10" s="48" t="s">
        <v>59</v>
      </c>
      <c r="C10" s="243">
        <v>0.03</v>
      </c>
      <c r="D10" s="49"/>
    </row>
    <row r="11" spans="1:6" ht="14.25" x14ac:dyDescent="0.2">
      <c r="A11" s="47" t="s">
        <v>60</v>
      </c>
      <c r="B11" s="48" t="s">
        <v>22</v>
      </c>
      <c r="C11" s="243">
        <v>0.08</v>
      </c>
      <c r="D11" s="49"/>
    </row>
    <row r="12" spans="1:6" ht="15" x14ac:dyDescent="0.2">
      <c r="A12" s="47" t="s">
        <v>61</v>
      </c>
      <c r="B12" s="50" t="s">
        <v>62</v>
      </c>
      <c r="C12" s="51">
        <f>SUM(C4:C11)</f>
        <v>0.36800000000000005</v>
      </c>
      <c r="D12" s="49"/>
    </row>
    <row r="13" spans="1:6" ht="15" x14ac:dyDescent="0.2">
      <c r="A13" s="52"/>
      <c r="B13" s="53"/>
      <c r="C13" s="54"/>
      <c r="D13" s="49"/>
    </row>
    <row r="14" spans="1:6" ht="14.25" x14ac:dyDescent="0.2">
      <c r="A14" s="47" t="s">
        <v>63</v>
      </c>
      <c r="B14" s="55" t="s">
        <v>64</v>
      </c>
      <c r="C14" s="243">
        <v>0.1111</v>
      </c>
      <c r="D14" s="49"/>
    </row>
    <row r="15" spans="1:6" ht="14.25" x14ac:dyDescent="0.2">
      <c r="A15" s="47" t="s">
        <v>65</v>
      </c>
      <c r="B15" s="55" t="s">
        <v>66</v>
      </c>
      <c r="C15" s="243">
        <v>8.3299999999999999E-2</v>
      </c>
      <c r="D15" s="49"/>
    </row>
    <row r="16" spans="1:6" ht="14.25" x14ac:dyDescent="0.2">
      <c r="A16" s="47" t="s">
        <v>88</v>
      </c>
      <c r="B16" s="55" t="s">
        <v>68</v>
      </c>
      <c r="C16" s="243">
        <v>5.0000000000000001E-4</v>
      </c>
      <c r="D16" s="49"/>
    </row>
    <row r="17" spans="1:7" ht="14.25" x14ac:dyDescent="0.2">
      <c r="A17" s="47" t="s">
        <v>67</v>
      </c>
      <c r="B17" s="55" t="s">
        <v>70</v>
      </c>
      <c r="C17" s="243">
        <v>5.0000000000000001E-3</v>
      </c>
      <c r="D17" s="49"/>
    </row>
    <row r="18" spans="1:7" ht="14.25" x14ac:dyDescent="0.2">
      <c r="A18" s="47" t="s">
        <v>69</v>
      </c>
      <c r="B18" s="55" t="s">
        <v>71</v>
      </c>
      <c r="C18" s="243">
        <v>1E-3</v>
      </c>
      <c r="D18" s="49"/>
    </row>
    <row r="19" spans="1:7" ht="15" x14ac:dyDescent="0.2">
      <c r="A19" s="47" t="s">
        <v>72</v>
      </c>
      <c r="B19" s="50" t="s">
        <v>73</v>
      </c>
      <c r="C19" s="51">
        <f>SUM(C14:C18)</f>
        <v>0.20090000000000002</v>
      </c>
      <c r="D19" s="56"/>
    </row>
    <row r="20" spans="1:7" ht="15" x14ac:dyDescent="0.2">
      <c r="A20" s="52"/>
      <c r="B20" s="53"/>
      <c r="C20" s="54"/>
      <c r="D20" s="56"/>
    </row>
    <row r="21" spans="1:7" ht="14.25" x14ac:dyDescent="0.2">
      <c r="A21" s="47" t="s">
        <v>74</v>
      </c>
      <c r="B21" s="48" t="s">
        <v>75</v>
      </c>
      <c r="C21" s="243">
        <v>2.9000000000000001E-2</v>
      </c>
      <c r="D21" s="49"/>
      <c r="E21" s="57"/>
    </row>
    <row r="22" spans="1:7" ht="14.25" x14ac:dyDescent="0.2">
      <c r="A22" s="47" t="s">
        <v>87</v>
      </c>
      <c r="B22" s="48" t="s">
        <v>76</v>
      </c>
      <c r="C22" s="243">
        <v>3.2000000000000001E-2</v>
      </c>
      <c r="D22" s="49"/>
      <c r="G22" s="57"/>
    </row>
    <row r="23" spans="1:7" ht="15" x14ac:dyDescent="0.2">
      <c r="A23" s="47" t="s">
        <v>77</v>
      </c>
      <c r="B23" s="50" t="s">
        <v>78</v>
      </c>
      <c r="C23" s="51">
        <f>SUM(C21:C22)</f>
        <v>6.0999999999999999E-2</v>
      </c>
      <c r="D23" s="56"/>
    </row>
    <row r="24" spans="1:7" ht="15" x14ac:dyDescent="0.2">
      <c r="A24" s="52"/>
      <c r="B24" s="53"/>
      <c r="C24" s="54"/>
      <c r="D24" s="56"/>
    </row>
    <row r="25" spans="1:7" ht="14.25" x14ac:dyDescent="0.2">
      <c r="A25" s="47" t="s">
        <v>79</v>
      </c>
      <c r="B25" s="48" t="s">
        <v>80</v>
      </c>
      <c r="C25" s="250">
        <f>ROUND(C12*C19,4)</f>
        <v>7.3899999999999993E-2</v>
      </c>
      <c r="D25" s="185"/>
    </row>
    <row r="26" spans="1:7" ht="28.5" x14ac:dyDescent="0.2">
      <c r="A26" s="47" t="s">
        <v>81</v>
      </c>
      <c r="B26" s="58" t="s">
        <v>95</v>
      </c>
      <c r="C26" s="250">
        <f>ROUND((C21*C11),4)</f>
        <v>2.3E-3</v>
      </c>
      <c r="D26" s="49"/>
    </row>
    <row r="27" spans="1:7" ht="15" x14ac:dyDescent="0.2">
      <c r="A27" s="47" t="s">
        <v>82</v>
      </c>
      <c r="B27" s="50" t="s">
        <v>83</v>
      </c>
      <c r="C27" s="51">
        <f>SUM(C25:C26)</f>
        <v>7.619999999999999E-2</v>
      </c>
      <c r="D27" s="56"/>
    </row>
    <row r="28" spans="1:7" ht="15.75" thickBot="1" x14ac:dyDescent="0.25">
      <c r="A28" s="186"/>
      <c r="B28" s="187" t="s">
        <v>84</v>
      </c>
      <c r="C28" s="188">
        <f>C27+C23+C19+C12</f>
        <v>0.70610000000000006</v>
      </c>
      <c r="D28" s="56"/>
    </row>
    <row r="29" spans="1:7" ht="15.75" thickBot="1" x14ac:dyDescent="0.25">
      <c r="A29" s="49"/>
      <c r="B29" s="59"/>
      <c r="C29" s="60"/>
      <c r="D29" s="56"/>
    </row>
    <row r="30" spans="1:7" ht="18.75" thickBot="1" x14ac:dyDescent="0.25">
      <c r="A30" s="396" t="s">
        <v>180</v>
      </c>
      <c r="B30" s="397"/>
      <c r="C30" s="398"/>
      <c r="D30" s="56"/>
      <c r="E30" s="46"/>
    </row>
    <row r="31" spans="1:7" customFormat="1" ht="18.75" thickBot="1" x14ac:dyDescent="0.25">
      <c r="A31" s="396" t="s">
        <v>197</v>
      </c>
      <c r="B31" s="397"/>
      <c r="C31" s="398"/>
      <c r="D31" s="56"/>
    </row>
    <row r="32" spans="1:7" s="88" customFormat="1" ht="15" x14ac:dyDescent="0.2">
      <c r="A32" s="199" t="s">
        <v>204</v>
      </c>
      <c r="B32" s="199" t="s">
        <v>46</v>
      </c>
      <c r="C32" s="200" t="s">
        <v>104</v>
      </c>
      <c r="D32" s="56"/>
    </row>
    <row r="33" spans="1:3" s="88" customFormat="1" ht="14.25" x14ac:dyDescent="0.2">
      <c r="A33" s="205">
        <v>1</v>
      </c>
      <c r="B33" s="181" t="s">
        <v>22</v>
      </c>
      <c r="C33" s="251">
        <v>0.08</v>
      </c>
    </row>
    <row r="34" spans="1:3" s="88" customFormat="1" ht="14.25" x14ac:dyDescent="0.2">
      <c r="A34" s="205">
        <v>2</v>
      </c>
      <c r="B34" s="182" t="s">
        <v>98</v>
      </c>
      <c r="C34" s="244">
        <v>0.1111</v>
      </c>
    </row>
    <row r="35" spans="1:3" s="88" customFormat="1" ht="14.25" x14ac:dyDescent="0.2">
      <c r="A35" s="205">
        <v>3</v>
      </c>
      <c r="B35" s="182" t="s">
        <v>99</v>
      </c>
      <c r="C35" s="244">
        <v>8.3299999999999999E-2</v>
      </c>
    </row>
    <row r="36" spans="1:3" s="88" customFormat="1" ht="14.25" x14ac:dyDescent="0.2">
      <c r="A36" s="205">
        <v>4</v>
      </c>
      <c r="B36" s="182" t="s">
        <v>216</v>
      </c>
      <c r="C36" s="244">
        <v>3.2000000000000001E-2</v>
      </c>
    </row>
    <row r="37" spans="1:3" s="88" customFormat="1" ht="15" thickBot="1" x14ac:dyDescent="0.25">
      <c r="A37" s="205">
        <v>5</v>
      </c>
      <c r="B37" s="201" t="s">
        <v>100</v>
      </c>
      <c r="C37" s="249">
        <f>(C34+C35)*(C33+C36)</f>
        <v>2.1772800000000002E-2</v>
      </c>
    </row>
    <row r="38" spans="1:3" s="88" customFormat="1" ht="15.75" thickBot="1" x14ac:dyDescent="0.3">
      <c r="A38" s="202" t="s">
        <v>105</v>
      </c>
      <c r="B38" s="203"/>
      <c r="C38" s="204">
        <f>SUM(C33:C37)</f>
        <v>0.32817279999999999</v>
      </c>
    </row>
    <row r="39" spans="1:3" customFormat="1" x14ac:dyDescent="0.2"/>
    <row r="40" spans="1:3" ht="14.25" x14ac:dyDescent="0.2">
      <c r="A40" s="49"/>
      <c r="B40" s="61"/>
      <c r="C40" s="63"/>
    </row>
    <row r="41" spans="1:3" ht="14.25" x14ac:dyDescent="0.2">
      <c r="A41" s="49"/>
      <c r="B41" s="64"/>
      <c r="C41" s="49"/>
    </row>
    <row r="42" spans="1:3" ht="14.25" x14ac:dyDescent="0.2">
      <c r="A42" s="49"/>
      <c r="B42" s="61"/>
      <c r="C42" s="63"/>
    </row>
    <row r="43" spans="1:3" ht="14.25" x14ac:dyDescent="0.2">
      <c r="A43" s="49"/>
      <c r="B43" s="64"/>
      <c r="C43" s="49"/>
    </row>
    <row r="44" spans="1:3" ht="14.25" x14ac:dyDescent="0.2">
      <c r="A44" s="49"/>
      <c r="B44" s="61"/>
      <c r="C44" s="63"/>
    </row>
    <row r="45" spans="1:3" ht="14.25" x14ac:dyDescent="0.2">
      <c r="A45" s="49"/>
      <c r="B45" s="64"/>
      <c r="C45" s="49"/>
    </row>
    <row r="46" spans="1:3" ht="14.25" x14ac:dyDescent="0.2">
      <c r="A46" s="49"/>
      <c r="B46" s="61"/>
      <c r="C46" s="63"/>
    </row>
    <row r="47" spans="1:3" ht="16.5" x14ac:dyDescent="0.2">
      <c r="A47" s="62"/>
    </row>
    <row r="50" spans="1:1" x14ac:dyDescent="0.2">
      <c r="A50" s="65"/>
    </row>
  </sheetData>
  <mergeCells count="4">
    <mergeCell ref="A1:C1"/>
    <mergeCell ref="A2:C2"/>
    <mergeCell ref="A30:C30"/>
    <mergeCell ref="A31:C31"/>
  </mergeCells>
  <pageMargins left="0.90551181102362199" right="0.51181102362204722" top="0.74803149606299213" bottom="0.74803149606299213" header="0.31496062992125984" footer="0.31496062992125984"/>
  <pageSetup paperSize="9" orientation="portrait" verticalDpi="597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5"/>
  <sheetViews>
    <sheetView topLeftCell="A16" zoomScaleNormal="100" workbookViewId="0">
      <selection activeCell="C8" sqref="C8"/>
    </sheetView>
  </sheetViews>
  <sheetFormatPr defaultRowHeight="12.75" x14ac:dyDescent="0.2"/>
  <cols>
    <col min="1" max="1" width="43.85546875" customWidth="1"/>
    <col min="2" max="3" width="12" customWidth="1"/>
    <col min="4" max="4" width="7" customWidth="1"/>
    <col min="5" max="5" width="16.7109375" customWidth="1"/>
    <col min="6" max="6" width="1.5703125" customWidth="1"/>
    <col min="7" max="7" width="45.140625" customWidth="1"/>
  </cols>
  <sheetData>
    <row r="1" spans="1:5" s="2" customFormat="1" ht="15.6" customHeight="1" thickBot="1" x14ac:dyDescent="0.25">
      <c r="A1" s="399" t="s">
        <v>107</v>
      </c>
      <c r="B1" s="400"/>
      <c r="C1" s="400"/>
      <c r="D1" s="400"/>
      <c r="E1" s="401"/>
    </row>
    <row r="2" spans="1:5" ht="16.5" thickBot="1" x14ac:dyDescent="0.25">
      <c r="A2" s="402" t="s">
        <v>119</v>
      </c>
      <c r="B2" s="403"/>
      <c r="C2" s="403"/>
      <c r="D2" s="403"/>
      <c r="E2" s="404"/>
    </row>
    <row r="3" spans="1:5" ht="30" x14ac:dyDescent="0.2">
      <c r="A3" s="268" t="s">
        <v>46</v>
      </c>
      <c r="B3" s="269" t="s">
        <v>217</v>
      </c>
      <c r="C3" s="270" t="s">
        <v>218</v>
      </c>
      <c r="D3" s="44"/>
      <c r="E3" s="271" t="s">
        <v>219</v>
      </c>
    </row>
    <row r="4" spans="1:5" ht="14.25" x14ac:dyDescent="0.2">
      <c r="A4" s="252" t="s">
        <v>30</v>
      </c>
      <c r="B4" s="253" t="s">
        <v>31</v>
      </c>
      <c r="C4" s="254">
        <v>0.05</v>
      </c>
      <c r="E4" s="255">
        <f>C4</f>
        <v>0.05</v>
      </c>
    </row>
    <row r="5" spans="1:5" ht="14.25" x14ac:dyDescent="0.2">
      <c r="A5" s="68" t="s">
        <v>32</v>
      </c>
      <c r="B5" s="223" t="s">
        <v>33</v>
      </c>
      <c r="C5" s="246">
        <v>1.2999999999999999E-2</v>
      </c>
      <c r="E5" s="256">
        <f>C5</f>
        <v>1.2999999999999999E-2</v>
      </c>
    </row>
    <row r="6" spans="1:5" ht="15" x14ac:dyDescent="0.2">
      <c r="A6" s="68" t="s">
        <v>34</v>
      </c>
      <c r="B6" s="223" t="s">
        <v>35</v>
      </c>
      <c r="C6" s="247">
        <v>0.1</v>
      </c>
      <c r="E6" s="257">
        <f>C6</f>
        <v>0.1</v>
      </c>
    </row>
    <row r="7" spans="1:5" ht="14.25" x14ac:dyDescent="0.2">
      <c r="A7" s="68" t="s">
        <v>220</v>
      </c>
      <c r="B7" s="407" t="s">
        <v>36</v>
      </c>
      <c r="C7" s="246">
        <v>0.02</v>
      </c>
      <c r="E7" s="258">
        <v>2.4E-2</v>
      </c>
    </row>
    <row r="8" spans="1:5" ht="15" thickBot="1" x14ac:dyDescent="0.25">
      <c r="A8" s="69" t="s">
        <v>37</v>
      </c>
      <c r="B8" s="408"/>
      <c r="C8" s="248">
        <v>9.2499999999999999E-2</v>
      </c>
      <c r="E8" s="259">
        <f>C8</f>
        <v>9.2499999999999999E-2</v>
      </c>
    </row>
    <row r="9" spans="1:5" ht="14.25" x14ac:dyDescent="0.2">
      <c r="A9" s="70" t="s">
        <v>38</v>
      </c>
      <c r="B9" s="71"/>
      <c r="C9" s="72"/>
      <c r="E9" s="266"/>
    </row>
    <row r="10" spans="1:5" ht="15" thickBot="1" x14ac:dyDescent="0.25">
      <c r="A10" s="260" t="s">
        <v>177</v>
      </c>
      <c r="B10" s="261"/>
      <c r="C10" s="262"/>
      <c r="E10" s="267"/>
    </row>
    <row r="11" spans="1:5" ht="27" customHeight="1" thickBot="1" x14ac:dyDescent="0.25">
      <c r="A11" s="263" t="s">
        <v>39</v>
      </c>
      <c r="B11" s="264"/>
      <c r="C11" s="265">
        <f>ROUND((((1+C4+C5)*(1+C6))/(1-(C7+C8))-1),4)</f>
        <v>0.3175</v>
      </c>
      <c r="D11" s="273"/>
      <c r="E11" s="272">
        <f>ROUND((((1+E4+E5)*(1+E6))/(1-(E7+E8))-1),4)</f>
        <v>0.32350000000000001</v>
      </c>
    </row>
    <row r="12" spans="1:5" ht="14.25" x14ac:dyDescent="0.2">
      <c r="A12" s="44"/>
      <c r="B12" s="44"/>
      <c r="C12" s="44"/>
      <c r="E12" s="44"/>
    </row>
    <row r="13" spans="1:5" ht="15" thickBot="1" x14ac:dyDescent="0.25">
      <c r="A13" s="44"/>
      <c r="B13" s="44"/>
      <c r="C13" s="44"/>
      <c r="E13" s="44"/>
    </row>
    <row r="14" spans="1:5" s="2" customFormat="1" ht="15.6" customHeight="1" thickBot="1" x14ac:dyDescent="0.25">
      <c r="A14" s="399" t="s">
        <v>106</v>
      </c>
      <c r="B14" s="400"/>
      <c r="C14" s="400"/>
      <c r="D14" s="400"/>
      <c r="E14" s="401"/>
    </row>
    <row r="15" spans="1:5" ht="16.5" thickBot="1" x14ac:dyDescent="0.25">
      <c r="A15" s="402" t="s">
        <v>119</v>
      </c>
      <c r="B15" s="403"/>
      <c r="C15" s="403"/>
      <c r="D15" s="403"/>
      <c r="E15" s="404"/>
    </row>
    <row r="16" spans="1:5" ht="30" x14ac:dyDescent="0.2">
      <c r="A16" s="268" t="s">
        <v>46</v>
      </c>
      <c r="B16" s="269" t="s">
        <v>217</v>
      </c>
      <c r="C16" s="270" t="s">
        <v>218</v>
      </c>
      <c r="D16" s="44"/>
      <c r="E16" s="271" t="s">
        <v>219</v>
      </c>
    </row>
    <row r="17" spans="1:5" ht="14.25" x14ac:dyDescent="0.2">
      <c r="A17" s="252" t="s">
        <v>30</v>
      </c>
      <c r="B17" s="253" t="s">
        <v>31</v>
      </c>
      <c r="C17" s="254">
        <v>0.05</v>
      </c>
      <c r="E17" s="255">
        <f>C17</f>
        <v>0.05</v>
      </c>
    </row>
    <row r="18" spans="1:5" ht="14.25" x14ac:dyDescent="0.2">
      <c r="A18" s="68" t="s">
        <v>32</v>
      </c>
      <c r="B18" s="223" t="s">
        <v>33</v>
      </c>
      <c r="C18" s="246">
        <v>1.2999999999999999E-2</v>
      </c>
      <c r="E18" s="256">
        <f>C18</f>
        <v>1.2999999999999999E-2</v>
      </c>
    </row>
    <row r="19" spans="1:5" ht="15" x14ac:dyDescent="0.2">
      <c r="A19" s="68" t="s">
        <v>34</v>
      </c>
      <c r="B19" s="223" t="s">
        <v>35</v>
      </c>
      <c r="C19" s="247">
        <v>0.1</v>
      </c>
      <c r="E19" s="257">
        <f>C19</f>
        <v>0.1</v>
      </c>
    </row>
    <row r="20" spans="1:5" ht="14.25" x14ac:dyDescent="0.2">
      <c r="A20" s="68" t="s">
        <v>220</v>
      </c>
      <c r="B20" s="407" t="s">
        <v>36</v>
      </c>
      <c r="C20" s="246">
        <v>0.02</v>
      </c>
      <c r="E20" s="258">
        <v>2.4E-2</v>
      </c>
    </row>
    <row r="21" spans="1:5" ht="15" thickBot="1" x14ac:dyDescent="0.25">
      <c r="A21" s="69" t="s">
        <v>37</v>
      </c>
      <c r="B21" s="408"/>
      <c r="C21" s="248">
        <v>3.6499999999999998E-2</v>
      </c>
      <c r="E21" s="259">
        <f>C21</f>
        <v>3.6499999999999998E-2</v>
      </c>
    </row>
    <row r="22" spans="1:5" ht="14.25" x14ac:dyDescent="0.2">
      <c r="A22" s="70" t="s">
        <v>38</v>
      </c>
      <c r="B22" s="71"/>
      <c r="C22" s="72"/>
      <c r="E22" s="266"/>
    </row>
    <row r="23" spans="1:5" ht="15" thickBot="1" x14ac:dyDescent="0.25">
      <c r="A23" s="73" t="s">
        <v>177</v>
      </c>
      <c r="B23" s="74"/>
      <c r="C23" s="75"/>
      <c r="E23" s="267"/>
    </row>
    <row r="24" spans="1:5" ht="27" customHeight="1" thickBot="1" x14ac:dyDescent="0.25">
      <c r="A24" s="76" t="s">
        <v>39</v>
      </c>
      <c r="B24" s="77"/>
      <c r="C24" s="78">
        <f>ROUND((((1+C17+C18)*(1+C19))/(1-(C20+C21))-1),4)</f>
        <v>0.23930000000000001</v>
      </c>
      <c r="D24" s="273"/>
      <c r="E24" s="272">
        <f>ROUND((((1+E17+E18)*(1+E19))/(1-(E20+E21))-1),4)</f>
        <v>0.24460000000000001</v>
      </c>
    </row>
    <row r="26" spans="1:5" ht="13.5" thickBot="1" x14ac:dyDescent="0.25"/>
    <row r="27" spans="1:5" s="2" customFormat="1" ht="15.6" customHeight="1" thickBot="1" x14ac:dyDescent="0.25">
      <c r="A27" s="399" t="s">
        <v>103</v>
      </c>
      <c r="B27" s="400"/>
      <c r="C27" s="400"/>
      <c r="D27" s="400"/>
      <c r="E27" s="401"/>
    </row>
    <row r="28" spans="1:5" ht="16.5" thickBot="1" x14ac:dyDescent="0.25">
      <c r="A28" s="402" t="s">
        <v>179</v>
      </c>
      <c r="B28" s="403"/>
      <c r="C28" s="403"/>
      <c r="D28" s="403"/>
      <c r="E28" s="404"/>
    </row>
    <row r="29" spans="1:5" ht="30.75" thickBot="1" x14ac:dyDescent="0.25">
      <c r="A29" s="268" t="s">
        <v>46</v>
      </c>
      <c r="B29" s="269" t="s">
        <v>217</v>
      </c>
      <c r="C29" s="270" t="s">
        <v>218</v>
      </c>
      <c r="D29" s="44"/>
      <c r="E29" s="271" t="s">
        <v>219</v>
      </c>
    </row>
    <row r="30" spans="1:5" ht="14.25" x14ac:dyDescent="0.2">
      <c r="A30" s="66" t="s">
        <v>30</v>
      </c>
      <c r="B30" s="67" t="s">
        <v>31</v>
      </c>
      <c r="C30" s="245">
        <v>0.05</v>
      </c>
      <c r="E30" s="274">
        <f>C30</f>
        <v>0.05</v>
      </c>
    </row>
    <row r="31" spans="1:5" ht="14.25" x14ac:dyDescent="0.2">
      <c r="A31" s="68" t="s">
        <v>32</v>
      </c>
      <c r="B31" s="223" t="s">
        <v>33</v>
      </c>
      <c r="C31" s="246">
        <v>1.2999999999999999E-2</v>
      </c>
      <c r="E31" s="256">
        <f>C31</f>
        <v>1.2999999999999999E-2</v>
      </c>
    </row>
    <row r="32" spans="1:5" ht="15.75" thickBot="1" x14ac:dyDescent="0.25">
      <c r="A32" s="68" t="s">
        <v>34</v>
      </c>
      <c r="B32" s="223" t="s">
        <v>35</v>
      </c>
      <c r="C32" s="247">
        <v>0.1</v>
      </c>
      <c r="E32" s="257">
        <f>C32</f>
        <v>0.1</v>
      </c>
    </row>
    <row r="33" spans="1:5" ht="14.25" x14ac:dyDescent="0.2">
      <c r="A33" s="70" t="s">
        <v>113</v>
      </c>
      <c r="B33" s="71"/>
      <c r="C33" s="72"/>
      <c r="E33" s="266"/>
    </row>
    <row r="34" spans="1:5" ht="15" thickBot="1" x14ac:dyDescent="0.25">
      <c r="A34" s="73" t="s">
        <v>178</v>
      </c>
      <c r="B34" s="74"/>
      <c r="C34" s="75"/>
      <c r="E34" s="267"/>
    </row>
    <row r="35" spans="1:5" ht="27" customHeight="1" thickBot="1" x14ac:dyDescent="0.25">
      <c r="A35" s="405" t="s">
        <v>114</v>
      </c>
      <c r="B35" s="406"/>
      <c r="C35" s="78">
        <f>ROUND((((1+C30+C31)*(1+C32))-1),4)</f>
        <v>0.16930000000000001</v>
      </c>
      <c r="D35" s="273"/>
      <c r="E35" s="272">
        <f>ROUND((((1+E30+E31)*(1+E32))-1),4)</f>
        <v>0.16930000000000001</v>
      </c>
    </row>
  </sheetData>
  <mergeCells count="9">
    <mergeCell ref="A1:E1"/>
    <mergeCell ref="A2:E2"/>
    <mergeCell ref="A14:E14"/>
    <mergeCell ref="A15:E15"/>
    <mergeCell ref="A35:B35"/>
    <mergeCell ref="B20:B21"/>
    <mergeCell ref="B7:B8"/>
    <mergeCell ref="A27:E27"/>
    <mergeCell ref="A28:E28"/>
  </mergeCells>
  <pageMargins left="0.39370078740157483" right="0.19685039370078741" top="0.74803149606299213" bottom="0.74803149606299213" header="0.31496062992125984" footer="0.31496062992125984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12"/>
  <sheetViews>
    <sheetView workbookViewId="0">
      <selection activeCell="A14" sqref="A14"/>
    </sheetView>
  </sheetViews>
  <sheetFormatPr defaultColWidth="9.140625" defaultRowHeight="12.75" x14ac:dyDescent="0.2"/>
  <cols>
    <col min="1" max="1" width="23.42578125" style="291" customWidth="1"/>
    <col min="2" max="2" width="20.7109375" style="291" bestFit="1" customWidth="1"/>
    <col min="3" max="3" width="18" style="291" customWidth="1"/>
    <col min="4" max="16384" width="9.140625" style="291"/>
  </cols>
  <sheetData>
    <row r="1" spans="1:3" ht="19.149999999999999" customHeight="1" x14ac:dyDescent="0.2">
      <c r="A1" s="409" t="s">
        <v>234</v>
      </c>
      <c r="B1" s="409"/>
      <c r="C1" s="409"/>
    </row>
    <row r="2" spans="1:3" ht="19.149999999999999" customHeight="1" x14ac:dyDescent="0.2">
      <c r="A2" s="292" t="s">
        <v>235</v>
      </c>
      <c r="B2" s="293" t="s">
        <v>236</v>
      </c>
      <c r="C2" s="293" t="s">
        <v>237</v>
      </c>
    </row>
    <row r="3" spans="1:3" ht="19.149999999999999" customHeight="1" x14ac:dyDescent="0.2">
      <c r="A3" s="294">
        <v>1</v>
      </c>
      <c r="B3" s="295">
        <v>33.629999999999995</v>
      </c>
      <c r="C3" s="295">
        <f>100-B3</f>
        <v>66.37</v>
      </c>
    </row>
    <row r="4" spans="1:3" ht="19.149999999999999" customHeight="1" x14ac:dyDescent="0.2">
      <c r="A4" s="296">
        <v>2</v>
      </c>
      <c r="B4" s="297">
        <v>43.13</v>
      </c>
      <c r="C4" s="297">
        <f t="shared" ref="C4:C12" si="0">100-B4</f>
        <v>56.87</v>
      </c>
    </row>
    <row r="5" spans="1:3" ht="19.149999999999999" customHeight="1" x14ac:dyDescent="0.2">
      <c r="A5" s="296">
        <v>3</v>
      </c>
      <c r="B5" s="297">
        <v>48.68</v>
      </c>
      <c r="C5" s="297">
        <f t="shared" si="0"/>
        <v>51.32</v>
      </c>
    </row>
    <row r="6" spans="1:3" ht="19.149999999999999" customHeight="1" x14ac:dyDescent="0.2">
      <c r="A6" s="296">
        <v>4</v>
      </c>
      <c r="B6" s="297">
        <v>52.62</v>
      </c>
      <c r="C6" s="297">
        <f t="shared" si="0"/>
        <v>47.38</v>
      </c>
    </row>
    <row r="7" spans="1:3" ht="19.149999999999999" customHeight="1" x14ac:dyDescent="0.2">
      <c r="A7" s="296">
        <v>5</v>
      </c>
      <c r="B7" s="297">
        <v>55.68</v>
      </c>
      <c r="C7" s="297">
        <f t="shared" si="0"/>
        <v>44.32</v>
      </c>
    </row>
    <row r="8" spans="1:3" ht="19.149999999999999" customHeight="1" x14ac:dyDescent="0.2">
      <c r="A8" s="296">
        <v>6</v>
      </c>
      <c r="B8" s="297">
        <v>58.18</v>
      </c>
      <c r="C8" s="297">
        <f t="shared" si="0"/>
        <v>41.82</v>
      </c>
    </row>
    <row r="9" spans="1:3" ht="19.149999999999999" customHeight="1" x14ac:dyDescent="0.2">
      <c r="A9" s="296">
        <v>7</v>
      </c>
      <c r="B9" s="297">
        <v>60.29</v>
      </c>
      <c r="C9" s="297">
        <f t="shared" si="0"/>
        <v>39.71</v>
      </c>
    </row>
    <row r="10" spans="1:3" ht="19.149999999999999" customHeight="1" x14ac:dyDescent="0.2">
      <c r="A10" s="296">
        <v>8</v>
      </c>
      <c r="B10" s="297">
        <v>62.12</v>
      </c>
      <c r="C10" s="297">
        <f t="shared" si="0"/>
        <v>37.880000000000003</v>
      </c>
    </row>
    <row r="11" spans="1:3" ht="19.149999999999999" customHeight="1" x14ac:dyDescent="0.2">
      <c r="A11" s="296">
        <v>9</v>
      </c>
      <c r="B11" s="297">
        <v>63.73</v>
      </c>
      <c r="C11" s="297">
        <f t="shared" si="0"/>
        <v>36.270000000000003</v>
      </c>
    </row>
    <row r="12" spans="1:3" ht="19.149999999999999" customHeight="1" x14ac:dyDescent="0.2">
      <c r="A12" s="301">
        <v>10</v>
      </c>
      <c r="B12" s="302">
        <v>65.180000000000007</v>
      </c>
      <c r="C12" s="302">
        <f t="shared" si="0"/>
        <v>34.819999999999993</v>
      </c>
    </row>
  </sheetData>
  <mergeCells count="1">
    <mergeCell ref="A1:C1"/>
  </mergeCells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3</vt:i4>
      </vt:variant>
    </vt:vector>
  </HeadingPairs>
  <TitlesOfParts>
    <vt:vector size="7" baseType="lpstr">
      <vt:lpstr>Van 18 lugares- Paresp</vt:lpstr>
      <vt:lpstr>Enc. Soc. - LR-LP e SN</vt:lpstr>
      <vt:lpstr>BDI</vt:lpstr>
      <vt:lpstr>Depr.</vt:lpstr>
      <vt:lpstr>'Enc. Soc. - LR-LP e SN'!Area_de_impressao</vt:lpstr>
      <vt:lpstr>'Van 18 lugares- Paresp'!Area_de_impressao</vt:lpstr>
      <vt:lpstr>'Van 18 lugares- Paresp'!Titulos_de_impressao</vt:lpstr>
    </vt:vector>
  </TitlesOfParts>
  <Company>dmlu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creator>Flavia Burmeister Martins</dc:creator>
  <cp:lastModifiedBy>ADM Office</cp:lastModifiedBy>
  <cp:lastPrinted>2026-08-18T16:33:02Z</cp:lastPrinted>
  <dcterms:created xsi:type="dcterms:W3CDTF">2000-12-13T10:02:50Z</dcterms:created>
  <dcterms:modified xsi:type="dcterms:W3CDTF">2026-09-16T14:57:50Z</dcterms:modified>
</cp:coreProperties>
</file>