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N:\CUSTOS- JANICE NÃO MEXER\CONTABILIDADE DE CUSTOS\2026\NOVAS PLANILHAS\VIGILANCIA NOS PRÉDIOS PÚBLICOS- SUSPENSO\vigilancia caps\"/>
    </mc:Choice>
  </mc:AlternateContent>
  <bookViews>
    <workbookView xWindow="0" yWindow="0" windowWidth="24000" windowHeight="9435"/>
  </bookViews>
  <sheets>
    <sheet name="Vigilancia-CAPS" sheetId="1" r:id="rId1"/>
    <sheet name="Enc. Soc. - LR-LP e SN" sheetId="2" r:id="rId2"/>
    <sheet name="bdi" sheetId="3" r:id="rId3"/>
  </sheets>
  <externalReferences>
    <externalReference r:id="rId4"/>
  </externalReferences>
  <definedNames>
    <definedName name="AbaDeprec" localSheetId="0">#REF!</definedName>
    <definedName name="AbaDeprec">#REF!</definedName>
    <definedName name="AbaRemun" localSheetId="0">#REF!</definedName>
    <definedName name="AbaRemun">#REF!</definedName>
    <definedName name="número" localSheetId="0">#REF!</definedName>
    <definedName name="número">#REF!</definedName>
    <definedName name="_xlnm.Print_Titles" localSheetId="0">'Vigilancia-CAPS'!$4:$4</definedName>
    <definedName name="x" localSheetId="0">#REF!</definedName>
    <definedName name="x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2" i="1" l="1"/>
  <c r="A17" i="1" l="1"/>
  <c r="E43" i="1"/>
  <c r="E144" i="1" l="1"/>
  <c r="F142" i="1"/>
  <c r="F118" i="1" l="1"/>
  <c r="F109" i="1"/>
  <c r="F108" i="1"/>
  <c r="E56" i="1" l="1"/>
  <c r="C35" i="3" l="1"/>
  <c r="C24" i="3"/>
  <c r="C11" i="3"/>
  <c r="C48" i="2"/>
  <c r="C47" i="2"/>
  <c r="C29" i="2"/>
  <c r="C25" i="2"/>
  <c r="E23" i="2"/>
  <c r="C20" i="2"/>
  <c r="C28" i="2" s="1"/>
  <c r="C13" i="2"/>
  <c r="C27" i="2" s="1"/>
  <c r="C30" i="2" s="1"/>
  <c r="C31" i="2" s="1"/>
  <c r="F200" i="1"/>
  <c r="D178" i="1"/>
  <c r="F173" i="1"/>
  <c r="D166" i="1"/>
  <c r="F161" i="1"/>
  <c r="D154" i="1"/>
  <c r="D144" i="1"/>
  <c r="F141" i="1"/>
  <c r="D137" i="1"/>
  <c r="E136" i="1"/>
  <c r="F136" i="1" s="1"/>
  <c r="E137" i="1" s="1"/>
  <c r="F137" i="1" s="1"/>
  <c r="G137" i="1" s="1"/>
  <c r="C16" i="1" s="1"/>
  <c r="F135" i="1"/>
  <c r="F129" i="1"/>
  <c r="F128" i="1"/>
  <c r="F127" i="1"/>
  <c r="F126" i="1"/>
  <c r="F130" i="1" s="1"/>
  <c r="E131" i="1" s="1"/>
  <c r="F125" i="1"/>
  <c r="F119" i="1"/>
  <c r="F117" i="1"/>
  <c r="F116" i="1"/>
  <c r="F115" i="1"/>
  <c r="F114" i="1"/>
  <c r="F113" i="1"/>
  <c r="F112" i="1"/>
  <c r="F111" i="1"/>
  <c r="F110" i="1"/>
  <c r="F107" i="1"/>
  <c r="F106" i="1"/>
  <c r="F105" i="1"/>
  <c r="F104" i="1"/>
  <c r="E94" i="1"/>
  <c r="F94" i="1" s="1"/>
  <c r="D93" i="1"/>
  <c r="F93" i="1" s="1"/>
  <c r="F95" i="1" s="1"/>
  <c r="E96" i="1" s="1"/>
  <c r="D89" i="1"/>
  <c r="D88" i="1"/>
  <c r="D82" i="1"/>
  <c r="F80" i="1"/>
  <c r="D79" i="1"/>
  <c r="C79" i="1"/>
  <c r="F73" i="1"/>
  <c r="D72" i="1"/>
  <c r="D71" i="1"/>
  <c r="D68" i="1"/>
  <c r="E66" i="1"/>
  <c r="F66" i="1" s="1"/>
  <c r="E62" i="1"/>
  <c r="D58" i="1"/>
  <c r="F56" i="1"/>
  <c r="E55" i="1"/>
  <c r="D55" i="1"/>
  <c r="C55" i="1"/>
  <c r="F49" i="1"/>
  <c r="E44" i="1"/>
  <c r="F44" i="1" s="1"/>
  <c r="D44" i="1"/>
  <c r="F40" i="1"/>
  <c r="E40" i="1"/>
  <c r="E48" i="1" s="1"/>
  <c r="F48" i="1" s="1"/>
  <c r="G29" i="1"/>
  <c r="F29" i="1"/>
  <c r="D131" i="1" s="1"/>
  <c r="G27" i="1"/>
  <c r="A20" i="1"/>
  <c r="A19" i="1"/>
  <c r="A18" i="1"/>
  <c r="A16" i="1"/>
  <c r="A15" i="1"/>
  <c r="A14" i="1"/>
  <c r="A13" i="1"/>
  <c r="A12" i="1"/>
  <c r="A11" i="1"/>
  <c r="A9" i="1"/>
  <c r="F120" i="1" l="1"/>
  <c r="E121" i="1" s="1"/>
  <c r="E16" i="1"/>
  <c r="E68" i="1"/>
  <c r="F68" i="1" s="1"/>
  <c r="F62" i="1"/>
  <c r="E64" i="1"/>
  <c r="F64" i="1" s="1"/>
  <c r="E72" i="1"/>
  <c r="E79" i="1" s="1"/>
  <c r="F79" i="1" s="1"/>
  <c r="E88" i="1"/>
  <c r="F88" i="1" s="1"/>
  <c r="E89" i="1" s="1"/>
  <c r="F89" i="1" s="1"/>
  <c r="G89" i="1" s="1"/>
  <c r="C11" i="1" s="1"/>
  <c r="F144" i="1"/>
  <c r="F131" i="1"/>
  <c r="G131" i="1" s="1"/>
  <c r="C15" i="1" s="1"/>
  <c r="F55" i="1"/>
  <c r="E63" i="1"/>
  <c r="F63" i="1" s="1"/>
  <c r="E67" i="1"/>
  <c r="F67" i="1" s="1"/>
  <c r="F72" i="1"/>
  <c r="E41" i="1"/>
  <c r="F41" i="1" s="1"/>
  <c r="E42" i="1"/>
  <c r="F42" i="1" s="1"/>
  <c r="F43" i="1"/>
  <c r="D96" i="1"/>
  <c r="F96" i="1" s="1"/>
  <c r="G96" i="1" s="1"/>
  <c r="C12" i="1" s="1"/>
  <c r="D121" i="1"/>
  <c r="F121" i="1" l="1"/>
  <c r="G121" i="1" s="1"/>
  <c r="C14" i="1" s="1"/>
  <c r="E12" i="1"/>
  <c r="E11" i="1"/>
  <c r="C17" i="1"/>
  <c r="G144" i="1"/>
  <c r="G16" i="1"/>
  <c r="G146" i="1"/>
  <c r="C13" i="1" s="1"/>
  <c r="E15" i="1"/>
  <c r="E65" i="1"/>
  <c r="F65" i="1" s="1"/>
  <c r="E69" i="1" s="1"/>
  <c r="F69" i="1" s="1"/>
  <c r="E45" i="1"/>
  <c r="F45" i="1" s="1"/>
  <c r="F46" i="1" s="1"/>
  <c r="E47" i="1" l="1"/>
  <c r="F47" i="1" s="1"/>
  <c r="E54" i="1"/>
  <c r="F50" i="1"/>
  <c r="E51" i="1" s="1"/>
  <c r="F51" i="1" s="1"/>
  <c r="G51" i="1" s="1"/>
  <c r="F70" i="1"/>
  <c r="G15" i="1"/>
  <c r="E13" i="1"/>
  <c r="E17" i="1"/>
  <c r="G11" i="1"/>
  <c r="E14" i="1"/>
  <c r="G12" i="1"/>
  <c r="G14" i="1" l="1"/>
  <c r="G17" i="1"/>
  <c r="E78" i="1"/>
  <c r="E71" i="1"/>
  <c r="F71" i="1" s="1"/>
  <c r="F74" i="1" s="1"/>
  <c r="E75" i="1" s="1"/>
  <c r="F75" i="1" s="1"/>
  <c r="G75" i="1" s="1"/>
  <c r="F54" i="1"/>
  <c r="F57" i="1" s="1"/>
  <c r="E58" i="1" s="1"/>
  <c r="F58" i="1" s="1"/>
  <c r="G58" i="1" s="1"/>
  <c r="G13" i="1"/>
  <c r="G98" i="1" l="1"/>
  <c r="C10" i="1"/>
  <c r="F78" i="1"/>
  <c r="F81" i="1" s="1"/>
  <c r="E82" i="1" s="1"/>
  <c r="F82" i="1" s="1"/>
  <c r="G82" i="1" s="1"/>
  <c r="G99" i="1" l="1"/>
  <c r="G10" i="1"/>
  <c r="G148" i="1"/>
  <c r="C9" i="1"/>
  <c r="E9" i="1"/>
  <c r="E10" i="1"/>
  <c r="E166" i="1" l="1"/>
  <c r="F166" i="1" s="1"/>
  <c r="G167" i="1" s="1"/>
  <c r="G169" i="1" s="1"/>
  <c r="E19" i="1" s="1"/>
  <c r="E154" i="1"/>
  <c r="F154" i="1" s="1"/>
  <c r="G155" i="1" s="1"/>
  <c r="G157" i="1" s="1"/>
  <c r="C18" i="1" s="1"/>
  <c r="G149" i="1"/>
  <c r="E178" i="1" s="1"/>
  <c r="G9" i="1"/>
  <c r="C21" i="1" l="1"/>
  <c r="F178" i="1"/>
  <c r="G179" i="1" s="1"/>
  <c r="G159" i="1"/>
  <c r="G161" i="1" s="1"/>
  <c r="C22" i="1" s="1"/>
  <c r="G171" i="1"/>
  <c r="G173" i="1" s="1"/>
  <c r="E22" i="1" s="1"/>
  <c r="E21" i="1"/>
  <c r="G181" i="1" l="1"/>
  <c r="G183" i="1" s="1"/>
  <c r="E191" i="1" s="1"/>
  <c r="D16" i="1"/>
  <c r="D11" i="1"/>
  <c r="D15" i="1"/>
  <c r="D12" i="1"/>
  <c r="D17" i="1"/>
  <c r="D14" i="1"/>
  <c r="D13" i="1"/>
  <c r="D10" i="1"/>
  <c r="D9" i="1"/>
  <c r="D18" i="1"/>
  <c r="F16" i="1"/>
  <c r="F15" i="1"/>
  <c r="F11" i="1"/>
  <c r="F12" i="1"/>
  <c r="F14" i="1"/>
  <c r="F17" i="1"/>
  <c r="F13" i="1"/>
  <c r="F10" i="1"/>
  <c r="F9" i="1"/>
  <c r="F19" i="1"/>
  <c r="F21" i="1" l="1"/>
  <c r="D21" i="1"/>
  <c r="G198" i="1"/>
  <c r="F194" i="1" l="1"/>
  <c r="F195" i="1" s="1"/>
  <c r="F191" i="1"/>
  <c r="G192" i="1" s="1"/>
  <c r="G200" i="1"/>
  <c r="G22" i="1" s="1"/>
  <c r="G196" i="1" l="1"/>
  <c r="G20" i="1"/>
  <c r="G21" i="1" l="1"/>
  <c r="H20" i="1" s="1"/>
  <c r="H16" i="1" l="1"/>
  <c r="H11" i="1"/>
  <c r="H12" i="1"/>
  <c r="H15" i="1"/>
  <c r="H14" i="1"/>
  <c r="H17" i="1"/>
  <c r="H13" i="1"/>
  <c r="H10" i="1"/>
  <c r="H9" i="1"/>
  <c r="H21" i="1" s="1"/>
</calcChain>
</file>

<file path=xl/comments1.xml><?xml version="1.0" encoding="utf-8"?>
<comments xmlns="http://schemas.openxmlformats.org/spreadsheetml/2006/main">
  <authors>
    <author>User</author>
    <author>Clauber Bridi</author>
  </authors>
  <commentList>
    <comment ref="B3" authorId="0" shapeId="0">
      <text>
        <r>
          <rPr>
            <b/>
            <sz val="9"/>
            <color indexed="81"/>
            <rFont val="Segoe UI"/>
            <family val="2"/>
          </rPr>
          <t>Informar o nº do 
processo.</t>
        </r>
      </text>
    </comment>
    <comment ref="D3" authorId="0" shapeId="0">
      <text>
        <r>
          <rPr>
            <b/>
            <sz val="9"/>
            <color indexed="81"/>
            <rFont val="Segoe UI"/>
            <family val="2"/>
          </rPr>
          <t>Informar o nº da licitação.</t>
        </r>
      </text>
    </comment>
    <comment ref="G3" authorId="0" shapeId="0">
      <text>
        <r>
          <rPr>
            <b/>
            <sz val="9"/>
            <color indexed="81"/>
            <rFont val="Segoe UI"/>
            <family val="2"/>
          </rPr>
          <t>Informar a data da licitação.</t>
        </r>
      </text>
    </comment>
    <comment ref="C26" authorId="0" shapeId="0">
      <text>
        <r>
          <rPr>
            <b/>
            <sz val="9"/>
            <color indexed="81"/>
            <rFont val="Segoe UI"/>
            <family val="2"/>
          </rPr>
          <t>Informar a data base da categoria, conforme CCT.</t>
        </r>
      </text>
    </comment>
    <comment ref="D26" authorId="0" shapeId="0">
      <text>
        <r>
          <rPr>
            <b/>
            <sz val="9"/>
            <color indexed="81"/>
            <rFont val="Segoe UI"/>
            <family val="2"/>
          </rPr>
          <t>Informar a vigência da CCT utilizada.</t>
        </r>
      </text>
    </comment>
    <comment ref="F26" authorId="0" shapeId="0">
      <text>
        <r>
          <rPr>
            <b/>
            <sz val="9"/>
            <color indexed="81"/>
            <rFont val="Segoe UI"/>
            <family val="2"/>
          </rPr>
          <t>Informar a quantidade de motoristas para este item, deste trajeto.</t>
        </r>
      </text>
    </comment>
    <comment ref="G26" authorId="0" shapeId="0">
      <text>
        <r>
          <rPr>
            <b/>
            <sz val="9"/>
            <color indexed="81"/>
            <rFont val="Segoe UI"/>
            <family val="2"/>
          </rPr>
          <t>Informar o Piso da categoria fixado na Convenção Coletiva ou a remuneração efetivamente paga pela empresa.</t>
        </r>
      </text>
    </comment>
    <comment ref="C27" authorId="0" shapeId="0">
      <text>
        <r>
          <rPr>
            <b/>
            <sz val="9"/>
            <color indexed="81"/>
            <rFont val="Segoe UI"/>
            <family val="2"/>
          </rPr>
          <t>Informado os dias em que haverá prestação de serviço.</t>
        </r>
      </text>
    </comment>
    <comment ref="D27" authorId="0" shapeId="0">
      <text>
        <r>
          <rPr>
            <b/>
            <sz val="9"/>
            <color indexed="81"/>
            <rFont val="Segoe UI"/>
            <family val="2"/>
          </rPr>
          <t>Informado o horário da prestação de serviço</t>
        </r>
      </text>
    </comment>
    <comment ref="G32" authorId="0" shapeId="0">
      <text>
        <r>
          <rPr>
            <b/>
            <sz val="9"/>
            <color indexed="81"/>
            <rFont val="Segoe UI"/>
            <family val="2"/>
          </rPr>
          <t>Informar o valor do veículo novo, zero Km, observando a necessidade de acessibilidade (cadeirantes)</t>
        </r>
      </text>
    </comment>
    <comment ref="G33" authorId="0" shapeId="0">
      <text>
        <r>
          <rPr>
            <b/>
            <sz val="9"/>
            <color indexed="81"/>
            <rFont val="Segoe UI"/>
            <family val="2"/>
          </rPr>
          <t>Informar o número de meses de duração do contrato.</t>
        </r>
      </text>
    </comment>
    <comment ref="G34" authorId="0" shapeId="0">
      <text>
        <r>
          <rPr>
            <b/>
            <sz val="9"/>
            <color indexed="81"/>
            <rFont val="Segoe UI"/>
            <family val="2"/>
          </rPr>
          <t>Informar o número médio de dias letivos por mês, para este item, deste trajeto, conforme consta no projeto.</t>
        </r>
      </text>
    </comment>
    <comment ref="D41" authorId="1" shapeId="0">
      <text>
        <r>
          <rPr>
            <sz val="9"/>
            <color indexed="81"/>
            <rFont val="Tahoma"/>
            <family val="2"/>
          </rPr>
          <t>Informar o número de horas extras trabalhadas nos domingos e feriados em horário diurno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2" authorId="1" shapeId="0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D45" authorId="1" shapeId="0">
      <text>
        <r>
          <rPr>
            <sz val="9"/>
            <color indexed="81"/>
            <rFont val="Tahoma"/>
            <family val="2"/>
          </rPr>
          <t>Informar o percentual de periculosidade.</t>
        </r>
      </text>
    </comment>
    <comment ref="D47" authorId="1" shapeId="0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54" authorId="1" shapeId="0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63" authorId="1" shapeId="0">
      <text>
        <r>
          <rPr>
            <sz val="9"/>
            <color indexed="81"/>
            <rFont val="Tahoma"/>
            <family val="2"/>
          </rPr>
          <t>Informar o número de horas extras trabalhadas nos domingos e feriados em horário diurno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4" authorId="1" shapeId="0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D69" authorId="1" shapeId="0">
      <text>
        <r>
          <rPr>
            <sz val="9"/>
            <color indexed="81"/>
            <rFont val="Tahoma"/>
            <family val="2"/>
          </rPr>
          <t>Informar o percentual de periculosidade.</t>
        </r>
      </text>
    </comment>
    <comment ref="D71" authorId="1" shapeId="0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D78" authorId="1" shapeId="0">
      <text>
        <r>
          <rPr>
            <sz val="9"/>
            <color indexed="81"/>
            <rFont val="Tahoma"/>
            <family val="2"/>
          </rPr>
          <t>Percentual buscado automaticamente no plano "Enc. Soc. - LR-LP e SN", no qual cada empresa poderá, caso haja interesse ou necessidade, adequar os percentuais à sua realidade.</t>
        </r>
      </text>
    </comment>
    <comment ref="E86" authorId="1" shapeId="0">
      <text>
        <r>
          <rPr>
            <sz val="9"/>
            <color indexed="81"/>
            <rFont val="Tahoma"/>
            <family val="2"/>
          </rPr>
          <t xml:space="preserve">Informar o valor unitário do VT no município.
</t>
        </r>
      </text>
    </comment>
    <comment ref="E88" authorId="1" shapeId="0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E93" authorId="1" shapeId="0">
      <text>
        <r>
          <rPr>
            <sz val="9"/>
            <color indexed="81"/>
            <rFont val="Tahoma"/>
            <family val="2"/>
          </rPr>
          <t>Informar o valor unitário diário do vale refeição.</t>
        </r>
      </text>
    </comment>
    <comment ref="D94" authorId="0" shapeId="0">
      <text>
        <r>
          <rPr>
            <b/>
            <sz val="9"/>
            <color indexed="81"/>
            <rFont val="Segoe UI"/>
            <family val="2"/>
          </rPr>
          <t>Inserir o % de desconto previsto na CCT</t>
        </r>
      </text>
    </comment>
    <comment ref="D104" authorId="1" shapeId="0">
      <text>
        <r>
          <rPr>
            <sz val="9"/>
            <color indexed="81"/>
            <rFont val="Tahoma"/>
            <family val="2"/>
          </rPr>
          <t>Informar a durabilidade estimada em meses, para cada EPI.
Fórmula: 12 meses (12), dividido pela quantidade mínima fornecida em cada ano.</t>
        </r>
      </text>
    </comment>
    <comment ref="E104" authorId="1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05" authorId="1" shapeId="0">
      <text>
        <r>
          <rPr>
            <sz val="9"/>
            <color indexed="81"/>
            <rFont val="Tahoma"/>
            <family val="2"/>
          </rPr>
          <t>Informar a durabilidade estimada em meses, para cada EPI.
Fórmula: 12 meses (12), dividido pela quantidade mínima fornecida em cada ano.</t>
        </r>
      </text>
    </comment>
    <comment ref="E105" authorId="1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06" authorId="1" shapeId="0">
      <text>
        <r>
          <rPr>
            <sz val="9"/>
            <color indexed="81"/>
            <rFont val="Tahoma"/>
            <family val="2"/>
          </rPr>
          <t>Informar a durabilidade estimada em meses, para cada EPI.
Fórmula: 12 meses (12), dividido pela quantidade mínima fornecida em cada ano.</t>
        </r>
      </text>
    </comment>
    <comment ref="E106" authorId="1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07" authorId="1" shapeId="0">
      <text>
        <r>
          <rPr>
            <sz val="9"/>
            <color indexed="81"/>
            <rFont val="Tahoma"/>
            <family val="2"/>
          </rPr>
          <t>Informar a durabilidade estimada em meses, para cada EPI.
Fórmula: 12 meses (12), dividido pela quantidade mínima fornecida em cada ano.</t>
        </r>
      </text>
    </comment>
    <comment ref="E107" authorId="1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10" authorId="1" shapeId="0">
      <text>
        <r>
          <rPr>
            <sz val="9"/>
            <color indexed="81"/>
            <rFont val="Tahoma"/>
            <family val="2"/>
          </rPr>
          <t>Informar a durabilidade estimada em meses, para cada EPI.
Fórmula: 12 meses (12), dividido pela quantidade mínima fornecida em cada ano.</t>
        </r>
      </text>
    </comment>
    <comment ref="E110" authorId="1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11" authorId="1" shapeId="0">
      <text>
        <r>
          <rPr>
            <sz val="9"/>
            <color indexed="81"/>
            <rFont val="Tahoma"/>
            <family val="2"/>
          </rPr>
          <t>Informar a durabilidade estimada em meses, para cada EPI.
Fórmula: 12 meses (12), dividido pela quantidade mínima fornecida em cada ano.</t>
        </r>
      </text>
    </comment>
    <comment ref="E111" authorId="1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12" authorId="1" shapeId="0">
      <text>
        <r>
          <rPr>
            <sz val="9"/>
            <color indexed="81"/>
            <rFont val="Tahoma"/>
            <family val="2"/>
          </rPr>
          <t>Informar a durabilidade estimada em meses, para cada EPI.
Fórmula: 12 meses (12), dividido pela quantidade mínima fornecida em cada ano.</t>
        </r>
      </text>
    </comment>
    <comment ref="E112" authorId="1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13" authorId="1" shapeId="0">
      <text>
        <r>
          <rPr>
            <sz val="9"/>
            <color indexed="81"/>
            <rFont val="Tahoma"/>
            <family val="2"/>
          </rPr>
          <t>Informar a durabilidade estimada em meses, para cada EPI.
Fórmula: 12 meses (12), dividido pela quantidade mínima fornecida em cada ano.</t>
        </r>
      </text>
    </comment>
    <comment ref="E113" authorId="1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15" authorId="1" shapeId="0">
      <text>
        <r>
          <rPr>
            <sz val="9"/>
            <color indexed="81"/>
            <rFont val="Tahoma"/>
            <family val="2"/>
          </rPr>
          <t>Informar a durabilidade estimada em meses, para cada EPI.
Fórmula: 12 meses (12), dividido pela quantidade mínima fornecida em cada ano.</t>
        </r>
      </text>
    </comment>
    <comment ref="E115" authorId="1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19" authorId="1" shapeId="0">
      <text>
        <r>
          <rPr>
            <sz val="9"/>
            <color indexed="81"/>
            <rFont val="Tahoma"/>
            <family val="2"/>
          </rPr>
          <t>Informar a durabilidade estimada em meses, para cada EPI.
Fórmula: 12 meses (12), dividido pela quantidade mínima fornecida em cada ano.</t>
        </r>
      </text>
    </comment>
    <comment ref="E119" authorId="1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25" authorId="1" shapeId="0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25" authorId="1" shapeId="0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28" authorId="1" shapeId="0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28" authorId="1" shapeId="0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29" authorId="0" shapeId="0">
      <text>
        <r>
          <rPr>
            <sz val="9"/>
            <color indexed="81"/>
            <rFont val="Segoe UI"/>
            <family val="2"/>
          </rPr>
          <t>Informar a quantidade por mês.
Fórmula para quando as quantidades forem para um ano: quantidade de pçs por ano, dividido por doze meses.</t>
        </r>
      </text>
    </comment>
    <comment ref="E129" authorId="1" shapeId="0">
      <text>
        <r>
          <rPr>
            <sz val="9"/>
            <color indexed="81"/>
            <rFont val="Tahoma"/>
            <family val="2"/>
          </rPr>
          <t xml:space="preserve">Informar o valor unitário de aquisição deste material.
</t>
        </r>
      </text>
    </comment>
    <comment ref="D135" authorId="1" shapeId="0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35" authorId="1" shapeId="0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41" authorId="1" shapeId="0">
      <text>
        <r>
          <rPr>
            <sz val="9"/>
            <color indexed="81"/>
            <rFont val="Tahoma"/>
            <family val="2"/>
          </rPr>
          <t>Informar a quantidade por mês.
Fórmula para quando as quantidades forem para um ano: quantidade de pçs por ano, dividido por doze meses.</t>
        </r>
      </text>
    </comment>
    <comment ref="E141" authorId="1" shapeId="0">
      <text>
        <r>
          <rPr>
            <sz val="9"/>
            <color indexed="81"/>
            <rFont val="Tahoma"/>
            <family val="2"/>
          </rPr>
          <t>Informar o valor unitário de aquisição deste material.</t>
        </r>
      </text>
    </comment>
    <comment ref="D154" authorId="1" shapeId="0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166" authorId="1" shapeId="0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D178" authorId="1" shapeId="0">
      <text>
        <r>
          <rPr>
            <sz val="9"/>
            <color indexed="81"/>
            <rFont val="Tahoma"/>
            <family val="2"/>
          </rPr>
          <t>Percentual buscado automaticamente no plano "BDI", no qual cada empresa poderá, caso haja interesse ou necessidade, adequar os percentuais.</t>
        </r>
      </text>
    </comment>
    <comment ref="A188" authorId="0" shapeId="0">
      <text>
        <r>
          <rPr>
            <b/>
            <sz val="9"/>
            <color indexed="81"/>
            <rFont val="Segoe UI"/>
            <family val="2"/>
          </rPr>
          <t>Com base no faturamento Bruto dos últimos 12 meses, informar a faixa de faturamento bruto , conforme Anexo III do Simples Nacional.</t>
        </r>
      </text>
    </comment>
    <comment ref="D191" authorId="1" shapeId="0">
      <text>
        <r>
          <rPr>
            <sz val="9"/>
            <color indexed="81"/>
            <rFont val="Tahoma"/>
            <family val="2"/>
          </rPr>
          <t xml:space="preserve">Quando RBA12 for até R$ 180.000,00 a aliquota é de 6,00%, conforme Anexo III do Simples Nacional.
Para valores superiores a R$ 180.000,00 aplicar a fórmula: 
(RBA12 x ALIQ) – PD / RBA12.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C4" authorId="0" shapeId="0">
      <text>
        <r>
          <rPr>
            <b/>
            <sz val="9"/>
            <color indexed="81"/>
            <rFont val="Segoe UI"/>
            <family val="2"/>
          </rPr>
          <t>Preencher os campos que assim o requeiram, com os percentuais legais, conforme seu regime de tributação e os demais com a incidência que ocorre na sua empresa.</t>
        </r>
      </text>
    </comment>
    <comment ref="C36" authorId="0" shapeId="0">
      <text>
        <r>
          <rPr>
            <b/>
            <sz val="9"/>
            <color indexed="81"/>
            <rFont val="Segoe UI"/>
            <family val="2"/>
          </rPr>
          <t>Preencher os campos que assim o requeiram, com os percentuais legais, conforme seu regime de tributação e os demais com a incidência que ocorre na sua empresa.</t>
        </r>
      </text>
    </comment>
  </commentList>
</comments>
</file>

<file path=xl/comments3.xml><?xml version="1.0" encoding="utf-8"?>
<comments xmlns="http://schemas.openxmlformats.org/spreadsheetml/2006/main">
  <authors>
    <author>Clauber Bridi</author>
  </authors>
  <commentList>
    <comment ref="C4" authorId="0" shapeId="0">
      <text>
        <r>
          <rPr>
            <b/>
            <sz val="9"/>
            <color indexed="81"/>
            <rFont val="Tahoma"/>
            <family val="2"/>
          </rPr>
          <t>Informar o % de Administração Central.
É apurado dividindo-se o valor médio das despesas mensais com administração central, pelo faturamento médio mensal.</t>
        </r>
      </text>
    </comment>
    <comment ref="C5" authorId="0" shapeId="0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" authorId="0" shapeId="0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 shapeId="0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" authorId="0" shapeId="0">
      <text>
        <r>
          <rPr>
            <b/>
            <sz val="9"/>
            <color indexed="81"/>
            <rFont val="Tahoma"/>
            <family val="2"/>
          </rPr>
          <t>Informar o somatório percentual  do PIS e da COFINS, conforme seu regime de tributação: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Informar o % de Administração Central.
É apurado dividindo-se o valor médio das despesas mensais com administração central, pelo faturamento médio mensal.</t>
        </r>
      </text>
    </comment>
    <comment ref="C18" authorId="0" shapeId="0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Informar o somatório percentual  do PIS e da COFINS, conforme seu regime de tributação: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>
      <text>
        <r>
          <rPr>
            <b/>
            <sz val="9"/>
            <color indexed="81"/>
            <rFont val="Tahoma"/>
            <family val="2"/>
          </rPr>
          <t>Informar o % de Administração Central.
É apurado dividindo-se o valor médio das despesas mensais com administração central, pelo faturamento médio mensal.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<sst xmlns="http://schemas.openxmlformats.org/spreadsheetml/2006/main" count="468" uniqueCount="269">
  <si>
    <t>GRUPO A - Identificação</t>
  </si>
  <si>
    <t/>
  </si>
  <si>
    <t xml:space="preserve">Nº do processo: </t>
  </si>
  <si>
    <t>8186-2026</t>
  </si>
  <si>
    <t xml:space="preserve">Licitação nº: </t>
  </si>
  <si>
    <t xml:space="preserve">Data: </t>
  </si>
  <si>
    <t>GRUPO B - Orçamento Sintético</t>
  </si>
  <si>
    <t>Formas de Tributação</t>
  </si>
  <si>
    <t>LUCRO REAL</t>
  </si>
  <si>
    <t>LUCRO PRESUMIDO</t>
  </si>
  <si>
    <t>SIMPLES NAC.</t>
  </si>
  <si>
    <t>Descrição do Item</t>
  </si>
  <si>
    <t>Custo
(R$/mês)</t>
  </si>
  <si>
    <t>AV %</t>
  </si>
  <si>
    <t>1.1. Vigilante</t>
  </si>
  <si>
    <t>PREÇO TOTAL MÊS (R$/Mês)</t>
  </si>
  <si>
    <t>PREÇO TOTAL PARA 12 MESES (R$/12 Meses)</t>
  </si>
  <si>
    <t>GRUPO C - Informações sobre</t>
  </si>
  <si>
    <t>C1- Mão-de-obra</t>
  </si>
  <si>
    <t>Data Base</t>
  </si>
  <si>
    <t>Vigência da CCT</t>
  </si>
  <si>
    <t>Quantidade</t>
  </si>
  <si>
    <t>R$ / mês</t>
  </si>
  <si>
    <t>Vigilante - CBO 5173-30</t>
  </si>
  <si>
    <t>1º de Fevereiro</t>
  </si>
  <si>
    <t>01/02/2025 a 31/01/2027</t>
  </si>
  <si>
    <t>Dias e horário de trabalho  - diurno</t>
  </si>
  <si>
    <t xml:space="preserve">Seg a Sexta </t>
  </si>
  <si>
    <t>salário hora</t>
  </si>
  <si>
    <t>Total de mão-de-obra (postos de trabalho)</t>
  </si>
  <si>
    <t>C2- Postos de trabalho e dias trabalhados</t>
  </si>
  <si>
    <t>Quantidade de posto de trabalho</t>
  </si>
  <si>
    <t>unidade</t>
  </si>
  <si>
    <t>Quantidade de meses orçados</t>
  </si>
  <si>
    <t>mês</t>
  </si>
  <si>
    <t>Média de dias trabalhados por mês</t>
  </si>
  <si>
    <t>Dias</t>
  </si>
  <si>
    <t>CÁLCULOS (itenização numérica)</t>
  </si>
  <si>
    <t>1. Mão-de-obra</t>
  </si>
  <si>
    <t>1.1. Vigilante - EMPRESA LUCRO REAL E PRESUMIDO - DIURNO</t>
  </si>
  <si>
    <t>Discriminação</t>
  </si>
  <si>
    <t>Unidade</t>
  </si>
  <si>
    <t>Custo unitário</t>
  </si>
  <si>
    <t>Subtotal</t>
  </si>
  <si>
    <r>
      <t xml:space="preserve">Total </t>
    </r>
    <r>
      <rPr>
        <b/>
        <u/>
        <sz val="9"/>
        <rFont val="Arial"/>
        <family val="2"/>
      </rPr>
      <t>(R$)</t>
    </r>
  </si>
  <si>
    <t>Piso da categoria</t>
  </si>
  <si>
    <t>220 hs</t>
  </si>
  <si>
    <t>Horas Extras (100%)</t>
  </si>
  <si>
    <t>hora</t>
  </si>
  <si>
    <t>Horas Extras Suplementar (50%)</t>
  </si>
  <si>
    <t>Descanso Semanal Remunerado (DSR) (30%)</t>
  </si>
  <si>
    <t>Adicional troca de uniforme</t>
  </si>
  <si>
    <t>hora / dia</t>
  </si>
  <si>
    <t>Adicional de Periculosidade</t>
  </si>
  <si>
    <t>%</t>
  </si>
  <si>
    <t>Soma</t>
  </si>
  <si>
    <t>Encargos Sociais - detalhadas planilha encargos</t>
  </si>
  <si>
    <t>Intervalo intrajornada (Vb indenizatória)</t>
  </si>
  <si>
    <t>0,50 (30 minutos ) vezes 21 dias</t>
  </si>
  <si>
    <t>Seguro de vida</t>
  </si>
  <si>
    <t>Total por Vigilante</t>
  </si>
  <si>
    <t>Total do Efetivo</t>
  </si>
  <si>
    <t>Profissionais</t>
  </si>
  <si>
    <t>1.1.1- Vigilante - EMPRESA SIMPLES NACIONAL - DIURNO</t>
  </si>
  <si>
    <t>Encargos Sociais -detalhadas planilha encargos</t>
  </si>
  <si>
    <t>74,33</t>
  </si>
  <si>
    <t>Intervalo intrajornada</t>
  </si>
  <si>
    <t>1.1. Vigilante - EMPRESA LUCRO REAL E PRESUMIDO - NOTURNO</t>
  </si>
  <si>
    <t>Adicional Noturno - 7 horas das 22 as 5 horas- acrescido de 1 hora cfe. CCT - total de 8 horas por dia</t>
  </si>
  <si>
    <t xml:space="preserve">Hora Noturna Reduzida - 7 horas reduzidas </t>
  </si>
  <si>
    <t xml:space="preserve">Adicional troca de uniforme </t>
  </si>
  <si>
    <t>hora-dia</t>
  </si>
  <si>
    <t>1.1.1- Vigilante - EMPRESA SIMPLES NACIONAL - NOTURNO</t>
  </si>
  <si>
    <t>1.2. Vale Transporte</t>
  </si>
  <si>
    <t>Vale Transporte</t>
  </si>
  <si>
    <t>dia</t>
  </si>
  <si>
    <t>Dias Trabalhados por mês</t>
  </si>
  <si>
    <t>cada vigia trabalha em média 15 dias</t>
  </si>
  <si>
    <t>Total por Vigilante (Vlr líq. desc. 6,% s/piso sal.)</t>
  </si>
  <si>
    <t>vale</t>
  </si>
  <si>
    <t>1.3. Vale-refeição (diário)</t>
  </si>
  <si>
    <t>Vigilante</t>
  </si>
  <si>
    <t>Desconto previsto na CCT</t>
  </si>
  <si>
    <t>Custo Mensal com Mão-de-obra (R$/mês) - LUCRO REAL E PRESUMIDO</t>
  </si>
  <si>
    <t>Custo Mensal com Mão-de-obra (R$/mês) - SIMPLES NACIONAL</t>
  </si>
  <si>
    <t>2. Uniformes, EPIs, Equiptos. e Materiais</t>
  </si>
  <si>
    <t>2.1. Uniformes e EPIs</t>
  </si>
  <si>
    <t>Qtde. Homem
Ano</t>
  </si>
  <si>
    <t>Custo Anual</t>
  </si>
  <si>
    <t>Jaqueta ou japona para o frio</t>
  </si>
  <si>
    <t>Calça</t>
  </si>
  <si>
    <t>Camisa manga comprida</t>
  </si>
  <si>
    <t>Camisa manga curta</t>
  </si>
  <si>
    <t>Boné</t>
  </si>
  <si>
    <t>par</t>
  </si>
  <si>
    <t>Cinto de Nylon</t>
  </si>
  <si>
    <t>Botas de borracha</t>
  </si>
  <si>
    <t>Crachá de identificação</t>
  </si>
  <si>
    <t>Protetor solar fator de proteção 30</t>
  </si>
  <si>
    <t>Gravata</t>
  </si>
  <si>
    <t>Uniformes e EPIs - custo mensal</t>
  </si>
  <si>
    <t>2.2- Equipamentos</t>
  </si>
  <si>
    <t>Apito com cordão</t>
  </si>
  <si>
    <t>Lanterna de alta resolução recaregável</t>
  </si>
  <si>
    <t>Pilhas para lanterna</t>
  </si>
  <si>
    <t>Cassetete</t>
  </si>
  <si>
    <t>Porta cassetete</t>
  </si>
  <si>
    <t>Equipamentos - custo mensal</t>
  </si>
  <si>
    <t>2.3- Materiais</t>
  </si>
  <si>
    <t>Qtde.
Posto / Ano</t>
  </si>
  <si>
    <t>Custo</t>
  </si>
  <si>
    <t>Livro de ocorrência</t>
  </si>
  <si>
    <t>pçs / ano</t>
  </si>
  <si>
    <t>Materiais - custo mensal</t>
  </si>
  <si>
    <t>Total de postos de trabalho</t>
  </si>
  <si>
    <t>Postos</t>
  </si>
  <si>
    <t xml:space="preserve">Serviços de video- monitoramento </t>
  </si>
  <si>
    <t>mensal</t>
  </si>
  <si>
    <t xml:space="preserve">conforme informação   da Secretária Municipal de saúde esse serviços já está contratado </t>
  </si>
  <si>
    <t>Custo Mensal com Uniformes, EPIs, Equiptos. e Materiais e Serviços</t>
  </si>
  <si>
    <t>CUSTO TOTAL MENSAL C/CUSTOS E DESPESAS OPERACIONAIS - LUCRO REAL E PRESUMIDO (R$/mês)</t>
  </si>
  <si>
    <t>CUSTO TOTAL MENSAL C/CUSTOS E DESPESAS OPERACIONAIS - SIMPLES NACIONAL (R$/mês)</t>
  </si>
  <si>
    <t>3. Benefícios e Desp. Ind. - BDI - LUCRO REAL</t>
  </si>
  <si>
    <t>3.1. Benefícios e despesas indiretas</t>
  </si>
  <si>
    <t>3.2. CUSTO MENSAL COM BDI (R$/mês) - LUCRO REAL</t>
  </si>
  <si>
    <t>3.3. PREÇO MENSAL TOTAL (R$/mês)  - LUCRO REAL</t>
  </si>
  <si>
    <t>3.4. PREÇO TOTAL P/PERÍODO DE 12 MESES (R$/mês)  - LUCRO REAL</t>
  </si>
  <si>
    <t>Meses</t>
  </si>
  <si>
    <t>4. Benefícios e Desp. Ind. - BDI - LUCRO PRESUMIDO</t>
  </si>
  <si>
    <t>4.1. Benefícios e despesas indiretas</t>
  </si>
  <si>
    <t>4.2. CUSTO MENSAL COM BDI (R$/mês) - LUCRO PRESUMIDO</t>
  </si>
  <si>
    <t>4.3. PREÇO MENSAL TOTAL (R$/mês)  - LUCRO PRESUMIDO</t>
  </si>
  <si>
    <t>4.4. PREÇO TOTAL P/PERÍODO DE 12 MESES (R$/mês)  - LUCRO PRESUMIDO</t>
  </si>
  <si>
    <t>5. Benef. Desp. Ind. + Impostos - SIMPLES NACIONAL</t>
  </si>
  <si>
    <t>5.1. Benefícios e despesas indiretas (sem impostos)</t>
  </si>
  <si>
    <t>5.2.CUSTO MENSAL COM BDI - Sem Impostos (R$/mês) - SIMPLES NACIONAL</t>
  </si>
  <si>
    <t>5.3. CUSTO MENSAL TOTAL - Sem Imposots (R$/mês)  - SIMPLES NACIONAL</t>
  </si>
  <si>
    <t>Tributos</t>
  </si>
  <si>
    <t>Enquadramento no Anexo IV da lei do Simples Nacional</t>
  </si>
  <si>
    <t>Receita Bruta Total em 12 (doze) meses</t>
  </si>
  <si>
    <t>De R$ 360.000,01 a R$ 720.000,00</t>
  </si>
  <si>
    <t>Base = SN1</t>
  </si>
  <si>
    <t>5.4. Impostos alíquota única</t>
  </si>
  <si>
    <t>12 meses</t>
  </si>
  <si>
    <t>alíquota</t>
  </si>
  <si>
    <t>dedução</t>
  </si>
  <si>
    <t>5.5.CUSTO MENSAL COM BDI E IMPOSTOS (R$/mês) - SIMPLES NACIONAL</t>
  </si>
  <si>
    <t>5.6. PREÇO MENSAL TOTAL (R$/mês)  - SIMPLES NACIONAL</t>
  </si>
  <si>
    <t>5.7. PREÇO TOTAL P/PERÍODO DE 12 MESES (R$/mês)  - SIMPLES NACIONAL</t>
  </si>
  <si>
    <t>JANICE R S ANTONI</t>
  </si>
  <si>
    <t>CONTADORA</t>
  </si>
  <si>
    <t>CRC-RS 60468-0</t>
  </si>
  <si>
    <t xml:space="preserve">Composição dos Encargos Sociais </t>
  </si>
  <si>
    <t>Empresas Lucro Real e Lucro Presumido</t>
  </si>
  <si>
    <t>Código</t>
  </si>
  <si>
    <t>Descrição</t>
  </si>
  <si>
    <t>Valor %</t>
  </si>
  <si>
    <t>A1</t>
  </si>
  <si>
    <t>INSS</t>
  </si>
  <si>
    <t>artigo segundo , parágrafo 3o. Da Lei 11457-2007</t>
  </si>
  <si>
    <t>A2</t>
  </si>
  <si>
    <t>SESC</t>
  </si>
  <si>
    <t>artigo 30 da lei 8.036-1990</t>
  </si>
  <si>
    <t>A3</t>
  </si>
  <si>
    <t>SENAC</t>
  </si>
  <si>
    <t>artigo primeiro decreto lei 6.246-1944 (SENAC) e artigo 4o. Decreto lei 8.621-1946 (SENAI)</t>
  </si>
  <si>
    <t>A4</t>
  </si>
  <si>
    <t>INCRA</t>
  </si>
  <si>
    <t>artigo primeiro inciso I e artigo terceiro do decreto lei 1.146-1970</t>
  </si>
  <si>
    <t>A5</t>
  </si>
  <si>
    <t>SEBRAE</t>
  </si>
  <si>
    <t>artigo 8o. Da lei 8.029 de 1990</t>
  </si>
  <si>
    <t>A6</t>
  </si>
  <si>
    <t>Salário educação</t>
  </si>
  <si>
    <t>artigo terceiro indico I do decreto 87.043-1982</t>
  </si>
  <si>
    <t>A7</t>
  </si>
  <si>
    <t>Seguro contra acidentes de trabalho</t>
  </si>
  <si>
    <t>artigo 19 e 23 da lei 8.213-1991</t>
  </si>
  <si>
    <t>A8</t>
  </si>
  <si>
    <t>RAT (médio do segmento)</t>
  </si>
  <si>
    <t>de acordo com a atividade preponderante da empresa</t>
  </si>
  <si>
    <t>A9</t>
  </si>
  <si>
    <t>FGTS</t>
  </si>
  <si>
    <t>artigo 15 da lei 8.036-1990</t>
  </si>
  <si>
    <t>A</t>
  </si>
  <si>
    <t>SOMA GRUPO A</t>
  </si>
  <si>
    <t>B1</t>
  </si>
  <si>
    <t>Férias + Adiconal de Férias</t>
  </si>
  <si>
    <t>cálculo (1/12)crescido de 1/3</t>
  </si>
  <si>
    <t>B2</t>
  </si>
  <si>
    <t>13º salário</t>
  </si>
  <si>
    <t xml:space="preserve">cálculo 1/12 </t>
  </si>
  <si>
    <t>B3</t>
  </si>
  <si>
    <t>Licença Paternidade / Maternidade</t>
  </si>
  <si>
    <t>definido pela incidência nessa atividade - Ministério do Trabalho</t>
  </si>
  <si>
    <t>B4</t>
  </si>
  <si>
    <t>Faltas justificadas</t>
  </si>
  <si>
    <t>B5</t>
  </si>
  <si>
    <t>Auxilio acidente de trabalho - ausência por doença</t>
  </si>
  <si>
    <t>B</t>
  </si>
  <si>
    <t>SOMA GRUPO B</t>
  </si>
  <si>
    <t>C1</t>
  </si>
  <si>
    <t>Aviso prévio indenizado</t>
  </si>
  <si>
    <t>C2</t>
  </si>
  <si>
    <t>Aviso prévio trabalhado</t>
  </si>
  <si>
    <t>cálculo 7 dias para 30 dias  - definido na cct 3,19%</t>
  </si>
  <si>
    <t>C3</t>
  </si>
  <si>
    <t>Depósito rescisão sem justa causa</t>
  </si>
  <si>
    <t>corresponde a multa do FGTS de 40%</t>
  </si>
  <si>
    <t>C</t>
  </si>
  <si>
    <t>SOMA GRUPO C</t>
  </si>
  <si>
    <t>D1</t>
  </si>
  <si>
    <t>Reincidência de Grupo A sobre Grupo B</t>
  </si>
  <si>
    <t>D2</t>
  </si>
  <si>
    <t>Reincidência do grupo A sobre Aviso Prévio Trabalhado</t>
  </si>
  <si>
    <t>D3</t>
  </si>
  <si>
    <t>Reincidência de FGTS sobre aviso prévio indenizado</t>
  </si>
  <si>
    <t>D</t>
  </si>
  <si>
    <t>SOMA GRUPO D</t>
  </si>
  <si>
    <t>SOMA (A+B+C+D)</t>
  </si>
  <si>
    <t>Empresas do Simples Nacional</t>
  </si>
  <si>
    <t>Item</t>
  </si>
  <si>
    <t>Férias (com adicional de férias)</t>
  </si>
  <si>
    <t>13º Salário</t>
  </si>
  <si>
    <t>Provisão Multas FGTS (40% s/FGTS)</t>
  </si>
  <si>
    <t>RAT (média do segmento)</t>
  </si>
  <si>
    <t>Previdenciários s/Férias ,13º Salário, Licença, Faltas, auxilio acidente</t>
  </si>
  <si>
    <t>Total</t>
  </si>
  <si>
    <t>Bases legais em 2026 e metodologia</t>
  </si>
  <si>
    <t>B.D.I. PARA EMPRESAS DO LUCRO REAL</t>
  </si>
  <si>
    <t>Composição BDI - Benefícios e Desp. Indiretas</t>
  </si>
  <si>
    <t>Sigla</t>
  </si>
  <si>
    <t>Municipal
(%)</t>
  </si>
  <si>
    <t>Administração Central</t>
  </si>
  <si>
    <t>AC</t>
  </si>
  <si>
    <t>Seguros/Riscos/Garantias</t>
  </si>
  <si>
    <t>SRG</t>
  </si>
  <si>
    <t>Lucro</t>
  </si>
  <si>
    <t>L</t>
  </si>
  <si>
    <t>Tributos - (ISS p/Municipal)</t>
  </si>
  <si>
    <t>T</t>
  </si>
  <si>
    <t>Tributos - PIS/COFINS</t>
  </si>
  <si>
    <t>Fórmula para o cálculo do BDI:</t>
  </si>
  <si>
    <t>{[(1+AC+SRG) x (1+L)] / (1-T)} -1</t>
  </si>
  <si>
    <t>Resultado do cálculo do BDI:</t>
  </si>
  <si>
    <t>B.D.I. PARA EMPRESAS DO LUCRO PRESUMIDO</t>
  </si>
  <si>
    <t>B.D.I. PARA EMPRESAS DO SIMPLES NACIONAL</t>
  </si>
  <si>
    <t>Composição do BDI - Benefícios e Desp. Ind. - Sem Impostos</t>
  </si>
  <si>
    <t>Fórmula para o cálculo do BDI - Sem impostos</t>
  </si>
  <si>
    <t>{[(1+AC+SRG) x (1+L)]} -1</t>
  </si>
  <si>
    <t>Resultado cálculo do BDI - Sem impostos</t>
  </si>
  <si>
    <t>DECRETO 12.036-2026</t>
  </si>
  <si>
    <t>9,5 horas menos 8,80 vezes 21 dias</t>
  </si>
  <si>
    <t>Serviço de Vigilância CAPS _ Centro de Atenção Psicosocial  - Saúde - 9,5 horas</t>
  </si>
  <si>
    <t>das 7,30 às 17,00</t>
  </si>
  <si>
    <t xml:space="preserve">PLANILHA DE COMPOSIÇÃO DE CUSTOS E FORMAÇÃO DE PREÇO </t>
  </si>
  <si>
    <t>30% sobre o valor da hora normal</t>
  </si>
  <si>
    <t>10 minutos vezes 21 dias  - pagos com 1-6 do valor da hora normal</t>
  </si>
  <si>
    <t xml:space="preserve">Blusão </t>
  </si>
  <si>
    <t xml:space="preserve">Moleton </t>
  </si>
  <si>
    <t>Sapatos ou coturnos tático c/solado de borracha</t>
  </si>
  <si>
    <t>Capa de chuva nylon ventilada 7-8</t>
  </si>
  <si>
    <t xml:space="preserve">Luva tática anticorte </t>
  </si>
  <si>
    <t>Colete BALÍSTICO a prova de balas</t>
  </si>
  <si>
    <t>Serviços  - custo mensal</t>
  </si>
  <si>
    <t>Serviços de treinamentos de primeiros socorros e relações humanas</t>
  </si>
  <si>
    <t xml:space="preserve">mensal </t>
  </si>
  <si>
    <t>curso de primeiros socorros anual de 450,00, mais curso de relações humanas de 150,00</t>
  </si>
  <si>
    <t xml:space="preserve">2.4- Outros Serviços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</si>
</sst>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* #,##0.00_);_(* \(#,##0.00\);_(* &quot;-&quot;??_);_(@_)"/>
    <numFmt numFmtId="165" formatCode="&quot;R$ &quot;#,##0.00"/>
    <numFmt numFmtId="166" formatCode="&quot;R$ &quot;#,##0.00_);\(&quot;R$ &quot;#,##0.00\)"/>
    <numFmt numFmtId="167" formatCode="_(* #,##0_);_(* \(#,##0\);_(* &quot;-&quot;??_);_(@_)"/>
    <numFmt numFmtId="168" formatCode="_(* #,##0.0000_);_(* \(#,##0.0000\);_(* &quot;-&quot;??_);_(@_)"/>
    <numFmt numFmtId="169" formatCode="0.0000%"/>
  </numFmts>
  <fonts count="20" x14ac:knownFonts="1">
    <font>
      <sz val="10"/>
      <name val="Arial"/>
    </font>
    <font>
      <sz val="10"/>
      <name val="Arial"/>
      <family val="2"/>
    </font>
    <font>
      <b/>
      <sz val="16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sz val="9"/>
      <color indexed="81"/>
      <name val="Segoe UI"/>
      <family val="2"/>
    </font>
    <font>
      <sz val="9"/>
      <color indexed="81"/>
      <name val="Tahoma"/>
      <family val="2"/>
    </font>
    <font>
      <sz val="9"/>
      <color indexed="81"/>
      <name val="Segoe UI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2"/>
      <color rgb="FFFF0000"/>
      <name val="Arial"/>
      <family val="2"/>
    </font>
    <font>
      <b/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344">
    <xf numFmtId="0" fontId="0" fillId="0" borderId="0" xfId="0"/>
    <xf numFmtId="0" fontId="1" fillId="0" borderId="0" xfId="0" applyFont="1" applyAlignment="1">
      <alignment vertical="center"/>
    </xf>
    <xf numFmtId="0" fontId="3" fillId="0" borderId="0" xfId="3" applyFont="1"/>
    <xf numFmtId="164" fontId="4" fillId="2" borderId="1" xfId="1" applyFont="1" applyFill="1" applyBorder="1" applyAlignment="1">
      <alignment vertical="center"/>
    </xf>
    <xf numFmtId="164" fontId="4" fillId="2" borderId="2" xfId="1" applyFont="1" applyFill="1" applyBorder="1" applyAlignment="1">
      <alignment vertical="center"/>
    </xf>
    <xf numFmtId="164" fontId="4" fillId="0" borderId="2" xfId="1" quotePrefix="1" applyFont="1" applyFill="1" applyBorder="1" applyAlignment="1">
      <alignment vertical="center"/>
    </xf>
    <xf numFmtId="164" fontId="4" fillId="0" borderId="2" xfId="1" applyFont="1" applyFill="1" applyBorder="1" applyAlignment="1">
      <alignment vertical="center"/>
    </xf>
    <xf numFmtId="164" fontId="4" fillId="0" borderId="3" xfId="1" applyFont="1" applyFill="1" applyBorder="1" applyAlignment="1">
      <alignment vertical="center"/>
    </xf>
    <xf numFmtId="0" fontId="0" fillId="0" borderId="0" xfId="0" applyAlignment="1">
      <alignment vertical="center"/>
    </xf>
    <xf numFmtId="0" fontId="5" fillId="0" borderId="4" xfId="3" applyFont="1" applyFill="1" applyBorder="1" applyAlignment="1">
      <alignment horizontal="right"/>
    </xf>
    <xf numFmtId="0" fontId="5" fillId="3" borderId="5" xfId="3" applyFont="1" applyFill="1" applyBorder="1" applyAlignment="1">
      <alignment horizontal="left"/>
    </xf>
    <xf numFmtId="0" fontId="5" fillId="0" borderId="6" xfId="3" applyFont="1" applyBorder="1" applyAlignment="1">
      <alignment horizontal="right"/>
    </xf>
    <xf numFmtId="0" fontId="8" fillId="0" borderId="0" xfId="0" applyFont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2" xfId="0" applyFill="1" applyBorder="1" applyAlignment="1">
      <alignment vertical="center"/>
    </xf>
    <xf numFmtId="4" fontId="0" fillId="0" borderId="2" xfId="0" applyNumberFormat="1" applyFill="1" applyBorder="1" applyAlignment="1">
      <alignment vertical="center"/>
    </xf>
    <xf numFmtId="164" fontId="0" fillId="0" borderId="2" xfId="1" applyFont="1" applyFill="1" applyBorder="1" applyAlignment="1">
      <alignment vertical="center"/>
    </xf>
    <xf numFmtId="0" fontId="0" fillId="0" borderId="3" xfId="0" applyBorder="1" applyAlignment="1">
      <alignment vertical="center"/>
    </xf>
    <xf numFmtId="164" fontId="4" fillId="2" borderId="3" xfId="1" applyFont="1" applyFill="1" applyBorder="1" applyAlignment="1">
      <alignment vertical="center"/>
    </xf>
    <xf numFmtId="164" fontId="4" fillId="0" borderId="4" xfId="1" applyFont="1" applyFill="1" applyBorder="1" applyAlignment="1">
      <alignment horizontal="left" vertical="center"/>
    </xf>
    <xf numFmtId="164" fontId="5" fillId="0" borderId="8" xfId="1" applyFont="1" applyBorder="1" applyAlignment="1">
      <alignment horizontal="center" vertical="center" wrapText="1"/>
    </xf>
    <xf numFmtId="164" fontId="5" fillId="0" borderId="10" xfId="1" applyFont="1" applyBorder="1" applyAlignment="1">
      <alignment horizontal="center" vertical="center"/>
    </xf>
    <xf numFmtId="164" fontId="5" fillId="0" borderId="8" xfId="1" applyFont="1" applyBorder="1" applyAlignment="1">
      <alignment horizontal="center" vertical="center"/>
    </xf>
    <xf numFmtId="165" fontId="5" fillId="0" borderId="13" xfId="0" applyNumberFormat="1" applyFont="1" applyBorder="1" applyAlignment="1">
      <alignment vertical="center"/>
    </xf>
    <xf numFmtId="10" fontId="5" fillId="0" borderId="12" xfId="2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165" fontId="0" fillId="0" borderId="13" xfId="0" applyNumberFormat="1" applyBorder="1" applyAlignment="1">
      <alignment vertical="center"/>
    </xf>
    <xf numFmtId="10" fontId="0" fillId="0" borderId="12" xfId="2" applyNumberFormat="1" applyFont="1" applyBorder="1" applyAlignment="1">
      <alignment vertical="center"/>
    </xf>
    <xf numFmtId="10" fontId="1" fillId="0" borderId="12" xfId="2" applyNumberFormat="1" applyFont="1" applyBorder="1" applyAlignment="1">
      <alignment vertical="center"/>
    </xf>
    <xf numFmtId="0" fontId="5" fillId="2" borderId="13" xfId="0" applyFont="1" applyFill="1" applyBorder="1" applyAlignment="1">
      <alignment vertical="center"/>
    </xf>
    <xf numFmtId="0" fontId="5" fillId="2" borderId="14" xfId="0" applyFont="1" applyFill="1" applyBorder="1" applyAlignment="1">
      <alignment vertical="center"/>
    </xf>
    <xf numFmtId="0" fontId="5" fillId="2" borderId="12" xfId="0" applyFont="1" applyFill="1" applyBorder="1" applyAlignment="1">
      <alignment vertical="center"/>
    </xf>
    <xf numFmtId="165" fontId="5" fillId="2" borderId="13" xfId="0" applyNumberFormat="1" applyFont="1" applyFill="1" applyBorder="1" applyAlignment="1">
      <alignment vertical="center"/>
    </xf>
    <xf numFmtId="10" fontId="5" fillId="2" borderId="12" xfId="2" applyNumberFormat="1" applyFont="1" applyFill="1" applyBorder="1" applyAlignment="1">
      <alignment vertical="center"/>
    </xf>
    <xf numFmtId="0" fontId="5" fillId="2" borderId="15" xfId="0" applyFont="1" applyFill="1" applyBorder="1" applyAlignment="1">
      <alignment vertical="center"/>
    </xf>
    <xf numFmtId="165" fontId="5" fillId="2" borderId="18" xfId="0" applyNumberFormat="1" applyFont="1" applyFill="1" applyBorder="1" applyAlignment="1">
      <alignment vertical="center"/>
    </xf>
    <xf numFmtId="10" fontId="5" fillId="2" borderId="14" xfId="2" applyNumberFormat="1" applyFont="1" applyFill="1" applyBorder="1" applyAlignment="1">
      <alignment vertical="center"/>
    </xf>
    <xf numFmtId="0" fontId="5" fillId="2" borderId="18" xfId="0" applyFont="1" applyFill="1" applyBorder="1" applyAlignment="1">
      <alignment vertical="center"/>
    </xf>
    <xf numFmtId="165" fontId="5" fillId="0" borderId="19" xfId="0" applyNumberFormat="1" applyFont="1" applyBorder="1" applyAlignment="1">
      <alignment vertical="center"/>
    </xf>
    <xf numFmtId="10" fontId="5" fillId="0" borderId="14" xfId="2" applyNumberFormat="1" applyFont="1" applyBorder="1" applyAlignment="1">
      <alignment vertical="center"/>
    </xf>
    <xf numFmtId="166" fontId="5" fillId="0" borderId="1" xfId="0" applyNumberFormat="1" applyFont="1" applyFill="1" applyBorder="1" applyAlignment="1">
      <alignment vertical="center"/>
    </xf>
    <xf numFmtId="9" fontId="5" fillId="0" borderId="20" xfId="2" applyFont="1" applyBorder="1" applyAlignment="1">
      <alignment vertical="center"/>
    </xf>
    <xf numFmtId="166" fontId="5" fillId="5" borderId="1" xfId="0" applyNumberFormat="1" applyFont="1" applyFill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164" fontId="1" fillId="0" borderId="5" xfId="1" applyFont="1" applyBorder="1" applyAlignment="1">
      <alignment vertical="center"/>
    </xf>
    <xf numFmtId="164" fontId="1" fillId="0" borderId="21" xfId="1" applyFont="1" applyBorder="1" applyAlignment="1">
      <alignment vertical="center"/>
    </xf>
    <xf numFmtId="164" fontId="0" fillId="0" borderId="22" xfId="1" applyFont="1" applyBorder="1" applyAlignment="1">
      <alignment vertical="center"/>
    </xf>
    <xf numFmtId="164" fontId="0" fillId="0" borderId="23" xfId="1" applyFont="1" applyBorder="1" applyAlignment="1">
      <alignment vertical="center"/>
    </xf>
    <xf numFmtId="164" fontId="5" fillId="0" borderId="20" xfId="1" applyFont="1" applyBorder="1" applyAlignment="1">
      <alignment horizontal="center" vertical="center"/>
    </xf>
    <xf numFmtId="164" fontId="1" fillId="0" borderId="25" xfId="1" applyFont="1" applyFill="1" applyBorder="1" applyAlignment="1">
      <alignment horizontal="center" vertical="center" wrapText="1"/>
    </xf>
    <xf numFmtId="1" fontId="1" fillId="3" borderId="10" xfId="1" applyNumberFormat="1" applyFont="1" applyFill="1" applyBorder="1" applyAlignment="1">
      <alignment horizontal="center" vertical="center"/>
    </xf>
    <xf numFmtId="164" fontId="1" fillId="3" borderId="28" xfId="1" applyFont="1" applyFill="1" applyBorder="1" applyAlignment="1">
      <alignment horizontal="center" vertical="center"/>
    </xf>
    <xf numFmtId="164" fontId="1" fillId="0" borderId="23" xfId="1" applyFont="1" applyBorder="1" applyAlignment="1">
      <alignment vertical="center"/>
    </xf>
    <xf numFmtId="164" fontId="1" fillId="0" borderId="30" xfId="1" applyFont="1" applyFill="1" applyBorder="1" applyAlignment="1">
      <alignment horizontal="center" vertical="center" wrapText="1"/>
    </xf>
    <xf numFmtId="1" fontId="1" fillId="0" borderId="15" xfId="1" applyNumberFormat="1" applyFont="1" applyFill="1" applyBorder="1" applyAlignment="1">
      <alignment horizontal="center" vertical="center"/>
    </xf>
    <xf numFmtId="164" fontId="1" fillId="0" borderId="15" xfId="1" applyFont="1" applyFill="1" applyBorder="1" applyAlignment="1">
      <alignment horizontal="center" vertical="center"/>
    </xf>
    <xf numFmtId="4" fontId="5" fillId="0" borderId="32" xfId="0" applyNumberFormat="1" applyFont="1" applyBorder="1" applyAlignment="1">
      <alignment vertical="center"/>
    </xf>
    <xf numFmtId="0" fontId="0" fillId="0" borderId="32" xfId="0" applyBorder="1" applyAlignment="1">
      <alignment vertical="center"/>
    </xf>
    <xf numFmtId="1" fontId="5" fillId="0" borderId="33" xfId="1" applyNumberFormat="1" applyFont="1" applyBorder="1" applyAlignment="1">
      <alignment horizontal="center" vertical="center"/>
    </xf>
    <xf numFmtId="164" fontId="5" fillId="0" borderId="33" xfId="1" applyFont="1" applyBorder="1" applyAlignment="1">
      <alignment horizontal="center" vertical="center"/>
    </xf>
    <xf numFmtId="164" fontId="5" fillId="0" borderId="34" xfId="1" applyFont="1" applyBorder="1" applyAlignment="1">
      <alignment vertical="center"/>
    </xf>
    <xf numFmtId="164" fontId="5" fillId="0" borderId="0" xfId="1" applyFont="1" applyBorder="1" applyAlignment="1">
      <alignment vertical="center"/>
    </xf>
    <xf numFmtId="4" fontId="5" fillId="0" borderId="0" xfId="0" applyNumberFormat="1" applyFont="1" applyBorder="1" applyAlignment="1">
      <alignment vertical="center"/>
    </xf>
    <xf numFmtId="164" fontId="1" fillId="0" borderId="0" xfId="1" applyFont="1" applyBorder="1" applyAlignment="1">
      <alignment vertical="center"/>
    </xf>
    <xf numFmtId="164" fontId="1" fillId="0" borderId="2" xfId="1" applyFont="1" applyBorder="1" applyAlignment="1">
      <alignment vertical="center"/>
    </xf>
    <xf numFmtId="164" fontId="1" fillId="0" borderId="3" xfId="1" applyFont="1" applyBorder="1" applyAlignment="1">
      <alignment vertical="center"/>
    </xf>
    <xf numFmtId="164" fontId="5" fillId="0" borderId="35" xfId="1" applyFont="1" applyBorder="1" applyAlignment="1">
      <alignment horizontal="center" vertical="center" wrapText="1"/>
    </xf>
    <xf numFmtId="164" fontId="5" fillId="0" borderId="35" xfId="1" applyFont="1" applyBorder="1" applyAlignment="1">
      <alignment horizontal="center" vertical="center"/>
    </xf>
    <xf numFmtId="164" fontId="5" fillId="0" borderId="36" xfId="1" applyFont="1" applyBorder="1" applyAlignment="1">
      <alignment horizontal="center" vertical="center"/>
    </xf>
    <xf numFmtId="10" fontId="1" fillId="0" borderId="30" xfId="2" applyNumberFormat="1" applyFont="1" applyFill="1" applyBorder="1" applyAlignment="1">
      <alignment horizontal="center" vertical="center"/>
    </xf>
    <xf numFmtId="164" fontId="1" fillId="3" borderId="15" xfId="1" applyFont="1" applyFill="1" applyBorder="1" applyAlignment="1">
      <alignment horizontal="center" vertical="center"/>
    </xf>
    <xf numFmtId="10" fontId="1" fillId="0" borderId="37" xfId="2" applyNumberFormat="1" applyFont="1" applyFill="1" applyBorder="1" applyAlignment="1">
      <alignment horizontal="center" vertical="center"/>
    </xf>
    <xf numFmtId="164" fontId="1" fillId="3" borderId="38" xfId="1" applyFont="1" applyFill="1" applyBorder="1" applyAlignment="1">
      <alignment horizontal="center" vertical="center"/>
    </xf>
    <xf numFmtId="1" fontId="1" fillId="0" borderId="40" xfId="1" applyNumberFormat="1" applyFont="1" applyFill="1" applyBorder="1" applyAlignment="1">
      <alignment horizontal="center" vertical="center"/>
    </xf>
    <xf numFmtId="164" fontId="1" fillId="0" borderId="40" xfId="1" applyFont="1" applyFill="1" applyBorder="1" applyAlignment="1">
      <alignment horizontal="center" vertical="center"/>
    </xf>
    <xf numFmtId="164" fontId="1" fillId="3" borderId="40" xfId="1" applyFont="1" applyFill="1" applyBorder="1" applyAlignment="1">
      <alignment horizontal="center" vertical="center"/>
    </xf>
    <xf numFmtId="164" fontId="1" fillId="0" borderId="41" xfId="1" applyFont="1" applyBorder="1" applyAlignment="1">
      <alignment vertical="center"/>
    </xf>
    <xf numFmtId="164" fontId="1" fillId="0" borderId="32" xfId="1" applyFont="1" applyBorder="1" applyAlignment="1">
      <alignment vertical="center"/>
    </xf>
    <xf numFmtId="1" fontId="1" fillId="0" borderId="2" xfId="1" applyNumberFormat="1" applyFont="1" applyBorder="1" applyAlignment="1">
      <alignment horizontal="center" vertical="center"/>
    </xf>
    <xf numFmtId="1" fontId="1" fillId="0" borderId="3" xfId="1" applyNumberFormat="1" applyFont="1" applyBorder="1" applyAlignment="1">
      <alignment horizontal="center" vertical="center"/>
    </xf>
    <xf numFmtId="0" fontId="5" fillId="0" borderId="3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164" fontId="1" fillId="0" borderId="14" xfId="1" applyFont="1" applyBorder="1" applyAlignment="1">
      <alignment vertical="center"/>
    </xf>
    <xf numFmtId="0" fontId="5" fillId="0" borderId="34" xfId="3" applyFont="1" applyFill="1" applyBorder="1" applyAlignment="1">
      <alignment vertical="center"/>
    </xf>
    <xf numFmtId="0" fontId="9" fillId="2" borderId="42" xfId="0" applyFont="1" applyFill="1" applyBorder="1" applyAlignment="1">
      <alignment horizontal="center" vertical="center"/>
    </xf>
    <xf numFmtId="164" fontId="9" fillId="2" borderId="42" xfId="1" applyFont="1" applyFill="1" applyBorder="1" applyAlignment="1">
      <alignment horizontal="center" vertical="center"/>
    </xf>
    <xf numFmtId="164" fontId="9" fillId="2" borderId="36" xfId="1" applyFont="1" applyFill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164" fontId="1" fillId="0" borderId="43" xfId="1" applyFont="1" applyFill="1" applyBorder="1" applyAlignment="1">
      <alignment horizontal="center" vertical="center"/>
    </xf>
    <xf numFmtId="164" fontId="1" fillId="0" borderId="43" xfId="1" applyFont="1" applyBorder="1" applyAlignment="1">
      <alignment horizontal="center" vertical="center"/>
    </xf>
    <xf numFmtId="164" fontId="1" fillId="0" borderId="36" xfId="1" applyFont="1" applyBorder="1" applyAlignment="1">
      <alignment vertical="center"/>
    </xf>
    <xf numFmtId="0" fontId="1" fillId="0" borderId="30" xfId="0" applyFont="1" applyBorder="1" applyAlignment="1">
      <alignment horizontal="center" vertical="center"/>
    </xf>
    <xf numFmtId="2" fontId="1" fillId="3" borderId="30" xfId="0" applyNumberFormat="1" applyFont="1" applyFill="1" applyBorder="1" applyAlignment="1">
      <alignment horizontal="center" vertical="center"/>
    </xf>
    <xf numFmtId="164" fontId="1" fillId="0" borderId="30" xfId="1" applyFont="1" applyBorder="1" applyAlignment="1">
      <alignment horizontal="center" vertical="center"/>
    </xf>
    <xf numFmtId="164" fontId="1" fillId="0" borderId="30" xfId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64" fontId="5" fillId="0" borderId="0" xfId="1" applyFont="1" applyBorder="1" applyAlignment="1">
      <alignment horizontal="center" vertical="center"/>
    </xf>
    <xf numFmtId="164" fontId="5" fillId="0" borderId="30" xfId="1" applyFont="1" applyBorder="1" applyAlignment="1">
      <alignment horizontal="center" vertical="center"/>
    </xf>
    <xf numFmtId="164" fontId="5" fillId="0" borderId="48" xfId="1" applyFont="1" applyBorder="1" applyAlignment="1">
      <alignment vertical="center"/>
    </xf>
    <xf numFmtId="164" fontId="1" fillId="6" borderId="30" xfId="1" applyNumberFormat="1" applyFont="1" applyFill="1" applyBorder="1" applyAlignment="1">
      <alignment horizontal="center" vertical="center"/>
    </xf>
    <xf numFmtId="164" fontId="1" fillId="0" borderId="48" xfId="1" applyFont="1" applyBorder="1" applyAlignment="1">
      <alignment vertical="center"/>
    </xf>
    <xf numFmtId="0" fontId="1" fillId="0" borderId="47" xfId="0" applyFont="1" applyBorder="1" applyAlignment="1">
      <alignment horizontal="center" vertical="center"/>
    </xf>
    <xf numFmtId="164" fontId="1" fillId="0" borderId="47" xfId="1" applyFont="1" applyFill="1" applyBorder="1" applyAlignment="1">
      <alignment horizontal="center" vertical="center"/>
    </xf>
    <xf numFmtId="164" fontId="1" fillId="0" borderId="47" xfId="1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164" fontId="5" fillId="0" borderId="47" xfId="1" applyFont="1" applyBorder="1" applyAlignment="1">
      <alignment horizontal="center" vertical="center"/>
    </xf>
    <xf numFmtId="1" fontId="1" fillId="6" borderId="30" xfId="0" applyNumberFormat="1" applyFont="1" applyFill="1" applyBorder="1" applyAlignment="1">
      <alignment horizontal="center" vertical="center"/>
    </xf>
    <xf numFmtId="0" fontId="1" fillId="0" borderId="34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49" fontId="1" fillId="6" borderId="30" xfId="1" applyNumberFormat="1" applyFont="1" applyFill="1" applyBorder="1" applyAlignment="1">
      <alignment horizontal="center" vertical="center"/>
    </xf>
    <xf numFmtId="164" fontId="1" fillId="3" borderId="47" xfId="1" applyFont="1" applyFill="1" applyBorder="1" applyAlignment="1">
      <alignment horizontal="center" vertical="center"/>
    </xf>
    <xf numFmtId="164" fontId="5" fillId="0" borderId="37" xfId="1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" fillId="0" borderId="34" xfId="0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167" fontId="1" fillId="0" borderId="30" xfId="1" applyNumberFormat="1" applyFont="1" applyBorder="1" applyAlignment="1">
      <alignment horizontal="center" vertical="center"/>
    </xf>
    <xf numFmtId="164" fontId="1" fillId="3" borderId="0" xfId="1" applyFont="1" applyFill="1" applyBorder="1" applyAlignment="1">
      <alignment vertical="center"/>
    </xf>
    <xf numFmtId="167" fontId="1" fillId="0" borderId="30" xfId="1" applyNumberFormat="1" applyFont="1" applyBorder="1" applyAlignment="1">
      <alignment vertical="center"/>
    </xf>
    <xf numFmtId="164" fontId="5" fillId="0" borderId="43" xfId="1" applyFont="1" applyBorder="1" applyAlignment="1">
      <alignment horizontal="center" vertical="center"/>
    </xf>
    <xf numFmtId="1" fontId="1" fillId="0" borderId="30" xfId="0" applyNumberFormat="1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vertical="center"/>
    </xf>
    <xf numFmtId="164" fontId="5" fillId="0" borderId="14" xfId="1" applyFont="1" applyFill="1" applyBorder="1" applyAlignment="1">
      <alignment vertical="center"/>
    </xf>
    <xf numFmtId="164" fontId="9" fillId="2" borderId="20" xfId="1" applyFont="1" applyFill="1" applyBorder="1" applyAlignment="1">
      <alignment horizontal="center" vertical="center"/>
    </xf>
    <xf numFmtId="0" fontId="1" fillId="0" borderId="49" xfId="0" applyFont="1" applyBorder="1" applyAlignment="1">
      <alignment vertical="center"/>
    </xf>
    <xf numFmtId="0" fontId="1" fillId="0" borderId="50" xfId="0" applyFont="1" applyBorder="1" applyAlignment="1">
      <alignment vertical="center"/>
    </xf>
    <xf numFmtId="167" fontId="1" fillId="0" borderId="43" xfId="1" applyNumberFormat="1" applyFont="1" applyFill="1" applyBorder="1" applyAlignment="1">
      <alignment vertical="center"/>
    </xf>
    <xf numFmtId="164" fontId="1" fillId="3" borderId="43" xfId="1" applyNumberFormat="1" applyFont="1" applyFill="1" applyBorder="1" applyAlignment="1">
      <alignment horizontal="center" vertical="center"/>
    </xf>
    <xf numFmtId="164" fontId="1" fillId="0" borderId="43" xfId="1" applyFont="1" applyBorder="1" applyAlignment="1">
      <alignment vertical="center"/>
    </xf>
    <xf numFmtId="0" fontId="1" fillId="0" borderId="4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9" fontId="1" fillId="3" borderId="30" xfId="2" applyFont="1" applyFill="1" applyBorder="1" applyAlignment="1">
      <alignment vertical="center"/>
    </xf>
    <xf numFmtId="164" fontId="1" fillId="0" borderId="30" xfId="1" applyFont="1" applyBorder="1" applyAlignment="1">
      <alignment vertical="center"/>
    </xf>
    <xf numFmtId="164" fontId="5" fillId="0" borderId="47" xfId="1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164" fontId="5" fillId="0" borderId="2" xfId="1" applyFont="1" applyBorder="1" applyAlignment="1">
      <alignment vertical="center"/>
    </xf>
    <xf numFmtId="164" fontId="5" fillId="0" borderId="3" xfId="1" applyFont="1" applyBorder="1" applyAlignment="1">
      <alignment vertical="center"/>
    </xf>
    <xf numFmtId="164" fontId="5" fillId="2" borderId="51" xfId="1" applyFont="1" applyFill="1" applyBorder="1" applyAlignment="1">
      <alignment vertical="center"/>
    </xf>
    <xf numFmtId="164" fontId="5" fillId="2" borderId="22" xfId="1" applyFont="1" applyFill="1" applyBorder="1" applyAlignment="1">
      <alignment vertical="center"/>
    </xf>
    <xf numFmtId="0" fontId="9" fillId="2" borderId="42" xfId="0" applyFont="1" applyFill="1" applyBorder="1" applyAlignment="1">
      <alignment horizontal="center" vertical="center" wrapText="1"/>
    </xf>
    <xf numFmtId="4" fontId="1" fillId="3" borderId="30" xfId="0" applyNumberFormat="1" applyFont="1" applyFill="1" applyBorder="1" applyAlignment="1">
      <alignment horizontal="center" vertical="center"/>
    </xf>
    <xf numFmtId="164" fontId="1" fillId="3" borderId="43" xfId="1" applyFont="1" applyFill="1" applyBorder="1" applyAlignment="1">
      <alignment horizontal="center" vertical="center"/>
    </xf>
    <xf numFmtId="4" fontId="1" fillId="3" borderId="30" xfId="1" applyNumberFormat="1" applyFont="1" applyFill="1" applyBorder="1" applyAlignment="1">
      <alignment horizontal="center" vertical="center"/>
    </xf>
    <xf numFmtId="0" fontId="1" fillId="0" borderId="11" xfId="0" applyFont="1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5" fillId="0" borderId="30" xfId="0" applyFont="1" applyBorder="1" applyAlignment="1">
      <alignment horizontal="center" vertical="center"/>
    </xf>
    <xf numFmtId="1" fontId="1" fillId="0" borderId="30" xfId="0" applyNumberFormat="1" applyFont="1" applyBorder="1" applyAlignment="1">
      <alignment horizontal="center" vertical="center"/>
    </xf>
    <xf numFmtId="164" fontId="5" fillId="0" borderId="14" xfId="1" applyFont="1" applyFill="1" applyBorder="1" applyAlignment="1">
      <alignment horizontal="center" vertical="center"/>
    </xf>
    <xf numFmtId="4" fontId="1" fillId="3" borderId="43" xfId="1" applyNumberFormat="1" applyFont="1" applyFill="1" applyBorder="1" applyAlignment="1">
      <alignment horizontal="center" vertical="center"/>
    </xf>
    <xf numFmtId="164" fontId="1" fillId="0" borderId="48" xfId="1" applyFont="1" applyFill="1" applyBorder="1" applyAlignment="1">
      <alignment horizontal="center" vertical="center"/>
    </xf>
    <xf numFmtId="0" fontId="1" fillId="0" borderId="49" xfId="0" applyFont="1" applyBorder="1" applyAlignment="1">
      <alignment horizontal="left" vertical="center"/>
    </xf>
    <xf numFmtId="0" fontId="0" fillId="0" borderId="50" xfId="0" applyBorder="1" applyAlignment="1">
      <alignment horizontal="left" vertical="center"/>
    </xf>
    <xf numFmtId="164" fontId="1" fillId="0" borderId="36" xfId="1" applyFont="1" applyFill="1" applyBorder="1" applyAlignment="1">
      <alignment horizontal="center" vertical="center"/>
    </xf>
    <xf numFmtId="164" fontId="5" fillId="2" borderId="22" xfId="1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164" fontId="1" fillId="7" borderId="30" xfId="1" applyFont="1" applyFill="1" applyBorder="1" applyAlignment="1">
      <alignment horizontal="center" vertical="center"/>
    </xf>
    <xf numFmtId="164" fontId="5" fillId="0" borderId="21" xfId="1" applyFont="1" applyFill="1" applyBorder="1" applyAlignment="1">
      <alignment horizontal="center" vertical="center"/>
    </xf>
    <xf numFmtId="164" fontId="5" fillId="5" borderId="22" xfId="1" applyFont="1" applyFill="1" applyBorder="1" applyAlignment="1">
      <alignment vertical="center"/>
    </xf>
    <xf numFmtId="164" fontId="1" fillId="0" borderId="42" xfId="1" applyFont="1" applyBorder="1" applyAlignment="1">
      <alignment horizontal="right" vertical="center"/>
    </xf>
    <xf numFmtId="164" fontId="5" fillId="0" borderId="21" xfId="1" applyFont="1" applyBorder="1" applyAlignment="1">
      <alignment vertical="center"/>
    </xf>
    <xf numFmtId="0" fontId="9" fillId="2" borderId="52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164" fontId="1" fillId="0" borderId="22" xfId="1" applyFont="1" applyBorder="1" applyAlignment="1">
      <alignment vertical="center"/>
    </xf>
    <xf numFmtId="164" fontId="5" fillId="0" borderId="34" xfId="1" applyFont="1" applyBorder="1" applyAlignment="1">
      <alignment horizontal="left" vertical="center"/>
    </xf>
    <xf numFmtId="164" fontId="5" fillId="0" borderId="0" xfId="1" applyFont="1" applyBorder="1" applyAlignment="1">
      <alignment horizontal="left" vertical="center"/>
    </xf>
    <xf numFmtId="0" fontId="1" fillId="0" borderId="53" xfId="0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164" fontId="4" fillId="0" borderId="0" xfId="1" applyFont="1" applyBorder="1" applyAlignment="1">
      <alignment vertical="center"/>
    </xf>
    <xf numFmtId="164" fontId="4" fillId="0" borderId="21" xfId="1" applyFont="1" applyBorder="1" applyAlignment="1">
      <alignment vertical="center"/>
    </xf>
    <xf numFmtId="164" fontId="4" fillId="0" borderId="14" xfId="1" applyFont="1" applyBorder="1" applyAlignment="1">
      <alignment vertical="center"/>
    </xf>
    <xf numFmtId="0" fontId="5" fillId="0" borderId="19" xfId="0" applyFont="1" applyFill="1" applyBorder="1" applyAlignment="1">
      <alignment vertical="center"/>
    </xf>
    <xf numFmtId="0" fontId="1" fillId="0" borderId="25" xfId="0" applyFont="1" applyBorder="1" applyAlignment="1">
      <alignment horizontal="center" vertical="center"/>
    </xf>
    <xf numFmtId="168" fontId="1" fillId="3" borderId="25" xfId="1" applyNumberFormat="1" applyFont="1" applyFill="1" applyBorder="1" applyAlignment="1">
      <alignment horizontal="center" vertical="center"/>
    </xf>
    <xf numFmtId="164" fontId="1" fillId="0" borderId="25" xfId="1" applyFont="1" applyBorder="1" applyAlignment="1">
      <alignment horizontal="center" vertical="center"/>
    </xf>
    <xf numFmtId="9" fontId="1" fillId="0" borderId="0" xfId="0" applyNumberFormat="1" applyFont="1" applyBorder="1" applyAlignment="1">
      <alignment vertical="center"/>
    </xf>
    <xf numFmtId="164" fontId="5" fillId="2" borderId="21" xfId="1" applyFont="1" applyFill="1" applyBorder="1" applyAlignment="1">
      <alignment vertical="center"/>
    </xf>
    <xf numFmtId="169" fontId="1" fillId="0" borderId="0" xfId="1" applyNumberFormat="1" applyFont="1" applyBorder="1" applyAlignment="1">
      <alignment vertical="center"/>
    </xf>
    <xf numFmtId="0" fontId="5" fillId="0" borderId="41" xfId="0" applyFont="1" applyBorder="1" applyAlignment="1">
      <alignment vertical="center"/>
    </xf>
    <xf numFmtId="0" fontId="5" fillId="0" borderId="32" xfId="0" applyFont="1" applyBorder="1" applyAlignment="1">
      <alignment vertical="center"/>
    </xf>
    <xf numFmtId="164" fontId="5" fillId="0" borderId="32" xfId="1" applyFont="1" applyBorder="1" applyAlignment="1">
      <alignment vertical="center"/>
    </xf>
    <xf numFmtId="164" fontId="5" fillId="0" borderId="3" xfId="1" applyFont="1" applyFill="1" applyBorder="1" applyAlignment="1">
      <alignment horizontal="center" vertical="center"/>
    </xf>
    <xf numFmtId="164" fontId="5" fillId="5" borderId="51" xfId="1" applyFont="1" applyFill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164" fontId="5" fillId="0" borderId="5" xfId="1" applyFont="1" applyBorder="1" applyAlignment="1">
      <alignment vertical="center"/>
    </xf>
    <xf numFmtId="164" fontId="1" fillId="0" borderId="54" xfId="1" applyFont="1" applyBorder="1" applyAlignment="1">
      <alignment vertical="center"/>
    </xf>
    <xf numFmtId="164" fontId="1" fillId="0" borderId="0" xfId="1" applyFont="1" applyAlignment="1">
      <alignment vertical="center"/>
    </xf>
    <xf numFmtId="14" fontId="1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7" fillId="0" borderId="13" xfId="0" applyFont="1" applyBorder="1" applyAlignment="1">
      <alignment horizontal="left" vertical="center"/>
    </xf>
    <xf numFmtId="0" fontId="17" fillId="0" borderId="30" xfId="0" applyFont="1" applyBorder="1" applyAlignment="1">
      <alignment horizontal="left" vertical="center"/>
    </xf>
    <xf numFmtId="10" fontId="17" fillId="3" borderId="15" xfId="0" applyNumberFormat="1" applyFont="1" applyFill="1" applyBorder="1" applyAlignment="1">
      <alignment horizontal="right" vertical="center"/>
    </xf>
    <xf numFmtId="0" fontId="16" fillId="0" borderId="30" xfId="0" applyFont="1" applyBorder="1" applyAlignment="1">
      <alignment horizontal="left" vertical="center"/>
    </xf>
    <xf numFmtId="0" fontId="1" fillId="0" borderId="0" xfId="0" applyFont="1" applyBorder="1"/>
    <xf numFmtId="0" fontId="16" fillId="0" borderId="30" xfId="0" applyFont="1" applyBorder="1" applyAlignment="1">
      <alignment horizontal="left" vertical="center" wrapText="1"/>
    </xf>
    <xf numFmtId="0" fontId="16" fillId="0" borderId="13" xfId="0" applyFont="1" applyBorder="1" applyAlignment="1">
      <alignment horizontal="left" vertical="center"/>
    </xf>
    <xf numFmtId="10" fontId="16" fillId="3" borderId="15" xfId="0" applyNumberFormat="1" applyFont="1" applyFill="1" applyBorder="1" applyAlignment="1">
      <alignment horizontal="right" vertical="center"/>
    </xf>
    <xf numFmtId="10" fontId="16" fillId="3" borderId="30" xfId="0" applyNumberFormat="1" applyFont="1" applyFill="1" applyBorder="1" applyAlignment="1">
      <alignment horizontal="right" vertical="center"/>
    </xf>
    <xf numFmtId="10" fontId="17" fillId="3" borderId="30" xfId="0" applyNumberFormat="1" applyFont="1" applyFill="1" applyBorder="1" applyAlignment="1">
      <alignment horizontal="right" vertical="center"/>
    </xf>
    <xf numFmtId="0" fontId="12" fillId="0" borderId="55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 wrapText="1"/>
    </xf>
    <xf numFmtId="0" fontId="8" fillId="0" borderId="53" xfId="0" applyFont="1" applyFill="1" applyBorder="1" applyAlignment="1">
      <alignment horizontal="left" vertical="center"/>
    </xf>
    <xf numFmtId="0" fontId="8" fillId="0" borderId="43" xfId="0" applyFont="1" applyFill="1" applyBorder="1" applyAlignment="1">
      <alignment horizontal="center" vertical="center"/>
    </xf>
    <xf numFmtId="10" fontId="8" fillId="3" borderId="28" xfId="0" applyNumberFormat="1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left" vertical="center"/>
    </xf>
    <xf numFmtId="0" fontId="8" fillId="0" borderId="30" xfId="0" applyFont="1" applyFill="1" applyBorder="1" applyAlignment="1">
      <alignment horizontal="center" vertical="center"/>
    </xf>
    <xf numFmtId="10" fontId="8" fillId="3" borderId="15" xfId="0" applyNumberFormat="1" applyFont="1" applyFill="1" applyBorder="1" applyAlignment="1">
      <alignment horizontal="center" vertical="center"/>
    </xf>
    <xf numFmtId="10" fontId="12" fillId="3" borderId="15" xfId="0" applyNumberFormat="1" applyFont="1" applyFill="1" applyBorder="1" applyAlignment="1">
      <alignment horizontal="center" vertical="center"/>
    </xf>
    <xf numFmtId="0" fontId="8" fillId="0" borderId="56" xfId="0" applyFont="1" applyFill="1" applyBorder="1" applyAlignment="1">
      <alignment horizontal="left" vertical="center"/>
    </xf>
    <xf numFmtId="10" fontId="8" fillId="3" borderId="57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10" fontId="8" fillId="0" borderId="21" xfId="0" applyNumberFormat="1" applyFont="1" applyFill="1" applyBorder="1" applyAlignment="1">
      <alignment vertical="center"/>
    </xf>
    <xf numFmtId="0" fontId="8" fillId="0" borderId="34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14" xfId="0" applyFont="1" applyFill="1" applyBorder="1" applyAlignment="1">
      <alignment vertical="center"/>
    </xf>
    <xf numFmtId="0" fontId="12" fillId="8" borderId="52" xfId="0" applyFont="1" applyFill="1" applyBorder="1" applyAlignment="1">
      <alignment vertical="center" wrapText="1"/>
    </xf>
    <xf numFmtId="0" fontId="8" fillId="8" borderId="42" xfId="0" applyFont="1" applyFill="1" applyBorder="1" applyAlignment="1">
      <alignment vertical="center"/>
    </xf>
    <xf numFmtId="10" fontId="12" fillId="8" borderId="20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8" fillId="0" borderId="41" xfId="0" applyFont="1" applyFill="1" applyBorder="1" applyAlignment="1">
      <alignment horizontal="left" vertical="center"/>
    </xf>
    <xf numFmtId="0" fontId="8" fillId="0" borderId="32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vertical="center"/>
    </xf>
    <xf numFmtId="0" fontId="12" fillId="8" borderId="1" xfId="0" applyFont="1" applyFill="1" applyBorder="1" applyAlignment="1">
      <alignment vertical="center" wrapText="1"/>
    </xf>
    <xf numFmtId="0" fontId="8" fillId="8" borderId="2" xfId="0" applyFont="1" applyFill="1" applyBorder="1" applyAlignment="1">
      <alignment vertical="center"/>
    </xf>
    <xf numFmtId="10" fontId="12" fillId="8" borderId="3" xfId="0" applyNumberFormat="1" applyFont="1" applyFill="1" applyBorder="1" applyAlignment="1">
      <alignment horizontal="center" vertical="center" wrapText="1"/>
    </xf>
    <xf numFmtId="0" fontId="8" fillId="0" borderId="55" xfId="0" applyFont="1" applyFill="1" applyBorder="1" applyAlignment="1">
      <alignment horizontal="left" vertical="center"/>
    </xf>
    <xf numFmtId="0" fontId="8" fillId="0" borderId="25" xfId="0" applyFont="1" applyFill="1" applyBorder="1" applyAlignment="1">
      <alignment horizontal="center" vertical="center"/>
    </xf>
    <xf numFmtId="10" fontId="8" fillId="3" borderId="10" xfId="0" applyNumberFormat="1" applyFont="1" applyFill="1" applyBorder="1" applyAlignment="1">
      <alignment horizontal="center" vertical="center"/>
    </xf>
    <xf numFmtId="164" fontId="1" fillId="6" borderId="47" xfId="1" applyFont="1" applyFill="1" applyBorder="1" applyAlignment="1">
      <alignment horizontal="center" vertical="center"/>
    </xf>
    <xf numFmtId="1" fontId="5" fillId="6" borderId="30" xfId="0" applyNumberFormat="1" applyFont="1" applyFill="1" applyBorder="1" applyAlignment="1">
      <alignment horizontal="center" vertical="center"/>
    </xf>
    <xf numFmtId="0" fontId="17" fillId="0" borderId="37" xfId="0" applyFont="1" applyBorder="1" applyAlignment="1">
      <alignment horizontal="left" vertical="center"/>
    </xf>
    <xf numFmtId="0" fontId="16" fillId="0" borderId="37" xfId="0" applyFont="1" applyBorder="1" applyAlignment="1">
      <alignment horizontal="left" vertical="center"/>
    </xf>
    <xf numFmtId="10" fontId="16" fillId="3" borderId="37" xfId="0" applyNumberFormat="1" applyFont="1" applyFill="1" applyBorder="1" applyAlignment="1">
      <alignment horizontal="right" vertical="center"/>
    </xf>
    <xf numFmtId="0" fontId="17" fillId="0" borderId="53" xfId="0" applyFont="1" applyBorder="1" applyAlignment="1">
      <alignment horizontal="left" vertical="center"/>
    </xf>
    <xf numFmtId="0" fontId="17" fillId="0" borderId="43" xfId="0" applyFont="1" applyBorder="1" applyAlignment="1">
      <alignment horizontal="left" vertical="center"/>
    </xf>
    <xf numFmtId="10" fontId="17" fillId="3" borderId="28" xfId="0" applyNumberFormat="1" applyFont="1" applyFill="1" applyBorder="1" applyAlignment="1">
      <alignment horizontal="right" vertical="center"/>
    </xf>
    <xf numFmtId="0" fontId="16" fillId="0" borderId="43" xfId="0" applyFont="1" applyBorder="1" applyAlignment="1">
      <alignment horizontal="left" vertical="center"/>
    </xf>
    <xf numFmtId="0" fontId="17" fillId="0" borderId="52" xfId="0" applyFont="1" applyBorder="1" applyAlignment="1">
      <alignment horizontal="left" vertical="center"/>
    </xf>
    <xf numFmtId="0" fontId="16" fillId="0" borderId="42" xfId="0" applyFont="1" applyBorder="1" applyAlignment="1">
      <alignment horizontal="left" vertical="center"/>
    </xf>
    <xf numFmtId="10" fontId="16" fillId="3" borderId="42" xfId="0" applyNumberFormat="1" applyFont="1" applyFill="1" applyBorder="1" applyAlignment="1">
      <alignment horizontal="right" vertical="center"/>
    </xf>
    <xf numFmtId="0" fontId="16" fillId="0" borderId="20" xfId="0" applyFont="1" applyBorder="1" applyAlignment="1">
      <alignment horizontal="left" vertical="center"/>
    </xf>
    <xf numFmtId="10" fontId="17" fillId="3" borderId="37" xfId="0" applyNumberFormat="1" applyFont="1" applyFill="1" applyBorder="1" applyAlignment="1">
      <alignment horizontal="right" vertical="center"/>
    </xf>
    <xf numFmtId="10" fontId="17" fillId="3" borderId="43" xfId="0" applyNumberFormat="1" applyFont="1" applyFill="1" applyBorder="1" applyAlignment="1">
      <alignment horizontal="right" vertical="center"/>
    </xf>
    <xf numFmtId="0" fontId="17" fillId="0" borderId="42" xfId="0" applyFont="1" applyBorder="1" applyAlignment="1">
      <alignment horizontal="left" vertical="center"/>
    </xf>
    <xf numFmtId="0" fontId="16" fillId="0" borderId="52" xfId="0" applyFont="1" applyBorder="1" applyAlignment="1">
      <alignment horizontal="left" vertical="center"/>
    </xf>
    <xf numFmtId="0" fontId="17" fillId="0" borderId="18" xfId="0" applyFont="1" applyBorder="1" applyAlignment="1">
      <alignment horizontal="left" vertical="center"/>
    </xf>
    <xf numFmtId="10" fontId="17" fillId="3" borderId="59" xfId="0" applyNumberFormat="1" applyFont="1" applyFill="1" applyBorder="1" applyAlignment="1">
      <alignment horizontal="right" vertical="center"/>
    </xf>
    <xf numFmtId="10" fontId="16" fillId="3" borderId="20" xfId="0" applyNumberFormat="1" applyFont="1" applyFill="1" applyBorder="1" applyAlignment="1">
      <alignment horizontal="right" vertical="center"/>
    </xf>
    <xf numFmtId="0" fontId="16" fillId="0" borderId="18" xfId="0" applyFont="1" applyBorder="1" applyAlignment="1">
      <alignment horizontal="left" vertical="center"/>
    </xf>
    <xf numFmtId="10" fontId="16" fillId="3" borderId="59" xfId="0" applyNumberFormat="1" applyFont="1" applyFill="1" applyBorder="1" applyAlignment="1">
      <alignment horizontal="right" vertical="center"/>
    </xf>
    <xf numFmtId="10" fontId="1" fillId="0" borderId="0" xfId="1" applyNumberFormat="1" applyFont="1" applyBorder="1" applyAlignment="1">
      <alignment vertical="center"/>
    </xf>
    <xf numFmtId="0" fontId="0" fillId="0" borderId="29" xfId="0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164" fontId="1" fillId="0" borderId="30" xfId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5" fillId="3" borderId="34" xfId="0" applyFont="1" applyFill="1" applyBorder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29" xfId="0" applyFont="1" applyBorder="1" applyAlignment="1">
      <alignment horizontal="left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49" xfId="0" applyFont="1" applyBorder="1" applyAlignment="1">
      <alignment horizontal="left" vertical="center"/>
    </xf>
    <xf numFmtId="0" fontId="0" fillId="0" borderId="50" xfId="0" applyBorder="1" applyAlignment="1">
      <alignment horizontal="left" vertical="center"/>
    </xf>
    <xf numFmtId="0" fontId="1" fillId="0" borderId="11" xfId="0" applyFont="1" applyFill="1" applyBorder="1" applyAlignment="1">
      <alignment horizontal="left" vertical="center"/>
    </xf>
    <xf numFmtId="0" fontId="9" fillId="2" borderId="7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0" fillId="0" borderId="47" xfId="0" applyBorder="1" applyAlignment="1">
      <alignment horizontal="left" vertical="center"/>
    </xf>
    <xf numFmtId="0" fontId="1" fillId="0" borderId="27" xfId="0" applyFont="1" applyBorder="1" applyAlignment="1">
      <alignment horizontal="left" vertical="center"/>
    </xf>
    <xf numFmtId="0" fontId="5" fillId="0" borderId="29" xfId="0" applyFont="1" applyBorder="1" applyAlignment="1">
      <alignment horizontal="left" vertical="center"/>
    </xf>
    <xf numFmtId="0" fontId="1" fillId="0" borderId="11" xfId="0" applyFont="1" applyFill="1" applyBorder="1" applyAlignment="1">
      <alignment horizontal="left" vertical="center" wrapText="1"/>
    </xf>
    <xf numFmtId="0" fontId="1" fillId="0" borderId="47" xfId="0" applyFont="1" applyFill="1" applyBorder="1" applyAlignment="1">
      <alignment horizontal="left" vertical="center" wrapText="1"/>
    </xf>
    <xf numFmtId="0" fontId="1" fillId="0" borderId="46" xfId="0" applyFont="1" applyFill="1" applyBorder="1" applyAlignment="1">
      <alignment horizontal="left" vertical="center"/>
    </xf>
    <xf numFmtId="0" fontId="1" fillId="0" borderId="29" xfId="0" applyFont="1" applyFill="1" applyBorder="1" applyAlignment="1">
      <alignment horizontal="left" vertical="center" wrapText="1"/>
    </xf>
    <xf numFmtId="0" fontId="1" fillId="0" borderId="46" xfId="0" applyFont="1" applyFill="1" applyBorder="1" applyAlignment="1">
      <alignment horizontal="left" vertical="center" wrapText="1"/>
    </xf>
    <xf numFmtId="0" fontId="0" fillId="0" borderId="29" xfId="0" applyFill="1" applyBorder="1" applyAlignment="1">
      <alignment horizontal="left" vertical="center" wrapText="1"/>
    </xf>
    <xf numFmtId="0" fontId="1" fillId="0" borderId="44" xfId="0" applyFont="1" applyFill="1" applyBorder="1" applyAlignment="1">
      <alignment horizontal="left" vertical="center" wrapText="1"/>
    </xf>
    <xf numFmtId="0" fontId="1" fillId="0" borderId="45" xfId="0" applyFont="1" applyFill="1" applyBorder="1" applyAlignment="1">
      <alignment horizontal="left" vertical="center" wrapText="1"/>
    </xf>
    <xf numFmtId="164" fontId="5" fillId="0" borderId="16" xfId="1" applyFont="1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27" xfId="0" applyFont="1" applyBorder="1" applyAlignment="1">
      <alignment horizontal="left" vertical="center"/>
    </xf>
    <xf numFmtId="164" fontId="1" fillId="0" borderId="11" xfId="1" applyFont="1" applyFill="1" applyBorder="1" applyAlignment="1">
      <alignment horizontal="left" vertical="center"/>
    </xf>
    <xf numFmtId="164" fontId="1" fillId="0" borderId="16" xfId="1" applyFont="1" applyFill="1" applyBorder="1" applyAlignment="1">
      <alignment horizontal="left" vertical="center"/>
    </xf>
    <xf numFmtId="0" fontId="0" fillId="0" borderId="39" xfId="0" applyBorder="1" applyAlignment="1">
      <alignment horizontal="left" vertical="center"/>
    </xf>
    <xf numFmtId="164" fontId="4" fillId="2" borderId="1" xfId="1" applyFont="1" applyFill="1" applyBorder="1" applyAlignment="1">
      <alignment horizontal="left" vertical="center"/>
    </xf>
    <xf numFmtId="164" fontId="4" fillId="2" borderId="2" xfId="1" applyFont="1" applyFill="1" applyBorder="1" applyAlignment="1">
      <alignment horizontal="left" vertical="center"/>
    </xf>
    <xf numFmtId="164" fontId="4" fillId="2" borderId="3" xfId="1" applyFont="1" applyFill="1" applyBorder="1" applyAlignment="1">
      <alignment horizontal="left" vertical="center"/>
    </xf>
    <xf numFmtId="164" fontId="1" fillId="0" borderId="8" xfId="1" applyFont="1" applyFill="1" applyBorder="1" applyAlignment="1">
      <alignment horizontal="left" vertical="center"/>
    </xf>
    <xf numFmtId="0" fontId="0" fillId="0" borderId="24" xfId="0" applyFill="1" applyBorder="1" applyAlignment="1">
      <alignment horizontal="left" vertical="center"/>
    </xf>
    <xf numFmtId="164" fontId="1" fillId="0" borderId="26" xfId="1" applyFont="1" applyFill="1" applyBorder="1" applyAlignment="1">
      <alignment horizontal="center" vertical="center"/>
    </xf>
    <xf numFmtId="164" fontId="1" fillId="0" borderId="27" xfId="1" applyFont="1" applyFill="1" applyBorder="1" applyAlignment="1">
      <alignment horizontal="center" vertical="center"/>
    </xf>
    <xf numFmtId="164" fontId="1" fillId="0" borderId="29" xfId="1" applyFont="1" applyFill="1" applyBorder="1" applyAlignment="1">
      <alignment horizontal="left" vertical="center"/>
    </xf>
    <xf numFmtId="164" fontId="1" fillId="0" borderId="30" xfId="1" applyFont="1" applyFill="1" applyBorder="1" applyAlignment="1">
      <alignment horizontal="center" vertical="center"/>
    </xf>
    <xf numFmtId="164" fontId="9" fillId="0" borderId="16" xfId="1" applyFont="1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164" fontId="5" fillId="0" borderId="1" xfId="1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164" fontId="5" fillId="0" borderId="1" xfId="1" applyFont="1" applyBorder="1" applyAlignment="1">
      <alignment horizontal="center" vertical="center"/>
    </xf>
    <xf numFmtId="164" fontId="5" fillId="0" borderId="7" xfId="1" applyFont="1" applyBorder="1" applyAlignment="1">
      <alignment horizontal="center" vertical="center"/>
    </xf>
    <xf numFmtId="164" fontId="1" fillId="0" borderId="11" xfId="1" applyFont="1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164" fontId="9" fillId="0" borderId="11" xfId="1" applyFont="1" applyBorder="1" applyAlignment="1">
      <alignment horizontal="left" vertical="center"/>
    </xf>
    <xf numFmtId="164" fontId="5" fillId="0" borderId="8" xfId="1" applyFont="1" applyBorder="1" applyAlignment="1">
      <alignment horizontal="left" vertical="center"/>
    </xf>
    <xf numFmtId="164" fontId="5" fillId="0" borderId="9" xfId="1" applyFont="1" applyBorder="1" applyAlignment="1">
      <alignment horizontal="left" vertical="center"/>
    </xf>
    <xf numFmtId="164" fontId="5" fillId="0" borderId="11" xfId="1" applyFont="1" applyBorder="1" applyAlignment="1">
      <alignment horizontal="left" vertical="center"/>
    </xf>
    <xf numFmtId="164" fontId="3" fillId="0" borderId="11" xfId="1" applyFont="1" applyBorder="1" applyAlignment="1">
      <alignment horizontal="left" vertical="center"/>
    </xf>
    <xf numFmtId="164" fontId="0" fillId="0" borderId="11" xfId="1" applyFont="1" applyBorder="1" applyAlignment="1">
      <alignment horizontal="left" vertical="center"/>
    </xf>
    <xf numFmtId="0" fontId="2" fillId="0" borderId="1" xfId="3" applyFont="1" applyBorder="1" applyAlignment="1">
      <alignment horizontal="center" vertical="center" wrapText="1"/>
    </xf>
    <xf numFmtId="0" fontId="2" fillId="0" borderId="2" xfId="3" applyFont="1" applyBorder="1" applyAlignment="1">
      <alignment horizontal="center" vertical="center" wrapText="1"/>
    </xf>
    <xf numFmtId="0" fontId="2" fillId="0" borderId="3" xfId="3" applyFont="1" applyBorder="1" applyAlignment="1">
      <alignment horizontal="center" vertical="center" wrapText="1"/>
    </xf>
    <xf numFmtId="0" fontId="6" fillId="3" borderId="2" xfId="3" applyFont="1" applyFill="1" applyBorder="1" applyAlignment="1">
      <alignment horizontal="left" vertical="center"/>
    </xf>
    <xf numFmtId="0" fontId="6" fillId="3" borderId="7" xfId="3" applyFont="1" applyFill="1" applyBorder="1" applyAlignment="1">
      <alignment horizontal="left" vertical="center"/>
    </xf>
    <xf numFmtId="14" fontId="6" fillId="3" borderId="2" xfId="3" applyNumberFormat="1" applyFont="1" applyFill="1" applyBorder="1" applyAlignment="1">
      <alignment horizontal="left" vertical="center"/>
    </xf>
    <xf numFmtId="0" fontId="6" fillId="3" borderId="3" xfId="3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164" fontId="5" fillId="0" borderId="1" xfId="1" applyFont="1" applyFill="1" applyBorder="1" applyAlignment="1">
      <alignment horizontal="center" vertical="center" wrapText="1"/>
    </xf>
    <xf numFmtId="164" fontId="5" fillId="0" borderId="3" xfId="1" applyFont="1" applyFill="1" applyBorder="1" applyAlignment="1">
      <alignment horizontal="center" vertical="center" wrapText="1"/>
    </xf>
    <xf numFmtId="4" fontId="18" fillId="0" borderId="1" xfId="0" applyNumberFormat="1" applyFont="1" applyBorder="1" applyAlignment="1">
      <alignment horizontal="center" vertical="center"/>
    </xf>
    <xf numFmtId="4" fontId="18" fillId="0" borderId="2" xfId="0" applyNumberFormat="1" applyFont="1" applyBorder="1" applyAlignment="1">
      <alignment horizontal="center" vertical="center"/>
    </xf>
    <xf numFmtId="4" fontId="18" fillId="0" borderId="3" xfId="0" applyNumberFormat="1" applyFont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0" fontId="4" fillId="9" borderId="3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left" vertical="center" wrapText="1"/>
    </xf>
    <xf numFmtId="0" fontId="12" fillId="8" borderId="2" xfId="0" applyFont="1" applyFill="1" applyBorder="1" applyAlignment="1">
      <alignment horizontal="left" vertical="center" wrapText="1"/>
    </xf>
    <xf numFmtId="0" fontId="8" fillId="0" borderId="30" xfId="0" applyFont="1" applyFill="1" applyBorder="1" applyAlignment="1">
      <alignment horizontal="center" vertical="center"/>
    </xf>
    <xf numFmtId="0" fontId="8" fillId="0" borderId="40" xfId="0" applyFont="1" applyFill="1" applyBorder="1" applyAlignment="1">
      <alignment horizontal="center" vertical="center"/>
    </xf>
  </cellXfs>
  <cellStyles count="4">
    <cellStyle name="Normal" xfId="0" builtinId="0"/>
    <cellStyle name="Normal 3" xfId="3"/>
    <cellStyle name="Porcentagem" xfId="2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USTOS-%20JANICE%20N&#195;O%20MEXER/CONTABILIDADE%20DE%20CUSTOS/2026/NOVAS%20PLANILHAS/VIGILANCIA%20NOS%20PR&#201;DIOS%20P&#218;BLICOS-%20SUSPENSO/licita&#231;&#227;o%20de%20vigilancia%20escolas%20,%20sisp,%20caps/C&#243;pia%20de%20Servi&#231;os%20Vigil&#226;ncia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gilancia-modelo"/>
      <sheetName val="Vigilancia-EMEFS"/>
      <sheetName val="Vigilancia-EMEIS"/>
      <sheetName val="Vigilancia-CIES"/>
      <sheetName val="Vigilancia-CAPS"/>
      <sheetName val="Vigilancia-sisp"/>
      <sheetName val="Vigilancia-parque do chimarrão "/>
      <sheetName val="Vigilancia-Praças"/>
      <sheetName val="Vigilancia-Eventos do Social "/>
      <sheetName val="Enc. Soc. - LR-LP e SN"/>
      <sheetName val="B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1">
          <cell r="C31">
            <v>0.86802687000000012</v>
          </cell>
        </row>
      </sheetData>
      <sheetData sheetId="10">
        <row r="11">
          <cell r="C11">
            <v>0.33250000000000002</v>
          </cell>
        </row>
        <row r="24">
          <cell r="C24">
            <v>0.25259999999999999</v>
          </cell>
        </row>
        <row r="35">
          <cell r="C35">
            <v>0.16930000000000001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5"/>
  <sheetViews>
    <sheetView tabSelected="1" topLeftCell="A23" zoomScaleNormal="100" zoomScaleSheetLayoutView="110" workbookViewId="0">
      <selection activeCell="F208" sqref="F208"/>
    </sheetView>
  </sheetViews>
  <sheetFormatPr defaultRowHeight="12.75" x14ac:dyDescent="0.2"/>
  <cols>
    <col min="1" max="1" width="17.85546875" style="1" customWidth="1"/>
    <col min="2" max="2" width="26.85546875" style="1" customWidth="1"/>
    <col min="3" max="3" width="13.7109375" style="1" bestFit="1" customWidth="1"/>
    <col min="4" max="4" width="12.85546875" style="1" bestFit="1" customWidth="1"/>
    <col min="5" max="5" width="14.7109375" style="190" customWidth="1"/>
    <col min="6" max="6" width="13.140625" style="190" bestFit="1" customWidth="1"/>
    <col min="7" max="7" width="13.7109375" style="190" bestFit="1" customWidth="1"/>
    <col min="8" max="8" width="8.28515625" style="190" customWidth="1"/>
    <col min="9" max="9" width="25.42578125" style="1" customWidth="1"/>
    <col min="10" max="10" width="9.5703125" style="1" bestFit="1" customWidth="1"/>
    <col min="11" max="11" width="10.5703125" style="1" bestFit="1" customWidth="1"/>
    <col min="12" max="16384" width="9.140625" style="1"/>
  </cols>
  <sheetData>
    <row r="1" spans="1:13" s="2" customFormat="1" ht="23.25" customHeight="1" thickBot="1" x14ac:dyDescent="0.25">
      <c r="A1" s="322" t="s">
        <v>255</v>
      </c>
      <c r="B1" s="323"/>
      <c r="C1" s="323"/>
      <c r="D1" s="323"/>
      <c r="E1" s="323"/>
      <c r="F1" s="323"/>
      <c r="G1" s="323"/>
      <c r="H1" s="324"/>
      <c r="I1" s="1"/>
    </row>
    <row r="2" spans="1:13" s="8" customFormat="1" ht="15.75" customHeight="1" thickBot="1" x14ac:dyDescent="0.25">
      <c r="A2" s="3" t="s">
        <v>0</v>
      </c>
      <c r="B2" s="4"/>
      <c r="C2" s="5" t="s">
        <v>1</v>
      </c>
      <c r="D2" s="6"/>
      <c r="E2" s="6"/>
      <c r="F2" s="6"/>
      <c r="G2" s="6"/>
      <c r="H2" s="7"/>
      <c r="I2" s="1"/>
    </row>
    <row r="3" spans="1:13" s="2" customFormat="1" ht="23.25" customHeight="1" thickBot="1" x14ac:dyDescent="0.25">
      <c r="A3" s="9" t="s">
        <v>2</v>
      </c>
      <c r="B3" s="10" t="s">
        <v>3</v>
      </c>
      <c r="C3" s="11" t="s">
        <v>4</v>
      </c>
      <c r="D3" s="325"/>
      <c r="E3" s="326"/>
      <c r="F3" s="11" t="s">
        <v>5</v>
      </c>
      <c r="G3" s="327">
        <v>46254</v>
      </c>
      <c r="H3" s="328"/>
      <c r="I3" s="1"/>
    </row>
    <row r="4" spans="1:13" s="12" customFormat="1" ht="18.75" thickBot="1" x14ac:dyDescent="0.25">
      <c r="A4" s="329" t="s">
        <v>253</v>
      </c>
      <c r="B4" s="330"/>
      <c r="C4" s="330"/>
      <c r="D4" s="330"/>
      <c r="E4" s="330"/>
      <c r="F4" s="330"/>
      <c r="G4" s="330"/>
      <c r="H4" s="331"/>
    </row>
    <row r="5" spans="1:13" s="8" customFormat="1" ht="10.9" customHeight="1" thickBot="1" x14ac:dyDescent="0.25">
      <c r="A5" s="13"/>
      <c r="B5" s="14"/>
      <c r="C5" s="15"/>
      <c r="D5" s="15"/>
      <c r="E5" s="16"/>
      <c r="F5" s="16"/>
      <c r="G5" s="16"/>
      <c r="H5" s="17"/>
      <c r="I5" s="12"/>
      <c r="J5" s="12"/>
      <c r="K5" s="12"/>
      <c r="L5" s="12"/>
      <c r="M5" s="12"/>
    </row>
    <row r="6" spans="1:13" s="8" customFormat="1" ht="15.75" customHeight="1" thickBot="1" x14ac:dyDescent="0.25">
      <c r="A6" s="3" t="s">
        <v>6</v>
      </c>
      <c r="B6" s="4"/>
      <c r="C6" s="4"/>
      <c r="D6" s="4"/>
      <c r="E6" s="4"/>
      <c r="F6" s="4"/>
      <c r="G6" s="4"/>
      <c r="H6" s="18"/>
      <c r="I6" s="12"/>
      <c r="J6" s="12"/>
      <c r="K6" s="12"/>
      <c r="L6" s="12"/>
      <c r="M6" s="12"/>
    </row>
    <row r="7" spans="1:13" s="8" customFormat="1" ht="16.5" thickBot="1" x14ac:dyDescent="0.25">
      <c r="A7" s="19" t="s">
        <v>7</v>
      </c>
      <c r="B7" s="19"/>
      <c r="C7" s="332" t="s">
        <v>8</v>
      </c>
      <c r="D7" s="333"/>
      <c r="E7" s="332" t="s">
        <v>9</v>
      </c>
      <c r="F7" s="333"/>
      <c r="G7" s="332" t="s">
        <v>10</v>
      </c>
      <c r="H7" s="333"/>
      <c r="I7" s="12"/>
      <c r="J7" s="12"/>
      <c r="K7" s="12"/>
      <c r="L7" s="12"/>
      <c r="M7" s="12"/>
    </row>
    <row r="8" spans="1:13" s="8" customFormat="1" ht="28.5" customHeight="1" x14ac:dyDescent="0.2">
      <c r="A8" s="317" t="s">
        <v>11</v>
      </c>
      <c r="B8" s="318"/>
      <c r="C8" s="20" t="s">
        <v>12</v>
      </c>
      <c r="D8" s="21" t="s">
        <v>13</v>
      </c>
      <c r="E8" s="22" t="s">
        <v>12</v>
      </c>
      <c r="F8" s="21" t="s">
        <v>13</v>
      </c>
      <c r="G8" s="20" t="s">
        <v>12</v>
      </c>
      <c r="H8" s="21" t="s">
        <v>13</v>
      </c>
      <c r="I8" s="12"/>
      <c r="J8" s="12"/>
      <c r="K8" s="12"/>
      <c r="L8" s="12"/>
      <c r="M8" s="12"/>
    </row>
    <row r="9" spans="1:13" s="25" customFormat="1" ht="15.75" customHeight="1" x14ac:dyDescent="0.2">
      <c r="A9" s="319" t="str">
        <f>A37</f>
        <v>1. Mão-de-obra</v>
      </c>
      <c r="B9" s="315"/>
      <c r="C9" s="23">
        <f>+G98</f>
        <v>19900.91458044</v>
      </c>
      <c r="D9" s="24">
        <f t="shared" ref="D9:D18" si="0">IFERROR(C9/$C$21,0)</f>
        <v>0.70414016488035369</v>
      </c>
      <c r="E9" s="23">
        <f>G98</f>
        <v>19900.91458044</v>
      </c>
      <c r="F9" s="24">
        <f t="shared" ref="F9:F17" si="1">IFERROR(E9/$E$21,0)</f>
        <v>0.74905538057086962</v>
      </c>
      <c r="G9" s="23">
        <f>G99</f>
        <v>18751.130908689</v>
      </c>
      <c r="H9" s="24">
        <f t="shared" ref="H9:H17" si="2">IFERROR(G9/$G$21,0)</f>
        <v>0.73192285817790803</v>
      </c>
      <c r="I9" s="12"/>
      <c r="J9" s="12"/>
      <c r="K9" s="12"/>
      <c r="L9" s="12"/>
      <c r="M9" s="12"/>
    </row>
    <row r="10" spans="1:13" s="8" customFormat="1" ht="15.75" customHeight="1" x14ac:dyDescent="0.2">
      <c r="A10" s="320" t="s">
        <v>14</v>
      </c>
      <c r="B10" s="315"/>
      <c r="C10" s="26">
        <f>G75+G51</f>
        <v>17885.886580440001</v>
      </c>
      <c r="D10" s="27">
        <f t="shared" si="0"/>
        <v>0.63284383614011153</v>
      </c>
      <c r="E10" s="26">
        <f t="shared" ref="E10:E16" si="3">C10</f>
        <v>17885.886580440001</v>
      </c>
      <c r="F10" s="27">
        <f t="shared" si="1"/>
        <v>0.67321124992551384</v>
      </c>
      <c r="G10" s="26">
        <f>G82+G58</f>
        <v>16736.102908689001</v>
      </c>
      <c r="H10" s="27">
        <f t="shared" si="2"/>
        <v>0.65326919935325067</v>
      </c>
      <c r="I10" s="12"/>
      <c r="J10" s="12"/>
      <c r="K10" s="12"/>
      <c r="L10" s="12"/>
      <c r="M10" s="12"/>
    </row>
    <row r="11" spans="1:13" s="8" customFormat="1" ht="15.75" customHeight="1" x14ac:dyDescent="0.2">
      <c r="A11" s="321" t="str">
        <f>A84</f>
        <v>1.2. Vale Transporte</v>
      </c>
      <c r="B11" s="315"/>
      <c r="C11" s="26">
        <f>G89</f>
        <v>503.02799999999996</v>
      </c>
      <c r="D11" s="27">
        <f t="shared" si="0"/>
        <v>1.7798288487081346E-2</v>
      </c>
      <c r="E11" s="26">
        <f t="shared" si="3"/>
        <v>503.02799999999996</v>
      </c>
      <c r="F11" s="27">
        <f t="shared" si="1"/>
        <v>1.8933593652431656E-2</v>
      </c>
      <c r="G11" s="26">
        <f t="shared" ref="G11:G17" si="4">E11</f>
        <v>503.02799999999996</v>
      </c>
      <c r="H11" s="27">
        <f t="shared" si="2"/>
        <v>1.9634959261732237E-2</v>
      </c>
      <c r="I11" s="12"/>
      <c r="J11" s="12"/>
      <c r="K11" s="12"/>
      <c r="L11" s="12"/>
      <c r="M11" s="12"/>
    </row>
    <row r="12" spans="1:13" s="8" customFormat="1" ht="15.75" customHeight="1" x14ac:dyDescent="0.2">
      <c r="A12" s="321" t="str">
        <f>A91</f>
        <v>1.3. Vale-refeição (diário)</v>
      </c>
      <c r="B12" s="315"/>
      <c r="C12" s="26">
        <f>G96</f>
        <v>1512</v>
      </c>
      <c r="D12" s="27">
        <f t="shared" si="0"/>
        <v>5.349804025316085E-2</v>
      </c>
      <c r="E12" s="26">
        <f t="shared" si="3"/>
        <v>1512</v>
      </c>
      <c r="F12" s="27">
        <f t="shared" si="1"/>
        <v>5.6910536992924185E-2</v>
      </c>
      <c r="G12" s="26">
        <f t="shared" si="4"/>
        <v>1512</v>
      </c>
      <c r="H12" s="27">
        <f t="shared" si="2"/>
        <v>5.9018699562925214E-2</v>
      </c>
      <c r="I12" s="12"/>
      <c r="J12" s="12"/>
      <c r="K12" s="12"/>
      <c r="L12" s="12"/>
      <c r="M12" s="12"/>
    </row>
    <row r="13" spans="1:13" s="25" customFormat="1" ht="15.75" customHeight="1" x14ac:dyDescent="0.2">
      <c r="A13" s="319" t="str">
        <f>A101</f>
        <v>2. Uniformes, EPIs, Equiptos. e Materiais</v>
      </c>
      <c r="B13" s="315"/>
      <c r="C13" s="23">
        <f>G146</f>
        <v>1309.3800000000001</v>
      </c>
      <c r="D13" s="24">
        <f t="shared" si="0"/>
        <v>4.6328878271616247E-2</v>
      </c>
      <c r="E13" s="23">
        <f t="shared" si="3"/>
        <v>1309.3800000000001</v>
      </c>
      <c r="F13" s="24">
        <f t="shared" si="1"/>
        <v>4.928407336494383E-2</v>
      </c>
      <c r="G13" s="23">
        <f t="shared" si="4"/>
        <v>1309.3800000000001</v>
      </c>
      <c r="H13" s="24">
        <f t="shared" si="2"/>
        <v>5.1109725419115758E-2</v>
      </c>
      <c r="I13" s="12"/>
      <c r="J13" s="12"/>
      <c r="K13" s="12"/>
      <c r="L13" s="12"/>
      <c r="M13" s="12"/>
    </row>
    <row r="14" spans="1:13" s="8" customFormat="1" ht="15.75" customHeight="1" x14ac:dyDescent="0.2">
      <c r="A14" s="314" t="str">
        <f>A102</f>
        <v>2.1. Uniformes e EPIs</v>
      </c>
      <c r="B14" s="315"/>
      <c r="C14" s="26">
        <f>G121</f>
        <v>1069.43</v>
      </c>
      <c r="D14" s="28">
        <f t="shared" si="0"/>
        <v>3.7838894965567339E-2</v>
      </c>
      <c r="E14" s="26">
        <f t="shared" si="3"/>
        <v>1069.43</v>
      </c>
      <c r="F14" s="28">
        <f t="shared" si="1"/>
        <v>4.0252536756840554E-2</v>
      </c>
      <c r="G14" s="26">
        <f t="shared" si="4"/>
        <v>1069.43</v>
      </c>
      <c r="H14" s="28">
        <f t="shared" si="2"/>
        <v>4.1743629546017937E-2</v>
      </c>
      <c r="I14" s="12"/>
      <c r="J14" s="12"/>
      <c r="K14" s="12"/>
      <c r="L14" s="12"/>
      <c r="M14" s="12"/>
    </row>
    <row r="15" spans="1:13" s="8" customFormat="1" ht="15.75" customHeight="1" x14ac:dyDescent="0.2">
      <c r="A15" s="314" t="str">
        <f>A123</f>
        <v>2.2- Equipamentos</v>
      </c>
      <c r="B15" s="315"/>
      <c r="C15" s="26">
        <f>G131</f>
        <v>83.95</v>
      </c>
      <c r="D15" s="28">
        <f t="shared" si="0"/>
        <v>2.9703442323100885E-3</v>
      </c>
      <c r="E15" s="26">
        <f t="shared" si="3"/>
        <v>83.95</v>
      </c>
      <c r="F15" s="28">
        <f t="shared" si="1"/>
        <v>3.1598145374047521E-3</v>
      </c>
      <c r="G15" s="26">
        <f t="shared" si="4"/>
        <v>83.95</v>
      </c>
      <c r="H15" s="28">
        <f t="shared" si="2"/>
        <v>3.2768649658118862E-3</v>
      </c>
      <c r="I15" s="12"/>
      <c r="J15" s="12"/>
      <c r="K15" s="12"/>
      <c r="L15" s="12"/>
      <c r="M15" s="12"/>
    </row>
    <row r="16" spans="1:13" s="8" customFormat="1" ht="15.75" customHeight="1" x14ac:dyDescent="0.2">
      <c r="A16" s="314" t="str">
        <f>A133</f>
        <v>2.3- Materiais</v>
      </c>
      <c r="B16" s="315"/>
      <c r="C16" s="26">
        <f>G137</f>
        <v>6</v>
      </c>
      <c r="D16" s="28">
        <f t="shared" si="0"/>
        <v>2.1229381052841609E-4</v>
      </c>
      <c r="E16" s="26">
        <f t="shared" si="3"/>
        <v>6</v>
      </c>
      <c r="F16" s="28">
        <f t="shared" si="1"/>
        <v>2.2583546425763564E-4</v>
      </c>
      <c r="G16" s="26">
        <f t="shared" si="4"/>
        <v>6</v>
      </c>
      <c r="H16" s="28">
        <f t="shared" si="2"/>
        <v>2.3420118874176673E-4</v>
      </c>
      <c r="I16" s="12"/>
      <c r="J16" s="12"/>
      <c r="K16" s="12"/>
      <c r="L16" s="12"/>
      <c r="M16" s="12"/>
    </row>
    <row r="17" spans="1:13" s="8" customFormat="1" ht="15.75" customHeight="1" x14ac:dyDescent="0.2">
      <c r="A17" s="314" t="str">
        <f>A139</f>
        <v xml:space="preserve">2.4- Outros Serviços </v>
      </c>
      <c r="B17" s="315"/>
      <c r="C17" s="26">
        <f>F144</f>
        <v>150</v>
      </c>
      <c r="D17" s="28">
        <f t="shared" si="0"/>
        <v>5.307345263210402E-3</v>
      </c>
      <c r="E17" s="26">
        <f>C17</f>
        <v>150</v>
      </c>
      <c r="F17" s="28">
        <f t="shared" si="1"/>
        <v>5.6458866064408916E-3</v>
      </c>
      <c r="G17" s="26">
        <f t="shared" si="4"/>
        <v>150</v>
      </c>
      <c r="H17" s="28">
        <f t="shared" si="2"/>
        <v>5.8550297185441681E-3</v>
      </c>
      <c r="I17" s="12"/>
      <c r="J17" s="12"/>
      <c r="K17" s="12"/>
      <c r="L17" s="12"/>
      <c r="M17" s="12"/>
    </row>
    <row r="18" spans="1:13" s="25" customFormat="1" ht="15.75" customHeight="1" x14ac:dyDescent="0.2">
      <c r="A18" s="316" t="str">
        <f>A151</f>
        <v>3. Benefícios e Desp. Ind. - BDI - LUCRO REAL</v>
      </c>
      <c r="B18" s="315"/>
      <c r="C18" s="23">
        <f>+G157</f>
        <v>7052.4229479963005</v>
      </c>
      <c r="D18" s="24">
        <f t="shared" si="0"/>
        <v>0.24953095684803003</v>
      </c>
      <c r="E18" s="29"/>
      <c r="F18" s="30"/>
      <c r="G18" s="29"/>
      <c r="H18" s="31"/>
      <c r="I18" s="12"/>
      <c r="J18" s="12"/>
      <c r="K18" s="12"/>
      <c r="L18" s="12"/>
      <c r="M18" s="12"/>
    </row>
    <row r="19" spans="1:13" s="25" customFormat="1" ht="15.75" customHeight="1" x14ac:dyDescent="0.2">
      <c r="A19" s="316" t="str">
        <f>A163</f>
        <v>4. Benefícios e Desp. Ind. - BDI - LUCRO PRESUMIDO</v>
      </c>
      <c r="B19" s="315"/>
      <c r="C19" s="32"/>
      <c r="D19" s="33"/>
      <c r="E19" s="23">
        <f>G169</f>
        <v>5357.7204110191433</v>
      </c>
      <c r="F19" s="24">
        <f>IFERROR(E19/$E$21,0)</f>
        <v>0.20166054606418646</v>
      </c>
      <c r="G19" s="29"/>
      <c r="H19" s="34"/>
      <c r="I19" s="12"/>
      <c r="J19" s="12"/>
      <c r="K19" s="12"/>
      <c r="L19" s="12"/>
      <c r="M19" s="12"/>
    </row>
    <row r="20" spans="1:13" s="25" customFormat="1" ht="15.75" customHeight="1" thickBot="1" x14ac:dyDescent="0.25">
      <c r="A20" s="307" t="str">
        <f>A175</f>
        <v>5. Benef. Desp. Ind. + Impostos - SIMPLES NACIONAL</v>
      </c>
      <c r="B20" s="308"/>
      <c r="C20" s="35"/>
      <c r="D20" s="36"/>
      <c r="E20" s="37"/>
      <c r="F20" s="30"/>
      <c r="G20" s="38">
        <f>G179+G192</f>
        <v>5558.488005170816</v>
      </c>
      <c r="H20" s="39">
        <f>IFERROR(G20/$G$21,0)</f>
        <v>0.21696741640297612</v>
      </c>
      <c r="I20" s="12"/>
      <c r="J20" s="12"/>
      <c r="K20" s="12"/>
      <c r="L20" s="12"/>
      <c r="M20" s="12"/>
    </row>
    <row r="21" spans="1:13" s="8" customFormat="1" ht="15.75" customHeight="1" thickBot="1" x14ac:dyDescent="0.25">
      <c r="A21" s="309" t="s">
        <v>15</v>
      </c>
      <c r="B21" s="310"/>
      <c r="C21" s="40">
        <f>C9+C13+C18</f>
        <v>28262.7175284363</v>
      </c>
      <c r="D21" s="41">
        <f>D9+D13+D18</f>
        <v>1</v>
      </c>
      <c r="E21" s="40">
        <f>E9+E13+E19</f>
        <v>26568.014991459146</v>
      </c>
      <c r="F21" s="41">
        <f>F9+F13+F19</f>
        <v>0.99999999999999989</v>
      </c>
      <c r="G21" s="40">
        <f>G9+G13+G20</f>
        <v>25618.998913859818</v>
      </c>
      <c r="H21" s="41">
        <f>H9+H13+H20</f>
        <v>0.99999999999999989</v>
      </c>
      <c r="I21" s="12"/>
      <c r="J21" s="12"/>
      <c r="K21" s="12"/>
      <c r="L21" s="12"/>
      <c r="M21" s="12"/>
    </row>
    <row r="22" spans="1:13" s="8" customFormat="1" ht="15.75" customHeight="1" thickBot="1" x14ac:dyDescent="0.25">
      <c r="A22" s="309" t="s">
        <v>16</v>
      </c>
      <c r="B22" s="310"/>
      <c r="C22" s="42">
        <f>G161</f>
        <v>339152.61034123559</v>
      </c>
      <c r="D22" s="41"/>
      <c r="E22" s="42">
        <f>G173</f>
        <v>318816.17989750975</v>
      </c>
      <c r="F22" s="41"/>
      <c r="G22" s="42">
        <f>G200</f>
        <v>307427.98696631781</v>
      </c>
      <c r="H22" s="41"/>
      <c r="I22" s="12"/>
      <c r="J22" s="12"/>
      <c r="K22" s="12"/>
      <c r="L22" s="12"/>
      <c r="M22" s="12"/>
    </row>
    <row r="23" spans="1:13" ht="15" thickBot="1" x14ac:dyDescent="0.25">
      <c r="A23" s="43"/>
      <c r="B23" s="44"/>
      <c r="C23" s="44"/>
      <c r="D23" s="44"/>
      <c r="E23" s="45"/>
      <c r="F23" s="45"/>
      <c r="G23" s="46"/>
      <c r="H23" s="47"/>
      <c r="I23" s="12"/>
      <c r="J23" s="12"/>
      <c r="K23" s="12"/>
      <c r="L23" s="12"/>
      <c r="M23" s="12"/>
    </row>
    <row r="24" spans="1:13" s="8" customFormat="1" ht="15" customHeight="1" thickBot="1" x14ac:dyDescent="0.25">
      <c r="A24" s="298" t="s">
        <v>17</v>
      </c>
      <c r="B24" s="299"/>
      <c r="C24" s="299"/>
      <c r="D24" s="299"/>
      <c r="E24" s="299"/>
      <c r="F24" s="299"/>
      <c r="G24" s="300"/>
      <c r="H24" s="48"/>
      <c r="I24" s="12"/>
      <c r="J24" s="12"/>
      <c r="K24" s="12"/>
      <c r="L24" s="12"/>
      <c r="M24" s="12"/>
    </row>
    <row r="25" spans="1:13" s="8" customFormat="1" ht="15" customHeight="1" thickBot="1" x14ac:dyDescent="0.25">
      <c r="A25" s="309" t="s">
        <v>18</v>
      </c>
      <c r="B25" s="311"/>
      <c r="C25" s="49" t="s">
        <v>19</v>
      </c>
      <c r="D25" s="312" t="s">
        <v>20</v>
      </c>
      <c r="E25" s="313"/>
      <c r="F25" s="49" t="s">
        <v>21</v>
      </c>
      <c r="G25" s="49" t="s">
        <v>22</v>
      </c>
      <c r="H25" s="48"/>
      <c r="I25" s="12"/>
      <c r="J25" s="12"/>
      <c r="K25" s="12"/>
      <c r="L25" s="12"/>
      <c r="M25" s="12"/>
    </row>
    <row r="26" spans="1:13" s="8" customFormat="1" ht="15" customHeight="1" x14ac:dyDescent="0.2">
      <c r="A26" s="301" t="s">
        <v>23</v>
      </c>
      <c r="B26" s="302"/>
      <c r="C26" s="50" t="s">
        <v>24</v>
      </c>
      <c r="D26" s="303" t="s">
        <v>25</v>
      </c>
      <c r="E26" s="304"/>
      <c r="F26" s="51">
        <v>3</v>
      </c>
      <c r="G26" s="52">
        <v>2105.4</v>
      </c>
      <c r="H26" s="53"/>
      <c r="I26" s="12"/>
      <c r="J26" s="12"/>
      <c r="K26" s="12"/>
      <c r="L26" s="12"/>
      <c r="M26" s="12"/>
    </row>
    <row r="27" spans="1:13" s="8" customFormat="1" ht="15" customHeight="1" x14ac:dyDescent="0.2">
      <c r="A27" s="295" t="s">
        <v>26</v>
      </c>
      <c r="B27" s="305"/>
      <c r="C27" s="54" t="s">
        <v>27</v>
      </c>
      <c r="D27" s="306" t="s">
        <v>254</v>
      </c>
      <c r="E27" s="306"/>
      <c r="F27" s="55" t="s">
        <v>28</v>
      </c>
      <c r="G27" s="56">
        <f>G26/220</f>
        <v>9.57</v>
      </c>
      <c r="H27" s="53"/>
      <c r="I27" s="12"/>
      <c r="J27" s="12"/>
      <c r="K27" s="12"/>
      <c r="L27" s="12"/>
      <c r="M27" s="12"/>
    </row>
    <row r="28" spans="1:13" s="8" customFormat="1" ht="15" customHeight="1" x14ac:dyDescent="0.2">
      <c r="A28" s="295"/>
      <c r="B28" s="305"/>
      <c r="C28" s="54"/>
      <c r="D28" s="306"/>
      <c r="E28" s="306"/>
      <c r="F28" s="55"/>
      <c r="G28" s="56"/>
      <c r="H28" s="53"/>
      <c r="I28" s="12"/>
      <c r="J28" s="12"/>
      <c r="K28" s="12"/>
      <c r="L28" s="12"/>
      <c r="M28" s="12"/>
    </row>
    <row r="29" spans="1:13" s="8" customFormat="1" ht="15" customHeight="1" thickBot="1" x14ac:dyDescent="0.25">
      <c r="A29" s="291" t="s">
        <v>29</v>
      </c>
      <c r="B29" s="292"/>
      <c r="C29" s="57"/>
      <c r="D29" s="57"/>
      <c r="E29" s="58"/>
      <c r="F29" s="59">
        <f>SUM(F26:F26)</f>
        <v>3</v>
      </c>
      <c r="G29" s="60">
        <f>SUM(G26:G26)</f>
        <v>2105.4</v>
      </c>
      <c r="H29" s="53"/>
      <c r="I29" s="12"/>
      <c r="J29" s="12"/>
      <c r="K29" s="12"/>
      <c r="L29" s="12"/>
      <c r="M29" s="12"/>
    </row>
    <row r="30" spans="1:13" s="8" customFormat="1" ht="15" customHeight="1" thickBot="1" x14ac:dyDescent="0.25">
      <c r="A30" s="61"/>
      <c r="B30" s="62"/>
      <c r="C30" s="63"/>
      <c r="D30" s="64"/>
      <c r="E30" s="65"/>
      <c r="F30" s="65"/>
      <c r="G30" s="66"/>
      <c r="H30" s="53"/>
      <c r="I30" s="12"/>
      <c r="J30" s="12"/>
      <c r="K30" s="12"/>
      <c r="L30" s="12"/>
      <c r="M30" s="12"/>
    </row>
    <row r="31" spans="1:13" s="8" customFormat="1" ht="14.25" x14ac:dyDescent="0.2">
      <c r="A31" s="293" t="s">
        <v>30</v>
      </c>
      <c r="B31" s="294"/>
      <c r="C31" s="67"/>
      <c r="D31" s="67"/>
      <c r="E31" s="67"/>
      <c r="F31" s="68"/>
      <c r="G31" s="69" t="s">
        <v>21</v>
      </c>
      <c r="H31" s="53"/>
      <c r="I31" s="12"/>
      <c r="J31" s="12"/>
      <c r="K31" s="12"/>
      <c r="L31" s="12"/>
      <c r="M31" s="12"/>
    </row>
    <row r="32" spans="1:13" s="8" customFormat="1" ht="15" customHeight="1" x14ac:dyDescent="0.2">
      <c r="A32" s="295" t="s">
        <v>31</v>
      </c>
      <c r="B32" s="270"/>
      <c r="C32" s="70" t="s">
        <v>32</v>
      </c>
      <c r="D32" s="70"/>
      <c r="E32" s="70"/>
      <c r="F32" s="70"/>
      <c r="G32" s="71">
        <v>3</v>
      </c>
      <c r="H32" s="53"/>
      <c r="I32" s="12"/>
      <c r="J32" s="12"/>
      <c r="K32" s="12"/>
      <c r="L32" s="12"/>
      <c r="M32" s="12"/>
    </row>
    <row r="33" spans="1:13" s="8" customFormat="1" ht="15" customHeight="1" x14ac:dyDescent="0.2">
      <c r="A33" s="295" t="s">
        <v>33</v>
      </c>
      <c r="B33" s="270"/>
      <c r="C33" s="72" t="s">
        <v>34</v>
      </c>
      <c r="D33" s="72"/>
      <c r="E33" s="72"/>
      <c r="F33" s="72"/>
      <c r="G33" s="73">
        <v>12</v>
      </c>
      <c r="H33" s="53"/>
      <c r="I33" s="12"/>
      <c r="J33" s="12"/>
      <c r="K33" s="12"/>
      <c r="L33" s="12"/>
      <c r="M33" s="12"/>
    </row>
    <row r="34" spans="1:13" s="8" customFormat="1" ht="15" customHeight="1" thickBot="1" x14ac:dyDescent="0.25">
      <c r="A34" s="296" t="s">
        <v>35</v>
      </c>
      <c r="B34" s="297"/>
      <c r="C34" s="74" t="s">
        <v>36</v>
      </c>
      <c r="D34" s="74"/>
      <c r="E34" s="74"/>
      <c r="F34" s="75"/>
      <c r="G34" s="76">
        <v>21</v>
      </c>
      <c r="H34" s="53"/>
      <c r="I34" s="12"/>
      <c r="J34" s="12"/>
      <c r="K34" s="12"/>
      <c r="L34" s="12"/>
      <c r="M34" s="12"/>
    </row>
    <row r="35" spans="1:13" s="8" customFormat="1" ht="15" customHeight="1" thickBot="1" x14ac:dyDescent="0.25">
      <c r="A35" s="77"/>
      <c r="B35" s="78"/>
      <c r="C35" s="78"/>
      <c r="D35" s="78"/>
      <c r="E35" s="65"/>
      <c r="F35" s="79"/>
      <c r="G35" s="80"/>
      <c r="H35" s="53"/>
      <c r="I35" s="12"/>
      <c r="J35" s="12"/>
      <c r="K35" s="12"/>
      <c r="L35" s="12"/>
      <c r="M35" s="12"/>
    </row>
    <row r="36" spans="1:13" s="8" customFormat="1" ht="15" customHeight="1" thickBot="1" x14ac:dyDescent="0.25">
      <c r="A36" s="298" t="s">
        <v>37</v>
      </c>
      <c r="B36" s="299"/>
      <c r="C36" s="299"/>
      <c r="D36" s="299"/>
      <c r="E36" s="299"/>
      <c r="F36" s="299"/>
      <c r="G36" s="300"/>
      <c r="H36" s="53"/>
      <c r="I36" s="12"/>
      <c r="J36" s="12"/>
      <c r="K36" s="12"/>
      <c r="L36" s="12"/>
      <c r="M36" s="12"/>
    </row>
    <row r="37" spans="1:13" ht="11.25" customHeight="1" x14ac:dyDescent="0.2">
      <c r="A37" s="81" t="s">
        <v>38</v>
      </c>
      <c r="B37" s="82"/>
      <c r="C37" s="83"/>
      <c r="D37" s="83"/>
      <c r="E37" s="64"/>
      <c r="F37" s="64"/>
      <c r="G37" s="84"/>
      <c r="H37" s="53"/>
      <c r="I37" s="12"/>
      <c r="J37" s="12"/>
      <c r="K37" s="12"/>
      <c r="L37" s="12"/>
      <c r="M37" s="12"/>
    </row>
    <row r="38" spans="1:13" ht="11.25" customHeight="1" thickBot="1" x14ac:dyDescent="0.25">
      <c r="A38" s="85" t="s">
        <v>39</v>
      </c>
      <c r="B38" s="82"/>
      <c r="C38" s="83"/>
      <c r="D38" s="83"/>
      <c r="E38" s="64"/>
      <c r="F38" s="64"/>
      <c r="G38" s="84"/>
      <c r="H38" s="53"/>
      <c r="I38" s="12"/>
      <c r="J38" s="12"/>
      <c r="K38" s="12"/>
      <c r="L38" s="12"/>
      <c r="M38" s="12"/>
    </row>
    <row r="39" spans="1:13" ht="11.25" customHeight="1" thickBot="1" x14ac:dyDescent="0.25">
      <c r="A39" s="263" t="s">
        <v>40</v>
      </c>
      <c r="B39" s="264"/>
      <c r="C39" s="86" t="s">
        <v>41</v>
      </c>
      <c r="D39" s="86" t="s">
        <v>21</v>
      </c>
      <c r="E39" s="87" t="s">
        <v>42</v>
      </c>
      <c r="F39" s="87" t="s">
        <v>43</v>
      </c>
      <c r="G39" s="88" t="s">
        <v>44</v>
      </c>
      <c r="H39" s="53"/>
      <c r="I39" s="12"/>
      <c r="J39" s="12"/>
      <c r="K39" s="12"/>
      <c r="L39" s="12"/>
      <c r="M39" s="12"/>
    </row>
    <row r="40" spans="1:13" ht="11.25" customHeight="1" x14ac:dyDescent="0.2">
      <c r="A40" s="265" t="s">
        <v>45</v>
      </c>
      <c r="B40" s="266"/>
      <c r="C40" s="89" t="s">
        <v>34</v>
      </c>
      <c r="D40" s="89">
        <v>1</v>
      </c>
      <c r="E40" s="90">
        <f>G26</f>
        <v>2105.4</v>
      </c>
      <c r="F40" s="91">
        <f>D40*E40</f>
        <v>2105.4</v>
      </c>
      <c r="G40" s="92" t="s">
        <v>46</v>
      </c>
      <c r="H40" s="53"/>
      <c r="I40" s="12"/>
      <c r="J40" s="12"/>
      <c r="K40" s="12"/>
      <c r="L40" s="12"/>
      <c r="M40" s="12"/>
    </row>
    <row r="41" spans="1:13" ht="11.25" customHeight="1" x14ac:dyDescent="0.2">
      <c r="A41" s="289" t="s">
        <v>47</v>
      </c>
      <c r="B41" s="290"/>
      <c r="C41" s="93" t="s">
        <v>48</v>
      </c>
      <c r="D41" s="94"/>
      <c r="E41" s="95">
        <f>E40/220*2</f>
        <v>19.14</v>
      </c>
      <c r="F41" s="95">
        <f>D41*E41</f>
        <v>0</v>
      </c>
      <c r="G41" s="84"/>
      <c r="H41" s="53"/>
      <c r="I41" s="12"/>
      <c r="J41" s="12"/>
      <c r="K41" s="12"/>
      <c r="L41" s="12"/>
      <c r="M41" s="12"/>
    </row>
    <row r="42" spans="1:13" ht="11.25" customHeight="1" x14ac:dyDescent="0.2">
      <c r="A42" s="287" t="s">
        <v>49</v>
      </c>
      <c r="B42" s="288"/>
      <c r="C42" s="93" t="s">
        <v>48</v>
      </c>
      <c r="D42" s="94">
        <v>14.7</v>
      </c>
      <c r="E42" s="96">
        <f>E40/220*1.5</f>
        <v>14.355</v>
      </c>
      <c r="F42" s="95">
        <f>D42*E42</f>
        <v>211.01849999999999</v>
      </c>
      <c r="G42" s="84"/>
      <c r="H42" s="53"/>
      <c r="I42" s="12" t="s">
        <v>252</v>
      </c>
      <c r="J42" s="12"/>
      <c r="K42" s="12"/>
      <c r="L42" s="12"/>
      <c r="M42" s="12"/>
    </row>
    <row r="43" spans="1:13" ht="11.25" customHeight="1" x14ac:dyDescent="0.2">
      <c r="A43" s="287" t="s">
        <v>50</v>
      </c>
      <c r="B43" s="288"/>
      <c r="C43" s="93" t="s">
        <v>48</v>
      </c>
      <c r="D43" s="94">
        <v>14.7</v>
      </c>
      <c r="E43" s="96">
        <f>(E40/220)*0.3</f>
        <v>2.871</v>
      </c>
      <c r="F43" s="95">
        <f>E43*D43</f>
        <v>42.203699999999998</v>
      </c>
      <c r="G43" s="84"/>
      <c r="H43" s="53"/>
      <c r="I43" s="12" t="s">
        <v>256</v>
      </c>
      <c r="J43" s="12"/>
      <c r="K43" s="12"/>
      <c r="L43" s="12"/>
      <c r="M43" s="12"/>
    </row>
    <row r="44" spans="1:13" ht="11.25" customHeight="1" x14ac:dyDescent="0.2">
      <c r="A44" s="283" t="s">
        <v>51</v>
      </c>
      <c r="B44" s="286"/>
      <c r="C44" s="93" t="s">
        <v>52</v>
      </c>
      <c r="D44" s="94">
        <f>10*21/60</f>
        <v>3.5</v>
      </c>
      <c r="E44" s="96">
        <f>E40/220/6</f>
        <v>1.595</v>
      </c>
      <c r="F44" s="95">
        <f>E44*D44</f>
        <v>5.5824999999999996</v>
      </c>
      <c r="G44" s="84"/>
      <c r="H44" s="53"/>
      <c r="I44" s="12" t="s">
        <v>257</v>
      </c>
      <c r="J44" s="12"/>
      <c r="K44" s="12"/>
      <c r="L44" s="12"/>
      <c r="M44" s="12"/>
    </row>
    <row r="45" spans="1:13" ht="11.25" customHeight="1" x14ac:dyDescent="0.2">
      <c r="A45" s="287" t="s">
        <v>53</v>
      </c>
      <c r="B45" s="288"/>
      <c r="C45" s="93" t="s">
        <v>54</v>
      </c>
      <c r="D45" s="94">
        <v>30</v>
      </c>
      <c r="E45" s="96">
        <f>SUM(F40:F44)</f>
        <v>2364.2047000000002</v>
      </c>
      <c r="F45" s="95">
        <f>D45*E45/100</f>
        <v>709.26141000000007</v>
      </c>
      <c r="G45" s="84"/>
      <c r="H45" s="53"/>
      <c r="I45" s="12"/>
      <c r="J45" s="12"/>
      <c r="K45" s="12"/>
      <c r="L45" s="12"/>
      <c r="M45" s="12"/>
    </row>
    <row r="46" spans="1:13" ht="11.25" customHeight="1" x14ac:dyDescent="0.2">
      <c r="A46" s="269" t="s">
        <v>55</v>
      </c>
      <c r="B46" s="280"/>
      <c r="C46" s="97"/>
      <c r="D46" s="97"/>
      <c r="E46" s="98"/>
      <c r="F46" s="99">
        <f>SUM(F40:F45)</f>
        <v>3073.4661100000003</v>
      </c>
      <c r="G46" s="100"/>
      <c r="H46" s="53"/>
      <c r="I46" s="12"/>
      <c r="J46" s="12"/>
      <c r="K46" s="12"/>
      <c r="L46" s="12"/>
      <c r="M46" s="12"/>
    </row>
    <row r="47" spans="1:13" ht="11.25" customHeight="1" x14ac:dyDescent="0.2">
      <c r="A47" s="271" t="s">
        <v>56</v>
      </c>
      <c r="B47" s="270"/>
      <c r="C47" s="93" t="s">
        <v>54</v>
      </c>
      <c r="D47" s="101">
        <v>86.8</v>
      </c>
      <c r="E47" s="95">
        <f>F46</f>
        <v>3073.4661100000003</v>
      </c>
      <c r="F47" s="95">
        <f>E47*D47/100</f>
        <v>2667.7685834800004</v>
      </c>
      <c r="G47" s="102"/>
      <c r="H47" s="53"/>
      <c r="I47" s="12"/>
      <c r="J47" s="12"/>
      <c r="K47" s="12"/>
      <c r="L47" s="12"/>
      <c r="M47" s="12"/>
    </row>
    <row r="48" spans="1:13" ht="11.25" customHeight="1" x14ac:dyDescent="0.2">
      <c r="A48" s="283" t="s">
        <v>57</v>
      </c>
      <c r="B48" s="286"/>
      <c r="C48" s="103" t="s">
        <v>48</v>
      </c>
      <c r="D48" s="237">
        <v>10.5</v>
      </c>
      <c r="E48" s="104">
        <f>(E40/220)*1.5</f>
        <v>14.355</v>
      </c>
      <c r="F48" s="95">
        <f>D48*E48</f>
        <v>150.72749999999999</v>
      </c>
      <c r="G48" s="84"/>
      <c r="H48" s="53"/>
      <c r="I48" s="12" t="s">
        <v>58</v>
      </c>
      <c r="J48" s="12"/>
      <c r="K48" s="12"/>
      <c r="L48" s="12"/>
      <c r="M48" s="12"/>
    </row>
    <row r="49" spans="1:13" ht="11.25" customHeight="1" x14ac:dyDescent="0.2">
      <c r="A49" s="283" t="s">
        <v>59</v>
      </c>
      <c r="B49" s="284"/>
      <c r="C49" s="103" t="s">
        <v>41</v>
      </c>
      <c r="D49" s="105">
        <v>1</v>
      </c>
      <c r="E49" s="104">
        <v>70</v>
      </c>
      <c r="F49" s="95">
        <f>D49*E49</f>
        <v>70</v>
      </c>
      <c r="G49" s="84"/>
      <c r="H49" s="53"/>
      <c r="I49" s="12"/>
      <c r="J49" s="12"/>
      <c r="K49" s="12"/>
      <c r="L49" s="12"/>
      <c r="M49" s="12"/>
    </row>
    <row r="50" spans="1:13" ht="11.25" customHeight="1" x14ac:dyDescent="0.2">
      <c r="A50" s="269" t="s">
        <v>60</v>
      </c>
      <c r="B50" s="280"/>
      <c r="C50" s="106"/>
      <c r="D50" s="106"/>
      <c r="E50" s="107"/>
      <c r="F50" s="99">
        <f>SUM(F46:F49)</f>
        <v>5961.9621934800007</v>
      </c>
      <c r="G50" s="100"/>
      <c r="H50" s="53"/>
      <c r="I50" s="12"/>
      <c r="J50" s="12"/>
      <c r="K50" s="12"/>
      <c r="L50" s="12"/>
      <c r="M50" s="12"/>
    </row>
    <row r="51" spans="1:13" ht="11.25" customHeight="1" thickBot="1" x14ac:dyDescent="0.25">
      <c r="A51" s="271" t="s">
        <v>61</v>
      </c>
      <c r="B51" s="270"/>
      <c r="C51" s="93" t="s">
        <v>62</v>
      </c>
      <c r="D51" s="238">
        <v>3</v>
      </c>
      <c r="E51" s="95">
        <f>F50</f>
        <v>5961.9621934800007</v>
      </c>
      <c r="F51" s="95">
        <f>D51*E51</f>
        <v>17885.886580440001</v>
      </c>
      <c r="G51" s="102">
        <f>F51</f>
        <v>17885.886580440001</v>
      </c>
      <c r="H51" s="53"/>
      <c r="I51" s="12"/>
      <c r="J51" s="12"/>
      <c r="K51" s="12"/>
      <c r="L51" s="12"/>
      <c r="M51" s="12"/>
    </row>
    <row r="52" spans="1:13" ht="11.25" customHeight="1" x14ac:dyDescent="0.2">
      <c r="A52" s="109"/>
      <c r="B52" s="110"/>
      <c r="C52" s="83"/>
      <c r="D52" s="83"/>
      <c r="E52" s="64"/>
      <c r="F52" s="64"/>
      <c r="G52" s="46"/>
      <c r="H52" s="53"/>
      <c r="I52" s="12"/>
      <c r="J52" s="12"/>
      <c r="K52" s="12"/>
      <c r="L52" s="12"/>
      <c r="M52" s="12"/>
    </row>
    <row r="53" spans="1:13" ht="11.25" customHeight="1" x14ac:dyDescent="0.2">
      <c r="A53" s="85" t="s">
        <v>63</v>
      </c>
      <c r="B53" s="111"/>
      <c r="C53" s="83"/>
      <c r="D53" s="83"/>
      <c r="E53" s="64"/>
      <c r="F53" s="64"/>
      <c r="G53" s="84"/>
      <c r="H53" s="53"/>
      <c r="I53" s="12"/>
      <c r="J53" s="12"/>
      <c r="K53" s="12"/>
      <c r="L53" s="12"/>
      <c r="M53" s="12"/>
    </row>
    <row r="54" spans="1:13" ht="11.25" customHeight="1" x14ac:dyDescent="0.2">
      <c r="A54" s="285" t="s">
        <v>64</v>
      </c>
      <c r="B54" s="270"/>
      <c r="C54" s="93" t="s">
        <v>54</v>
      </c>
      <c r="D54" s="112" t="s">
        <v>65</v>
      </c>
      <c r="E54" s="95">
        <f>F46</f>
        <v>3073.4661100000003</v>
      </c>
      <c r="F54" s="95">
        <f>E54*D54/100</f>
        <v>2284.5073595630001</v>
      </c>
      <c r="G54" s="84"/>
      <c r="H54" s="53"/>
      <c r="I54" s="12"/>
      <c r="J54" s="12"/>
      <c r="K54" s="12"/>
      <c r="L54" s="12"/>
      <c r="M54" s="12"/>
    </row>
    <row r="55" spans="1:13" ht="11.25" customHeight="1" x14ac:dyDescent="0.2">
      <c r="A55" s="283" t="s">
        <v>66</v>
      </c>
      <c r="B55" s="286"/>
      <c r="C55" s="103" t="str">
        <f>C48</f>
        <v>hora</v>
      </c>
      <c r="D55" s="105">
        <f>D48</f>
        <v>10.5</v>
      </c>
      <c r="E55" s="104">
        <f>E48</f>
        <v>14.355</v>
      </c>
      <c r="F55" s="95">
        <f>D55*E55</f>
        <v>150.72749999999999</v>
      </c>
      <c r="G55" s="84"/>
      <c r="H55" s="53"/>
      <c r="I55" s="12"/>
      <c r="J55" s="12"/>
      <c r="K55" s="12"/>
      <c r="L55" s="12"/>
      <c r="M55" s="12"/>
    </row>
    <row r="56" spans="1:13" ht="11.25" customHeight="1" x14ac:dyDescent="0.2">
      <c r="A56" s="283" t="s">
        <v>59</v>
      </c>
      <c r="B56" s="284"/>
      <c r="C56" s="103" t="s">
        <v>41</v>
      </c>
      <c r="D56" s="105">
        <v>1</v>
      </c>
      <c r="E56" s="104">
        <f>E49</f>
        <v>70</v>
      </c>
      <c r="F56" s="95">
        <f>D56*E56</f>
        <v>70</v>
      </c>
      <c r="G56" s="84"/>
      <c r="H56" s="53"/>
      <c r="I56" s="12"/>
      <c r="J56" s="12"/>
      <c r="K56" s="12"/>
      <c r="L56" s="12"/>
      <c r="M56" s="12"/>
    </row>
    <row r="57" spans="1:13" ht="11.25" customHeight="1" x14ac:dyDescent="0.2">
      <c r="A57" s="279" t="s">
        <v>60</v>
      </c>
      <c r="B57" s="280"/>
      <c r="C57" s="97"/>
      <c r="D57" s="97"/>
      <c r="E57" s="98"/>
      <c r="F57" s="114">
        <f>SUM(F54:F56)+E54</f>
        <v>5578.7009695630004</v>
      </c>
      <c r="G57" s="84"/>
      <c r="H57" s="53"/>
      <c r="I57" s="12"/>
      <c r="J57" s="12"/>
      <c r="K57" s="12"/>
      <c r="L57" s="12"/>
      <c r="M57" s="12"/>
    </row>
    <row r="58" spans="1:13" ht="11.25" customHeight="1" x14ac:dyDescent="0.2">
      <c r="A58" s="277" t="s">
        <v>61</v>
      </c>
      <c r="B58" s="270"/>
      <c r="C58" s="93" t="s">
        <v>62</v>
      </c>
      <c r="D58" s="238">
        <f>D51</f>
        <v>3</v>
      </c>
      <c r="E58" s="95">
        <f>F57</f>
        <v>5578.7009695630004</v>
      </c>
      <c r="F58" s="95">
        <f>D58*E58</f>
        <v>16736.102908689001</v>
      </c>
      <c r="G58" s="84">
        <f>F58</f>
        <v>16736.102908689001</v>
      </c>
      <c r="H58" s="53"/>
      <c r="I58" s="12"/>
      <c r="J58" s="12"/>
      <c r="K58" s="12"/>
      <c r="L58" s="12"/>
      <c r="M58" s="12"/>
    </row>
    <row r="59" spans="1:13" ht="11.25" customHeight="1" x14ac:dyDescent="0.2">
      <c r="A59" s="81"/>
      <c r="B59" s="82"/>
      <c r="C59" s="83"/>
      <c r="D59" s="83"/>
      <c r="E59" s="64"/>
      <c r="F59" s="64"/>
      <c r="G59" s="84"/>
      <c r="H59" s="53"/>
      <c r="I59" s="12"/>
      <c r="J59" s="12"/>
      <c r="K59" s="12"/>
      <c r="L59" s="12"/>
      <c r="M59" s="12"/>
    </row>
    <row r="60" spans="1:13" ht="15" thickBot="1" x14ac:dyDescent="0.25">
      <c r="A60" s="85" t="s">
        <v>67</v>
      </c>
      <c r="B60" s="82"/>
      <c r="C60" s="83"/>
      <c r="D60" s="83"/>
      <c r="E60" s="64"/>
      <c r="F60" s="64"/>
      <c r="G60" s="84"/>
      <c r="H60" s="53"/>
      <c r="I60" s="12"/>
      <c r="J60" s="12"/>
      <c r="K60" s="12"/>
      <c r="L60" s="12"/>
      <c r="M60" s="12"/>
    </row>
    <row r="61" spans="1:13" s="115" customFormat="1" ht="13.15" customHeight="1" thickBot="1" x14ac:dyDescent="0.25">
      <c r="A61" s="263" t="s">
        <v>40</v>
      </c>
      <c r="B61" s="264"/>
      <c r="C61" s="86" t="s">
        <v>41</v>
      </c>
      <c r="D61" s="86" t="s">
        <v>21</v>
      </c>
      <c r="E61" s="87" t="s">
        <v>42</v>
      </c>
      <c r="F61" s="87" t="s">
        <v>43</v>
      </c>
      <c r="G61" s="88" t="s">
        <v>44</v>
      </c>
      <c r="H61" s="53"/>
      <c r="I61" s="12"/>
      <c r="J61" s="12"/>
      <c r="K61" s="12"/>
      <c r="L61" s="12"/>
      <c r="M61" s="12"/>
    </row>
    <row r="62" spans="1:13" ht="14.25" x14ac:dyDescent="0.2">
      <c r="A62" s="265" t="s">
        <v>45</v>
      </c>
      <c r="B62" s="266"/>
      <c r="C62" s="89" t="s">
        <v>34</v>
      </c>
      <c r="D62" s="89">
        <v>0</v>
      </c>
      <c r="E62" s="90">
        <f>G26</f>
        <v>2105.4</v>
      </c>
      <c r="F62" s="91">
        <f>D62*E62</f>
        <v>0</v>
      </c>
      <c r="G62" s="92" t="s">
        <v>46</v>
      </c>
      <c r="H62" s="53"/>
      <c r="I62" s="12"/>
      <c r="J62" s="12"/>
      <c r="K62" s="12"/>
      <c r="L62" s="12"/>
      <c r="M62" s="12"/>
    </row>
    <row r="63" spans="1:13" ht="14.25" x14ac:dyDescent="0.2">
      <c r="A63" s="289" t="s">
        <v>47</v>
      </c>
      <c r="B63" s="290"/>
      <c r="C63" s="93" t="s">
        <v>48</v>
      </c>
      <c r="D63" s="94"/>
      <c r="E63" s="95">
        <f>E62/220*2</f>
        <v>19.14</v>
      </c>
      <c r="F63" s="95">
        <f>D63*E63</f>
        <v>0</v>
      </c>
      <c r="G63" s="84"/>
      <c r="H63" s="53"/>
      <c r="I63" s="12"/>
      <c r="J63" s="12"/>
      <c r="K63" s="12"/>
      <c r="L63" s="12"/>
      <c r="M63" s="12"/>
    </row>
    <row r="64" spans="1:13" ht="14.25" x14ac:dyDescent="0.2">
      <c r="A64" s="287" t="s">
        <v>49</v>
      </c>
      <c r="B64" s="288"/>
      <c r="C64" s="93" t="s">
        <v>48</v>
      </c>
      <c r="D64" s="94">
        <v>2.5</v>
      </c>
      <c r="E64" s="96">
        <f>E62/220*1.5</f>
        <v>14.355</v>
      </c>
      <c r="F64" s="95">
        <f>D64*E64</f>
        <v>35.887500000000003</v>
      </c>
      <c r="G64" s="84"/>
      <c r="H64" s="53"/>
      <c r="I64" s="12"/>
      <c r="J64" s="12"/>
      <c r="K64" s="12"/>
      <c r="L64" s="12"/>
      <c r="M64" s="12"/>
    </row>
    <row r="65" spans="1:13" ht="14.25" x14ac:dyDescent="0.2">
      <c r="A65" s="287" t="s">
        <v>50</v>
      </c>
      <c r="B65" s="288"/>
      <c r="C65" s="93" t="s">
        <v>48</v>
      </c>
      <c r="D65" s="94">
        <v>27.5</v>
      </c>
      <c r="E65" s="96">
        <f>(F62/220)*0.3</f>
        <v>0</v>
      </c>
      <c r="F65" s="95">
        <f>E65*D65</f>
        <v>0</v>
      </c>
      <c r="G65" s="84"/>
      <c r="H65" s="53"/>
      <c r="I65" s="12"/>
      <c r="J65" s="12"/>
      <c r="K65" s="12"/>
      <c r="L65" s="12"/>
      <c r="M65" s="12"/>
    </row>
    <row r="66" spans="1:13" ht="41.25" customHeight="1" x14ac:dyDescent="0.2">
      <c r="A66" s="287" t="s">
        <v>68</v>
      </c>
      <c r="B66" s="288"/>
      <c r="C66" s="93" t="s">
        <v>54</v>
      </c>
      <c r="D66" s="94">
        <v>20</v>
      </c>
      <c r="E66" s="96">
        <f>G26/220*D66/100</f>
        <v>1.9140000000000001</v>
      </c>
      <c r="F66" s="95">
        <f>(8*E66)*15</f>
        <v>229.68</v>
      </c>
      <c r="G66" s="84"/>
      <c r="H66" s="53"/>
      <c r="I66" s="12"/>
      <c r="J66" s="12"/>
      <c r="K66" s="12"/>
      <c r="L66" s="12"/>
      <c r="M66" s="12"/>
    </row>
    <row r="67" spans="1:13" ht="14.25" x14ac:dyDescent="0.2">
      <c r="A67" s="287" t="s">
        <v>69</v>
      </c>
      <c r="B67" s="288"/>
      <c r="C67" s="93" t="s">
        <v>54</v>
      </c>
      <c r="D67" s="94">
        <v>13</v>
      </c>
      <c r="E67" s="96">
        <f>(E62/220)*D67/100</f>
        <v>1.2441</v>
      </c>
      <c r="F67" s="95">
        <f>(7*E67)*15</f>
        <v>130.63050000000001</v>
      </c>
      <c r="G67" s="84"/>
      <c r="H67" s="53"/>
      <c r="I67" s="12"/>
      <c r="J67" s="12"/>
      <c r="K67" s="12"/>
      <c r="L67" s="12"/>
      <c r="M67" s="12"/>
    </row>
    <row r="68" spans="1:13" ht="14.25" x14ac:dyDescent="0.2">
      <c r="A68" s="283" t="s">
        <v>70</v>
      </c>
      <c r="B68" s="286"/>
      <c r="C68" s="93" t="s">
        <v>71</v>
      </c>
      <c r="D68" s="94">
        <f>10*15/60</f>
        <v>2.5</v>
      </c>
      <c r="E68" s="96">
        <f>E62/220/6</f>
        <v>1.595</v>
      </c>
      <c r="F68" s="95">
        <f>E68*D68</f>
        <v>3.9874999999999998</v>
      </c>
      <c r="G68" s="84"/>
      <c r="H68" s="53"/>
      <c r="I68" s="12"/>
      <c r="J68" s="12"/>
      <c r="K68" s="12"/>
      <c r="L68" s="12"/>
      <c r="M68" s="12"/>
    </row>
    <row r="69" spans="1:13" ht="14.25" x14ac:dyDescent="0.2">
      <c r="A69" s="287" t="s">
        <v>53</v>
      </c>
      <c r="B69" s="288"/>
      <c r="C69" s="93" t="s">
        <v>54</v>
      </c>
      <c r="D69" s="94">
        <v>30</v>
      </c>
      <c r="E69" s="96">
        <f>SUM(F62:F68)</f>
        <v>400.18549999999999</v>
      </c>
      <c r="F69" s="95">
        <f>D69*E69/100</f>
        <v>120.05565</v>
      </c>
      <c r="G69" s="84"/>
      <c r="H69" s="53"/>
      <c r="I69" s="12"/>
      <c r="J69" s="12"/>
      <c r="K69" s="12"/>
      <c r="L69" s="12"/>
      <c r="M69" s="12"/>
    </row>
    <row r="70" spans="1:13" s="25" customFormat="1" ht="14.25" x14ac:dyDescent="0.2">
      <c r="A70" s="269" t="s">
        <v>55</v>
      </c>
      <c r="B70" s="280"/>
      <c r="C70" s="97"/>
      <c r="D70" s="97"/>
      <c r="E70" s="98"/>
      <c r="F70" s="99">
        <f>SUM(F62:F69)</f>
        <v>520.24114999999995</v>
      </c>
      <c r="G70" s="100"/>
      <c r="H70" s="53"/>
      <c r="I70" s="12"/>
      <c r="J70" s="12"/>
      <c r="K70" s="12"/>
      <c r="L70" s="12"/>
      <c r="M70" s="12"/>
    </row>
    <row r="71" spans="1:13" ht="14.25" x14ac:dyDescent="0.2">
      <c r="A71" s="271" t="s">
        <v>56</v>
      </c>
      <c r="B71" s="270"/>
      <c r="C71" s="93" t="s">
        <v>54</v>
      </c>
      <c r="D71" s="101">
        <f>'[1]Enc. Soc. - LR-LP e SN'!C31*100</f>
        <v>86.802687000000006</v>
      </c>
      <c r="E71" s="95">
        <f>F70</f>
        <v>520.24114999999995</v>
      </c>
      <c r="F71" s="95">
        <f>E71*D71/100</f>
        <v>451.58329707970051</v>
      </c>
      <c r="G71" s="102"/>
      <c r="H71" s="53"/>
      <c r="I71" s="12"/>
      <c r="J71" s="12"/>
      <c r="K71" s="12"/>
      <c r="L71" s="12"/>
      <c r="M71" s="12"/>
    </row>
    <row r="72" spans="1:13" ht="14.25" x14ac:dyDescent="0.2">
      <c r="A72" s="283" t="s">
        <v>66</v>
      </c>
      <c r="B72" s="286"/>
      <c r="C72" s="103" t="s">
        <v>48</v>
      </c>
      <c r="D72" s="237">
        <f>(30*0.5)/2</f>
        <v>7.5</v>
      </c>
      <c r="E72" s="104">
        <f>(E62/220)*1.5</f>
        <v>14.355</v>
      </c>
      <c r="F72" s="95">
        <f>D72*E72</f>
        <v>107.66250000000001</v>
      </c>
      <c r="G72" s="84"/>
      <c r="H72" s="53"/>
      <c r="I72" s="12"/>
      <c r="J72" s="12"/>
      <c r="K72" s="12"/>
      <c r="L72" s="12"/>
      <c r="M72" s="12"/>
    </row>
    <row r="73" spans="1:13" ht="14.25" x14ac:dyDescent="0.2">
      <c r="A73" s="283" t="s">
        <v>59</v>
      </c>
      <c r="B73" s="284"/>
      <c r="C73" s="103" t="s">
        <v>41</v>
      </c>
      <c r="D73" s="105">
        <v>1</v>
      </c>
      <c r="E73" s="104">
        <v>62.5</v>
      </c>
      <c r="F73" s="95">
        <f>D73*E73</f>
        <v>62.5</v>
      </c>
      <c r="G73" s="84"/>
      <c r="H73" s="53"/>
      <c r="I73" s="12"/>
      <c r="J73" s="12"/>
      <c r="K73" s="12"/>
      <c r="L73" s="12"/>
      <c r="M73" s="12"/>
    </row>
    <row r="74" spans="1:13" s="25" customFormat="1" ht="14.25" x14ac:dyDescent="0.2">
      <c r="A74" s="269" t="s">
        <v>60</v>
      </c>
      <c r="B74" s="280"/>
      <c r="C74" s="106"/>
      <c r="D74" s="106"/>
      <c r="E74" s="107"/>
      <c r="F74" s="99">
        <f>SUM(F70:F73)</f>
        <v>1141.9869470797005</v>
      </c>
      <c r="G74" s="100"/>
      <c r="H74" s="53"/>
      <c r="I74" s="12"/>
      <c r="J74" s="12"/>
      <c r="K74" s="12"/>
      <c r="L74" s="12"/>
      <c r="M74" s="12"/>
    </row>
    <row r="75" spans="1:13" ht="15" thickBot="1" x14ac:dyDescent="0.25">
      <c r="A75" s="271" t="s">
        <v>61</v>
      </c>
      <c r="B75" s="270"/>
      <c r="C75" s="93" t="s">
        <v>62</v>
      </c>
      <c r="D75" s="108">
        <v>0</v>
      </c>
      <c r="E75" s="95">
        <f>F74</f>
        <v>1141.9869470797005</v>
      </c>
      <c r="F75" s="95">
        <f>D75*E75</f>
        <v>0</v>
      </c>
      <c r="G75" s="102">
        <f>F75</f>
        <v>0</v>
      </c>
      <c r="H75" s="53"/>
      <c r="I75" s="12"/>
      <c r="J75" s="12"/>
      <c r="K75" s="12"/>
      <c r="L75" s="12"/>
      <c r="M75" s="12"/>
    </row>
    <row r="76" spans="1:13" ht="11.25" customHeight="1" x14ac:dyDescent="0.2">
      <c r="A76" s="109"/>
      <c r="B76" s="110"/>
      <c r="C76" s="83"/>
      <c r="D76" s="83"/>
      <c r="E76" s="64"/>
      <c r="F76" s="64"/>
      <c r="G76" s="46"/>
      <c r="H76" s="53"/>
      <c r="I76" s="12"/>
      <c r="J76" s="12"/>
      <c r="K76" s="12"/>
      <c r="L76" s="12"/>
      <c r="M76" s="12"/>
    </row>
    <row r="77" spans="1:13" ht="11.25" customHeight="1" x14ac:dyDescent="0.2">
      <c r="A77" s="85" t="s">
        <v>72</v>
      </c>
      <c r="B77" s="111"/>
      <c r="C77" s="83"/>
      <c r="D77" s="83"/>
      <c r="E77" s="64"/>
      <c r="F77" s="64"/>
      <c r="G77" s="84"/>
      <c r="H77" s="53"/>
      <c r="I77" s="12"/>
      <c r="J77" s="12"/>
      <c r="K77" s="12"/>
      <c r="L77" s="12"/>
      <c r="M77" s="12"/>
    </row>
    <row r="78" spans="1:13" ht="11.25" customHeight="1" x14ac:dyDescent="0.2">
      <c r="A78" s="285" t="s">
        <v>64</v>
      </c>
      <c r="B78" s="270"/>
      <c r="C78" s="93" t="s">
        <v>54</v>
      </c>
      <c r="D78" s="112" t="s">
        <v>65</v>
      </c>
      <c r="E78" s="95">
        <f>F70</f>
        <v>520.24114999999995</v>
      </c>
      <c r="F78" s="95">
        <f>E78*D78/100</f>
        <v>386.695246795</v>
      </c>
      <c r="G78" s="84"/>
      <c r="H78" s="53"/>
      <c r="I78" s="12"/>
      <c r="J78" s="12"/>
      <c r="K78" s="12"/>
      <c r="L78" s="12"/>
      <c r="M78" s="12"/>
    </row>
    <row r="79" spans="1:13" ht="14.25" x14ac:dyDescent="0.2">
      <c r="A79" s="283" t="s">
        <v>66</v>
      </c>
      <c r="B79" s="286"/>
      <c r="C79" s="103" t="str">
        <f>C72</f>
        <v>hora</v>
      </c>
      <c r="D79" s="105">
        <f>D72</f>
        <v>7.5</v>
      </c>
      <c r="E79" s="113">
        <f>E72</f>
        <v>14.355</v>
      </c>
      <c r="F79" s="95">
        <f>D79*E79</f>
        <v>107.66250000000001</v>
      </c>
      <c r="G79" s="84"/>
      <c r="H79" s="53"/>
      <c r="I79" s="12"/>
      <c r="J79" s="12"/>
      <c r="K79" s="12"/>
      <c r="L79" s="12"/>
      <c r="M79" s="12"/>
    </row>
    <row r="80" spans="1:13" ht="14.25" x14ac:dyDescent="0.2">
      <c r="A80" s="283" t="s">
        <v>59</v>
      </c>
      <c r="B80" s="284"/>
      <c r="C80" s="103" t="s">
        <v>41</v>
      </c>
      <c r="D80" s="105">
        <v>1</v>
      </c>
      <c r="E80" s="104">
        <v>62.5</v>
      </c>
      <c r="F80" s="95">
        <f>D80*E80</f>
        <v>62.5</v>
      </c>
      <c r="G80" s="84"/>
      <c r="H80" s="53"/>
      <c r="I80" s="12"/>
      <c r="J80" s="12"/>
      <c r="K80" s="12"/>
      <c r="L80" s="12"/>
      <c r="M80" s="12"/>
    </row>
    <row r="81" spans="1:13" ht="14.25" x14ac:dyDescent="0.2">
      <c r="A81" s="279" t="s">
        <v>60</v>
      </c>
      <c r="B81" s="280"/>
      <c r="C81" s="97"/>
      <c r="D81" s="97"/>
      <c r="E81" s="98"/>
      <c r="F81" s="114">
        <f>SUM(F78:F80)+E78</f>
        <v>1077.098896795</v>
      </c>
      <c r="G81" s="84"/>
      <c r="H81" s="53"/>
      <c r="I81" s="12"/>
      <c r="J81" s="12"/>
      <c r="K81" s="12"/>
      <c r="L81" s="12"/>
      <c r="M81" s="12"/>
    </row>
    <row r="82" spans="1:13" ht="15" thickBot="1" x14ac:dyDescent="0.25">
      <c r="A82" s="277" t="s">
        <v>61</v>
      </c>
      <c r="B82" s="270"/>
      <c r="C82" s="93" t="s">
        <v>62</v>
      </c>
      <c r="D82" s="108">
        <f>D$75</f>
        <v>0</v>
      </c>
      <c r="E82" s="95">
        <f>F81</f>
        <v>1077.098896795</v>
      </c>
      <c r="F82" s="95">
        <f>D82*E82</f>
        <v>0</v>
      </c>
      <c r="G82" s="84">
        <f>F82</f>
        <v>0</v>
      </c>
      <c r="H82" s="53"/>
      <c r="I82" s="12"/>
      <c r="J82" s="12"/>
      <c r="K82" s="12"/>
      <c r="L82" s="12"/>
      <c r="M82" s="12"/>
    </row>
    <row r="83" spans="1:13" ht="11.25" customHeight="1" x14ac:dyDescent="0.2">
      <c r="A83" s="116"/>
      <c r="B83" s="83"/>
      <c r="C83" s="83"/>
      <c r="D83" s="83"/>
      <c r="E83" s="64"/>
      <c r="F83" s="64"/>
      <c r="G83" s="46"/>
      <c r="H83" s="53"/>
      <c r="I83" s="12"/>
      <c r="J83" s="12"/>
      <c r="K83" s="12"/>
      <c r="L83" s="12"/>
      <c r="M83" s="12"/>
    </row>
    <row r="84" spans="1:13" ht="15" thickBot="1" x14ac:dyDescent="0.25">
      <c r="A84" s="81" t="s">
        <v>73</v>
      </c>
      <c r="B84" s="82"/>
      <c r="C84" s="117"/>
      <c r="D84" s="83"/>
      <c r="E84" s="83"/>
      <c r="F84" s="83"/>
      <c r="G84" s="84"/>
      <c r="H84" s="53"/>
      <c r="I84" s="12"/>
      <c r="J84" s="12"/>
      <c r="K84" s="12"/>
      <c r="L84" s="12"/>
      <c r="M84" s="12"/>
    </row>
    <row r="85" spans="1:13" ht="15" thickBot="1" x14ac:dyDescent="0.25">
      <c r="A85" s="263" t="s">
        <v>40</v>
      </c>
      <c r="B85" s="264"/>
      <c r="C85" s="86" t="s">
        <v>41</v>
      </c>
      <c r="D85" s="86" t="s">
        <v>21</v>
      </c>
      <c r="E85" s="87" t="s">
        <v>42</v>
      </c>
      <c r="F85" s="87" t="s">
        <v>43</v>
      </c>
      <c r="G85" s="88" t="s">
        <v>44</v>
      </c>
      <c r="H85" s="53"/>
      <c r="I85" s="12"/>
      <c r="J85" s="12"/>
      <c r="K85" s="12"/>
      <c r="L85" s="12"/>
      <c r="M85" s="12"/>
    </row>
    <row r="86" spans="1:13" ht="14.25" x14ac:dyDescent="0.2">
      <c r="A86" s="265" t="s">
        <v>74</v>
      </c>
      <c r="B86" s="266"/>
      <c r="C86" s="93" t="s">
        <v>75</v>
      </c>
      <c r="D86" s="118">
        <v>1</v>
      </c>
      <c r="E86" s="119">
        <v>7</v>
      </c>
      <c r="F86" s="95"/>
      <c r="G86" s="92"/>
      <c r="H86" s="53"/>
      <c r="I86" s="12" t="s">
        <v>251</v>
      </c>
      <c r="J86" s="12"/>
      <c r="K86" s="12"/>
      <c r="L86" s="12"/>
      <c r="M86" s="12"/>
    </row>
    <row r="87" spans="1:13" ht="14.25" x14ac:dyDescent="0.2">
      <c r="A87" s="271" t="s">
        <v>76</v>
      </c>
      <c r="B87" s="270"/>
      <c r="C87" s="93" t="s">
        <v>75</v>
      </c>
      <c r="D87" s="120">
        <v>21</v>
      </c>
      <c r="E87" s="95"/>
      <c r="F87" s="95"/>
      <c r="G87" s="102"/>
      <c r="H87" s="53"/>
      <c r="I87" s="12" t="s">
        <v>77</v>
      </c>
      <c r="J87" s="12"/>
      <c r="K87" s="12"/>
      <c r="L87" s="12"/>
      <c r="M87" s="12"/>
    </row>
    <row r="88" spans="1:13" ht="14.25" x14ac:dyDescent="0.2">
      <c r="A88" s="269" t="s">
        <v>78</v>
      </c>
      <c r="B88" s="282"/>
      <c r="C88" s="89" t="s">
        <v>79</v>
      </c>
      <c r="D88" s="120">
        <f>D87*2</f>
        <v>42</v>
      </c>
      <c r="E88" s="91">
        <f>IF(E85=0,"",IFERROR((($D$87*2*$E$86)-(F40*0.06*D86/D86))/($D$87*2),"-"))</f>
        <v>3.992285714285714</v>
      </c>
      <c r="F88" s="121">
        <f>IFERROR(D88*E88,"-")</f>
        <v>167.67599999999999</v>
      </c>
      <c r="G88" s="102"/>
      <c r="H88" s="53"/>
      <c r="I88" s="12"/>
      <c r="J88" s="12"/>
      <c r="K88" s="12"/>
      <c r="L88" s="12"/>
      <c r="M88" s="12"/>
    </row>
    <row r="89" spans="1:13" ht="15" thickBot="1" x14ac:dyDescent="0.25">
      <c r="A89" s="277" t="s">
        <v>61</v>
      </c>
      <c r="B89" s="270"/>
      <c r="C89" s="93" t="s">
        <v>62</v>
      </c>
      <c r="D89" s="122">
        <f>F29</f>
        <v>3</v>
      </c>
      <c r="E89" s="95">
        <f>F88</f>
        <v>167.67599999999999</v>
      </c>
      <c r="F89" s="95">
        <f>D89*E89</f>
        <v>503.02799999999996</v>
      </c>
      <c r="G89" s="84">
        <f>F89</f>
        <v>503.02799999999996</v>
      </c>
      <c r="H89" s="53"/>
      <c r="I89" s="12"/>
      <c r="J89" s="12"/>
      <c r="K89" s="12"/>
      <c r="L89" s="12"/>
      <c r="M89" s="12"/>
    </row>
    <row r="90" spans="1:13" ht="11.25" customHeight="1" x14ac:dyDescent="0.2">
      <c r="A90" s="116"/>
      <c r="B90" s="83"/>
      <c r="C90" s="83"/>
      <c r="D90" s="83"/>
      <c r="E90" s="64"/>
      <c r="F90" s="64"/>
      <c r="G90" s="46"/>
      <c r="H90" s="53"/>
      <c r="I90" s="12"/>
      <c r="J90" s="12"/>
      <c r="K90" s="12"/>
      <c r="L90" s="12"/>
      <c r="M90" s="12"/>
    </row>
    <row r="91" spans="1:13" ht="15" thickBot="1" x14ac:dyDescent="0.25">
      <c r="A91" s="123" t="s">
        <v>80</v>
      </c>
      <c r="B91" s="111"/>
      <c r="C91" s="83"/>
      <c r="D91" s="83"/>
      <c r="E91" s="64"/>
      <c r="F91" s="64"/>
      <c r="G91" s="124"/>
      <c r="H91" s="53"/>
      <c r="I91" s="12"/>
      <c r="J91" s="12"/>
      <c r="K91" s="12"/>
      <c r="L91" s="12"/>
      <c r="M91" s="12"/>
    </row>
    <row r="92" spans="1:13" ht="15" thickBot="1" x14ac:dyDescent="0.25">
      <c r="A92" s="263" t="s">
        <v>40</v>
      </c>
      <c r="B92" s="278"/>
      <c r="C92" s="86" t="s">
        <v>41</v>
      </c>
      <c r="D92" s="86" t="s">
        <v>21</v>
      </c>
      <c r="E92" s="87" t="s">
        <v>42</v>
      </c>
      <c r="F92" s="87" t="s">
        <v>43</v>
      </c>
      <c r="G92" s="125" t="s">
        <v>44</v>
      </c>
      <c r="H92" s="53"/>
      <c r="I92" s="12"/>
      <c r="J92" s="12"/>
      <c r="K92" s="12"/>
      <c r="L92" s="12"/>
      <c r="M92" s="12"/>
    </row>
    <row r="93" spans="1:13" ht="14.25" x14ac:dyDescent="0.2">
      <c r="A93" s="126" t="s">
        <v>81</v>
      </c>
      <c r="B93" s="127"/>
      <c r="C93" s="89" t="s">
        <v>32</v>
      </c>
      <c r="D93" s="128">
        <f>D87</f>
        <v>21</v>
      </c>
      <c r="E93" s="129">
        <v>30</v>
      </c>
      <c r="F93" s="130">
        <f>D93*E93</f>
        <v>630</v>
      </c>
      <c r="G93" s="124"/>
      <c r="H93" s="53"/>
      <c r="I93" s="12"/>
      <c r="J93" s="12"/>
      <c r="K93" s="12"/>
      <c r="L93" s="12"/>
      <c r="M93" s="12"/>
    </row>
    <row r="94" spans="1:13" ht="14.25" x14ac:dyDescent="0.2">
      <c r="A94" s="131" t="s">
        <v>82</v>
      </c>
      <c r="B94" s="132"/>
      <c r="C94" s="93" t="s">
        <v>54</v>
      </c>
      <c r="D94" s="133">
        <v>0.2</v>
      </c>
      <c r="E94" s="134">
        <f>-E93*D94</f>
        <v>-6</v>
      </c>
      <c r="F94" s="134">
        <f>E94*D93</f>
        <v>-126</v>
      </c>
      <c r="G94" s="102"/>
      <c r="H94" s="53"/>
      <c r="I94" s="12"/>
      <c r="J94" s="12"/>
      <c r="K94" s="12"/>
      <c r="L94" s="12"/>
      <c r="M94" s="12"/>
    </row>
    <row r="95" spans="1:13" ht="14.25" x14ac:dyDescent="0.2">
      <c r="A95" s="279" t="s">
        <v>60</v>
      </c>
      <c r="B95" s="280"/>
      <c r="C95" s="106"/>
      <c r="D95" s="106"/>
      <c r="E95" s="107"/>
      <c r="F95" s="135">
        <f>SUM(F93:F94)</f>
        <v>504</v>
      </c>
      <c r="G95" s="84"/>
      <c r="H95" s="53"/>
      <c r="I95" s="12"/>
      <c r="J95" s="12"/>
      <c r="K95" s="12"/>
      <c r="L95" s="12"/>
      <c r="M95" s="12"/>
    </row>
    <row r="96" spans="1:13" ht="15" thickBot="1" x14ac:dyDescent="0.25">
      <c r="A96" s="277" t="s">
        <v>61</v>
      </c>
      <c r="B96" s="270"/>
      <c r="C96" s="93" t="s">
        <v>62</v>
      </c>
      <c r="D96" s="122">
        <f>F29</f>
        <v>3</v>
      </c>
      <c r="E96" s="95">
        <f>F95</f>
        <v>504</v>
      </c>
      <c r="F96" s="95">
        <f>D96*E96</f>
        <v>1512</v>
      </c>
      <c r="G96" s="84">
        <f>F96</f>
        <v>1512</v>
      </c>
      <c r="H96" s="53"/>
      <c r="I96" s="12"/>
      <c r="J96" s="12"/>
      <c r="K96" s="12"/>
      <c r="L96" s="12"/>
      <c r="M96" s="12"/>
    </row>
    <row r="97" spans="1:13" ht="15" thickBot="1" x14ac:dyDescent="0.25">
      <c r="A97" s="116"/>
      <c r="B97" s="83"/>
      <c r="C97" s="83"/>
      <c r="D97" s="83"/>
      <c r="E97" s="64"/>
      <c r="F97" s="64"/>
      <c r="G97" s="46"/>
      <c r="H97" s="53"/>
      <c r="I97" s="12"/>
      <c r="J97" s="12"/>
      <c r="K97" s="12"/>
      <c r="L97" s="12"/>
      <c r="M97" s="12"/>
    </row>
    <row r="98" spans="1:13" ht="15" thickBot="1" x14ac:dyDescent="0.25">
      <c r="A98" s="136" t="s">
        <v>83</v>
      </c>
      <c r="B98" s="137"/>
      <c r="C98" s="137"/>
      <c r="D98" s="137"/>
      <c r="E98" s="138"/>
      <c r="F98" s="139"/>
      <c r="G98" s="140">
        <f>G75+G89+G96+G51</f>
        <v>19900.91458044</v>
      </c>
      <c r="H98" s="53"/>
      <c r="I98" s="12"/>
      <c r="J98" s="12"/>
      <c r="K98" s="12"/>
      <c r="L98" s="12"/>
      <c r="M98" s="12"/>
    </row>
    <row r="99" spans="1:13" ht="15" thickBot="1" x14ac:dyDescent="0.25">
      <c r="A99" s="136" t="s">
        <v>84</v>
      </c>
      <c r="B99" s="137"/>
      <c r="C99" s="137"/>
      <c r="D99" s="137"/>
      <c r="E99" s="138"/>
      <c r="F99" s="139"/>
      <c r="G99" s="141">
        <f>G82+G89+G96+G58</f>
        <v>18751.130908689</v>
      </c>
      <c r="H99" s="53"/>
      <c r="I99" s="12"/>
      <c r="J99" s="12"/>
      <c r="K99" s="12"/>
      <c r="L99" s="12"/>
      <c r="M99" s="12"/>
    </row>
    <row r="100" spans="1:13" ht="14.25" x14ac:dyDescent="0.2">
      <c r="A100" s="116"/>
      <c r="B100" s="83"/>
      <c r="C100" s="83"/>
      <c r="D100" s="83"/>
      <c r="E100" s="64"/>
      <c r="F100" s="64"/>
      <c r="G100" s="46"/>
      <c r="H100" s="53"/>
      <c r="I100" s="12"/>
      <c r="J100" s="12"/>
      <c r="K100" s="12"/>
      <c r="L100" s="12"/>
      <c r="M100" s="12"/>
    </row>
    <row r="101" spans="1:13" ht="14.25" x14ac:dyDescent="0.2">
      <c r="A101" s="81" t="s">
        <v>85</v>
      </c>
      <c r="B101" s="83"/>
      <c r="C101" s="83"/>
      <c r="D101" s="64"/>
      <c r="E101" s="64"/>
      <c r="F101" s="64"/>
      <c r="G101" s="64"/>
      <c r="H101" s="53"/>
      <c r="I101" s="12"/>
      <c r="J101" s="12"/>
      <c r="K101" s="12"/>
      <c r="L101" s="12"/>
      <c r="M101" s="12"/>
    </row>
    <row r="102" spans="1:13" ht="13.9" customHeight="1" thickBot="1" x14ac:dyDescent="0.25">
      <c r="A102" s="81" t="s">
        <v>86</v>
      </c>
      <c r="B102" s="83"/>
      <c r="C102" s="83"/>
      <c r="D102" s="64"/>
      <c r="E102" s="64"/>
      <c r="F102" s="64"/>
      <c r="G102" s="64"/>
      <c r="H102" s="53"/>
      <c r="I102" s="12"/>
      <c r="J102" s="12"/>
      <c r="K102" s="12"/>
      <c r="L102" s="12"/>
      <c r="M102" s="12"/>
    </row>
    <row r="103" spans="1:13" ht="24.75" thickBot="1" x14ac:dyDescent="0.25">
      <c r="A103" s="263" t="s">
        <v>40</v>
      </c>
      <c r="B103" s="278"/>
      <c r="C103" s="86" t="s">
        <v>41</v>
      </c>
      <c r="D103" s="142" t="s">
        <v>87</v>
      </c>
      <c r="E103" s="87" t="s">
        <v>42</v>
      </c>
      <c r="F103" s="87" t="s">
        <v>88</v>
      </c>
      <c r="G103" s="125" t="s">
        <v>44</v>
      </c>
      <c r="H103" s="53"/>
      <c r="I103" s="12"/>
      <c r="J103" s="12"/>
      <c r="K103" s="12"/>
      <c r="L103" s="12"/>
      <c r="M103" s="12"/>
    </row>
    <row r="104" spans="1:13" ht="14.25" x14ac:dyDescent="0.2">
      <c r="A104" s="265" t="s">
        <v>89</v>
      </c>
      <c r="B104" s="281"/>
      <c r="C104" s="89" t="s">
        <v>32</v>
      </c>
      <c r="D104" s="143">
        <v>2</v>
      </c>
      <c r="E104" s="144">
        <v>250</v>
      </c>
      <c r="F104" s="91">
        <f>D104*E104</f>
        <v>500</v>
      </c>
      <c r="G104" s="84"/>
      <c r="H104" s="53"/>
      <c r="I104" s="12"/>
      <c r="J104" s="12"/>
      <c r="K104" s="12"/>
      <c r="L104" s="12"/>
      <c r="M104" s="12"/>
    </row>
    <row r="105" spans="1:13" ht="13.15" customHeight="1" x14ac:dyDescent="0.2">
      <c r="A105" s="271" t="s">
        <v>90</v>
      </c>
      <c r="B105" s="270"/>
      <c r="C105" s="93" t="s">
        <v>32</v>
      </c>
      <c r="D105" s="145">
        <v>4</v>
      </c>
      <c r="E105" s="144">
        <v>139.91999999999999</v>
      </c>
      <c r="F105" s="91">
        <f t="shared" ref="F105:F119" si="5">D105*E105</f>
        <v>559.67999999999995</v>
      </c>
      <c r="G105" s="84"/>
      <c r="H105" s="53"/>
      <c r="I105" s="12"/>
      <c r="J105" s="12"/>
      <c r="K105" s="12"/>
      <c r="L105" s="12"/>
      <c r="M105" s="12"/>
    </row>
    <row r="106" spans="1:13" ht="14.25" x14ac:dyDescent="0.2">
      <c r="A106" s="271" t="s">
        <v>91</v>
      </c>
      <c r="B106" s="270"/>
      <c r="C106" s="93" t="s">
        <v>32</v>
      </c>
      <c r="D106" s="145">
        <v>4</v>
      </c>
      <c r="E106" s="144">
        <v>75</v>
      </c>
      <c r="F106" s="91">
        <f t="shared" si="5"/>
        <v>300</v>
      </c>
      <c r="G106" s="84"/>
      <c r="H106" s="53"/>
      <c r="I106" s="12"/>
      <c r="J106" s="12"/>
      <c r="K106" s="12"/>
      <c r="L106" s="12"/>
      <c r="M106" s="12"/>
    </row>
    <row r="107" spans="1:13" ht="14.25" x14ac:dyDescent="0.2">
      <c r="A107" s="146" t="s">
        <v>92</v>
      </c>
      <c r="B107" s="147"/>
      <c r="C107" s="93" t="s">
        <v>32</v>
      </c>
      <c r="D107" s="145">
        <v>4</v>
      </c>
      <c r="E107" s="144">
        <v>68</v>
      </c>
      <c r="F107" s="91">
        <f t="shared" si="5"/>
        <v>272</v>
      </c>
      <c r="G107" s="84"/>
      <c r="H107" s="53"/>
      <c r="I107" s="12"/>
      <c r="J107" s="12"/>
      <c r="K107" s="12"/>
      <c r="L107" s="12"/>
      <c r="M107" s="12"/>
    </row>
    <row r="108" spans="1:13" ht="14.25" x14ac:dyDescent="0.2">
      <c r="A108" s="261" t="s">
        <v>258</v>
      </c>
      <c r="B108" s="260"/>
      <c r="C108" s="93" t="s">
        <v>32</v>
      </c>
      <c r="D108" s="145">
        <v>3</v>
      </c>
      <c r="E108" s="144">
        <v>175</v>
      </c>
      <c r="F108" s="91">
        <f t="shared" si="5"/>
        <v>525</v>
      </c>
      <c r="G108" s="84"/>
      <c r="H108" s="53"/>
      <c r="I108" s="12"/>
      <c r="J108" s="12"/>
      <c r="K108" s="12"/>
      <c r="L108" s="12"/>
      <c r="M108" s="12"/>
    </row>
    <row r="109" spans="1:13" ht="14.25" x14ac:dyDescent="0.2">
      <c r="A109" s="261" t="s">
        <v>259</v>
      </c>
      <c r="B109" s="260"/>
      <c r="C109" s="93" t="s">
        <v>41</v>
      </c>
      <c r="D109" s="145">
        <v>3</v>
      </c>
      <c r="E109" s="144">
        <v>100</v>
      </c>
      <c r="F109" s="91">
        <f t="shared" si="5"/>
        <v>300</v>
      </c>
      <c r="G109" s="84"/>
      <c r="H109" s="53"/>
      <c r="I109" s="12"/>
      <c r="J109" s="12"/>
      <c r="K109" s="12"/>
      <c r="L109" s="12"/>
      <c r="M109" s="12"/>
    </row>
    <row r="110" spans="1:13" ht="13.15" customHeight="1" x14ac:dyDescent="0.2">
      <c r="A110" s="271" t="s">
        <v>93</v>
      </c>
      <c r="B110" s="270"/>
      <c r="C110" s="93" t="s">
        <v>32</v>
      </c>
      <c r="D110" s="145">
        <v>3</v>
      </c>
      <c r="E110" s="144">
        <v>39.9</v>
      </c>
      <c r="F110" s="91">
        <f t="shared" si="5"/>
        <v>119.69999999999999</v>
      </c>
      <c r="G110" s="84"/>
      <c r="H110" s="53"/>
      <c r="I110" s="12"/>
      <c r="J110" s="12"/>
      <c r="K110" s="12"/>
      <c r="L110" s="12"/>
      <c r="M110" s="12"/>
    </row>
    <row r="111" spans="1:13" ht="13.9" customHeight="1" x14ac:dyDescent="0.2">
      <c r="A111" s="271" t="s">
        <v>260</v>
      </c>
      <c r="B111" s="270"/>
      <c r="C111" s="93" t="s">
        <v>94</v>
      </c>
      <c r="D111" s="145">
        <v>2</v>
      </c>
      <c r="E111" s="144">
        <v>215</v>
      </c>
      <c r="F111" s="91">
        <f t="shared" si="5"/>
        <v>430</v>
      </c>
      <c r="G111" s="84"/>
      <c r="H111" s="53"/>
      <c r="I111" s="12"/>
      <c r="J111" s="12"/>
      <c r="K111" s="12"/>
      <c r="L111" s="12"/>
      <c r="M111" s="12"/>
    </row>
    <row r="112" spans="1:13" ht="13.15" customHeight="1" x14ac:dyDescent="0.2">
      <c r="A112" s="277" t="s">
        <v>95</v>
      </c>
      <c r="B112" s="270"/>
      <c r="C112" s="93" t="s">
        <v>32</v>
      </c>
      <c r="D112" s="145">
        <v>2</v>
      </c>
      <c r="E112" s="144">
        <v>39.97</v>
      </c>
      <c r="F112" s="91">
        <f t="shared" si="5"/>
        <v>79.94</v>
      </c>
      <c r="G112" s="84"/>
      <c r="H112" s="53"/>
      <c r="I112" s="12"/>
      <c r="J112" s="12"/>
      <c r="K112" s="12"/>
      <c r="L112" s="12"/>
      <c r="M112" s="12"/>
    </row>
    <row r="113" spans="1:13" ht="13.15" customHeight="1" x14ac:dyDescent="0.2">
      <c r="A113" s="271" t="s">
        <v>261</v>
      </c>
      <c r="B113" s="270"/>
      <c r="C113" s="93" t="s">
        <v>32</v>
      </c>
      <c r="D113" s="145">
        <v>1</v>
      </c>
      <c r="E113" s="144">
        <v>160</v>
      </c>
      <c r="F113" s="91">
        <f t="shared" si="5"/>
        <v>160</v>
      </c>
      <c r="G113" s="84"/>
      <c r="H113" s="53"/>
      <c r="I113" s="12"/>
      <c r="J113" s="12"/>
      <c r="K113" s="12"/>
      <c r="L113" s="12"/>
      <c r="M113" s="12"/>
    </row>
    <row r="114" spans="1:13" ht="13.15" customHeight="1" x14ac:dyDescent="0.2">
      <c r="A114" s="146" t="s">
        <v>96</v>
      </c>
      <c r="B114" s="147"/>
      <c r="C114" s="93" t="s">
        <v>32</v>
      </c>
      <c r="D114" s="145">
        <v>1</v>
      </c>
      <c r="E114" s="144">
        <v>66</v>
      </c>
      <c r="F114" s="91">
        <f t="shared" si="5"/>
        <v>66</v>
      </c>
      <c r="G114" s="84"/>
      <c r="H114" s="53"/>
      <c r="I114" s="12"/>
      <c r="J114" s="12"/>
      <c r="K114" s="12"/>
      <c r="L114" s="12"/>
      <c r="M114" s="12"/>
    </row>
    <row r="115" spans="1:13" ht="13.15" customHeight="1" x14ac:dyDescent="0.2">
      <c r="A115" s="271" t="s">
        <v>97</v>
      </c>
      <c r="B115" s="270"/>
      <c r="C115" s="93" t="s">
        <v>32</v>
      </c>
      <c r="D115" s="145">
        <v>2</v>
      </c>
      <c r="E115" s="144">
        <v>9.8000000000000007</v>
      </c>
      <c r="F115" s="91">
        <f t="shared" si="5"/>
        <v>19.600000000000001</v>
      </c>
      <c r="G115" s="84"/>
      <c r="H115" s="53"/>
      <c r="I115" s="12"/>
      <c r="J115" s="12"/>
      <c r="K115" s="12"/>
      <c r="L115" s="12"/>
      <c r="M115" s="12"/>
    </row>
    <row r="116" spans="1:13" ht="13.15" customHeight="1" x14ac:dyDescent="0.2">
      <c r="A116" s="146" t="s">
        <v>263</v>
      </c>
      <c r="B116" s="147"/>
      <c r="C116" s="93" t="s">
        <v>32</v>
      </c>
      <c r="D116" s="145">
        <v>1</v>
      </c>
      <c r="E116" s="144">
        <v>686</v>
      </c>
      <c r="F116" s="91">
        <f t="shared" si="5"/>
        <v>686</v>
      </c>
      <c r="G116" s="84"/>
      <c r="H116" s="53"/>
      <c r="I116" s="12"/>
      <c r="J116" s="12"/>
      <c r="K116" s="12"/>
      <c r="L116" s="12"/>
      <c r="M116" s="12"/>
    </row>
    <row r="117" spans="1:13" ht="13.15" customHeight="1" x14ac:dyDescent="0.2">
      <c r="A117" s="146" t="s">
        <v>98</v>
      </c>
      <c r="B117" s="147"/>
      <c r="C117" s="93" t="s">
        <v>32</v>
      </c>
      <c r="D117" s="145">
        <v>4</v>
      </c>
      <c r="E117" s="144">
        <v>25</v>
      </c>
      <c r="F117" s="91">
        <f t="shared" si="5"/>
        <v>100</v>
      </c>
      <c r="G117" s="84"/>
      <c r="H117" s="53"/>
      <c r="I117" s="12"/>
      <c r="J117" s="12"/>
      <c r="K117" s="12"/>
      <c r="L117" s="12"/>
      <c r="M117" s="12"/>
    </row>
    <row r="118" spans="1:13" ht="13.15" customHeight="1" x14ac:dyDescent="0.2">
      <c r="A118" s="261" t="s">
        <v>262</v>
      </c>
      <c r="B118" s="260"/>
      <c r="C118" s="93" t="s">
        <v>41</v>
      </c>
      <c r="D118" s="145">
        <v>1</v>
      </c>
      <c r="E118" s="144">
        <v>120</v>
      </c>
      <c r="F118" s="91">
        <f t="shared" si="5"/>
        <v>120</v>
      </c>
      <c r="G118" s="84"/>
      <c r="H118" s="53"/>
      <c r="I118" s="12"/>
      <c r="J118" s="12"/>
      <c r="K118" s="12"/>
      <c r="L118" s="12"/>
      <c r="M118" s="12"/>
    </row>
    <row r="119" spans="1:13" ht="13.15" customHeight="1" x14ac:dyDescent="0.2">
      <c r="A119" s="271" t="s">
        <v>99</v>
      </c>
      <c r="B119" s="270"/>
      <c r="C119" s="93" t="s">
        <v>32</v>
      </c>
      <c r="D119" s="145">
        <v>2</v>
      </c>
      <c r="E119" s="144">
        <v>19.899999999999999</v>
      </c>
      <c r="F119" s="91">
        <f t="shared" si="5"/>
        <v>39.799999999999997</v>
      </c>
      <c r="G119" s="84"/>
      <c r="H119" s="53"/>
      <c r="I119" s="12"/>
      <c r="J119" s="12"/>
      <c r="K119" s="12"/>
      <c r="L119" s="12"/>
      <c r="M119" s="12"/>
    </row>
    <row r="120" spans="1:13" ht="14.25" x14ac:dyDescent="0.2">
      <c r="A120" s="269" t="s">
        <v>100</v>
      </c>
      <c r="B120" s="270"/>
      <c r="C120" s="148" t="s">
        <v>34</v>
      </c>
      <c r="D120" s="148">
        <v>12</v>
      </c>
      <c r="E120" s="99"/>
      <c r="F120" s="99">
        <f>SUM(F104:F119)</f>
        <v>4277.72</v>
      </c>
      <c r="G120" s="102"/>
      <c r="H120" s="53"/>
      <c r="I120" s="12"/>
      <c r="J120" s="12"/>
      <c r="K120" s="12"/>
      <c r="L120" s="12"/>
      <c r="M120" s="12"/>
    </row>
    <row r="121" spans="1:13" ht="15" thickBot="1" x14ac:dyDescent="0.25">
      <c r="A121" s="271" t="s">
        <v>61</v>
      </c>
      <c r="B121" s="270"/>
      <c r="C121" s="93" t="s">
        <v>62</v>
      </c>
      <c r="D121" s="149">
        <f>F$29</f>
        <v>3</v>
      </c>
      <c r="E121" s="99">
        <f>F120/D120</f>
        <v>356.47666666666669</v>
      </c>
      <c r="F121" s="99">
        <f t="shared" ref="F121" si="6">D121*E121</f>
        <v>1069.43</v>
      </c>
      <c r="G121" s="100">
        <f>F121</f>
        <v>1069.43</v>
      </c>
      <c r="H121" s="53"/>
      <c r="I121" s="12"/>
      <c r="J121" s="12"/>
      <c r="K121" s="12"/>
      <c r="L121" s="12"/>
      <c r="M121" s="12"/>
    </row>
    <row r="122" spans="1:13" ht="11.25" customHeight="1" x14ac:dyDescent="0.2">
      <c r="A122" s="116"/>
      <c r="B122" s="83"/>
      <c r="C122" s="83"/>
      <c r="D122" s="83"/>
      <c r="E122" s="64"/>
      <c r="F122" s="64"/>
      <c r="G122" s="46"/>
      <c r="H122" s="53"/>
      <c r="I122" s="12"/>
      <c r="J122" s="12"/>
      <c r="K122" s="12"/>
      <c r="L122" s="12"/>
      <c r="M122" s="12"/>
    </row>
    <row r="123" spans="1:13" ht="15" thickBot="1" x14ac:dyDescent="0.25">
      <c r="A123" s="81" t="s">
        <v>101</v>
      </c>
      <c r="B123" s="82"/>
      <c r="C123" s="82"/>
      <c r="D123" s="82"/>
      <c r="E123" s="62"/>
      <c r="F123" s="62"/>
      <c r="G123" s="150"/>
      <c r="H123" s="53"/>
      <c r="I123" s="12"/>
      <c r="J123" s="12"/>
      <c r="K123" s="12"/>
      <c r="L123" s="12"/>
      <c r="M123" s="12"/>
    </row>
    <row r="124" spans="1:13" ht="24.75" thickBot="1" x14ac:dyDescent="0.25">
      <c r="A124" s="263" t="s">
        <v>40</v>
      </c>
      <c r="B124" s="264"/>
      <c r="C124" s="86" t="s">
        <v>41</v>
      </c>
      <c r="D124" s="142" t="s">
        <v>87</v>
      </c>
      <c r="E124" s="87" t="s">
        <v>42</v>
      </c>
      <c r="F124" s="87" t="s">
        <v>88</v>
      </c>
      <c r="G124" s="125" t="s">
        <v>44</v>
      </c>
      <c r="H124" s="53"/>
      <c r="I124" s="12"/>
      <c r="J124" s="12"/>
      <c r="K124" s="12"/>
      <c r="L124" s="12"/>
      <c r="M124" s="12"/>
    </row>
    <row r="125" spans="1:13" ht="14.25" x14ac:dyDescent="0.2">
      <c r="A125" s="275" t="s">
        <v>102</v>
      </c>
      <c r="B125" s="276"/>
      <c r="C125" s="89" t="s">
        <v>41</v>
      </c>
      <c r="D125" s="151">
        <v>2</v>
      </c>
      <c r="E125" s="144">
        <v>29</v>
      </c>
      <c r="F125" s="91">
        <f>D125*E125</f>
        <v>58</v>
      </c>
      <c r="G125" s="152"/>
      <c r="H125" s="53"/>
      <c r="I125" s="12"/>
      <c r="J125" s="12"/>
      <c r="K125" s="12"/>
      <c r="L125" s="12"/>
      <c r="M125" s="12"/>
    </row>
    <row r="126" spans="1:13" ht="14.25" x14ac:dyDescent="0.2">
      <c r="A126" s="153" t="s">
        <v>103</v>
      </c>
      <c r="B126" s="154"/>
      <c r="C126" s="89" t="s">
        <v>32</v>
      </c>
      <c r="D126" s="151">
        <v>2</v>
      </c>
      <c r="E126" s="144">
        <v>50</v>
      </c>
      <c r="F126" s="91">
        <f t="shared" ref="F126:F128" si="7">D126*E126</f>
        <v>100</v>
      </c>
      <c r="G126" s="152"/>
      <c r="H126" s="53"/>
      <c r="I126" s="12"/>
      <c r="J126" s="12"/>
      <c r="K126" s="12"/>
      <c r="L126" s="12"/>
      <c r="M126" s="12"/>
    </row>
    <row r="127" spans="1:13" ht="14.25" x14ac:dyDescent="0.2">
      <c r="A127" s="153" t="s">
        <v>104</v>
      </c>
      <c r="B127" s="154"/>
      <c r="C127" s="89" t="s">
        <v>32</v>
      </c>
      <c r="D127" s="151">
        <v>4</v>
      </c>
      <c r="E127" s="144">
        <v>5</v>
      </c>
      <c r="F127" s="91">
        <f t="shared" si="7"/>
        <v>20</v>
      </c>
      <c r="G127" s="152"/>
      <c r="H127" s="53"/>
      <c r="I127" s="12"/>
      <c r="J127" s="12"/>
      <c r="K127" s="12"/>
      <c r="L127" s="12"/>
      <c r="M127" s="12"/>
    </row>
    <row r="128" spans="1:13" ht="14.25" x14ac:dyDescent="0.2">
      <c r="A128" s="271" t="s">
        <v>105</v>
      </c>
      <c r="B128" s="270"/>
      <c r="C128" s="93" t="s">
        <v>41</v>
      </c>
      <c r="D128" s="145">
        <v>2</v>
      </c>
      <c r="E128" s="144">
        <v>55.9</v>
      </c>
      <c r="F128" s="91">
        <f t="shared" si="7"/>
        <v>111.8</v>
      </c>
      <c r="G128" s="152"/>
      <c r="H128" s="53"/>
      <c r="I128" s="12"/>
      <c r="J128" s="12"/>
      <c r="K128" s="12"/>
      <c r="L128" s="12"/>
      <c r="M128" s="12"/>
    </row>
    <row r="129" spans="1:13" ht="14.25" x14ac:dyDescent="0.2">
      <c r="A129" s="271" t="s">
        <v>106</v>
      </c>
      <c r="B129" s="270"/>
      <c r="C129" s="93" t="s">
        <v>41</v>
      </c>
      <c r="D129" s="145">
        <v>2</v>
      </c>
      <c r="E129" s="144">
        <v>23</v>
      </c>
      <c r="F129" s="95">
        <f>D129*E129</f>
        <v>46</v>
      </c>
      <c r="G129" s="152"/>
      <c r="H129" s="53"/>
      <c r="I129" s="12"/>
      <c r="J129" s="12"/>
      <c r="K129" s="12"/>
      <c r="L129" s="12"/>
      <c r="M129" s="12"/>
    </row>
    <row r="130" spans="1:13" ht="14.25" x14ac:dyDescent="0.2">
      <c r="A130" s="269" t="s">
        <v>107</v>
      </c>
      <c r="B130" s="270"/>
      <c r="C130" s="148" t="s">
        <v>34</v>
      </c>
      <c r="D130" s="148">
        <v>12</v>
      </c>
      <c r="E130" s="99"/>
      <c r="F130" s="99">
        <f>SUM(F125:F129)</f>
        <v>335.8</v>
      </c>
      <c r="G130" s="102"/>
      <c r="H130" s="53"/>
      <c r="I130" s="12"/>
      <c r="J130" s="12"/>
      <c r="K130" s="12"/>
      <c r="L130" s="12"/>
      <c r="M130" s="12"/>
    </row>
    <row r="131" spans="1:13" ht="15" thickBot="1" x14ac:dyDescent="0.25">
      <c r="A131" s="271" t="s">
        <v>61</v>
      </c>
      <c r="B131" s="270"/>
      <c r="C131" s="93" t="s">
        <v>62</v>
      </c>
      <c r="D131" s="149">
        <f>F$29</f>
        <v>3</v>
      </c>
      <c r="E131" s="99">
        <f>F130/12</f>
        <v>27.983333333333334</v>
      </c>
      <c r="F131" s="99">
        <f t="shared" ref="F131" si="8">D131*E131</f>
        <v>83.95</v>
      </c>
      <c r="G131" s="100">
        <f>F131</f>
        <v>83.95</v>
      </c>
      <c r="H131" s="53"/>
      <c r="I131" s="12"/>
      <c r="J131" s="12"/>
      <c r="K131" s="12"/>
      <c r="L131" s="12"/>
      <c r="M131" s="12"/>
    </row>
    <row r="132" spans="1:13" ht="11.25" customHeight="1" x14ac:dyDescent="0.2">
      <c r="A132" s="116"/>
      <c r="B132" s="83"/>
      <c r="C132" s="83"/>
      <c r="D132" s="83"/>
      <c r="E132" s="64"/>
      <c r="F132" s="64"/>
      <c r="G132" s="46"/>
      <c r="H132" s="53"/>
      <c r="I132" s="12"/>
      <c r="J132" s="12"/>
      <c r="K132" s="12"/>
      <c r="L132" s="12"/>
      <c r="M132" s="12"/>
    </row>
    <row r="133" spans="1:13" ht="15" thickBot="1" x14ac:dyDescent="0.25">
      <c r="A133" s="81" t="s">
        <v>108</v>
      </c>
      <c r="B133" s="82"/>
      <c r="C133" s="82"/>
      <c r="D133" s="82"/>
      <c r="E133" s="62"/>
      <c r="F133" s="62"/>
      <c r="G133" s="150"/>
      <c r="H133" s="53"/>
      <c r="I133" s="12"/>
      <c r="J133" s="12"/>
      <c r="K133" s="12"/>
      <c r="L133" s="12"/>
      <c r="M133" s="12"/>
    </row>
    <row r="134" spans="1:13" ht="24.75" thickBot="1" x14ac:dyDescent="0.25">
      <c r="A134" s="263" t="s">
        <v>40</v>
      </c>
      <c r="B134" s="264"/>
      <c r="C134" s="86" t="s">
        <v>41</v>
      </c>
      <c r="D134" s="142" t="s">
        <v>109</v>
      </c>
      <c r="E134" s="87" t="s">
        <v>42</v>
      </c>
      <c r="F134" s="87" t="s">
        <v>110</v>
      </c>
      <c r="G134" s="88" t="s">
        <v>44</v>
      </c>
      <c r="H134" s="53"/>
      <c r="I134" s="12"/>
      <c r="J134" s="12"/>
      <c r="K134" s="12"/>
      <c r="L134" s="12"/>
      <c r="M134" s="12"/>
    </row>
    <row r="135" spans="1:13" ht="14.25" x14ac:dyDescent="0.2">
      <c r="A135" s="265" t="s">
        <v>111</v>
      </c>
      <c r="B135" s="266"/>
      <c r="C135" s="93" t="s">
        <v>112</v>
      </c>
      <c r="D135" s="145">
        <v>1</v>
      </c>
      <c r="E135" s="144">
        <v>24</v>
      </c>
      <c r="F135" s="96">
        <f>(D135*E135)</f>
        <v>24</v>
      </c>
      <c r="G135" s="155"/>
      <c r="H135" s="53"/>
      <c r="I135" s="12"/>
      <c r="J135" s="12"/>
      <c r="K135" s="12"/>
      <c r="L135" s="12"/>
      <c r="M135" s="12"/>
    </row>
    <row r="136" spans="1:13" ht="14.25" x14ac:dyDescent="0.2">
      <c r="A136" s="269" t="s">
        <v>113</v>
      </c>
      <c r="B136" s="270"/>
      <c r="C136" s="148" t="s">
        <v>34</v>
      </c>
      <c r="D136" s="148">
        <v>12</v>
      </c>
      <c r="E136" s="99">
        <f>SUM(F133:F135)</f>
        <v>24</v>
      </c>
      <c r="F136" s="99">
        <f>E136/D136</f>
        <v>2</v>
      </c>
      <c r="G136" s="102"/>
      <c r="H136" s="53"/>
      <c r="I136" s="12"/>
      <c r="J136" s="12"/>
      <c r="K136" s="12"/>
      <c r="L136" s="12"/>
      <c r="M136" s="12"/>
    </row>
    <row r="137" spans="1:13" ht="15" thickBot="1" x14ac:dyDescent="0.25">
      <c r="A137" s="271" t="s">
        <v>114</v>
      </c>
      <c r="B137" s="272"/>
      <c r="C137" s="93" t="s">
        <v>115</v>
      </c>
      <c r="D137" s="149">
        <f>G$32</f>
        <v>3</v>
      </c>
      <c r="E137" s="99">
        <f>F136</f>
        <v>2</v>
      </c>
      <c r="F137" s="99">
        <f t="shared" ref="F137" si="9">D137*E137</f>
        <v>6</v>
      </c>
      <c r="G137" s="100">
        <f>F137</f>
        <v>6</v>
      </c>
      <c r="H137" s="53"/>
      <c r="I137" s="12"/>
      <c r="J137" s="12"/>
      <c r="K137" s="12"/>
      <c r="L137" s="12"/>
      <c r="M137" s="12"/>
    </row>
    <row r="138" spans="1:13" ht="11.25" customHeight="1" x14ac:dyDescent="0.2">
      <c r="A138" s="116"/>
      <c r="B138" s="83"/>
      <c r="C138" s="83"/>
      <c r="D138" s="83"/>
      <c r="E138" s="64"/>
      <c r="F138" s="64"/>
      <c r="G138" s="46"/>
      <c r="H138" s="53"/>
      <c r="I138" s="12"/>
      <c r="J138" s="12"/>
      <c r="K138" s="12"/>
      <c r="L138" s="12"/>
      <c r="M138" s="12"/>
    </row>
    <row r="139" spans="1:13" ht="11.25" customHeight="1" thickBot="1" x14ac:dyDescent="0.25">
      <c r="A139" s="81" t="s">
        <v>268</v>
      </c>
      <c r="B139" s="82"/>
      <c r="C139" s="82"/>
      <c r="D139" s="82"/>
      <c r="E139" s="62"/>
      <c r="F139" s="62"/>
      <c r="G139" s="150"/>
      <c r="H139" s="53"/>
      <c r="I139" s="12"/>
      <c r="J139" s="12"/>
      <c r="K139" s="12"/>
      <c r="L139" s="12"/>
      <c r="M139" s="12"/>
    </row>
    <row r="140" spans="1:13" ht="11.25" customHeight="1" thickBot="1" x14ac:dyDescent="0.25">
      <c r="A140" s="263" t="s">
        <v>40</v>
      </c>
      <c r="B140" s="264"/>
      <c r="C140" s="86" t="s">
        <v>41</v>
      </c>
      <c r="D140" s="142" t="s">
        <v>109</v>
      </c>
      <c r="E140" s="87" t="s">
        <v>42</v>
      </c>
      <c r="F140" s="87" t="s">
        <v>110</v>
      </c>
      <c r="G140" s="88" t="s">
        <v>44</v>
      </c>
      <c r="H140" s="53"/>
      <c r="I140" s="12"/>
      <c r="J140" s="12"/>
      <c r="K140" s="12"/>
      <c r="L140" s="12"/>
      <c r="M140" s="12"/>
    </row>
    <row r="141" spans="1:13" ht="11.25" customHeight="1" x14ac:dyDescent="0.2">
      <c r="A141" s="265" t="s">
        <v>116</v>
      </c>
      <c r="B141" s="266"/>
      <c r="C141" s="93" t="s">
        <v>117</v>
      </c>
      <c r="D141" s="145"/>
      <c r="E141" s="144"/>
      <c r="F141" s="96">
        <f>(D141*E141)</f>
        <v>0</v>
      </c>
      <c r="G141" s="155"/>
      <c r="H141" s="53"/>
      <c r="I141" s="12" t="s">
        <v>118</v>
      </c>
      <c r="J141" s="12"/>
      <c r="K141" s="12"/>
      <c r="L141" s="12"/>
      <c r="M141" s="12"/>
    </row>
    <row r="142" spans="1:13" ht="27.75" customHeight="1" x14ac:dyDescent="0.2">
      <c r="A142" s="273" t="s">
        <v>265</v>
      </c>
      <c r="B142" s="274"/>
      <c r="C142" s="93" t="s">
        <v>266</v>
      </c>
      <c r="D142" s="145">
        <v>1</v>
      </c>
      <c r="E142" s="144">
        <v>50</v>
      </c>
      <c r="F142" s="262">
        <f>E142</f>
        <v>50</v>
      </c>
      <c r="G142" s="152"/>
      <c r="H142" s="53"/>
      <c r="I142" s="12" t="s">
        <v>267</v>
      </c>
      <c r="J142" s="12"/>
      <c r="K142" s="12"/>
      <c r="L142" s="12"/>
      <c r="M142" s="12"/>
    </row>
    <row r="143" spans="1:13" ht="11.25" customHeight="1" x14ac:dyDescent="0.2">
      <c r="A143" s="269" t="s">
        <v>264</v>
      </c>
      <c r="B143" s="270"/>
      <c r="C143" s="148" t="s">
        <v>34</v>
      </c>
      <c r="D143" s="148"/>
      <c r="E143" s="99"/>
      <c r="F143" s="99"/>
      <c r="G143" s="102"/>
      <c r="H143" s="53"/>
      <c r="I143" s="12"/>
      <c r="J143" s="12"/>
      <c r="K143" s="12"/>
      <c r="L143" s="12"/>
      <c r="M143" s="12"/>
    </row>
    <row r="144" spans="1:13" ht="11.25" customHeight="1" thickBot="1" x14ac:dyDescent="0.25">
      <c r="A144" s="271" t="s">
        <v>114</v>
      </c>
      <c r="B144" s="272"/>
      <c r="C144" s="93" t="s">
        <v>115</v>
      </c>
      <c r="D144" s="149">
        <f>G$32</f>
        <v>3</v>
      </c>
      <c r="E144" s="99">
        <f>F142</f>
        <v>50</v>
      </c>
      <c r="F144" s="99">
        <f t="shared" ref="F144" si="10">D144*E144</f>
        <v>150</v>
      </c>
      <c r="G144" s="100">
        <f>F144</f>
        <v>150</v>
      </c>
      <c r="H144" s="53"/>
      <c r="I144" s="12"/>
      <c r="J144" s="12"/>
      <c r="K144" s="12"/>
      <c r="L144" s="12"/>
      <c r="M144" s="12"/>
    </row>
    <row r="145" spans="1:13" ht="11.25" customHeight="1" thickBot="1" x14ac:dyDescent="0.25">
      <c r="A145" s="116"/>
      <c r="B145" s="83"/>
      <c r="C145" s="83"/>
      <c r="D145" s="83"/>
      <c r="E145" s="64"/>
      <c r="F145" s="64"/>
      <c r="G145" s="46"/>
      <c r="H145" s="53"/>
      <c r="I145" s="12"/>
      <c r="J145" s="12"/>
      <c r="K145" s="12"/>
      <c r="L145" s="12"/>
      <c r="M145" s="12"/>
    </row>
    <row r="146" spans="1:13" ht="15" thickBot="1" x14ac:dyDescent="0.25">
      <c r="A146" s="136" t="s">
        <v>119</v>
      </c>
      <c r="B146" s="137"/>
      <c r="C146" s="137"/>
      <c r="D146" s="137"/>
      <c r="E146" s="138"/>
      <c r="F146" s="139"/>
      <c r="G146" s="156">
        <f>G121+G131+G137+G144</f>
        <v>1309.3800000000001</v>
      </c>
      <c r="H146" s="53"/>
      <c r="I146" s="12"/>
      <c r="J146" s="12"/>
      <c r="K146" s="12"/>
      <c r="L146" s="12"/>
      <c r="M146" s="12"/>
    </row>
    <row r="147" spans="1:13" ht="15" thickBot="1" x14ac:dyDescent="0.25">
      <c r="A147" s="116"/>
      <c r="B147" s="83"/>
      <c r="C147" s="83"/>
      <c r="D147" s="83"/>
      <c r="E147" s="64"/>
      <c r="F147" s="64"/>
      <c r="G147" s="46"/>
      <c r="H147" s="53"/>
      <c r="I147" s="12"/>
      <c r="J147" s="12"/>
      <c r="K147" s="12"/>
      <c r="L147" s="12"/>
      <c r="M147" s="12"/>
    </row>
    <row r="148" spans="1:13" ht="17.25" customHeight="1" thickBot="1" x14ac:dyDescent="0.25">
      <c r="A148" s="136" t="s">
        <v>120</v>
      </c>
      <c r="B148" s="137"/>
      <c r="C148" s="157"/>
      <c r="D148" s="157"/>
      <c r="E148" s="65"/>
      <c r="F148" s="66"/>
      <c r="G148" s="140">
        <f>G98+G146</f>
        <v>21210.294580440001</v>
      </c>
      <c r="H148" s="53"/>
      <c r="I148" s="12"/>
      <c r="J148" s="12"/>
      <c r="K148" s="12"/>
      <c r="L148" s="12"/>
      <c r="M148" s="12"/>
    </row>
    <row r="149" spans="1:13" ht="17.25" customHeight="1" thickBot="1" x14ac:dyDescent="0.25">
      <c r="A149" s="136" t="s">
        <v>121</v>
      </c>
      <c r="B149" s="137"/>
      <c r="C149" s="157"/>
      <c r="D149" s="157"/>
      <c r="E149" s="65"/>
      <c r="F149" s="66"/>
      <c r="G149" s="141">
        <f>G99+G146</f>
        <v>20060.510908689001</v>
      </c>
      <c r="H149" s="53"/>
      <c r="I149" s="12"/>
      <c r="J149" s="12"/>
      <c r="K149" s="12"/>
      <c r="L149" s="12"/>
      <c r="M149" s="12"/>
    </row>
    <row r="150" spans="1:13" ht="11.25" customHeight="1" x14ac:dyDescent="0.2">
      <c r="A150" s="116"/>
      <c r="B150" s="83"/>
      <c r="C150" s="83"/>
      <c r="D150" s="83"/>
      <c r="E150" s="64"/>
      <c r="F150" s="64"/>
      <c r="G150" s="46"/>
      <c r="H150" s="53"/>
      <c r="I150" s="12"/>
      <c r="J150" s="12"/>
      <c r="K150" s="12"/>
      <c r="L150" s="12"/>
      <c r="M150" s="12"/>
    </row>
    <row r="151" spans="1:13" ht="14.25" x14ac:dyDescent="0.2">
      <c r="A151" s="81" t="s">
        <v>122</v>
      </c>
      <c r="B151" s="82"/>
      <c r="C151" s="83"/>
      <c r="D151" s="83"/>
      <c r="E151" s="64"/>
      <c r="F151" s="64"/>
      <c r="G151" s="84"/>
      <c r="H151" s="53"/>
      <c r="I151" s="12"/>
      <c r="J151" s="12"/>
      <c r="K151" s="12"/>
      <c r="L151" s="12"/>
      <c r="M151" s="12"/>
    </row>
    <row r="152" spans="1:13" ht="11.25" customHeight="1" thickBot="1" x14ac:dyDescent="0.25">
      <c r="A152" s="116"/>
      <c r="B152" s="83"/>
      <c r="C152" s="83"/>
      <c r="D152" s="83"/>
      <c r="E152" s="64"/>
      <c r="F152" s="64"/>
      <c r="G152" s="84"/>
      <c r="H152" s="53"/>
      <c r="I152" s="12"/>
      <c r="J152" s="12"/>
      <c r="K152" s="12"/>
      <c r="L152" s="12"/>
      <c r="M152" s="12"/>
    </row>
    <row r="153" spans="1:13" ht="15" thickBot="1" x14ac:dyDescent="0.25">
      <c r="A153" s="263" t="s">
        <v>40</v>
      </c>
      <c r="B153" s="264"/>
      <c r="C153" s="86" t="s">
        <v>41</v>
      </c>
      <c r="D153" s="86" t="s">
        <v>21</v>
      </c>
      <c r="E153" s="87" t="s">
        <v>42</v>
      </c>
      <c r="F153" s="87" t="s">
        <v>43</v>
      </c>
      <c r="G153" s="88" t="s">
        <v>44</v>
      </c>
      <c r="H153" s="53"/>
      <c r="I153" s="12"/>
      <c r="J153" s="12"/>
      <c r="K153" s="12"/>
      <c r="L153" s="12"/>
      <c r="M153" s="12"/>
    </row>
    <row r="154" spans="1:13" ht="15" thickBot="1" x14ac:dyDescent="0.25">
      <c r="A154" s="265" t="s">
        <v>123</v>
      </c>
      <c r="B154" s="266"/>
      <c r="C154" s="89" t="s">
        <v>54</v>
      </c>
      <c r="D154" s="158">
        <f>[1]BDI!C11*100</f>
        <v>33.25</v>
      </c>
      <c r="E154" s="91">
        <f>+G148</f>
        <v>21210.294580440001</v>
      </c>
      <c r="F154" s="91">
        <f>D154*E154/100</f>
        <v>7052.4229479963005</v>
      </c>
      <c r="G154" s="92"/>
      <c r="H154" s="53"/>
      <c r="I154" s="12"/>
      <c r="J154" s="12"/>
      <c r="K154" s="12"/>
      <c r="L154" s="12"/>
      <c r="M154" s="12"/>
    </row>
    <row r="155" spans="1:13" ht="15" thickBot="1" x14ac:dyDescent="0.25">
      <c r="A155" s="116"/>
      <c r="B155" s="83"/>
      <c r="C155" s="83"/>
      <c r="D155" s="83"/>
      <c r="E155" s="64"/>
      <c r="F155" s="64"/>
      <c r="G155" s="156">
        <f>+F154</f>
        <v>7052.4229479963005</v>
      </c>
      <c r="H155" s="53"/>
      <c r="I155" s="12"/>
      <c r="J155" s="12"/>
      <c r="K155" s="12"/>
      <c r="L155" s="12"/>
      <c r="M155" s="12"/>
    </row>
    <row r="156" spans="1:13" ht="11.25" customHeight="1" thickBot="1" x14ac:dyDescent="0.25">
      <c r="A156" s="116"/>
      <c r="B156" s="83"/>
      <c r="C156" s="83"/>
      <c r="D156" s="83"/>
      <c r="E156" s="64"/>
      <c r="F156" s="64"/>
      <c r="G156" s="46"/>
      <c r="H156" s="53"/>
      <c r="I156" s="12"/>
      <c r="J156" s="12"/>
      <c r="K156" s="12"/>
      <c r="L156" s="12"/>
      <c r="M156" s="12"/>
    </row>
    <row r="157" spans="1:13" ht="15" thickBot="1" x14ac:dyDescent="0.25">
      <c r="A157" s="136" t="s">
        <v>124</v>
      </c>
      <c r="B157" s="137"/>
      <c r="C157" s="157"/>
      <c r="D157" s="157"/>
      <c r="E157" s="65"/>
      <c r="F157" s="66"/>
      <c r="G157" s="141">
        <f>G155</f>
        <v>7052.4229479963005</v>
      </c>
      <c r="H157" s="53"/>
      <c r="I157" s="12"/>
      <c r="J157" s="12"/>
      <c r="K157" s="12"/>
      <c r="L157" s="12"/>
      <c r="M157" s="12"/>
    </row>
    <row r="158" spans="1:13" ht="15" thickBot="1" x14ac:dyDescent="0.25">
      <c r="A158" s="81"/>
      <c r="B158" s="82"/>
      <c r="C158" s="82"/>
      <c r="D158" s="82"/>
      <c r="E158" s="62"/>
      <c r="F158" s="62"/>
      <c r="G158" s="159"/>
      <c r="H158" s="53"/>
      <c r="I158" s="12"/>
      <c r="J158" s="12"/>
      <c r="K158" s="12"/>
      <c r="L158" s="12"/>
      <c r="M158" s="12"/>
    </row>
    <row r="159" spans="1:13" ht="24.75" customHeight="1" thickBot="1" x14ac:dyDescent="0.25">
      <c r="A159" s="136" t="s">
        <v>125</v>
      </c>
      <c r="B159" s="137"/>
      <c r="C159" s="157"/>
      <c r="D159" s="157"/>
      <c r="E159" s="65"/>
      <c r="F159" s="66"/>
      <c r="G159" s="160">
        <f>G148+G157</f>
        <v>28262.7175284363</v>
      </c>
      <c r="H159" s="53"/>
      <c r="I159" s="12"/>
      <c r="J159" s="12"/>
      <c r="K159" s="12"/>
      <c r="L159" s="12"/>
      <c r="M159" s="12"/>
    </row>
    <row r="160" spans="1:13" ht="15" thickBot="1" x14ac:dyDescent="0.25">
      <c r="A160" s="81"/>
      <c r="B160" s="82"/>
      <c r="C160" s="82"/>
      <c r="D160" s="82"/>
      <c r="E160" s="62"/>
      <c r="F160" s="62"/>
      <c r="G160" s="159"/>
      <c r="H160" s="53"/>
      <c r="I160" s="12"/>
      <c r="J160" s="12"/>
      <c r="K160" s="12"/>
      <c r="L160" s="12"/>
      <c r="M160" s="12"/>
    </row>
    <row r="161" spans="1:13" ht="24.75" customHeight="1" thickBot="1" x14ac:dyDescent="0.25">
      <c r="A161" s="136" t="s">
        <v>126</v>
      </c>
      <c r="B161" s="137"/>
      <c r="C161" s="157"/>
      <c r="D161" s="157"/>
      <c r="E161" s="161" t="s">
        <v>127</v>
      </c>
      <c r="F161" s="66">
        <f>G$33</f>
        <v>12</v>
      </c>
      <c r="G161" s="160">
        <f>G159*F161</f>
        <v>339152.61034123559</v>
      </c>
      <c r="H161" s="53"/>
      <c r="I161" s="12"/>
      <c r="J161" s="12"/>
      <c r="K161" s="12"/>
      <c r="L161" s="12"/>
      <c r="M161" s="12"/>
    </row>
    <row r="162" spans="1:13" ht="12.6" customHeight="1" x14ac:dyDescent="0.2">
      <c r="A162" s="81"/>
      <c r="B162" s="82"/>
      <c r="C162" s="82"/>
      <c r="D162" s="82"/>
      <c r="E162" s="62"/>
      <c r="F162" s="62"/>
      <c r="G162" s="162"/>
      <c r="H162" s="162"/>
      <c r="I162" s="12"/>
      <c r="J162" s="12"/>
      <c r="K162" s="12"/>
      <c r="L162" s="12"/>
      <c r="M162" s="12"/>
    </row>
    <row r="163" spans="1:13" ht="14.25" x14ac:dyDescent="0.2">
      <c r="A163" s="81" t="s">
        <v>128</v>
      </c>
      <c r="B163" s="82"/>
      <c r="C163" s="83"/>
      <c r="D163" s="83"/>
      <c r="E163" s="64"/>
      <c r="F163" s="64"/>
      <c r="G163" s="84"/>
      <c r="H163" s="53"/>
      <c r="I163" s="12"/>
      <c r="J163" s="12"/>
      <c r="K163" s="12"/>
      <c r="L163" s="12"/>
      <c r="M163" s="12"/>
    </row>
    <row r="164" spans="1:13" ht="11.25" customHeight="1" thickBot="1" x14ac:dyDescent="0.25">
      <c r="A164" s="116"/>
      <c r="B164" s="83"/>
      <c r="C164" s="83"/>
      <c r="D164" s="83"/>
      <c r="E164" s="64"/>
      <c r="F164" s="64"/>
      <c r="G164" s="84"/>
      <c r="H164" s="53"/>
      <c r="I164" s="12"/>
      <c r="J164" s="12"/>
      <c r="K164" s="12"/>
      <c r="L164" s="12"/>
      <c r="M164" s="12"/>
    </row>
    <row r="165" spans="1:13" ht="15" thickBot="1" x14ac:dyDescent="0.25">
      <c r="A165" s="163" t="s">
        <v>40</v>
      </c>
      <c r="B165" s="164"/>
      <c r="C165" s="86" t="s">
        <v>41</v>
      </c>
      <c r="D165" s="86" t="s">
        <v>21</v>
      </c>
      <c r="E165" s="87" t="s">
        <v>42</v>
      </c>
      <c r="F165" s="87" t="s">
        <v>43</v>
      </c>
      <c r="G165" s="88" t="s">
        <v>44</v>
      </c>
      <c r="H165" s="53"/>
      <c r="I165" s="12"/>
      <c r="J165" s="12"/>
      <c r="K165" s="12"/>
      <c r="L165" s="12"/>
      <c r="M165" s="12"/>
    </row>
    <row r="166" spans="1:13" ht="15" thickBot="1" x14ac:dyDescent="0.25">
      <c r="A166" s="265" t="s">
        <v>129</v>
      </c>
      <c r="B166" s="266"/>
      <c r="C166" s="89" t="s">
        <v>54</v>
      </c>
      <c r="D166" s="158">
        <f>[1]BDI!C24*100</f>
        <v>25.259999999999998</v>
      </c>
      <c r="E166" s="91">
        <f>G148</f>
        <v>21210.294580440001</v>
      </c>
      <c r="F166" s="91">
        <f>D166*E166/100</f>
        <v>5357.7204110191433</v>
      </c>
      <c r="G166" s="92"/>
      <c r="H166" s="53"/>
      <c r="I166" s="12"/>
      <c r="J166" s="12"/>
      <c r="K166" s="12"/>
      <c r="L166" s="12"/>
      <c r="M166" s="12"/>
    </row>
    <row r="167" spans="1:13" ht="15" thickBot="1" x14ac:dyDescent="0.25">
      <c r="A167" s="116"/>
      <c r="B167" s="83"/>
      <c r="C167" s="83"/>
      <c r="D167" s="83"/>
      <c r="E167" s="64"/>
      <c r="F167" s="64"/>
      <c r="G167" s="156">
        <f>+F166</f>
        <v>5357.7204110191433</v>
      </c>
      <c r="H167" s="53"/>
      <c r="I167" s="12"/>
      <c r="J167" s="12"/>
      <c r="K167" s="12"/>
      <c r="L167" s="12"/>
      <c r="M167" s="12"/>
    </row>
    <row r="168" spans="1:13" ht="11.25" customHeight="1" thickBot="1" x14ac:dyDescent="0.25">
      <c r="A168" s="116"/>
      <c r="B168" s="83"/>
      <c r="C168" s="83"/>
      <c r="D168" s="83"/>
      <c r="E168" s="64"/>
      <c r="F168" s="64"/>
      <c r="G168" s="46"/>
      <c r="H168" s="53"/>
      <c r="I168" s="12"/>
      <c r="J168" s="12"/>
      <c r="K168" s="12"/>
      <c r="L168" s="12"/>
      <c r="M168" s="12"/>
    </row>
    <row r="169" spans="1:13" ht="15" thickBot="1" x14ac:dyDescent="0.25">
      <c r="A169" s="136" t="s">
        <v>130</v>
      </c>
      <c r="B169" s="137"/>
      <c r="C169" s="157"/>
      <c r="D169" s="157"/>
      <c r="E169" s="65"/>
      <c r="F169" s="66"/>
      <c r="G169" s="141">
        <f>G167</f>
        <v>5357.7204110191433</v>
      </c>
      <c r="H169" s="53"/>
      <c r="I169" s="12"/>
      <c r="J169" s="12"/>
      <c r="K169" s="12"/>
      <c r="L169" s="12"/>
      <c r="M169" s="12"/>
    </row>
    <row r="170" spans="1:13" ht="15" thickBot="1" x14ac:dyDescent="0.25">
      <c r="A170" s="81"/>
      <c r="B170" s="82"/>
      <c r="C170" s="82"/>
      <c r="D170" s="82"/>
      <c r="E170" s="62"/>
      <c r="F170" s="62"/>
      <c r="G170" s="159"/>
      <c r="H170" s="53"/>
      <c r="I170" s="12"/>
      <c r="J170" s="12"/>
      <c r="K170" s="12"/>
      <c r="L170" s="12"/>
      <c r="M170" s="12"/>
    </row>
    <row r="171" spans="1:13" ht="24.75" customHeight="1" thickBot="1" x14ac:dyDescent="0.25">
      <c r="A171" s="136" t="s">
        <v>131</v>
      </c>
      <c r="B171" s="137"/>
      <c r="C171" s="157"/>
      <c r="D171" s="157"/>
      <c r="E171" s="65"/>
      <c r="F171" s="66"/>
      <c r="G171" s="160">
        <f>G148+G169</f>
        <v>26568.014991459146</v>
      </c>
      <c r="H171" s="53"/>
      <c r="I171" s="12"/>
      <c r="J171" s="12"/>
      <c r="K171" s="12"/>
      <c r="L171" s="12"/>
      <c r="M171" s="12"/>
    </row>
    <row r="172" spans="1:13" ht="15" thickBot="1" x14ac:dyDescent="0.25">
      <c r="A172" s="81"/>
      <c r="B172" s="82"/>
      <c r="C172" s="82"/>
      <c r="D172" s="82"/>
      <c r="E172" s="62"/>
      <c r="F172" s="62"/>
      <c r="G172" s="159"/>
      <c r="H172" s="53"/>
      <c r="I172" s="12"/>
      <c r="J172" s="12"/>
      <c r="K172" s="12"/>
      <c r="L172" s="12"/>
      <c r="M172" s="12"/>
    </row>
    <row r="173" spans="1:13" ht="24.75" customHeight="1" thickBot="1" x14ac:dyDescent="0.25">
      <c r="A173" s="136" t="s">
        <v>132</v>
      </c>
      <c r="B173" s="137"/>
      <c r="C173" s="157"/>
      <c r="D173" s="157"/>
      <c r="E173" s="161" t="s">
        <v>127</v>
      </c>
      <c r="F173" s="66">
        <f>G$33</f>
        <v>12</v>
      </c>
      <c r="G173" s="160">
        <f>G171*F173</f>
        <v>318816.17989750975</v>
      </c>
      <c r="H173" s="53"/>
      <c r="I173" s="12"/>
      <c r="J173" s="12"/>
      <c r="K173" s="12"/>
      <c r="L173" s="12"/>
      <c r="M173" s="12"/>
    </row>
    <row r="174" spans="1:13" ht="14.25" x14ac:dyDescent="0.2">
      <c r="A174" s="43"/>
      <c r="B174" s="44"/>
      <c r="C174" s="44"/>
      <c r="D174" s="44"/>
      <c r="E174" s="45"/>
      <c r="F174" s="45"/>
      <c r="G174" s="46"/>
      <c r="H174" s="165"/>
      <c r="I174" s="12"/>
      <c r="J174" s="12"/>
      <c r="K174" s="12"/>
      <c r="L174" s="12"/>
      <c r="M174" s="12"/>
    </row>
    <row r="175" spans="1:13" ht="14.25" x14ac:dyDescent="0.2">
      <c r="A175" s="166" t="s">
        <v>133</v>
      </c>
      <c r="B175" s="167"/>
      <c r="C175" s="83"/>
      <c r="D175" s="83"/>
      <c r="E175" s="64"/>
      <c r="F175" s="64"/>
      <c r="G175" s="84"/>
      <c r="H175" s="53"/>
      <c r="I175" s="12"/>
      <c r="J175" s="12"/>
      <c r="K175" s="12"/>
      <c r="L175" s="12"/>
      <c r="M175" s="12"/>
    </row>
    <row r="176" spans="1:13" ht="11.25" customHeight="1" thickBot="1" x14ac:dyDescent="0.25">
      <c r="A176" s="116"/>
      <c r="B176" s="83"/>
      <c r="C176" s="83"/>
      <c r="D176" s="83"/>
      <c r="E176" s="64"/>
      <c r="F176" s="64"/>
      <c r="G176" s="84"/>
      <c r="H176" s="53"/>
      <c r="I176" s="12"/>
      <c r="J176" s="12"/>
      <c r="K176" s="12"/>
      <c r="L176" s="12"/>
      <c r="M176" s="12"/>
    </row>
    <row r="177" spans="1:13" ht="15" thickBot="1" x14ac:dyDescent="0.25">
      <c r="A177" s="163" t="s">
        <v>40</v>
      </c>
      <c r="B177" s="164"/>
      <c r="C177" s="86" t="s">
        <v>41</v>
      </c>
      <c r="D177" s="86" t="s">
        <v>21</v>
      </c>
      <c r="E177" s="87" t="s">
        <v>42</v>
      </c>
      <c r="F177" s="87" t="s">
        <v>43</v>
      </c>
      <c r="G177" s="88" t="s">
        <v>44</v>
      </c>
      <c r="H177" s="53"/>
      <c r="I177" s="12"/>
      <c r="J177" s="12"/>
      <c r="K177" s="12"/>
      <c r="L177" s="12"/>
      <c r="M177" s="12"/>
    </row>
    <row r="178" spans="1:13" ht="15" thickBot="1" x14ac:dyDescent="0.25">
      <c r="A178" s="168" t="s">
        <v>134</v>
      </c>
      <c r="B178" s="127"/>
      <c r="C178" s="89" t="s">
        <v>54</v>
      </c>
      <c r="D178" s="158">
        <f>[1]BDI!C35*100</f>
        <v>16.93</v>
      </c>
      <c r="E178" s="91">
        <f>G149</f>
        <v>20060.510908689001</v>
      </c>
      <c r="F178" s="91">
        <f>D178*E178/100</f>
        <v>3396.2444968410477</v>
      </c>
      <c r="G178" s="92"/>
      <c r="H178" s="53"/>
      <c r="I178" s="12"/>
      <c r="J178" s="12"/>
      <c r="K178" s="12"/>
      <c r="L178" s="12"/>
      <c r="M178" s="12"/>
    </row>
    <row r="179" spans="1:13" ht="15" thickBot="1" x14ac:dyDescent="0.25">
      <c r="A179" s="116"/>
      <c r="B179" s="83"/>
      <c r="C179" s="83"/>
      <c r="D179" s="83"/>
      <c r="E179" s="64"/>
      <c r="F179" s="64"/>
      <c r="G179" s="156">
        <f>+F178</f>
        <v>3396.2444968410477</v>
      </c>
      <c r="H179" s="53"/>
      <c r="I179" s="12"/>
      <c r="J179" s="12"/>
      <c r="K179" s="12"/>
      <c r="L179" s="12"/>
      <c r="M179" s="12"/>
    </row>
    <row r="180" spans="1:13" ht="11.25" customHeight="1" thickBot="1" x14ac:dyDescent="0.25">
      <c r="A180" s="116"/>
      <c r="B180" s="83"/>
      <c r="C180" s="83"/>
      <c r="D180" s="83"/>
      <c r="E180" s="64"/>
      <c r="F180" s="64"/>
      <c r="G180" s="46"/>
      <c r="H180" s="53"/>
      <c r="I180" s="12"/>
      <c r="J180" s="12"/>
      <c r="K180" s="12"/>
      <c r="L180" s="12"/>
      <c r="M180" s="12"/>
    </row>
    <row r="181" spans="1:13" ht="15" thickBot="1" x14ac:dyDescent="0.25">
      <c r="A181" s="136" t="s">
        <v>135</v>
      </c>
      <c r="B181" s="137"/>
      <c r="C181" s="157"/>
      <c r="D181" s="157"/>
      <c r="E181" s="65"/>
      <c r="F181" s="66"/>
      <c r="G181" s="141">
        <f>G179</f>
        <v>3396.2444968410477</v>
      </c>
      <c r="H181" s="53"/>
      <c r="I181" s="12"/>
      <c r="J181" s="12"/>
      <c r="K181" s="12"/>
      <c r="L181" s="12"/>
      <c r="M181" s="12"/>
    </row>
    <row r="182" spans="1:13" ht="15" thickBot="1" x14ac:dyDescent="0.25">
      <c r="A182" s="81"/>
      <c r="B182" s="82"/>
      <c r="C182" s="82"/>
      <c r="D182" s="82"/>
      <c r="E182" s="62"/>
      <c r="F182" s="62"/>
      <c r="G182" s="159"/>
      <c r="H182" s="53"/>
      <c r="I182" s="12"/>
      <c r="J182" s="12"/>
      <c r="K182" s="12"/>
      <c r="L182" s="12"/>
      <c r="M182" s="12"/>
    </row>
    <row r="183" spans="1:13" ht="24.75" customHeight="1" thickBot="1" x14ac:dyDescent="0.25">
      <c r="A183" s="136" t="s">
        <v>136</v>
      </c>
      <c r="B183" s="137"/>
      <c r="C183" s="157"/>
      <c r="D183" s="157"/>
      <c r="E183" s="65"/>
      <c r="F183" s="66"/>
      <c r="G183" s="141">
        <f>E178+G181</f>
        <v>23456.75540553005</v>
      </c>
      <c r="H183" s="53"/>
      <c r="I183" s="12"/>
      <c r="J183" s="12"/>
      <c r="K183" s="12"/>
      <c r="L183" s="12"/>
      <c r="M183" s="12"/>
    </row>
    <row r="184" spans="1:13" ht="12.6" customHeight="1" x14ac:dyDescent="0.2">
      <c r="A184" s="169"/>
      <c r="B184" s="170"/>
      <c r="C184" s="170"/>
      <c r="D184" s="170"/>
      <c r="E184" s="171"/>
      <c r="F184" s="171"/>
      <c r="G184" s="172"/>
      <c r="H184" s="53"/>
      <c r="I184" s="12"/>
      <c r="J184" s="12"/>
      <c r="K184" s="12"/>
      <c r="L184" s="12"/>
      <c r="M184" s="12"/>
    </row>
    <row r="185" spans="1:13" ht="12.6" customHeight="1" x14ac:dyDescent="0.2">
      <c r="A185" s="169" t="s">
        <v>137</v>
      </c>
      <c r="B185" s="170"/>
      <c r="C185" s="170"/>
      <c r="D185" s="170"/>
      <c r="E185" s="171"/>
      <c r="F185" s="171"/>
      <c r="G185" s="173"/>
      <c r="H185" s="53"/>
      <c r="I185" s="12"/>
      <c r="J185" s="12"/>
      <c r="K185" s="12"/>
      <c r="L185" s="12"/>
      <c r="M185" s="12"/>
    </row>
    <row r="186" spans="1:13" ht="14.25" x14ac:dyDescent="0.2">
      <c r="A186" s="174" t="s">
        <v>138</v>
      </c>
      <c r="B186" s="111"/>
      <c r="C186" s="83"/>
      <c r="D186" s="83"/>
      <c r="E186" s="64"/>
      <c r="F186" s="64"/>
      <c r="G186" s="84"/>
      <c r="H186" s="53"/>
      <c r="I186" s="12"/>
      <c r="J186" s="12"/>
      <c r="K186" s="12"/>
      <c r="L186" s="12"/>
      <c r="M186" s="12"/>
    </row>
    <row r="187" spans="1:13" ht="14.25" x14ac:dyDescent="0.2">
      <c r="A187" s="81" t="s">
        <v>139</v>
      </c>
      <c r="B187" s="82"/>
      <c r="C187" s="83"/>
      <c r="D187" s="83"/>
      <c r="E187" s="64"/>
      <c r="F187" s="64"/>
      <c r="G187" s="84"/>
      <c r="H187" s="53"/>
      <c r="I187" s="12"/>
      <c r="J187" s="12"/>
      <c r="K187" s="12"/>
      <c r="L187" s="12"/>
      <c r="M187" s="12"/>
    </row>
    <row r="188" spans="1:13" ht="14.25" x14ac:dyDescent="0.2">
      <c r="A188" s="267" t="s">
        <v>140</v>
      </c>
      <c r="B188" s="268"/>
      <c r="C188" s="83"/>
      <c r="D188" s="83"/>
      <c r="E188" s="64"/>
      <c r="F188" s="64"/>
      <c r="G188" s="84"/>
      <c r="H188" s="53"/>
      <c r="I188" s="12"/>
      <c r="J188" s="12"/>
      <c r="K188" s="12"/>
      <c r="L188" s="12"/>
      <c r="M188" s="12"/>
    </row>
    <row r="189" spans="1:13" ht="11.25" customHeight="1" thickBot="1" x14ac:dyDescent="0.25">
      <c r="A189" s="126"/>
      <c r="B189" s="83"/>
      <c r="C189" s="83"/>
      <c r="D189" s="83"/>
      <c r="E189" s="64"/>
      <c r="F189" s="64"/>
      <c r="G189" s="84"/>
      <c r="H189" s="53"/>
      <c r="I189" s="12"/>
      <c r="J189" s="12"/>
      <c r="K189" s="12"/>
      <c r="L189" s="12"/>
      <c r="M189" s="12"/>
    </row>
    <row r="190" spans="1:13" ht="15" thickBot="1" x14ac:dyDescent="0.25">
      <c r="A190" s="163" t="s">
        <v>40</v>
      </c>
      <c r="B190" s="164"/>
      <c r="C190" s="86" t="s">
        <v>41</v>
      </c>
      <c r="D190" s="86" t="s">
        <v>21</v>
      </c>
      <c r="E190" s="87" t="s">
        <v>141</v>
      </c>
      <c r="F190" s="87" t="s">
        <v>43</v>
      </c>
      <c r="G190" s="88" t="s">
        <v>44</v>
      </c>
      <c r="H190" s="53"/>
      <c r="I190" s="12"/>
      <c r="J190" s="12"/>
      <c r="K190" s="12"/>
      <c r="L190" s="12"/>
      <c r="M190" s="12"/>
    </row>
    <row r="191" spans="1:13" ht="15" thickBot="1" x14ac:dyDescent="0.25">
      <c r="A191" s="265" t="s">
        <v>142</v>
      </c>
      <c r="B191" s="266"/>
      <c r="C191" s="175" t="s">
        <v>54</v>
      </c>
      <c r="D191" s="176">
        <v>8.44</v>
      </c>
      <c r="E191" s="177">
        <f>G183</f>
        <v>23456.75540553005</v>
      </c>
      <c r="F191" s="91">
        <f>G198*(D191/100)</f>
        <v>2162.2435083297682</v>
      </c>
      <c r="G191" s="92"/>
      <c r="H191" s="53"/>
      <c r="I191" s="12"/>
      <c r="J191" s="12"/>
      <c r="K191" s="12"/>
      <c r="L191" s="12"/>
      <c r="M191" s="12"/>
    </row>
    <row r="192" spans="1:13" ht="15" thickBot="1" x14ac:dyDescent="0.25">
      <c r="A192" s="116"/>
      <c r="B192" s="83"/>
      <c r="C192" s="83" t="s">
        <v>143</v>
      </c>
      <c r="D192" s="83"/>
      <c r="E192" s="64">
        <f>(G198*12)+398777.4</f>
        <v>706205.38696631789</v>
      </c>
      <c r="F192" s="64"/>
      <c r="G192" s="141">
        <f>F191</f>
        <v>2162.2435083297682</v>
      </c>
      <c r="H192" s="53"/>
      <c r="I192" s="12"/>
      <c r="J192" s="12"/>
      <c r="K192" s="12"/>
      <c r="L192" s="12"/>
      <c r="M192" s="12"/>
    </row>
    <row r="193" spans="1:13" ht="15" thickBot="1" x14ac:dyDescent="0.25">
      <c r="A193" s="116"/>
      <c r="B193" s="83"/>
      <c r="C193" s="83" t="s">
        <v>144</v>
      </c>
      <c r="D193" s="178"/>
      <c r="E193" s="64">
        <v>10.199999999999999</v>
      </c>
      <c r="F193" s="64"/>
      <c r="G193" s="179"/>
      <c r="H193" s="53"/>
      <c r="I193" s="12"/>
      <c r="J193" s="12"/>
      <c r="K193" s="12"/>
      <c r="L193" s="12"/>
      <c r="M193" s="12"/>
    </row>
    <row r="194" spans="1:13" ht="15" thickBot="1" x14ac:dyDescent="0.25">
      <c r="A194" s="116"/>
      <c r="B194" s="83"/>
      <c r="C194" s="83" t="s">
        <v>145</v>
      </c>
      <c r="D194" s="83"/>
      <c r="E194" s="64">
        <v>12420</v>
      </c>
      <c r="F194" s="64">
        <f>(E192*E193/100)-E194</f>
        <v>59612.949470564417</v>
      </c>
      <c r="G194" s="179"/>
      <c r="H194" s="53"/>
      <c r="I194" s="12"/>
      <c r="J194" s="12"/>
      <c r="K194" s="12"/>
      <c r="L194" s="12"/>
      <c r="M194" s="12"/>
    </row>
    <row r="195" spans="1:13" ht="11.25" customHeight="1" thickBot="1" x14ac:dyDescent="0.25">
      <c r="A195" s="116"/>
      <c r="B195" s="83"/>
      <c r="C195" s="83"/>
      <c r="D195" s="83"/>
      <c r="E195" s="180"/>
      <c r="F195" s="259">
        <f>F194/E192</f>
        <v>8.4413048343693287E-2</v>
      </c>
      <c r="G195" s="46"/>
      <c r="H195" s="53"/>
      <c r="I195" s="12"/>
      <c r="J195" s="12"/>
      <c r="K195" s="12"/>
      <c r="L195" s="12"/>
      <c r="M195" s="12"/>
    </row>
    <row r="196" spans="1:13" ht="15" thickBot="1" x14ac:dyDescent="0.25">
      <c r="A196" s="136" t="s">
        <v>146</v>
      </c>
      <c r="B196" s="137"/>
      <c r="C196" s="157"/>
      <c r="D196" s="157"/>
      <c r="E196" s="65"/>
      <c r="F196" s="66"/>
      <c r="G196" s="141">
        <f>G192</f>
        <v>2162.2435083297682</v>
      </c>
      <c r="H196" s="53"/>
      <c r="I196" s="12"/>
      <c r="J196" s="12"/>
      <c r="K196" s="12"/>
      <c r="L196" s="12"/>
      <c r="M196" s="12"/>
    </row>
    <row r="197" spans="1:13" ht="15" thickBot="1" x14ac:dyDescent="0.25">
      <c r="A197" s="181"/>
      <c r="B197" s="182"/>
      <c r="C197" s="182"/>
      <c r="D197" s="182"/>
      <c r="E197" s="183"/>
      <c r="F197" s="183"/>
      <c r="G197" s="184"/>
      <c r="H197" s="53"/>
      <c r="I197" s="12"/>
      <c r="J197" s="12"/>
      <c r="K197" s="12"/>
      <c r="L197" s="12"/>
      <c r="M197" s="12"/>
    </row>
    <row r="198" spans="1:13" ht="24.75" customHeight="1" thickBot="1" x14ac:dyDescent="0.25">
      <c r="A198" s="136" t="s">
        <v>147</v>
      </c>
      <c r="B198" s="137"/>
      <c r="C198" s="157"/>
      <c r="D198" s="157"/>
      <c r="E198" s="65"/>
      <c r="F198" s="66"/>
      <c r="G198" s="185">
        <f>E191/((100-D191)/100)</f>
        <v>25618.998913859818</v>
      </c>
      <c r="H198" s="53"/>
      <c r="I198" s="12"/>
      <c r="J198" s="12"/>
      <c r="K198" s="12"/>
      <c r="L198" s="12"/>
      <c r="M198" s="12"/>
    </row>
    <row r="199" spans="1:13" ht="15" thickBot="1" x14ac:dyDescent="0.25">
      <c r="A199" s="186"/>
      <c r="B199" s="187"/>
      <c r="C199" s="187"/>
      <c r="D199" s="187"/>
      <c r="E199" s="188"/>
      <c r="F199" s="188"/>
      <c r="G199" s="159"/>
      <c r="H199" s="53"/>
      <c r="I199" s="12"/>
      <c r="J199" s="12"/>
      <c r="K199" s="12"/>
      <c r="L199" s="12"/>
      <c r="M199" s="12"/>
    </row>
    <row r="200" spans="1:13" ht="24.75" customHeight="1" thickBot="1" x14ac:dyDescent="0.25">
      <c r="A200" s="136" t="s">
        <v>148</v>
      </c>
      <c r="B200" s="137"/>
      <c r="C200" s="157"/>
      <c r="D200" s="157"/>
      <c r="E200" s="161" t="s">
        <v>127</v>
      </c>
      <c r="F200" s="66">
        <f>G$33</f>
        <v>12</v>
      </c>
      <c r="G200" s="185">
        <f>G198*F200</f>
        <v>307427.98696631781</v>
      </c>
      <c r="H200" s="189"/>
      <c r="I200" s="12"/>
      <c r="J200" s="12"/>
      <c r="K200" s="12"/>
      <c r="L200" s="12"/>
      <c r="M200" s="12"/>
    </row>
    <row r="201" spans="1:13" ht="14.25" x14ac:dyDescent="0.2">
      <c r="H201" s="64"/>
      <c r="I201" s="12"/>
      <c r="J201" s="12"/>
      <c r="K201" s="12"/>
      <c r="L201" s="12"/>
      <c r="M201" s="12"/>
    </row>
    <row r="202" spans="1:13" ht="14.25" x14ac:dyDescent="0.2">
      <c r="B202" s="1" t="s">
        <v>149</v>
      </c>
      <c r="H202" s="64"/>
      <c r="I202" s="12"/>
      <c r="J202" s="12"/>
      <c r="K202" s="12"/>
      <c r="L202" s="12"/>
      <c r="M202" s="12"/>
    </row>
    <row r="203" spans="1:13" ht="14.25" x14ac:dyDescent="0.2">
      <c r="A203" s="12"/>
      <c r="B203" s="1" t="s">
        <v>150</v>
      </c>
      <c r="H203" s="64"/>
      <c r="I203" s="12"/>
      <c r="J203" s="12"/>
      <c r="K203" s="12"/>
      <c r="L203" s="12"/>
      <c r="M203" s="12"/>
    </row>
    <row r="204" spans="1:13" ht="14.25" x14ac:dyDescent="0.2">
      <c r="A204" s="12"/>
      <c r="B204" s="1" t="s">
        <v>151</v>
      </c>
      <c r="H204" s="64"/>
      <c r="I204" s="12"/>
      <c r="J204" s="12"/>
      <c r="K204" s="12"/>
      <c r="L204" s="12"/>
      <c r="M204" s="12"/>
    </row>
    <row r="205" spans="1:13" ht="14.25" x14ac:dyDescent="0.2">
      <c r="A205" s="12"/>
      <c r="B205" s="191">
        <v>46254</v>
      </c>
      <c r="H205" s="64"/>
      <c r="I205" s="12"/>
      <c r="J205" s="12"/>
      <c r="K205" s="12"/>
      <c r="L205" s="12"/>
      <c r="M205" s="12"/>
    </row>
    <row r="206" spans="1:13" ht="14.25" x14ac:dyDescent="0.2">
      <c r="A206" s="12"/>
      <c r="H206" s="64"/>
      <c r="I206" s="12"/>
      <c r="J206" s="12"/>
      <c r="K206" s="12"/>
      <c r="L206" s="12"/>
      <c r="M206" s="12"/>
    </row>
    <row r="207" spans="1:13" ht="15" x14ac:dyDescent="0.2">
      <c r="A207" s="192"/>
      <c r="C207" s="193"/>
      <c r="H207" s="64"/>
      <c r="I207" s="12"/>
      <c r="J207" s="12"/>
      <c r="K207" s="12"/>
      <c r="L207" s="12"/>
      <c r="M207" s="12"/>
    </row>
    <row r="208" spans="1:13" ht="14.25" x14ac:dyDescent="0.2">
      <c r="C208" s="194"/>
      <c r="H208" s="64"/>
      <c r="I208" s="12"/>
      <c r="J208" s="12"/>
      <c r="K208" s="12"/>
      <c r="L208" s="12"/>
      <c r="M208" s="12"/>
    </row>
    <row r="209" spans="3:13" ht="14.25" x14ac:dyDescent="0.2">
      <c r="C209" s="194"/>
      <c r="I209" s="12"/>
      <c r="J209" s="12"/>
      <c r="K209" s="12"/>
      <c r="L209" s="12"/>
      <c r="M209" s="12"/>
    </row>
    <row r="210" spans="3:13" ht="14.25" x14ac:dyDescent="0.2">
      <c r="I210" s="12"/>
      <c r="J210" s="12"/>
      <c r="K210" s="12"/>
      <c r="L210" s="12"/>
      <c r="M210" s="12"/>
    </row>
    <row r="211" spans="3:13" ht="14.25" x14ac:dyDescent="0.2">
      <c r="I211" s="12"/>
      <c r="J211" s="12"/>
      <c r="K211" s="12"/>
      <c r="L211" s="12"/>
      <c r="M211" s="12"/>
    </row>
    <row r="212" spans="3:13" ht="14.25" x14ac:dyDescent="0.2">
      <c r="I212" s="12"/>
      <c r="J212" s="12"/>
      <c r="K212" s="12"/>
      <c r="L212" s="12"/>
      <c r="M212" s="12"/>
    </row>
    <row r="213" spans="3:13" ht="14.25" x14ac:dyDescent="0.2">
      <c r="I213" s="12"/>
      <c r="J213" s="12"/>
      <c r="K213" s="12"/>
      <c r="L213" s="12"/>
      <c r="M213" s="12"/>
    </row>
    <row r="214" spans="3:13" ht="14.25" x14ac:dyDescent="0.2">
      <c r="I214" s="12"/>
      <c r="J214" s="12"/>
      <c r="K214" s="12"/>
      <c r="L214" s="12"/>
      <c r="M214" s="12"/>
    </row>
    <row r="215" spans="3:13" ht="14.25" x14ac:dyDescent="0.2">
      <c r="I215" s="12"/>
      <c r="J215" s="12"/>
      <c r="K215" s="12"/>
      <c r="L215" s="12"/>
      <c r="M215" s="12"/>
    </row>
  </sheetData>
  <mergeCells count="115">
    <mergeCell ref="A1:H1"/>
    <mergeCell ref="D3:E3"/>
    <mergeCell ref="G3:H3"/>
    <mergeCell ref="A4:H4"/>
    <mergeCell ref="C7:D7"/>
    <mergeCell ref="E7:F7"/>
    <mergeCell ref="G7:H7"/>
    <mergeCell ref="A14:B14"/>
    <mergeCell ref="A15:B15"/>
    <mergeCell ref="A16:B16"/>
    <mergeCell ref="A17:B17"/>
    <mergeCell ref="A18:B18"/>
    <mergeCell ref="A19:B19"/>
    <mergeCell ref="A8:B8"/>
    <mergeCell ref="A9:B9"/>
    <mergeCell ref="A10:B10"/>
    <mergeCell ref="A11:B11"/>
    <mergeCell ref="A12:B12"/>
    <mergeCell ref="A13:B13"/>
    <mergeCell ref="A26:B26"/>
    <mergeCell ref="D26:E26"/>
    <mergeCell ref="A27:B27"/>
    <mergeCell ref="D27:E27"/>
    <mergeCell ref="A28:B28"/>
    <mergeCell ref="D28:E28"/>
    <mergeCell ref="A20:B20"/>
    <mergeCell ref="A21:B21"/>
    <mergeCell ref="A22:B22"/>
    <mergeCell ref="A24:G24"/>
    <mergeCell ref="A25:B25"/>
    <mergeCell ref="D25:E25"/>
    <mergeCell ref="A39:B39"/>
    <mergeCell ref="A40:B40"/>
    <mergeCell ref="A41:B41"/>
    <mergeCell ref="A42:B42"/>
    <mergeCell ref="A43:B43"/>
    <mergeCell ref="A44:B44"/>
    <mergeCell ref="A29:B29"/>
    <mergeCell ref="A31:B31"/>
    <mergeCell ref="A32:B32"/>
    <mergeCell ref="A33:B33"/>
    <mergeCell ref="A34:B34"/>
    <mergeCell ref="A36:G36"/>
    <mergeCell ref="A51:B51"/>
    <mergeCell ref="A54:B54"/>
    <mergeCell ref="A55:B55"/>
    <mergeCell ref="A56:B56"/>
    <mergeCell ref="A57:B57"/>
    <mergeCell ref="A58:B58"/>
    <mergeCell ref="A45:B45"/>
    <mergeCell ref="A46:B46"/>
    <mergeCell ref="A47:B47"/>
    <mergeCell ref="A48:B48"/>
    <mergeCell ref="A49:B49"/>
    <mergeCell ref="A50:B50"/>
    <mergeCell ref="A67:B67"/>
    <mergeCell ref="A68:B68"/>
    <mergeCell ref="A69:B69"/>
    <mergeCell ref="A70:B70"/>
    <mergeCell ref="A71:B71"/>
    <mergeCell ref="A72:B72"/>
    <mergeCell ref="A61:B61"/>
    <mergeCell ref="A62:B62"/>
    <mergeCell ref="A63:B63"/>
    <mergeCell ref="A64:B64"/>
    <mergeCell ref="A65:B65"/>
    <mergeCell ref="A66:B66"/>
    <mergeCell ref="A81:B81"/>
    <mergeCell ref="A82:B82"/>
    <mergeCell ref="A85:B85"/>
    <mergeCell ref="A86:B86"/>
    <mergeCell ref="A87:B87"/>
    <mergeCell ref="A88:B88"/>
    <mergeCell ref="A73:B73"/>
    <mergeCell ref="A74:B74"/>
    <mergeCell ref="A75:B75"/>
    <mergeCell ref="A78:B78"/>
    <mergeCell ref="A79:B79"/>
    <mergeCell ref="A80:B80"/>
    <mergeCell ref="A105:B105"/>
    <mergeCell ref="A106:B106"/>
    <mergeCell ref="A110:B110"/>
    <mergeCell ref="A111:B111"/>
    <mergeCell ref="A112:B112"/>
    <mergeCell ref="A113:B113"/>
    <mergeCell ref="A89:B89"/>
    <mergeCell ref="A92:B92"/>
    <mergeCell ref="A95:B95"/>
    <mergeCell ref="A96:B96"/>
    <mergeCell ref="A103:B103"/>
    <mergeCell ref="A104:B104"/>
    <mergeCell ref="A128:B128"/>
    <mergeCell ref="A129:B129"/>
    <mergeCell ref="A130:B130"/>
    <mergeCell ref="A131:B131"/>
    <mergeCell ref="A134:B134"/>
    <mergeCell ref="A135:B135"/>
    <mergeCell ref="A115:B115"/>
    <mergeCell ref="A119:B119"/>
    <mergeCell ref="A120:B120"/>
    <mergeCell ref="A121:B121"/>
    <mergeCell ref="A124:B124"/>
    <mergeCell ref="A125:B125"/>
    <mergeCell ref="A153:B153"/>
    <mergeCell ref="A154:B154"/>
    <mergeCell ref="A166:B166"/>
    <mergeCell ref="A188:B188"/>
    <mergeCell ref="A191:B191"/>
    <mergeCell ref="A136:B136"/>
    <mergeCell ref="A137:B137"/>
    <mergeCell ref="A140:B140"/>
    <mergeCell ref="A141:B141"/>
    <mergeCell ref="A143:B143"/>
    <mergeCell ref="A144:B144"/>
    <mergeCell ref="A142:B142"/>
  </mergeCells>
  <pageMargins left="0.39370078740157483" right="0" top="0.59055118110236227" bottom="0.39370078740157483" header="0" footer="0"/>
  <pageSetup paperSize="9" scale="53" fitToHeight="0" orientation="portrait" r:id="rId1"/>
  <headerFooter alignWithMargins="0">
    <oddFooter>&amp;R&amp;P de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4"/>
  <sheetViews>
    <sheetView topLeftCell="A28" workbookViewId="0">
      <selection activeCell="B53" sqref="B53"/>
    </sheetView>
  </sheetViews>
  <sheetFormatPr defaultRowHeight="12.75" x14ac:dyDescent="0.2"/>
  <cols>
    <col min="2" max="2" width="39.85546875" customWidth="1"/>
    <col min="4" max="4" width="82.5703125" customWidth="1"/>
  </cols>
  <sheetData>
    <row r="1" spans="1:12" s="195" customFormat="1" ht="15" x14ac:dyDescent="0.2">
      <c r="A1" s="199" t="s">
        <v>152</v>
      </c>
      <c r="B1" s="199"/>
      <c r="C1" s="204"/>
      <c r="D1" s="199"/>
      <c r="F1" s="200"/>
      <c r="G1" s="200"/>
      <c r="H1" s="200"/>
      <c r="I1" s="200"/>
      <c r="J1" s="200"/>
      <c r="K1" s="200"/>
      <c r="L1" s="200"/>
    </row>
    <row r="2" spans="1:12" s="195" customFormat="1" ht="15.75" thickBot="1" x14ac:dyDescent="0.25">
      <c r="A2" s="240" t="s">
        <v>153</v>
      </c>
      <c r="B2" s="240"/>
      <c r="C2" s="241"/>
      <c r="D2" s="240"/>
      <c r="F2" s="200"/>
      <c r="G2" s="200"/>
      <c r="H2" s="200"/>
      <c r="I2" s="200"/>
      <c r="J2" s="200"/>
      <c r="K2" s="200"/>
      <c r="L2" s="200"/>
    </row>
    <row r="3" spans="1:12" s="195" customFormat="1" ht="15.75" thickBot="1" x14ac:dyDescent="0.25">
      <c r="A3" s="253" t="s">
        <v>154</v>
      </c>
      <c r="B3" s="247" t="s">
        <v>155</v>
      </c>
      <c r="C3" s="248" t="s">
        <v>156</v>
      </c>
      <c r="D3" s="249" t="s">
        <v>228</v>
      </c>
      <c r="F3" s="200"/>
      <c r="G3" s="200"/>
      <c r="H3" s="200"/>
      <c r="I3" s="200"/>
      <c r="J3" s="200"/>
      <c r="K3" s="200"/>
      <c r="L3" s="200"/>
    </row>
    <row r="4" spans="1:12" s="195" customFormat="1" ht="15" x14ac:dyDescent="0.2">
      <c r="A4" s="243" t="s">
        <v>157</v>
      </c>
      <c r="B4" s="243" t="s">
        <v>158</v>
      </c>
      <c r="C4" s="251">
        <v>0.2</v>
      </c>
      <c r="D4" s="245" t="s">
        <v>159</v>
      </c>
      <c r="F4" s="200"/>
      <c r="G4" s="200"/>
      <c r="H4" s="200"/>
      <c r="I4" s="200"/>
      <c r="J4" s="200"/>
      <c r="K4" s="200"/>
      <c r="L4" s="200"/>
    </row>
    <row r="5" spans="1:12" s="195" customFormat="1" ht="15" x14ac:dyDescent="0.2">
      <c r="A5" s="197" t="s">
        <v>160</v>
      </c>
      <c r="B5" s="197" t="s">
        <v>161</v>
      </c>
      <c r="C5" s="205">
        <v>1.4999999999999999E-2</v>
      </c>
      <c r="D5" s="199" t="s">
        <v>162</v>
      </c>
      <c r="F5" s="200"/>
      <c r="G5" s="200"/>
      <c r="H5" s="200"/>
      <c r="I5" s="200"/>
      <c r="J5" s="200"/>
      <c r="K5" s="200"/>
      <c r="L5" s="200"/>
    </row>
    <row r="6" spans="1:12" s="195" customFormat="1" ht="30" x14ac:dyDescent="0.2">
      <c r="A6" s="197" t="s">
        <v>163</v>
      </c>
      <c r="B6" s="197" t="s">
        <v>164</v>
      </c>
      <c r="C6" s="205">
        <v>0.01</v>
      </c>
      <c r="D6" s="201" t="s">
        <v>165</v>
      </c>
      <c r="F6" s="200"/>
      <c r="G6" s="200"/>
      <c r="H6" s="200"/>
      <c r="I6" s="200"/>
      <c r="J6" s="200"/>
      <c r="K6" s="200"/>
      <c r="L6" s="200"/>
    </row>
    <row r="7" spans="1:12" s="195" customFormat="1" ht="15" x14ac:dyDescent="0.2">
      <c r="A7" s="197" t="s">
        <v>166</v>
      </c>
      <c r="B7" s="197" t="s">
        <v>167</v>
      </c>
      <c r="C7" s="205">
        <v>2E-3</v>
      </c>
      <c r="D7" s="199" t="s">
        <v>168</v>
      </c>
      <c r="F7" s="200"/>
      <c r="G7" s="200"/>
      <c r="H7" s="200"/>
      <c r="I7" s="200"/>
      <c r="J7" s="200"/>
      <c r="K7" s="200"/>
      <c r="L7" s="200"/>
    </row>
    <row r="8" spans="1:12" s="195" customFormat="1" ht="15" x14ac:dyDescent="0.2">
      <c r="A8" s="197" t="s">
        <v>169</v>
      </c>
      <c r="B8" s="197" t="s">
        <v>170</v>
      </c>
      <c r="C8" s="205">
        <v>6.0000000000000001E-3</v>
      </c>
      <c r="D8" s="199" t="s">
        <v>171</v>
      </c>
      <c r="F8" s="200"/>
      <c r="G8" s="200"/>
      <c r="H8" s="200"/>
      <c r="I8" s="200"/>
      <c r="J8" s="200"/>
      <c r="K8" s="200"/>
      <c r="L8" s="200"/>
    </row>
    <row r="9" spans="1:12" s="195" customFormat="1" ht="15" x14ac:dyDescent="0.2">
      <c r="A9" s="197" t="s">
        <v>172</v>
      </c>
      <c r="B9" s="197" t="s">
        <v>173</v>
      </c>
      <c r="C9" s="205">
        <v>2.5000000000000001E-2</v>
      </c>
      <c r="D9" s="199" t="s">
        <v>174</v>
      </c>
      <c r="F9" s="200"/>
      <c r="G9" s="200"/>
      <c r="H9" s="200"/>
      <c r="I9" s="200"/>
      <c r="J9" s="200"/>
      <c r="K9" s="200"/>
      <c r="L9" s="200"/>
    </row>
    <row r="10" spans="1:12" s="195" customFormat="1" ht="15" x14ac:dyDescent="0.2">
      <c r="A10" s="197" t="s">
        <v>175</v>
      </c>
      <c r="B10" s="197" t="s">
        <v>176</v>
      </c>
      <c r="C10" s="205">
        <v>0.03</v>
      </c>
      <c r="D10" s="199" t="s">
        <v>177</v>
      </c>
      <c r="F10" s="200"/>
      <c r="G10" s="200"/>
      <c r="H10" s="200"/>
      <c r="I10" s="200"/>
      <c r="J10" s="200"/>
      <c r="K10" s="200"/>
      <c r="L10" s="200"/>
    </row>
    <row r="11" spans="1:12" s="195" customFormat="1" ht="15" x14ac:dyDescent="0.2">
      <c r="A11" s="197" t="s">
        <v>178</v>
      </c>
      <c r="B11" s="197" t="s">
        <v>179</v>
      </c>
      <c r="C11" s="205">
        <v>1.7999999999999999E-2</v>
      </c>
      <c r="D11" s="199" t="s">
        <v>180</v>
      </c>
      <c r="F11" s="200"/>
      <c r="G11" s="200"/>
      <c r="H11" s="200"/>
      <c r="I11" s="200"/>
      <c r="J11" s="200"/>
      <c r="K11" s="200"/>
      <c r="L11" s="200"/>
    </row>
    <row r="12" spans="1:12" s="195" customFormat="1" ht="15.75" thickBot="1" x14ac:dyDescent="0.25">
      <c r="A12" s="239" t="s">
        <v>181</v>
      </c>
      <c r="B12" s="239" t="s">
        <v>182</v>
      </c>
      <c r="C12" s="250">
        <v>0.08</v>
      </c>
      <c r="D12" s="240" t="s">
        <v>183</v>
      </c>
      <c r="F12" s="200"/>
      <c r="G12" s="200"/>
      <c r="H12" s="200"/>
      <c r="I12" s="200"/>
      <c r="J12" s="200"/>
      <c r="K12" s="200"/>
      <c r="L12" s="200"/>
    </row>
    <row r="13" spans="1:12" s="195" customFormat="1" ht="15.75" thickBot="1" x14ac:dyDescent="0.25">
      <c r="A13" s="246" t="s">
        <v>184</v>
      </c>
      <c r="B13" s="247" t="s">
        <v>185</v>
      </c>
      <c r="C13" s="248">
        <f>SUM(C4:C12)</f>
        <v>0.38600000000000007</v>
      </c>
      <c r="D13" s="249"/>
      <c r="F13" s="200"/>
      <c r="G13" s="200"/>
      <c r="H13" s="200"/>
      <c r="I13" s="200"/>
      <c r="J13" s="200"/>
      <c r="K13" s="200"/>
      <c r="L13" s="200"/>
    </row>
    <row r="14" spans="1:12" s="195" customFormat="1" ht="15" x14ac:dyDescent="0.2">
      <c r="A14" s="243"/>
      <c r="B14" s="243"/>
      <c r="C14" s="251"/>
      <c r="D14" s="245"/>
      <c r="F14" s="200"/>
      <c r="G14" s="200"/>
      <c r="H14" s="200"/>
      <c r="I14" s="200"/>
      <c r="J14" s="200"/>
      <c r="K14" s="200"/>
      <c r="L14" s="200"/>
    </row>
    <row r="15" spans="1:12" s="195" customFormat="1" ht="15" x14ac:dyDescent="0.2">
      <c r="A15" s="197" t="s">
        <v>186</v>
      </c>
      <c r="B15" s="197" t="s">
        <v>187</v>
      </c>
      <c r="C15" s="205">
        <v>0.1111</v>
      </c>
      <c r="D15" s="199" t="s">
        <v>188</v>
      </c>
      <c r="F15" s="200"/>
      <c r="G15" s="200"/>
      <c r="H15" s="200"/>
      <c r="I15" s="200"/>
      <c r="J15" s="200"/>
      <c r="K15" s="200"/>
      <c r="L15" s="200"/>
    </row>
    <row r="16" spans="1:12" s="195" customFormat="1" ht="15" x14ac:dyDescent="0.2">
      <c r="A16" s="197" t="s">
        <v>189</v>
      </c>
      <c r="B16" s="197" t="s">
        <v>190</v>
      </c>
      <c r="C16" s="205">
        <v>8.3299999999999999E-2</v>
      </c>
      <c r="D16" s="199" t="s">
        <v>191</v>
      </c>
      <c r="F16" s="200"/>
      <c r="G16" s="200"/>
      <c r="H16" s="200"/>
      <c r="I16" s="200"/>
      <c r="J16" s="200"/>
      <c r="K16" s="200"/>
      <c r="L16" s="200"/>
    </row>
    <row r="17" spans="1:12" s="195" customFormat="1" ht="15" x14ac:dyDescent="0.2">
      <c r="A17" s="197" t="s">
        <v>192</v>
      </c>
      <c r="B17" s="197" t="s">
        <v>193</v>
      </c>
      <c r="C17" s="205">
        <v>2.41E-2</v>
      </c>
      <c r="D17" s="199" t="s">
        <v>194</v>
      </c>
      <c r="F17" s="200"/>
      <c r="G17" s="200"/>
      <c r="H17" s="200"/>
      <c r="I17" s="200"/>
      <c r="J17" s="200"/>
      <c r="K17" s="200"/>
      <c r="L17" s="200"/>
    </row>
    <row r="18" spans="1:12" s="195" customFormat="1" ht="15" x14ac:dyDescent="0.2">
      <c r="A18" s="197" t="s">
        <v>195</v>
      </c>
      <c r="B18" s="197" t="s">
        <v>196</v>
      </c>
      <c r="C18" s="205">
        <v>1.2800000000000001E-2</v>
      </c>
      <c r="D18" s="199" t="s">
        <v>194</v>
      </c>
      <c r="F18" s="200"/>
      <c r="G18" s="200"/>
      <c r="H18" s="200"/>
      <c r="I18" s="200"/>
      <c r="J18" s="200"/>
      <c r="K18" s="200"/>
      <c r="L18" s="200"/>
    </row>
    <row r="19" spans="1:12" s="195" customFormat="1" ht="15.75" thickBot="1" x14ac:dyDescent="0.25">
      <c r="A19" s="239" t="s">
        <v>197</v>
      </c>
      <c r="B19" s="239" t="s">
        <v>198</v>
      </c>
      <c r="C19" s="250">
        <v>3.5999999999999997E-2</v>
      </c>
      <c r="D19" s="240" t="s">
        <v>194</v>
      </c>
      <c r="F19" s="200"/>
      <c r="G19" s="200"/>
      <c r="H19" s="200"/>
      <c r="I19" s="200"/>
      <c r="J19" s="200"/>
      <c r="K19" s="200"/>
      <c r="L19" s="200"/>
    </row>
    <row r="20" spans="1:12" s="195" customFormat="1" ht="15.75" thickBot="1" x14ac:dyDescent="0.25">
      <c r="A20" s="246" t="s">
        <v>199</v>
      </c>
      <c r="B20" s="247" t="s">
        <v>200</v>
      </c>
      <c r="C20" s="248">
        <f>SUM(C15:C19)</f>
        <v>0.26730000000000004</v>
      </c>
      <c r="D20" s="249"/>
      <c r="F20" s="200"/>
      <c r="G20" s="200"/>
      <c r="H20" s="200"/>
      <c r="I20" s="200"/>
      <c r="J20" s="200"/>
      <c r="K20" s="200"/>
      <c r="L20" s="200"/>
    </row>
    <row r="21" spans="1:12" s="195" customFormat="1" ht="15" x14ac:dyDescent="0.2">
      <c r="A21" s="243"/>
      <c r="B21" s="243"/>
      <c r="C21" s="251"/>
      <c r="D21" s="245"/>
      <c r="F21" s="200"/>
      <c r="G21" s="200"/>
      <c r="H21" s="200"/>
      <c r="I21" s="200"/>
      <c r="J21" s="200"/>
      <c r="K21" s="200"/>
      <c r="L21" s="200"/>
    </row>
    <row r="22" spans="1:12" s="195" customFormat="1" ht="15" x14ac:dyDescent="0.2">
      <c r="A22" s="197" t="s">
        <v>201</v>
      </c>
      <c r="B22" s="197" t="s">
        <v>202</v>
      </c>
      <c r="C22" s="205">
        <v>2.64E-2</v>
      </c>
      <c r="D22" s="199"/>
      <c r="F22" s="200"/>
      <c r="G22" s="200"/>
      <c r="H22" s="200"/>
      <c r="I22" s="200"/>
      <c r="J22" s="200"/>
      <c r="K22" s="200"/>
      <c r="L22" s="200"/>
    </row>
    <row r="23" spans="1:12" s="195" customFormat="1" ht="15" x14ac:dyDescent="0.2">
      <c r="A23" s="197" t="s">
        <v>203</v>
      </c>
      <c r="B23" s="197" t="s">
        <v>204</v>
      </c>
      <c r="C23" s="205">
        <v>3.1899999999999998E-2</v>
      </c>
      <c r="D23" s="199" t="s">
        <v>205</v>
      </c>
      <c r="E23" s="195">
        <f>7/30/12</f>
        <v>1.9444444444444445E-2</v>
      </c>
      <c r="F23" s="200"/>
      <c r="G23" s="200"/>
      <c r="H23" s="200"/>
      <c r="I23" s="200"/>
      <c r="J23" s="200"/>
      <c r="K23" s="200"/>
      <c r="L23" s="200"/>
    </row>
    <row r="24" spans="1:12" s="195" customFormat="1" ht="15.75" thickBot="1" x14ac:dyDescent="0.25">
      <c r="A24" s="239" t="s">
        <v>206</v>
      </c>
      <c r="B24" s="239" t="s">
        <v>207</v>
      </c>
      <c r="C24" s="250">
        <v>0.04</v>
      </c>
      <c r="D24" s="240" t="s">
        <v>208</v>
      </c>
      <c r="F24" s="200"/>
      <c r="G24" s="200"/>
      <c r="H24" s="200"/>
      <c r="I24" s="200"/>
      <c r="J24" s="200"/>
      <c r="K24" s="200"/>
      <c r="L24" s="200"/>
    </row>
    <row r="25" spans="1:12" s="195" customFormat="1" ht="15.75" thickBot="1" x14ac:dyDescent="0.25">
      <c r="A25" s="246" t="s">
        <v>209</v>
      </c>
      <c r="B25" s="247" t="s">
        <v>210</v>
      </c>
      <c r="C25" s="248">
        <f>SUM(C22:C24)</f>
        <v>9.8299999999999998E-2</v>
      </c>
      <c r="D25" s="249"/>
      <c r="F25" s="200"/>
      <c r="G25" s="200"/>
      <c r="H25" s="200"/>
      <c r="I25" s="200"/>
      <c r="J25" s="200"/>
      <c r="K25" s="200"/>
      <c r="L25" s="200"/>
    </row>
    <row r="26" spans="1:12" s="195" customFormat="1" ht="15" x14ac:dyDescent="0.2">
      <c r="A26" s="243"/>
      <c r="B26" s="243"/>
      <c r="C26" s="251"/>
      <c r="D26" s="245"/>
      <c r="F26" s="200"/>
      <c r="G26" s="200"/>
      <c r="H26" s="200"/>
      <c r="I26" s="200"/>
      <c r="J26" s="200"/>
      <c r="K26" s="200"/>
      <c r="L26" s="200"/>
    </row>
    <row r="27" spans="1:12" s="195" customFormat="1" ht="15" x14ac:dyDescent="0.2">
      <c r="A27" s="197" t="s">
        <v>211</v>
      </c>
      <c r="B27" s="197" t="s">
        <v>212</v>
      </c>
      <c r="C27" s="205">
        <f>ROUND(C13*C20,4)</f>
        <v>0.1032</v>
      </c>
      <c r="D27" s="199"/>
      <c r="F27" s="200"/>
      <c r="G27" s="200"/>
      <c r="H27" s="200"/>
      <c r="I27" s="200"/>
      <c r="J27" s="200"/>
      <c r="K27" s="200"/>
      <c r="L27" s="200"/>
    </row>
    <row r="28" spans="1:12" s="195" customFormat="1" ht="15" x14ac:dyDescent="0.2">
      <c r="A28" s="197" t="s">
        <v>213</v>
      </c>
      <c r="B28" s="197" t="s">
        <v>214</v>
      </c>
      <c r="C28" s="205">
        <f>C23*C20</f>
        <v>8.5268700000000006E-3</v>
      </c>
      <c r="D28" s="199"/>
      <c r="F28" s="200"/>
      <c r="G28" s="200"/>
      <c r="H28" s="200"/>
      <c r="I28" s="200"/>
      <c r="J28" s="200"/>
      <c r="K28" s="200"/>
      <c r="L28" s="200"/>
    </row>
    <row r="29" spans="1:12" s="195" customFormat="1" ht="15" x14ac:dyDescent="0.2">
      <c r="A29" s="197" t="s">
        <v>215</v>
      </c>
      <c r="B29" s="197" t="s">
        <v>216</v>
      </c>
      <c r="C29" s="205">
        <f>ROUND(((C22+C23)*C12),4)</f>
        <v>4.7000000000000002E-3</v>
      </c>
      <c r="D29" s="199"/>
      <c r="F29" s="200"/>
      <c r="G29" s="200"/>
      <c r="H29" s="200"/>
      <c r="I29" s="200"/>
      <c r="J29" s="200"/>
      <c r="K29" s="200"/>
      <c r="L29" s="200"/>
    </row>
    <row r="30" spans="1:12" s="195" customFormat="1" ht="15.75" thickBot="1" x14ac:dyDescent="0.25">
      <c r="A30" s="239" t="s">
        <v>217</v>
      </c>
      <c r="B30" s="240" t="s">
        <v>218</v>
      </c>
      <c r="C30" s="241">
        <f>SUM(C27:C29)</f>
        <v>0.11642687</v>
      </c>
      <c r="D30" s="240"/>
      <c r="F30" s="200"/>
      <c r="G30" s="200"/>
      <c r="H30" s="200"/>
      <c r="I30" s="200"/>
      <c r="J30" s="200"/>
      <c r="K30" s="200"/>
      <c r="L30" s="200"/>
    </row>
    <row r="31" spans="1:12" s="195" customFormat="1" ht="15.75" thickBot="1" x14ac:dyDescent="0.25">
      <c r="A31" s="246"/>
      <c r="B31" s="247" t="s">
        <v>219</v>
      </c>
      <c r="C31" s="248">
        <f>C30+C25+C20+C13</f>
        <v>0.86802687000000012</v>
      </c>
      <c r="D31" s="249"/>
      <c r="F31" s="200"/>
      <c r="G31" s="200"/>
      <c r="H31" s="200"/>
      <c r="I31" s="200"/>
      <c r="J31" s="200"/>
      <c r="K31" s="200"/>
      <c r="L31" s="200"/>
    </row>
    <row r="32" spans="1:12" s="195" customFormat="1" ht="15" x14ac:dyDescent="0.2">
      <c r="A32" s="242"/>
      <c r="B32" s="243"/>
      <c r="C32" s="244"/>
      <c r="D32" s="245"/>
      <c r="F32" s="200"/>
      <c r="G32" s="200"/>
      <c r="H32" s="200"/>
      <c r="I32" s="200"/>
      <c r="J32" s="200"/>
      <c r="K32" s="200"/>
      <c r="L32" s="200"/>
    </row>
    <row r="33" spans="1:12" s="195" customFormat="1" ht="15" x14ac:dyDescent="0.2">
      <c r="A33" s="202" t="s">
        <v>152</v>
      </c>
      <c r="B33" s="199"/>
      <c r="C33" s="203"/>
      <c r="D33" s="199"/>
      <c r="F33" s="200"/>
      <c r="G33" s="200"/>
      <c r="H33" s="200"/>
      <c r="I33" s="200"/>
      <c r="J33" s="200"/>
      <c r="K33" s="200"/>
      <c r="L33" s="200"/>
    </row>
    <row r="34" spans="1:12" s="195" customFormat="1" ht="15.75" thickBot="1" x14ac:dyDescent="0.25">
      <c r="A34" s="257" t="s">
        <v>220</v>
      </c>
      <c r="B34" s="240"/>
      <c r="C34" s="258"/>
      <c r="D34" s="199"/>
      <c r="F34" s="200"/>
      <c r="G34" s="200"/>
      <c r="H34" s="200"/>
      <c r="I34" s="200"/>
      <c r="J34" s="200"/>
      <c r="K34" s="200"/>
      <c r="L34" s="200"/>
    </row>
    <row r="35" spans="1:12" s="195" customFormat="1" ht="15.75" thickBot="1" x14ac:dyDescent="0.25">
      <c r="A35" s="253" t="s">
        <v>221</v>
      </c>
      <c r="B35" s="247" t="s">
        <v>155</v>
      </c>
      <c r="C35" s="256" t="s">
        <v>156</v>
      </c>
      <c r="D35" s="199"/>
      <c r="F35" s="200"/>
      <c r="G35" s="200"/>
      <c r="H35" s="200"/>
      <c r="I35" s="200"/>
      <c r="J35" s="200"/>
      <c r="K35" s="200"/>
      <c r="L35" s="200"/>
    </row>
    <row r="36" spans="1:12" s="195" customFormat="1" ht="15" x14ac:dyDescent="0.2">
      <c r="A36" s="242">
        <v>1</v>
      </c>
      <c r="B36" s="243" t="s">
        <v>158</v>
      </c>
      <c r="C36" s="244">
        <v>0.2</v>
      </c>
      <c r="D36" s="199"/>
      <c r="F36" s="200"/>
      <c r="G36" s="200"/>
      <c r="H36" s="200"/>
      <c r="I36" s="200"/>
      <c r="J36" s="200"/>
      <c r="K36" s="200"/>
      <c r="L36" s="200"/>
    </row>
    <row r="37" spans="1:12" s="195" customFormat="1" ht="15" x14ac:dyDescent="0.2">
      <c r="A37" s="196">
        <v>2</v>
      </c>
      <c r="B37" s="197" t="s">
        <v>182</v>
      </c>
      <c r="C37" s="198">
        <v>0.08</v>
      </c>
      <c r="D37" s="199"/>
      <c r="F37" s="200"/>
      <c r="G37" s="200"/>
      <c r="H37" s="200"/>
      <c r="I37" s="200"/>
      <c r="J37" s="200"/>
      <c r="K37" s="200"/>
      <c r="L37" s="200"/>
    </row>
    <row r="38" spans="1:12" s="195" customFormat="1" ht="15" x14ac:dyDescent="0.2">
      <c r="A38" s="196">
        <v>3</v>
      </c>
      <c r="B38" s="197" t="s">
        <v>222</v>
      </c>
      <c r="C38" s="198">
        <v>0.1111</v>
      </c>
      <c r="D38" s="199"/>
      <c r="F38" s="200"/>
      <c r="G38" s="200"/>
      <c r="H38" s="200"/>
      <c r="I38" s="200"/>
      <c r="J38" s="200"/>
      <c r="K38" s="200"/>
      <c r="L38" s="200"/>
    </row>
    <row r="39" spans="1:12" s="195" customFormat="1" ht="15" x14ac:dyDescent="0.2">
      <c r="A39" s="196">
        <v>4</v>
      </c>
      <c r="B39" s="197" t="s">
        <v>223</v>
      </c>
      <c r="C39" s="198">
        <v>8.3299999999999999E-2</v>
      </c>
      <c r="D39" s="199"/>
      <c r="F39" s="200"/>
      <c r="G39" s="200"/>
      <c r="H39" s="200"/>
      <c r="I39" s="200"/>
      <c r="J39" s="200"/>
      <c r="K39" s="200"/>
      <c r="L39" s="200"/>
    </row>
    <row r="40" spans="1:12" s="195" customFormat="1" ht="15" x14ac:dyDescent="0.2">
      <c r="A40" s="196">
        <v>5</v>
      </c>
      <c r="B40" s="197" t="s">
        <v>193</v>
      </c>
      <c r="C40" s="198">
        <v>2.41E-2</v>
      </c>
      <c r="D40" s="199"/>
      <c r="F40" s="200"/>
      <c r="G40" s="200"/>
      <c r="H40" s="200"/>
      <c r="I40" s="200"/>
      <c r="J40" s="200"/>
      <c r="K40" s="200"/>
      <c r="L40" s="200"/>
    </row>
    <row r="41" spans="1:12" s="195" customFormat="1" ht="15" x14ac:dyDescent="0.2">
      <c r="A41" s="196">
        <v>6</v>
      </c>
      <c r="B41" s="197" t="s">
        <v>196</v>
      </c>
      <c r="C41" s="198">
        <v>1.2800000000000001E-2</v>
      </c>
      <c r="D41" s="199"/>
      <c r="F41" s="200"/>
      <c r="G41" s="200"/>
      <c r="H41" s="200"/>
      <c r="I41" s="200"/>
      <c r="J41" s="200"/>
      <c r="K41" s="200"/>
      <c r="L41" s="200"/>
    </row>
    <row r="42" spans="1:12" s="195" customFormat="1" ht="15" x14ac:dyDescent="0.2">
      <c r="A42" s="196">
        <v>7</v>
      </c>
      <c r="B42" s="197" t="s">
        <v>198</v>
      </c>
      <c r="C42" s="198">
        <v>3.5999999999999997E-2</v>
      </c>
      <c r="D42" s="199"/>
      <c r="F42" s="200"/>
      <c r="G42" s="200"/>
      <c r="H42" s="200"/>
      <c r="I42" s="200"/>
      <c r="J42" s="200"/>
      <c r="K42" s="200"/>
      <c r="L42" s="200"/>
    </row>
    <row r="43" spans="1:12" s="195" customFormat="1" ht="15" x14ac:dyDescent="0.2">
      <c r="A43" s="196">
        <v>8</v>
      </c>
      <c r="B43" s="197" t="s">
        <v>202</v>
      </c>
      <c r="C43" s="198">
        <v>2.64E-2</v>
      </c>
      <c r="D43" s="199"/>
      <c r="F43" s="200"/>
      <c r="G43" s="200"/>
      <c r="H43" s="200"/>
      <c r="I43" s="200"/>
      <c r="J43" s="200"/>
      <c r="K43" s="200"/>
      <c r="L43" s="200"/>
    </row>
    <row r="44" spans="1:12" s="195" customFormat="1" ht="15" x14ac:dyDescent="0.2">
      <c r="A44" s="196">
        <v>9</v>
      </c>
      <c r="B44" s="197" t="s">
        <v>204</v>
      </c>
      <c r="C44" s="198">
        <v>3.1899999999999998E-2</v>
      </c>
      <c r="D44" s="199"/>
      <c r="F44" s="200"/>
      <c r="G44" s="200"/>
      <c r="H44" s="200"/>
      <c r="I44" s="200"/>
      <c r="J44" s="200"/>
      <c r="K44" s="200"/>
      <c r="L44" s="200"/>
    </row>
    <row r="45" spans="1:12" s="195" customFormat="1" ht="15" x14ac:dyDescent="0.2">
      <c r="A45" s="196">
        <v>10</v>
      </c>
      <c r="B45" s="197" t="s">
        <v>224</v>
      </c>
      <c r="C45" s="198">
        <v>0.04</v>
      </c>
      <c r="D45" s="199"/>
      <c r="F45" s="200"/>
      <c r="G45" s="200"/>
      <c r="H45" s="200"/>
      <c r="I45" s="200"/>
      <c r="J45" s="200"/>
      <c r="K45" s="200"/>
      <c r="L45" s="200"/>
    </row>
    <row r="46" spans="1:12" s="195" customFormat="1" ht="15" x14ac:dyDescent="0.2">
      <c r="A46" s="196">
        <v>11</v>
      </c>
      <c r="B46" s="197" t="s">
        <v>225</v>
      </c>
      <c r="C46" s="198">
        <v>1.7999999999999999E-2</v>
      </c>
      <c r="D46" s="199"/>
      <c r="F46" s="200"/>
      <c r="G46" s="200"/>
      <c r="H46" s="200"/>
      <c r="I46" s="200"/>
      <c r="J46" s="200"/>
      <c r="K46" s="200"/>
      <c r="L46" s="200"/>
    </row>
    <row r="47" spans="1:12" s="195" customFormat="1" ht="15.75" thickBot="1" x14ac:dyDescent="0.25">
      <c r="A47" s="254">
        <v>12</v>
      </c>
      <c r="B47" s="239" t="s">
        <v>226</v>
      </c>
      <c r="C47" s="255">
        <f>(C38+C39+C40+C41+C42)*(C36+C37+C46)</f>
        <v>7.9655400000000029E-2</v>
      </c>
      <c r="D47" s="199"/>
      <c r="F47" s="200"/>
      <c r="G47" s="200"/>
      <c r="H47" s="200"/>
      <c r="I47" s="200"/>
      <c r="J47" s="200"/>
      <c r="K47" s="200"/>
      <c r="L47" s="200"/>
    </row>
    <row r="48" spans="1:12" s="195" customFormat="1" ht="15.75" thickBot="1" x14ac:dyDescent="0.25">
      <c r="A48" s="253" t="s">
        <v>227</v>
      </c>
      <c r="B48" s="252"/>
      <c r="C48" s="256">
        <f>SUM(C36:C47)</f>
        <v>0.74325540000000012</v>
      </c>
      <c r="D48" s="199"/>
      <c r="F48" s="200"/>
      <c r="G48" s="200"/>
      <c r="H48" s="200"/>
      <c r="I48" s="200"/>
      <c r="J48" s="200"/>
      <c r="K48" s="200"/>
      <c r="L48" s="200"/>
    </row>
    <row r="49" spans="1:12" s="195" customFormat="1" ht="15" x14ac:dyDescent="0.2">
      <c r="A49" s="242"/>
      <c r="B49" s="243"/>
      <c r="C49" s="244"/>
      <c r="D49" s="199"/>
      <c r="F49" s="200"/>
      <c r="G49" s="200"/>
      <c r="H49" s="200"/>
      <c r="I49" s="200"/>
      <c r="J49" s="200"/>
      <c r="K49" s="200"/>
      <c r="L49" s="200"/>
    </row>
    <row r="50" spans="1:12" s="195" customFormat="1" ht="15" x14ac:dyDescent="0.2">
      <c r="A50" s="196"/>
      <c r="B50" s="197" t="s">
        <v>149</v>
      </c>
      <c r="C50" s="198"/>
      <c r="D50" s="199"/>
      <c r="F50" s="200"/>
      <c r="G50" s="200"/>
      <c r="H50" s="200"/>
      <c r="I50" s="200"/>
      <c r="J50" s="200"/>
      <c r="K50" s="200"/>
      <c r="L50" s="200"/>
    </row>
    <row r="51" spans="1:12" s="195" customFormat="1" ht="15" x14ac:dyDescent="0.2">
      <c r="A51" s="196"/>
      <c r="B51" s="197" t="s">
        <v>150</v>
      </c>
      <c r="C51" s="198"/>
      <c r="D51" s="199"/>
      <c r="F51" s="200"/>
      <c r="G51" s="200"/>
      <c r="H51" s="200"/>
      <c r="I51" s="200"/>
      <c r="J51" s="200"/>
      <c r="K51" s="200"/>
      <c r="L51" s="200"/>
    </row>
    <row r="52" spans="1:12" s="195" customFormat="1" ht="15" x14ac:dyDescent="0.2">
      <c r="A52" s="196"/>
      <c r="B52" s="197" t="s">
        <v>151</v>
      </c>
      <c r="C52" s="198"/>
      <c r="D52" s="199"/>
      <c r="F52" s="200"/>
      <c r="G52" s="200"/>
      <c r="H52" s="200"/>
      <c r="I52" s="200"/>
      <c r="J52" s="200"/>
      <c r="K52" s="200"/>
      <c r="L52" s="200"/>
    </row>
    <row r="53" spans="1:12" s="195" customFormat="1" ht="15" x14ac:dyDescent="0.2">
      <c r="A53" s="196"/>
      <c r="B53" s="197"/>
      <c r="C53" s="198"/>
      <c r="D53" s="199"/>
      <c r="F53" s="200"/>
      <c r="G53" s="200"/>
      <c r="H53" s="200"/>
      <c r="I53" s="200"/>
      <c r="J53" s="200"/>
      <c r="K53" s="200"/>
      <c r="L53" s="200"/>
    </row>
    <row r="54" spans="1:12" s="195" customFormat="1" ht="15" x14ac:dyDescent="0.2">
      <c r="A54" s="196"/>
      <c r="B54" s="197"/>
      <c r="C54" s="198"/>
      <c r="D54" s="199"/>
      <c r="F54" s="200"/>
      <c r="G54" s="200"/>
      <c r="H54" s="200"/>
      <c r="I54" s="200"/>
      <c r="J54" s="200"/>
      <c r="K54" s="200"/>
      <c r="L54" s="200"/>
    </row>
  </sheetData>
  <pageMargins left="0.511811024" right="0.511811024" top="0.78740157499999996" bottom="0.78740157499999996" header="0.31496062000000002" footer="0.31496062000000002"/>
  <pageSetup paperSize="9"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40"/>
  <sheetViews>
    <sheetView topLeftCell="A13" workbookViewId="0">
      <selection activeCell="E14" sqref="E14"/>
    </sheetView>
  </sheetViews>
  <sheetFormatPr defaultRowHeight="12.75" x14ac:dyDescent="0.2"/>
  <cols>
    <col min="1" max="1" width="27.85546875" customWidth="1"/>
    <col min="3" max="3" width="21" customWidth="1"/>
  </cols>
  <sheetData>
    <row r="1" spans="1:3" ht="16.5" thickBot="1" x14ac:dyDescent="0.25">
      <c r="A1" s="334" t="s">
        <v>229</v>
      </c>
      <c r="B1" s="335"/>
      <c r="C1" s="336"/>
    </row>
    <row r="2" spans="1:3" ht="16.5" thickBot="1" x14ac:dyDescent="0.25">
      <c r="A2" s="337" t="s">
        <v>230</v>
      </c>
      <c r="B2" s="338"/>
      <c r="C2" s="339"/>
    </row>
    <row r="3" spans="1:3" ht="30" x14ac:dyDescent="0.2">
      <c r="A3" s="206" t="s">
        <v>155</v>
      </c>
      <c r="B3" s="207" t="s">
        <v>231</v>
      </c>
      <c r="C3" s="208" t="s">
        <v>232</v>
      </c>
    </row>
    <row r="4" spans="1:3" ht="14.25" x14ac:dyDescent="0.2">
      <c r="A4" s="209" t="s">
        <v>233</v>
      </c>
      <c r="B4" s="210" t="s">
        <v>234</v>
      </c>
      <c r="C4" s="211">
        <v>0.05</v>
      </c>
    </row>
    <row r="5" spans="1:3" ht="14.25" x14ac:dyDescent="0.2">
      <c r="A5" s="212" t="s">
        <v>235</v>
      </c>
      <c r="B5" s="213" t="s">
        <v>236</v>
      </c>
      <c r="C5" s="214">
        <v>1.2999999999999999E-2</v>
      </c>
    </row>
    <row r="6" spans="1:3" ht="15" x14ac:dyDescent="0.2">
      <c r="A6" s="212" t="s">
        <v>237</v>
      </c>
      <c r="B6" s="213" t="s">
        <v>238</v>
      </c>
      <c r="C6" s="215">
        <v>0.1</v>
      </c>
    </row>
    <row r="7" spans="1:3" ht="14.25" x14ac:dyDescent="0.2">
      <c r="A7" s="212" t="s">
        <v>239</v>
      </c>
      <c r="B7" s="342" t="s">
        <v>240</v>
      </c>
      <c r="C7" s="214">
        <v>0.03</v>
      </c>
    </row>
    <row r="8" spans="1:3" ht="15" thickBot="1" x14ac:dyDescent="0.25">
      <c r="A8" s="216" t="s">
        <v>241</v>
      </c>
      <c r="B8" s="343"/>
      <c r="C8" s="217">
        <v>9.2499999999999999E-2</v>
      </c>
    </row>
    <row r="9" spans="1:3" ht="14.25" x14ac:dyDescent="0.2">
      <c r="A9" s="218" t="s">
        <v>242</v>
      </c>
      <c r="B9" s="219"/>
      <c r="C9" s="220"/>
    </row>
    <row r="10" spans="1:3" ht="15" thickBot="1" x14ac:dyDescent="0.25">
      <c r="A10" s="221" t="s">
        <v>243</v>
      </c>
      <c r="B10" s="222"/>
      <c r="C10" s="223"/>
    </row>
    <row r="11" spans="1:3" ht="30.75" thickBot="1" x14ac:dyDescent="0.25">
      <c r="A11" s="224" t="s">
        <v>244</v>
      </c>
      <c r="B11" s="225"/>
      <c r="C11" s="226">
        <f>ROUND((((1+C4+C5)*(1+C6))/(1-(C7+C8))-1),4)</f>
        <v>0.33250000000000002</v>
      </c>
    </row>
    <row r="12" spans="1:3" ht="14.25" x14ac:dyDescent="0.2">
      <c r="A12" s="227"/>
      <c r="B12" s="227"/>
      <c r="C12" s="227"/>
    </row>
    <row r="13" spans="1:3" ht="15" thickBot="1" x14ac:dyDescent="0.25">
      <c r="A13" s="227"/>
      <c r="B13" s="227"/>
      <c r="C13" s="227"/>
    </row>
    <row r="14" spans="1:3" ht="16.5" thickBot="1" x14ac:dyDescent="0.25">
      <c r="A14" s="334" t="s">
        <v>245</v>
      </c>
      <c r="B14" s="335"/>
      <c r="C14" s="336"/>
    </row>
    <row r="15" spans="1:3" ht="16.5" thickBot="1" x14ac:dyDescent="0.25">
      <c r="A15" s="337" t="s">
        <v>230</v>
      </c>
      <c r="B15" s="338"/>
      <c r="C15" s="339"/>
    </row>
    <row r="16" spans="1:3" ht="30" x14ac:dyDescent="0.2">
      <c r="A16" s="206" t="s">
        <v>155</v>
      </c>
      <c r="B16" s="207" t="s">
        <v>231</v>
      </c>
      <c r="C16" s="208" t="s">
        <v>232</v>
      </c>
    </row>
    <row r="17" spans="1:3" ht="14.25" x14ac:dyDescent="0.2">
      <c r="A17" s="209" t="s">
        <v>233</v>
      </c>
      <c r="B17" s="210" t="s">
        <v>234</v>
      </c>
      <c r="C17" s="211">
        <v>0.05</v>
      </c>
    </row>
    <row r="18" spans="1:3" ht="14.25" x14ac:dyDescent="0.2">
      <c r="A18" s="212" t="s">
        <v>235</v>
      </c>
      <c r="B18" s="213" t="s">
        <v>236</v>
      </c>
      <c r="C18" s="214">
        <v>1.2999999999999999E-2</v>
      </c>
    </row>
    <row r="19" spans="1:3" ht="15" x14ac:dyDescent="0.2">
      <c r="A19" s="212" t="s">
        <v>237</v>
      </c>
      <c r="B19" s="213" t="s">
        <v>238</v>
      </c>
      <c r="C19" s="215">
        <v>0.1</v>
      </c>
    </row>
    <row r="20" spans="1:3" ht="14.25" x14ac:dyDescent="0.2">
      <c r="A20" s="212" t="s">
        <v>239</v>
      </c>
      <c r="B20" s="342" t="s">
        <v>240</v>
      </c>
      <c r="C20" s="214">
        <v>0.03</v>
      </c>
    </row>
    <row r="21" spans="1:3" ht="15" thickBot="1" x14ac:dyDescent="0.25">
      <c r="A21" s="216" t="s">
        <v>241</v>
      </c>
      <c r="B21" s="343"/>
      <c r="C21" s="217">
        <v>3.6499999999999998E-2</v>
      </c>
    </row>
    <row r="22" spans="1:3" ht="14.25" x14ac:dyDescent="0.2">
      <c r="A22" s="218" t="s">
        <v>242</v>
      </c>
      <c r="B22" s="219"/>
      <c r="C22" s="220"/>
    </row>
    <row r="23" spans="1:3" ht="15" thickBot="1" x14ac:dyDescent="0.25">
      <c r="A23" s="228" t="s">
        <v>243</v>
      </c>
      <c r="B23" s="229"/>
      <c r="C23" s="230"/>
    </row>
    <row r="24" spans="1:3" ht="30.75" thickBot="1" x14ac:dyDescent="0.25">
      <c r="A24" s="231" t="s">
        <v>244</v>
      </c>
      <c r="B24" s="232"/>
      <c r="C24" s="233">
        <f>ROUND((((1+C17+C18)*(1+C19))/(1-(C20+C21))-1),4)</f>
        <v>0.25259999999999999</v>
      </c>
    </row>
    <row r="26" spans="1:3" ht="13.5" thickBot="1" x14ac:dyDescent="0.25"/>
    <row r="27" spans="1:3" ht="16.5" thickBot="1" x14ac:dyDescent="0.25">
      <c r="A27" s="334" t="s">
        <v>246</v>
      </c>
      <c r="B27" s="335"/>
      <c r="C27" s="336"/>
    </row>
    <row r="28" spans="1:3" ht="16.5" thickBot="1" x14ac:dyDescent="0.25">
      <c r="A28" s="337" t="s">
        <v>247</v>
      </c>
      <c r="B28" s="338"/>
      <c r="C28" s="339"/>
    </row>
    <row r="29" spans="1:3" ht="30.75" thickBot="1" x14ac:dyDescent="0.25">
      <c r="A29" s="206" t="s">
        <v>155</v>
      </c>
      <c r="B29" s="207" t="s">
        <v>231</v>
      </c>
      <c r="C29" s="208" t="s">
        <v>232</v>
      </c>
    </row>
    <row r="30" spans="1:3" ht="14.25" x14ac:dyDescent="0.2">
      <c r="A30" s="234" t="s">
        <v>233</v>
      </c>
      <c r="B30" s="235" t="s">
        <v>234</v>
      </c>
      <c r="C30" s="236">
        <v>0.05</v>
      </c>
    </row>
    <row r="31" spans="1:3" ht="14.25" x14ac:dyDescent="0.2">
      <c r="A31" s="212" t="s">
        <v>235</v>
      </c>
      <c r="B31" s="213" t="s">
        <v>236</v>
      </c>
      <c r="C31" s="214">
        <v>1.2999999999999999E-2</v>
      </c>
    </row>
    <row r="32" spans="1:3" ht="15.75" thickBot="1" x14ac:dyDescent="0.25">
      <c r="A32" s="212" t="s">
        <v>237</v>
      </c>
      <c r="B32" s="213" t="s">
        <v>238</v>
      </c>
      <c r="C32" s="215">
        <v>0.1</v>
      </c>
    </row>
    <row r="33" spans="1:3" ht="14.25" x14ac:dyDescent="0.2">
      <c r="A33" s="218" t="s">
        <v>248</v>
      </c>
      <c r="B33" s="219"/>
      <c r="C33" s="220"/>
    </row>
    <row r="34" spans="1:3" ht="15" thickBot="1" x14ac:dyDescent="0.25">
      <c r="A34" s="228" t="s">
        <v>249</v>
      </c>
      <c r="B34" s="229"/>
      <c r="C34" s="230"/>
    </row>
    <row r="35" spans="1:3" ht="15.75" thickBot="1" x14ac:dyDescent="0.25">
      <c r="A35" s="340" t="s">
        <v>250</v>
      </c>
      <c r="B35" s="341"/>
      <c r="C35" s="233">
        <f>ROUND((((1+C30+C31)*(1+C32))-1),4)</f>
        <v>0.16930000000000001</v>
      </c>
    </row>
    <row r="37" spans="1:3" x14ac:dyDescent="0.2">
      <c r="A37" s="1" t="s">
        <v>149</v>
      </c>
    </row>
    <row r="38" spans="1:3" x14ac:dyDescent="0.2">
      <c r="A38" s="1" t="s">
        <v>150</v>
      </c>
    </row>
    <row r="39" spans="1:3" x14ac:dyDescent="0.2">
      <c r="A39" s="1" t="s">
        <v>151</v>
      </c>
    </row>
    <row r="40" spans="1:3" x14ac:dyDescent="0.2">
      <c r="A40" s="191"/>
    </row>
  </sheetData>
  <mergeCells count="9">
    <mergeCell ref="A27:C27"/>
    <mergeCell ref="A28:C28"/>
    <mergeCell ref="A35:B35"/>
    <mergeCell ref="A1:C1"/>
    <mergeCell ref="A2:C2"/>
    <mergeCell ref="B7:B8"/>
    <mergeCell ref="A14:C14"/>
    <mergeCell ref="A15:C15"/>
    <mergeCell ref="B20:B21"/>
  </mergeCells>
  <pageMargins left="0.511811024" right="0.511811024" top="0.78740157499999996" bottom="0.78740157499999996" header="0.31496062000000002" footer="0.31496062000000002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Vigilancia-CAPS</vt:lpstr>
      <vt:lpstr>Enc. Soc. - LR-LP e SN</vt:lpstr>
      <vt:lpstr>bdi</vt:lpstr>
      <vt:lpstr>'Vigilancia-CAPS'!Titulos_de_impressao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Janice Rosângela Siebeneichler Antoni</dc:creator>
  <cp:lastModifiedBy>Janice Rosângela Siebeneichler Antoni</cp:lastModifiedBy>
  <cp:lastPrinted>2026-08-19T14:27:17Z</cp:lastPrinted>
  <dcterms:created xsi:type="dcterms:W3CDTF">2026-07-21T17:21:02Z</dcterms:created>
  <dcterms:modified xsi:type="dcterms:W3CDTF">2026-08-20T12:22:13Z</dcterms:modified>
</cp:coreProperties>
</file>