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Concorrência Eletrônica\Concorrência Eletrônica 2026\Conc Eletr 01-2026 - Serviços de manejo de RSU\"/>
    </mc:Choice>
  </mc:AlternateContent>
  <xr:revisionPtr revIDLastSave="0" documentId="8_{AAF6DE95-C89D-427D-A998-6208EE62EFC0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transbordo" sheetId="77" r:id="rId1"/>
    <sheet name="Feriados" sheetId="80" r:id="rId2"/>
    <sheet name="lavagem de uniformes" sheetId="79" r:id="rId3"/>
    <sheet name="Depreciação" sheetId="64" r:id="rId4"/>
    <sheet name="L8.2" sheetId="41" state="hidden" r:id="rId5"/>
    <sheet name="Enc. Soc. - LR-LP e SN" sheetId="8" r:id="rId6"/>
    <sheet name="Encargos sociais vigilante" sheetId="78" r:id="rId7"/>
    <sheet name="BDI" sheetId="4" r:id="rId8"/>
  </sheets>
  <definedNames>
    <definedName name="AbaDeprec" localSheetId="4">#REF!</definedName>
    <definedName name="AbaDeprec" localSheetId="0">#REF!</definedName>
    <definedName name="AbaDeprec">#REF!</definedName>
    <definedName name="AbaRemun" localSheetId="4">#REF!</definedName>
    <definedName name="AbaRemun" localSheetId="0">#REF!</definedName>
    <definedName name="AbaRemun">#REF!</definedName>
    <definedName name="_xlnm.Print_Area" localSheetId="5">'Enc. Soc. - LR-LP e SN'!$A$1:$C$42</definedName>
    <definedName name="_xlnm.Print_Area" localSheetId="4">'L8.2'!$A$1:$H$238</definedName>
    <definedName name="_xlnm.Print_Area" localSheetId="0">transbordo!$A$1:$H$469</definedName>
    <definedName name="Escavadeira" localSheetId="0">#REF!</definedName>
    <definedName name="Escavadeira">#REF!</definedName>
    <definedName name="número" localSheetId="4">#REF!</definedName>
    <definedName name="número" localSheetId="0">#REF!</definedName>
    <definedName name="número">#REF!</definedName>
    <definedName name="OLE_LINK1" localSheetId="0">transbordo!$J$33</definedName>
    <definedName name="_xlnm.Print_Titles" localSheetId="4">'L8.2'!$4:$4</definedName>
    <definedName name="_xlnm.Print_Titles" localSheetId="0">transbordo!$3:$3</definedName>
    <definedName name="x" localSheetId="4">#REF!</definedName>
    <definedName name="x" localSheetId="0">#REF!</definedName>
    <definedName name="x">#REF!</definedName>
  </definedNames>
  <calcPr calcId="191029"/>
</workbook>
</file>

<file path=xl/calcChain.xml><?xml version="1.0" encoding="utf-8"?>
<calcChain xmlns="http://schemas.openxmlformats.org/spreadsheetml/2006/main">
  <c r="E300" i="77" l="1"/>
  <c r="E185" i="77"/>
  <c r="E301" i="77" l="1"/>
  <c r="F300" i="77"/>
  <c r="E206" i="77" l="1"/>
  <c r="F301" i="77" l="1"/>
  <c r="G57" i="77" l="1"/>
  <c r="G56" i="77"/>
  <c r="E224" i="77" l="1"/>
  <c r="B15" i="80"/>
  <c r="B2" i="80"/>
  <c r="B18" i="80" s="1"/>
  <c r="B20" i="80" s="1"/>
  <c r="F346" i="77" l="1"/>
  <c r="E176" i="77"/>
  <c r="E177" i="77"/>
  <c r="E175" i="77"/>
  <c r="E174" i="77"/>
  <c r="G59" i="77"/>
  <c r="G3" i="79"/>
  <c r="F3" i="79"/>
  <c r="F6" i="79"/>
  <c r="F5" i="79"/>
  <c r="F4" i="79"/>
  <c r="I3" i="79"/>
  <c r="J3" i="79" s="1"/>
  <c r="C6" i="79"/>
  <c r="G6" i="79" s="1"/>
  <c r="I6" i="79" s="1"/>
  <c r="J6" i="79" s="1"/>
  <c r="C5" i="79"/>
  <c r="G5" i="79" s="1"/>
  <c r="I5" i="79" s="1"/>
  <c r="J5" i="79" s="1"/>
  <c r="G4" i="79"/>
  <c r="I4" i="79" s="1"/>
  <c r="J4" i="79" s="1"/>
  <c r="C4" i="79"/>
  <c r="C3" i="79"/>
  <c r="I7" i="79" l="1"/>
  <c r="J7" i="79"/>
  <c r="C360" i="77"/>
  <c r="F356" i="77"/>
  <c r="F355" i="77"/>
  <c r="F354" i="77"/>
  <c r="F353" i="77"/>
  <c r="F352" i="77"/>
  <c r="F351" i="77"/>
  <c r="F350" i="77"/>
  <c r="F325" i="77"/>
  <c r="E379" i="77" l="1"/>
  <c r="F379" i="77" s="1"/>
  <c r="E358" i="77"/>
  <c r="F358" i="77" s="1"/>
  <c r="E330" i="77"/>
  <c r="F330" i="77" s="1"/>
  <c r="C41" i="8"/>
  <c r="C27" i="8"/>
  <c r="C20" i="8"/>
  <c r="F407" i="77" l="1"/>
  <c r="F396" i="77" l="1"/>
  <c r="D391" i="77" l="1"/>
  <c r="D390" i="77"/>
  <c r="D389" i="77"/>
  <c r="D388" i="77"/>
  <c r="D387" i="77"/>
  <c r="D386" i="77"/>
  <c r="F349" i="77"/>
  <c r="I262" i="77"/>
  <c r="I250" i="77"/>
  <c r="I249" i="77"/>
  <c r="I239" i="77"/>
  <c r="I238" i="77"/>
  <c r="E189" i="77" l="1"/>
  <c r="D186" i="77"/>
  <c r="D176" i="77"/>
  <c r="D175" i="77"/>
  <c r="D174" i="77"/>
  <c r="D96" i="77"/>
  <c r="F405" i="77"/>
  <c r="F406" i="77"/>
  <c r="F408" i="77"/>
  <c r="F397" i="77"/>
  <c r="F299" i="77"/>
  <c r="F298" i="77"/>
  <c r="F195" i="77"/>
  <c r="F194" i="77"/>
  <c r="F267" i="77"/>
  <c r="F255" i="77"/>
  <c r="F224" i="77"/>
  <c r="E226" i="77" s="1"/>
  <c r="F226" i="77" s="1"/>
  <c r="E227" i="77" s="1"/>
  <c r="F229" i="77"/>
  <c r="D227" i="77"/>
  <c r="E215" i="77"/>
  <c r="F215" i="77" s="1"/>
  <c r="E217" i="77" s="1"/>
  <c r="F217" i="77" s="1"/>
  <c r="E218" i="77" s="1"/>
  <c r="F220" i="77"/>
  <c r="D218" i="77"/>
  <c r="E235" i="77"/>
  <c r="E259" i="77" l="1"/>
  <c r="F259" i="77" s="1"/>
  <c r="D261" i="77" s="1"/>
  <c r="D250" i="77"/>
  <c r="E247" i="77"/>
  <c r="F247" i="77" s="1"/>
  <c r="D249" i="77" s="1"/>
  <c r="D262" i="77"/>
  <c r="F227" i="77"/>
  <c r="E228" i="77" s="1"/>
  <c r="F228" i="77" s="1"/>
  <c r="G229" i="77" s="1"/>
  <c r="J206" i="77"/>
  <c r="F218" i="77"/>
  <c r="D251" i="77" l="1"/>
  <c r="E252" i="77" s="1"/>
  <c r="F252" i="77" s="1"/>
  <c r="F253" i="77" s="1"/>
  <c r="E254" i="77" s="1"/>
  <c r="F254" i="77" s="1"/>
  <c r="G255" i="77" s="1"/>
  <c r="I248" i="77"/>
  <c r="J249" i="77" s="1"/>
  <c r="J250" i="77" s="1"/>
  <c r="D263" i="77"/>
  <c r="E264" i="77" s="1"/>
  <c r="F264" i="77" s="1"/>
  <c r="F265" i="77" s="1"/>
  <c r="E266" i="77" s="1"/>
  <c r="F266" i="77" s="1"/>
  <c r="G267" i="77" s="1"/>
  <c r="I261" i="77"/>
  <c r="J262" i="77" s="1"/>
  <c r="J263" i="77" s="1"/>
  <c r="E219" i="77"/>
  <c r="F219" i="77" s="1"/>
  <c r="G220" i="77" s="1"/>
  <c r="F404" i="77"/>
  <c r="E410" i="77" s="1"/>
  <c r="F387" i="77"/>
  <c r="F388" i="77"/>
  <c r="F389" i="77"/>
  <c r="F390" i="77"/>
  <c r="F391" i="77"/>
  <c r="F386" i="77"/>
  <c r="F410" i="77" l="1"/>
  <c r="G410" i="77" s="1"/>
  <c r="C25" i="77" l="1"/>
  <c r="E25" i="77" s="1"/>
  <c r="G25" i="77" s="1"/>
  <c r="D392" i="77"/>
  <c r="F392" i="77" s="1"/>
  <c r="D395" i="77"/>
  <c r="F395" i="77" s="1"/>
  <c r="D394" i="77"/>
  <c r="F394" i="77" s="1"/>
  <c r="D393" i="77"/>
  <c r="F393" i="77" s="1"/>
  <c r="G398" i="77" l="1"/>
  <c r="G400" i="77" s="1"/>
  <c r="C24" i="77" l="1"/>
  <c r="E24" i="77" s="1"/>
  <c r="G24" i="77" s="1"/>
  <c r="E373" i="77"/>
  <c r="F373" i="77" s="1"/>
  <c r="E341" i="77"/>
  <c r="E340" i="77"/>
  <c r="E369" i="77" s="1"/>
  <c r="F369" i="77" s="1"/>
  <c r="E339" i="77"/>
  <c r="E338" i="77"/>
  <c r="E366" i="77" s="1"/>
  <c r="F366" i="77" s="1"/>
  <c r="F378" i="77"/>
  <c r="F377" i="77"/>
  <c r="F376" i="77"/>
  <c r="F375" i="77"/>
  <c r="F374" i="77"/>
  <c r="F372" i="77"/>
  <c r="F371" i="77"/>
  <c r="F370" i="77"/>
  <c r="F368" i="77"/>
  <c r="F367" i="77"/>
  <c r="F380" i="77" l="1"/>
  <c r="E381" i="77" s="1"/>
  <c r="F381" i="77" s="1"/>
  <c r="G381" i="77" s="1"/>
  <c r="F362" i="77" l="1"/>
  <c r="F357" i="77"/>
  <c r="F348" i="77"/>
  <c r="F347" i="77"/>
  <c r="F345" i="77"/>
  <c r="F344" i="77"/>
  <c r="F343" i="77"/>
  <c r="F342" i="77"/>
  <c r="F341" i="77"/>
  <c r="F340" i="77"/>
  <c r="F339" i="77"/>
  <c r="F338" i="77"/>
  <c r="F359" i="77" l="1"/>
  <c r="D360" i="77"/>
  <c r="E360" i="77" s="1"/>
  <c r="D361" i="77" s="1"/>
  <c r="E361" i="77" l="1"/>
  <c r="F361" i="77" s="1"/>
  <c r="G362" i="77" s="1"/>
  <c r="F307" i="77"/>
  <c r="D188" i="77" l="1"/>
  <c r="D184" i="77"/>
  <c r="E187" i="77"/>
  <c r="D182" i="77"/>
  <c r="F182" i="77" s="1"/>
  <c r="D177" i="77"/>
  <c r="F174" i="77"/>
  <c r="E152" i="77"/>
  <c r="F152" i="77" s="1"/>
  <c r="E154" i="77" s="1"/>
  <c r="F154" i="77" s="1"/>
  <c r="F168" i="77"/>
  <c r="F163" i="77"/>
  <c r="D167" i="77"/>
  <c r="F193" i="77"/>
  <c r="G196" i="77" s="1"/>
  <c r="E183" i="77"/>
  <c r="E155" i="77" l="1"/>
  <c r="F155" i="77" s="1"/>
  <c r="E157" i="77" s="1"/>
  <c r="F157" i="77" s="1"/>
  <c r="F159" i="77" s="1"/>
  <c r="C16" i="77"/>
  <c r="E16" i="77" s="1"/>
  <c r="G16" i="77" s="1"/>
  <c r="F185" i="77"/>
  <c r="F176" i="77"/>
  <c r="F177" i="77"/>
  <c r="F187" i="77"/>
  <c r="F189" i="77"/>
  <c r="F188" i="77"/>
  <c r="F186" i="77"/>
  <c r="F183" i="77"/>
  <c r="F175" i="77"/>
  <c r="F184" i="77"/>
  <c r="G190" i="77" l="1"/>
  <c r="E165" i="77"/>
  <c r="E160" i="77"/>
  <c r="C15" i="77" l="1"/>
  <c r="E15" i="77" s="1"/>
  <c r="G15" i="77" s="1"/>
  <c r="C47" i="78" l="1"/>
  <c r="C48" i="78" s="1"/>
  <c r="C29" i="78"/>
  <c r="C25" i="78"/>
  <c r="C20" i="78"/>
  <c r="C28" i="78" s="1"/>
  <c r="C13" i="78"/>
  <c r="C27" i="78" l="1"/>
  <c r="C30" i="78" s="1"/>
  <c r="C31" i="78" s="1"/>
  <c r="E128" i="77" l="1"/>
  <c r="E106" i="77"/>
  <c r="E114" i="77" s="1"/>
  <c r="E121" i="77" s="1"/>
  <c r="F146" i="77"/>
  <c r="C145" i="77"/>
  <c r="F139" i="77"/>
  <c r="D138" i="77"/>
  <c r="D145" i="77" s="1"/>
  <c r="D134" i="77"/>
  <c r="F122" i="77"/>
  <c r="C121" i="77"/>
  <c r="F115" i="77"/>
  <c r="D114" i="77"/>
  <c r="D121" i="77" s="1"/>
  <c r="D110" i="77"/>
  <c r="E134" i="77" l="1"/>
  <c r="E132" i="77"/>
  <c r="F132" i="77" s="1"/>
  <c r="F134" i="77"/>
  <c r="E109" i="77"/>
  <c r="F109" i="77" s="1"/>
  <c r="F114" i="77"/>
  <c r="F106" i="77"/>
  <c r="E110" i="77"/>
  <c r="F110" i="77" s="1"/>
  <c r="F121" i="77"/>
  <c r="E129" i="77"/>
  <c r="F129" i="77" s="1"/>
  <c r="E130" i="77"/>
  <c r="F130" i="77" s="1"/>
  <c r="E133" i="77"/>
  <c r="F133" i="77" s="1"/>
  <c r="E138" i="77"/>
  <c r="E145" i="77" s="1"/>
  <c r="F145" i="77" s="1"/>
  <c r="E107" i="77"/>
  <c r="F107" i="77" s="1"/>
  <c r="E108" i="77"/>
  <c r="F108" i="77" s="1"/>
  <c r="F128" i="77"/>
  <c r="F138" i="77" l="1"/>
  <c r="E111" i="77"/>
  <c r="F111" i="77" s="1"/>
  <c r="E131" i="77"/>
  <c r="F131" i="77" s="1"/>
  <c r="E135" i="77" s="1"/>
  <c r="F135" i="77" s="1"/>
  <c r="F112" i="77"/>
  <c r="F136" i="77" l="1"/>
  <c r="E120" i="77"/>
  <c r="E113" i="77"/>
  <c r="F113" i="77" s="1"/>
  <c r="F116" i="77" s="1"/>
  <c r="E117" i="77" s="1"/>
  <c r="F117" i="77" s="1"/>
  <c r="G117" i="77" s="1"/>
  <c r="E144" i="77" l="1"/>
  <c r="E137" i="77"/>
  <c r="F137" i="77" s="1"/>
  <c r="F140" i="77" s="1"/>
  <c r="E141" i="77" s="1"/>
  <c r="F141" i="77" s="1"/>
  <c r="G141" i="77" s="1"/>
  <c r="C12" i="77" s="1"/>
  <c r="E12" i="77" s="1"/>
  <c r="F120" i="77"/>
  <c r="F123" i="77" s="1"/>
  <c r="E124" i="77" s="1"/>
  <c r="F124" i="77" s="1"/>
  <c r="G124" i="77" s="1"/>
  <c r="F144" i="77" l="1"/>
  <c r="F147" i="77" s="1"/>
  <c r="E148" i="77" s="1"/>
  <c r="F148" i="77" s="1"/>
  <c r="G148" i="77" l="1"/>
  <c r="G12" i="77" s="1"/>
  <c r="E87" i="77"/>
  <c r="F102" i="77"/>
  <c r="F97" i="77"/>
  <c r="D101" i="77"/>
  <c r="F87" i="77" l="1"/>
  <c r="E89" i="77"/>
  <c r="F89" i="77" s="1"/>
  <c r="F297" i="77"/>
  <c r="E90" i="77" l="1"/>
  <c r="F90" i="77" s="1"/>
  <c r="E92" i="77" s="1"/>
  <c r="F92" i="77" s="1"/>
  <c r="F93" i="77" s="1"/>
  <c r="F328" i="77"/>
  <c r="E99" i="77" l="1"/>
  <c r="E94" i="77"/>
  <c r="G178" i="77"/>
  <c r="F327" i="77"/>
  <c r="C14" i="77" l="1"/>
  <c r="E14" i="77" s="1"/>
  <c r="G14" i="77" s="1"/>
  <c r="F326" i="77"/>
  <c r="F318" i="77"/>
  <c r="F319" i="77"/>
  <c r="F320" i="77"/>
  <c r="F321" i="77"/>
  <c r="F317" i="77"/>
  <c r="F296" i="77"/>
  <c r="F334" i="77" l="1"/>
  <c r="F329" i="77"/>
  <c r="F324" i="77"/>
  <c r="F323" i="77"/>
  <c r="F322" i="77"/>
  <c r="F331" i="77" s="1"/>
  <c r="D332" i="77" s="1"/>
  <c r="F306" i="77"/>
  <c r="E308" i="77" s="1"/>
  <c r="F308" i="77" s="1"/>
  <c r="E309" i="77" s="1"/>
  <c r="F309" i="77" s="1"/>
  <c r="G309" i="77" s="1"/>
  <c r="F295" i="77"/>
  <c r="G302" i="77" s="1"/>
  <c r="E290" i="77"/>
  <c r="E288" i="77"/>
  <c r="E286" i="77"/>
  <c r="E284" i="77"/>
  <c r="E282" i="77"/>
  <c r="E280" i="77"/>
  <c r="E278" i="77"/>
  <c r="E276" i="77"/>
  <c r="E274" i="77"/>
  <c r="F243" i="77"/>
  <c r="D242" i="77"/>
  <c r="F211" i="77"/>
  <c r="D209" i="77"/>
  <c r="F235" i="77"/>
  <c r="D237" i="77" s="1"/>
  <c r="F84" i="77"/>
  <c r="F79" i="77"/>
  <c r="D78" i="77"/>
  <c r="D83" i="77" s="1"/>
  <c r="E69" i="77"/>
  <c r="G45" i="77"/>
  <c r="H267" i="77" s="1"/>
  <c r="A28" i="77"/>
  <c r="A27" i="77"/>
  <c r="A26" i="77"/>
  <c r="A23" i="77"/>
  <c r="A22" i="77"/>
  <c r="A21" i="77"/>
  <c r="A20" i="77"/>
  <c r="A19" i="77"/>
  <c r="A18" i="77"/>
  <c r="A17" i="77"/>
  <c r="A9" i="77"/>
  <c r="F69" i="77" l="1"/>
  <c r="E71" i="77" s="1"/>
  <c r="F71" i="77" s="1"/>
  <c r="C271" i="77"/>
  <c r="D274" i="77" s="1"/>
  <c r="F274" i="77" s="1"/>
  <c r="H229" i="77"/>
  <c r="H255" i="77"/>
  <c r="H220" i="77"/>
  <c r="H410" i="77"/>
  <c r="H400" i="77"/>
  <c r="H381" i="77"/>
  <c r="H362" i="77"/>
  <c r="H178" i="77"/>
  <c r="H196" i="77"/>
  <c r="H190" i="77"/>
  <c r="H117" i="77"/>
  <c r="H124" i="77"/>
  <c r="E332" i="77"/>
  <c r="D333" i="77" s="1"/>
  <c r="H146" i="77"/>
  <c r="C21" i="77"/>
  <c r="H302" i="77"/>
  <c r="H309" i="77"/>
  <c r="C22" i="77"/>
  <c r="E424" i="77"/>
  <c r="F206" i="77"/>
  <c r="E333" i="77" l="1"/>
  <c r="F333" i="77" s="1"/>
  <c r="G334" i="77" s="1"/>
  <c r="G382" i="77" s="1"/>
  <c r="H382" i="77" s="1"/>
  <c r="E72" i="77"/>
  <c r="F72" i="77" s="1"/>
  <c r="E74" i="77" s="1"/>
  <c r="F74" i="77" s="1"/>
  <c r="F75" i="77" s="1"/>
  <c r="D276" i="77"/>
  <c r="F276" i="77" s="1"/>
  <c r="H135" i="77"/>
  <c r="E21" i="77"/>
  <c r="E208" i="77"/>
  <c r="F208" i="77" s="1"/>
  <c r="D280" i="77"/>
  <c r="D278" i="77"/>
  <c r="F278" i="77" s="1"/>
  <c r="E458" i="77"/>
  <c r="E436" i="77"/>
  <c r="H141" i="77"/>
  <c r="E22" i="77"/>
  <c r="E76" i="77" l="1"/>
  <c r="E81" i="77"/>
  <c r="H334" i="77"/>
  <c r="C23" i="77"/>
  <c r="E23" i="77" s="1"/>
  <c r="E209" i="77"/>
  <c r="F209" i="77" s="1"/>
  <c r="E210" i="77" s="1"/>
  <c r="F210" i="77" s="1"/>
  <c r="G211" i="77" s="1"/>
  <c r="G231" i="77" s="1"/>
  <c r="H231" i="77" s="1"/>
  <c r="I237" i="77"/>
  <c r="J238" i="77" s="1"/>
  <c r="C18" i="77"/>
  <c r="D238" i="77"/>
  <c r="D239" i="77" s="1"/>
  <c r="G22" i="77"/>
  <c r="F280" i="77"/>
  <c r="D282" i="77"/>
  <c r="G21" i="77"/>
  <c r="H211" i="77" l="1"/>
  <c r="J239" i="77"/>
  <c r="E240" i="77"/>
  <c r="F240" i="77" s="1"/>
  <c r="F241" i="77" s="1"/>
  <c r="E242" i="77" s="1"/>
  <c r="F242" i="77" s="1"/>
  <c r="G243" i="77" s="1"/>
  <c r="G269" i="77" s="1"/>
  <c r="G23" i="77"/>
  <c r="E18" i="77"/>
  <c r="D286" i="77"/>
  <c r="D284" i="77"/>
  <c r="F282" i="77"/>
  <c r="H148" i="77"/>
  <c r="C19" i="77" l="1"/>
  <c r="E19" i="77" s="1"/>
  <c r="H269" i="77"/>
  <c r="H243" i="77"/>
  <c r="D290" i="77"/>
  <c r="F290" i="77" s="1"/>
  <c r="F286" i="77"/>
  <c r="F284" i="77"/>
  <c r="D288" i="77"/>
  <c r="F288" i="77" s="1"/>
  <c r="G18" i="77"/>
  <c r="G291" i="77" l="1"/>
  <c r="G19" i="77"/>
  <c r="C20" i="77" l="1"/>
  <c r="E20" i="77" s="1"/>
  <c r="G312" i="77"/>
  <c r="H291" i="77"/>
  <c r="H312" i="77" l="1"/>
  <c r="C17" i="77"/>
  <c r="G20" i="77"/>
  <c r="E17" i="77" l="1"/>
  <c r="G17" i="77" s="1"/>
  <c r="C17" i="64" l="1"/>
  <c r="C16" i="64"/>
  <c r="C15" i="64"/>
  <c r="C14" i="64"/>
  <c r="C13" i="64"/>
  <c r="C12" i="64"/>
  <c r="C11" i="64"/>
  <c r="C10" i="64"/>
  <c r="C9" i="64"/>
  <c r="C8" i="64"/>
  <c r="C7" i="64"/>
  <c r="C6" i="64"/>
  <c r="C5" i="64"/>
  <c r="C4" i="64"/>
  <c r="C3" i="64"/>
  <c r="C42" i="8" l="1"/>
  <c r="D165" i="77" l="1"/>
  <c r="F165" i="77" s="1"/>
  <c r="F166" i="77" s="1"/>
  <c r="E167" i="77" s="1"/>
  <c r="F167" i="77" s="1"/>
  <c r="G168" i="77" s="1"/>
  <c r="D99" i="77"/>
  <c r="F99" i="77" s="1"/>
  <c r="F100" i="77" s="1"/>
  <c r="E101" i="77" s="1"/>
  <c r="F101" i="77" s="1"/>
  <c r="G102" i="77" s="1"/>
  <c r="D81" i="77"/>
  <c r="F81" i="77" s="1"/>
  <c r="F82" i="77" s="1"/>
  <c r="E83" i="77" s="1"/>
  <c r="F83" i="77" s="1"/>
  <c r="G84" i="77" s="1"/>
  <c r="A216" i="41"/>
  <c r="D219" i="41"/>
  <c r="G199" i="77" l="1"/>
  <c r="H84" i="77"/>
  <c r="G10" i="77"/>
  <c r="G11" i="77"/>
  <c r="H102" i="77"/>
  <c r="G13" i="77"/>
  <c r="H168" i="77"/>
  <c r="E138" i="41"/>
  <c r="E136" i="41"/>
  <c r="E134" i="41"/>
  <c r="G9" i="77" l="1"/>
  <c r="H199" i="77"/>
  <c r="G414" i="77"/>
  <c r="I115" i="41"/>
  <c r="H414" i="77" l="1"/>
  <c r="E442" i="77"/>
  <c r="F167" i="41"/>
  <c r="D166" i="41"/>
  <c r="F166" i="41" s="1"/>
  <c r="D165" i="41"/>
  <c r="F165" i="41" s="1"/>
  <c r="D164" i="41"/>
  <c r="F164" i="41" s="1"/>
  <c r="F163" i="41"/>
  <c r="D163" i="41"/>
  <c r="F156" i="41"/>
  <c r="F153" i="41"/>
  <c r="E154" i="41" s="1"/>
  <c r="F154" i="41" s="1"/>
  <c r="E155" i="41" s="1"/>
  <c r="F149" i="41"/>
  <c r="F147" i="41"/>
  <c r="F142" i="41"/>
  <c r="E140" i="41"/>
  <c r="E131" i="41"/>
  <c r="E132" i="41" s="1"/>
  <c r="D131" i="41"/>
  <c r="F125" i="41"/>
  <c r="F124" i="41"/>
  <c r="F123" i="41"/>
  <c r="D104" i="41"/>
  <c r="D120" i="41" s="1"/>
  <c r="D101" i="41"/>
  <c r="D103" i="41" s="1"/>
  <c r="E100" i="41"/>
  <c r="F100" i="41" s="1"/>
  <c r="D83" i="41"/>
  <c r="D84" i="41" s="1"/>
  <c r="D77" i="41"/>
  <c r="E67" i="41"/>
  <c r="F67" i="41" s="1"/>
  <c r="D56" i="41"/>
  <c r="D62" i="41" s="1"/>
  <c r="E52" i="41"/>
  <c r="F52" i="41" s="1"/>
  <c r="F53" i="41" s="1"/>
  <c r="G40" i="41"/>
  <c r="C129" i="41" s="1"/>
  <c r="F40" i="41"/>
  <c r="C44" i="41" s="1"/>
  <c r="D35" i="41"/>
  <c r="G32" i="41"/>
  <c r="F32" i="41"/>
  <c r="A24" i="41"/>
  <c r="A23" i="41"/>
  <c r="A22" i="41"/>
  <c r="A21" i="41"/>
  <c r="A20" i="41"/>
  <c r="A19" i="41"/>
  <c r="A18" i="41"/>
  <c r="A17" i="41"/>
  <c r="A16" i="41"/>
  <c r="A15" i="41"/>
  <c r="A14" i="41"/>
  <c r="A13" i="41"/>
  <c r="A12" i="41"/>
  <c r="A9" i="41"/>
  <c r="E108" i="41" l="1"/>
  <c r="F108" i="41" s="1"/>
  <c r="D110" i="41" s="1"/>
  <c r="D90" i="41"/>
  <c r="F90" i="41" s="1"/>
  <c r="E85" i="41"/>
  <c r="E84" i="41"/>
  <c r="F84" i="41" s="1"/>
  <c r="D115" i="41"/>
  <c r="D122" i="41"/>
  <c r="F122" i="41" s="1"/>
  <c r="G168" i="41"/>
  <c r="E141" i="41"/>
  <c r="G170" i="41"/>
  <c r="H168" i="41"/>
  <c r="F127" i="41"/>
  <c r="F92" i="41"/>
  <c r="F63" i="41"/>
  <c r="F78" i="41"/>
  <c r="F57" i="41"/>
  <c r="F116" i="41"/>
  <c r="F72" i="41"/>
  <c r="F105" i="41"/>
  <c r="F86" i="41"/>
  <c r="D155" i="41"/>
  <c r="F155" i="41" s="1"/>
  <c r="G156" i="41" s="1"/>
  <c r="E185" i="41"/>
  <c r="D132" i="41"/>
  <c r="E120" i="41"/>
  <c r="F120" i="41" s="1"/>
  <c r="E102" i="41"/>
  <c r="F102" i="41" s="1"/>
  <c r="E103" i="41" s="1"/>
  <c r="F103" i="41" s="1"/>
  <c r="E104" i="41" s="1"/>
  <c r="F104" i="41" s="1"/>
  <c r="E54" i="41"/>
  <c r="E60" i="41"/>
  <c r="F68" i="41"/>
  <c r="D85" i="41"/>
  <c r="F85" i="41" s="1"/>
  <c r="D91" i="41"/>
  <c r="F91" i="41" s="1"/>
  <c r="D121" i="41"/>
  <c r="F121" i="41" s="1"/>
  <c r="D111" i="41" l="1"/>
  <c r="D112" i="41" s="1"/>
  <c r="E113" i="41" s="1"/>
  <c r="F113" i="41" s="1"/>
  <c r="F114" i="41" s="1"/>
  <c r="E115" i="41" s="1"/>
  <c r="F115" i="41" s="1"/>
  <c r="G116" i="41" s="1"/>
  <c r="H116" i="41" s="1"/>
  <c r="E126" i="41"/>
  <c r="F126" i="41" s="1"/>
  <c r="G127" i="41" s="1"/>
  <c r="C17" i="41" s="1"/>
  <c r="C20" i="41"/>
  <c r="H156" i="41"/>
  <c r="D136" i="41"/>
  <c r="F136" i="41" s="1"/>
  <c r="F132" i="41"/>
  <c r="D134" i="41"/>
  <c r="F134" i="41" s="1"/>
  <c r="D138" i="41"/>
  <c r="F138" i="41" s="1"/>
  <c r="D146" i="41"/>
  <c r="F146" i="41" s="1"/>
  <c r="F148" i="41" s="1"/>
  <c r="G149" i="41" s="1"/>
  <c r="D140" i="41"/>
  <c r="F140" i="41" s="1"/>
  <c r="G92" i="41"/>
  <c r="H170" i="41"/>
  <c r="C21" i="41"/>
  <c r="E69" i="41"/>
  <c r="E75" i="41"/>
  <c r="G105" i="41"/>
  <c r="E224" i="41"/>
  <c r="E199" i="41"/>
  <c r="G86" i="41"/>
  <c r="H127" i="41" l="1"/>
  <c r="C16" i="41"/>
  <c r="H105" i="41"/>
  <c r="C15" i="41"/>
  <c r="C13" i="41"/>
  <c r="H92" i="41"/>
  <c r="E17" i="41"/>
  <c r="F141" i="41"/>
  <c r="G142" i="41" s="1"/>
  <c r="E21" i="41"/>
  <c r="H149" i="41"/>
  <c r="C19" i="41"/>
  <c r="E16" i="41"/>
  <c r="E20" i="41"/>
  <c r="C12" i="41"/>
  <c r="H86" i="41"/>
  <c r="E19" i="41" l="1"/>
  <c r="E15" i="41"/>
  <c r="E12" i="41"/>
  <c r="G21" i="41"/>
  <c r="H142" i="41"/>
  <c r="C18" i="41"/>
  <c r="G158" i="41"/>
  <c r="E13" i="41"/>
  <c r="G17" i="41"/>
  <c r="G20" i="41"/>
  <c r="G16" i="41"/>
  <c r="H158" i="41" l="1"/>
  <c r="C14" i="41"/>
  <c r="G15" i="41"/>
  <c r="G13" i="41"/>
  <c r="G12" i="41"/>
  <c r="G19" i="41"/>
  <c r="E18" i="41"/>
  <c r="G18" i="41" l="1"/>
  <c r="E14" i="41"/>
  <c r="G14" i="41" l="1"/>
  <c r="D60" i="41" l="1"/>
  <c r="F60" i="41" s="1"/>
  <c r="F61" i="41" s="1"/>
  <c r="E62" i="41" s="1"/>
  <c r="F62" i="41" s="1"/>
  <c r="G63" i="41" s="1"/>
  <c r="D75" i="41"/>
  <c r="F75" i="41" s="1"/>
  <c r="F76" i="41" s="1"/>
  <c r="E77" i="41" s="1"/>
  <c r="F77" i="41" s="1"/>
  <c r="G78" i="41" s="1"/>
  <c r="C35" i="4"/>
  <c r="D442" i="77" s="1"/>
  <c r="F442" i="77" s="1"/>
  <c r="G444" i="77" s="1"/>
  <c r="C24" i="4"/>
  <c r="D430" i="77" s="1"/>
  <c r="C11" i="4"/>
  <c r="D418" i="77" s="1"/>
  <c r="H444" i="77" l="1"/>
  <c r="G446" i="77"/>
  <c r="G10" i="41"/>
  <c r="H63" i="41"/>
  <c r="H78" i="41"/>
  <c r="G11" i="41"/>
  <c r="D178" i="41"/>
  <c r="D192" i="41"/>
  <c r="D206" i="41"/>
  <c r="C30" i="8"/>
  <c r="H446" i="77" l="1"/>
  <c r="E453" i="77"/>
  <c r="G456" i="77" s="1"/>
  <c r="C12" i="8"/>
  <c r="I449" i="77" l="1"/>
  <c r="I444" i="77"/>
  <c r="J445" i="77" s="1"/>
  <c r="J446" i="77" s="1"/>
  <c r="J447" i="77" s="1"/>
  <c r="G460" i="77"/>
  <c r="G30" i="77" s="1"/>
  <c r="H456" i="77"/>
  <c r="F453" i="77"/>
  <c r="G454" i="77" s="1"/>
  <c r="C29" i="8"/>
  <c r="H454" i="77" l="1"/>
  <c r="G28" i="77"/>
  <c r="C31" i="8"/>
  <c r="G29" i="77" l="1"/>
  <c r="H28" i="77" s="1"/>
  <c r="C32" i="8"/>
  <c r="H25" i="77" l="1"/>
  <c r="H14" i="77"/>
  <c r="H22" i="77"/>
  <c r="H17" i="77"/>
  <c r="H24" i="77"/>
  <c r="H16" i="77"/>
  <c r="H21" i="77"/>
  <c r="H18" i="77"/>
  <c r="G31" i="77"/>
  <c r="H15" i="77"/>
  <c r="H23" i="77"/>
  <c r="H19" i="77"/>
  <c r="H12" i="77"/>
  <c r="H20" i="77"/>
  <c r="H10" i="77"/>
  <c r="H11" i="77"/>
  <c r="H13" i="77"/>
  <c r="H9" i="77"/>
  <c r="D160" i="77"/>
  <c r="F160" i="77" s="1"/>
  <c r="F161" i="77" s="1"/>
  <c r="E162" i="77" s="1"/>
  <c r="F162" i="77" s="1"/>
  <c r="G163" i="77" s="1"/>
  <c r="D94" i="77"/>
  <c r="F94" i="77" s="1"/>
  <c r="F95" i="77" s="1"/>
  <c r="E96" i="77" s="1"/>
  <c r="F96" i="77" s="1"/>
  <c r="G97" i="77" s="1"/>
  <c r="D76" i="77"/>
  <c r="F76" i="77" s="1"/>
  <c r="F77" i="77" s="1"/>
  <c r="E78" i="77" s="1"/>
  <c r="F78" i="77" s="1"/>
  <c r="G79" i="77" s="1"/>
  <c r="D69" i="41"/>
  <c r="F69" i="41" s="1"/>
  <c r="F70" i="41" s="1"/>
  <c r="E71" i="41" s="1"/>
  <c r="F71" i="41" s="1"/>
  <c r="G72" i="41" s="1"/>
  <c r="D54" i="41"/>
  <c r="F54" i="41" s="1"/>
  <c r="F55" i="41" s="1"/>
  <c r="E56" i="41" s="1"/>
  <c r="F56" i="41" s="1"/>
  <c r="G57" i="41" s="1"/>
  <c r="H29" i="77" l="1"/>
  <c r="G198" i="77"/>
  <c r="H79" i="77"/>
  <c r="C10" i="77"/>
  <c r="C13" i="77"/>
  <c r="H163" i="77"/>
  <c r="C11" i="77"/>
  <c r="H97" i="77"/>
  <c r="H57" i="41"/>
  <c r="C10" i="41"/>
  <c r="G95" i="41"/>
  <c r="G94" i="41"/>
  <c r="C11" i="41"/>
  <c r="H72" i="41"/>
  <c r="E10" i="77" l="1"/>
  <c r="C9" i="77"/>
  <c r="H198" i="77"/>
  <c r="G413" i="77"/>
  <c r="E11" i="77"/>
  <c r="E13" i="77"/>
  <c r="E10" i="41"/>
  <c r="E11" i="41"/>
  <c r="E9" i="41"/>
  <c r="G172" i="41"/>
  <c r="C9" i="41"/>
  <c r="H94" i="41"/>
  <c r="G9" i="41"/>
  <c r="H95" i="41"/>
  <c r="G173" i="41"/>
  <c r="H413" i="77" l="1"/>
  <c r="E418" i="77"/>
  <c r="F418" i="77" s="1"/>
  <c r="G420" i="77" s="1"/>
  <c r="E430" i="77"/>
  <c r="F430" i="77" s="1"/>
  <c r="G432" i="77" s="1"/>
  <c r="E9" i="77"/>
  <c r="E192" i="41"/>
  <c r="F192" i="41" s="1"/>
  <c r="G193" i="41" s="1"/>
  <c r="E178" i="41"/>
  <c r="F178" i="41" s="1"/>
  <c r="G179" i="41" s="1"/>
  <c r="H172" i="41"/>
  <c r="E206" i="41"/>
  <c r="H173" i="41"/>
  <c r="G422" i="77" l="1"/>
  <c r="C26" i="77"/>
  <c r="C29" i="77" s="1"/>
  <c r="H420" i="77"/>
  <c r="G434" i="77"/>
  <c r="H432" i="77"/>
  <c r="E27" i="77"/>
  <c r="H179" i="41"/>
  <c r="G181" i="41"/>
  <c r="F206" i="41"/>
  <c r="G207" i="41" s="1"/>
  <c r="H193" i="41"/>
  <c r="G195" i="41"/>
  <c r="H434" i="77" l="1"/>
  <c r="G438" i="77"/>
  <c r="E30" i="77" s="1"/>
  <c r="D26" i="77"/>
  <c r="C31" i="77"/>
  <c r="D23" i="77"/>
  <c r="D19" i="77"/>
  <c r="D14" i="77"/>
  <c r="D24" i="77"/>
  <c r="D20" i="77"/>
  <c r="D15" i="77"/>
  <c r="D17" i="77"/>
  <c r="D25" i="77"/>
  <c r="D21" i="77"/>
  <c r="D16" i="77"/>
  <c r="D12" i="77"/>
  <c r="D22" i="77"/>
  <c r="D18" i="77"/>
  <c r="D10" i="77"/>
  <c r="D11" i="77"/>
  <c r="D13" i="77"/>
  <c r="D9" i="77"/>
  <c r="H422" i="77"/>
  <c r="G426" i="77"/>
  <c r="C30" i="77" s="1"/>
  <c r="E29" i="77"/>
  <c r="E23" i="41"/>
  <c r="E25" i="41" s="1"/>
  <c r="H195" i="41"/>
  <c r="G197" i="41"/>
  <c r="H181" i="41"/>
  <c r="C22" i="41"/>
  <c r="C25" i="41" s="1"/>
  <c r="G183" i="41"/>
  <c r="H207" i="41"/>
  <c r="G209" i="41"/>
  <c r="D29" i="77" l="1"/>
  <c r="F25" i="77"/>
  <c r="F19" i="77"/>
  <c r="F17" i="77"/>
  <c r="F23" i="77"/>
  <c r="F24" i="77"/>
  <c r="F18" i="77"/>
  <c r="F12" i="77"/>
  <c r="F21" i="77"/>
  <c r="E31" i="77"/>
  <c r="F14" i="77"/>
  <c r="F20" i="77"/>
  <c r="F22" i="77"/>
  <c r="F15" i="77"/>
  <c r="F16" i="77"/>
  <c r="F13" i="77"/>
  <c r="F10" i="77"/>
  <c r="F11" i="77"/>
  <c r="F9" i="77"/>
  <c r="F27" i="77"/>
  <c r="G187" i="41"/>
  <c r="C26" i="41" s="1"/>
  <c r="H183" i="41"/>
  <c r="D22" i="41"/>
  <c r="D18" i="41"/>
  <c r="D12" i="41"/>
  <c r="D20" i="41"/>
  <c r="D16" i="41"/>
  <c r="D15" i="41"/>
  <c r="D19" i="41"/>
  <c r="D14" i="41"/>
  <c r="D17" i="41"/>
  <c r="D21" i="41"/>
  <c r="D13" i="41"/>
  <c r="D10" i="41"/>
  <c r="D11" i="41"/>
  <c r="D9" i="41"/>
  <c r="H197" i="41"/>
  <c r="G201" i="41"/>
  <c r="E26" i="41" s="1"/>
  <c r="H209" i="41"/>
  <c r="G211" i="41"/>
  <c r="F23" i="41"/>
  <c r="F20" i="41"/>
  <c r="F17" i="41"/>
  <c r="F15" i="41"/>
  <c r="F14" i="41"/>
  <c r="F18" i="41"/>
  <c r="F21" i="41"/>
  <c r="F16" i="41"/>
  <c r="F13" i="41"/>
  <c r="F19" i="41"/>
  <c r="F12" i="41"/>
  <c r="F10" i="41"/>
  <c r="F9" i="41"/>
  <c r="F11" i="41"/>
  <c r="F29" i="77" l="1"/>
  <c r="F25" i="41"/>
  <c r="D25" i="41"/>
  <c r="H211" i="41"/>
  <c r="E219" i="41"/>
  <c r="G222" i="41" s="1"/>
  <c r="H222" i="41" l="1"/>
  <c r="F219" i="41"/>
  <c r="G220" i="41" s="1"/>
  <c r="G226" i="41"/>
  <c r="G26" i="41" s="1"/>
  <c r="H220" i="41" l="1"/>
  <c r="G24" i="41"/>
  <c r="G25" i="41" s="1"/>
  <c r="H24" i="41" l="1"/>
  <c r="H16" i="41"/>
  <c r="H13" i="41"/>
  <c r="H9" i="41"/>
  <c r="H15" i="41"/>
  <c r="H14" i="41"/>
  <c r="H11" i="41"/>
  <c r="H20" i="41"/>
  <c r="H17" i="41"/>
  <c r="H19" i="41"/>
  <c r="H18" i="41"/>
  <c r="H21" i="41"/>
  <c r="H10" i="41"/>
  <c r="H12" i="41"/>
  <c r="H25" i="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Win 11</author>
    <author>Clauber Bridi</author>
  </authors>
  <commentList>
    <comment ref="B4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4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F35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 xml:space="preserve">Informar a quantidade  de operador
</t>
        </r>
      </text>
    </comment>
    <comment ref="G35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 xml:space="preserve">Adotado o Piso da categoria fixado na Convenção Coletiva.
</t>
        </r>
      </text>
    </comment>
    <comment ref="F42" authorId="0" shapeId="0" xr:uid="{00000000-0006-0000-0000-000006000000}">
      <text>
        <r>
          <rPr>
            <b/>
            <sz val="9"/>
            <color indexed="81"/>
            <rFont val="Segoe UI"/>
            <family val="2"/>
          </rPr>
          <t xml:space="preserve">Informar a quantidade de dias trabalhados por mês
</t>
        </r>
      </text>
    </comment>
    <comment ref="G43" authorId="0" shapeId="0" xr:uid="{00000000-0006-0000-0000-000007000000}">
      <text>
        <r>
          <rPr>
            <b/>
            <sz val="9"/>
            <color indexed="81"/>
            <rFont val="Segoe UI"/>
            <family val="2"/>
          </rPr>
          <t>Informar a quantidade média de horas efetivamente trabalhadas por dia.</t>
        </r>
      </text>
    </comment>
    <comment ref="G45" authorId="0" shapeId="0" xr:uid="{00000000-0006-0000-0000-000008000000}">
      <text>
        <r>
          <rPr>
            <b/>
            <sz val="9"/>
            <color indexed="81"/>
            <rFont val="Segoe UI"/>
            <family val="2"/>
          </rPr>
          <t>Quantidade média de horas efetivamente trabalhadas por mês.</t>
        </r>
      </text>
    </comment>
    <comment ref="F48" authorId="0" shapeId="0" xr:uid="{00000000-0006-0000-0000-000009000000}">
      <text>
        <r>
          <rPr>
            <b/>
            <sz val="9"/>
            <color indexed="81"/>
            <rFont val="Segoe UI"/>
            <family val="2"/>
          </rPr>
          <t xml:space="preserve">Informar a quantidade de operador
</t>
        </r>
      </text>
    </comment>
    <comment ref="G48" authorId="1" shapeId="0" xr:uid="{00000000-0006-0000-0000-00000A000000}">
      <text>
        <r>
          <rPr>
            <b/>
            <sz val="9"/>
            <color indexed="81"/>
            <rFont val="Segoe UI"/>
            <family val="2"/>
          </rPr>
          <t xml:space="preserve">Informar valor do equipamento
</t>
        </r>
      </text>
    </comment>
    <comment ref="C63" authorId="2" shapeId="0" xr:uid="{00000000-0006-0000-0000-00000B000000}">
      <text>
        <r>
          <rPr>
            <b/>
            <sz val="9"/>
            <color indexed="81"/>
            <rFont val="Tahoma"/>
            <family val="2"/>
          </rPr>
          <t>É calculado o fator de utilização das mao de obras e equipamentos</t>
        </r>
      </text>
    </comment>
    <comment ref="E70" authorId="2" shapeId="0" xr:uid="{00000000-0006-0000-0000-00000C000000}">
      <text>
        <r>
          <rPr>
            <sz val="9"/>
            <color indexed="81"/>
            <rFont val="Tahoma"/>
            <family val="2"/>
          </rPr>
          <t xml:space="preserve">Informar o valor do salário Mínimo 
</t>
        </r>
      </text>
    </comment>
    <comment ref="D73" authorId="2" shapeId="0" xr:uid="{00000000-0006-0000-0000-00000D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Mínimo; Informar 2 se a base de cálculo for o Piso da Categoria; 
</t>
        </r>
      </text>
    </comment>
    <comment ref="D74" authorId="2" shapeId="0" xr:uid="{00000000-0006-0000-0000-00000E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76" authorId="2" shapeId="0" xr:uid="{00000000-0006-0000-0000-00000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81" authorId="2" shapeId="0" xr:uid="{00000000-0006-0000-0000-000010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8" authorId="2" shapeId="0" xr:uid="{00000000-0006-0000-0000-000011000000}">
      <text>
        <r>
          <rPr>
            <sz val="9"/>
            <color indexed="81"/>
            <rFont val="Tahoma"/>
            <family val="2"/>
          </rPr>
          <t xml:space="preserve">Informar o valor do salário Mínimo 
</t>
        </r>
      </text>
    </comment>
    <comment ref="D91" authorId="2" shapeId="0" xr:uid="{00000000-0006-0000-0000-000012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Mínimo; Informar 2 se a base de cálculo for o Piso da Categoria; 
</t>
        </r>
      </text>
    </comment>
    <comment ref="D92" authorId="2" shapeId="0" xr:uid="{00000000-0006-0000-0000-000013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94" authorId="2" shapeId="0" xr:uid="{00000000-0006-0000-0000-000014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99" authorId="2" shapeId="0" xr:uid="{00000000-0006-0000-0000-000015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07" authorId="2" shapeId="0" xr:uid="{00000000-0006-0000-0000-000016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8" authorId="2" shapeId="0" xr:uid="{00000000-0006-0000-0000-000017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D111" authorId="2" shapeId="0" xr:uid="{00000000-0006-0000-0000-000018000000}">
      <text>
        <r>
          <rPr>
            <sz val="9"/>
            <color indexed="81"/>
            <rFont val="Tahoma"/>
            <family val="2"/>
          </rPr>
          <t>Informar o percentual de periculosidade.</t>
        </r>
      </text>
    </comment>
    <comment ref="D113" authorId="2" shapeId="0" xr:uid="{00000000-0006-0000-00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20" authorId="2" shapeId="0" xr:uid="{00000000-0006-0000-00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29" authorId="2" shapeId="0" xr:uid="{00000000-0006-0000-0000-00001B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0" authorId="2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D135" authorId="2" shapeId="0" xr:uid="{00000000-0006-0000-0000-00001D000000}">
      <text>
        <r>
          <rPr>
            <sz val="9"/>
            <color indexed="81"/>
            <rFont val="Tahoma"/>
            <family val="2"/>
          </rPr>
          <t>Informar o percentual de periculosidade.</t>
        </r>
      </text>
    </comment>
    <comment ref="D137" authorId="2" shapeId="0" xr:uid="{00000000-0006-0000-0000-00001E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44" authorId="2" shapeId="0" xr:uid="{00000000-0006-0000-0000-00001F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153" authorId="2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o valor do salário Mínimo 
</t>
        </r>
      </text>
    </comment>
    <comment ref="D156" authorId="2" shapeId="0" xr:uid="{00000000-0006-0000-0000-000021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Mínimo; Informar 2 se a base de cálculo for o Piso da Categoria; 
</t>
        </r>
      </text>
    </comment>
    <comment ref="D157" authorId="2" shapeId="0" xr:uid="{00000000-0006-0000-0000-000022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D160" authorId="2" shapeId="0" xr:uid="{00000000-0006-0000-0000-000023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165" authorId="2" shapeId="0" xr:uid="{00000000-0006-0000-0000-000024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171" authorId="2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D172" authorId="2" shapeId="0" xr:uid="{00000000-0006-0000-0000-000026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E174" authorId="2" shapeId="0" xr:uid="{00000000-0006-0000-0000-000027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75" authorId="2" shapeId="0" xr:uid="{00000000-0006-0000-0000-000028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76" authorId="2" shapeId="0" xr:uid="{00000000-0006-0000-0000-000029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77" authorId="2" shapeId="0" xr:uid="{00000000-0006-0000-0000-00002A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182" authorId="2" shapeId="0" xr:uid="{00000000-0006-0000-0000-00002B000000}">
      <text>
        <r>
          <rPr>
            <sz val="9"/>
            <color indexed="81"/>
            <rFont val="Tahoma"/>
            <family val="2"/>
          </rPr>
          <t>Informar o valor unitário diário do vale refeição, conforme CCT da categoria.</t>
        </r>
      </text>
    </comment>
    <comment ref="D183" authorId="0" shapeId="0" xr:uid="{00000000-0006-0000-0000-00002C000000}">
      <text>
        <r>
          <rPr>
            <b/>
            <sz val="9"/>
            <color indexed="81"/>
            <rFont val="Segoe UI"/>
            <family val="2"/>
          </rPr>
          <t>Inserir o % de desconto previsto na CCT desta categoria.</t>
        </r>
      </text>
    </comment>
    <comment ref="E193" authorId="2" shapeId="0" xr:uid="{00000000-0006-0000-0000-00002D000000}">
      <text>
        <r>
          <rPr>
            <sz val="9"/>
            <color indexed="81"/>
            <rFont val="Tahoma"/>
            <family val="2"/>
          </rPr>
          <t>Informar o valor unitário do seguro de vida.</t>
        </r>
      </text>
    </comment>
    <comment ref="D208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 xml:space="preserve">Informar o percentual que será depreciado ao longo da sua vida útil. É definido em função do valor venal residual dos equipametnos, após decorrida sua vida útil. </t>
        </r>
      </text>
    </comment>
    <comment ref="D217" authorId="2" shapeId="0" xr:uid="{00000000-0006-0000-0000-00002F000000}">
      <text>
        <r>
          <rPr>
            <b/>
            <sz val="9"/>
            <color indexed="81"/>
            <rFont val="Tahoma"/>
            <family val="2"/>
          </rPr>
          <t xml:space="preserve">Informar o percentual que será depreciado ao longo da sua vida útil. É definido em função do valor venal residual dos equipametnos, após decorrida sua vida útil. </t>
        </r>
      </text>
    </comment>
    <comment ref="D226" authorId="2" shapeId="0" xr:uid="{00000000-0006-0000-0000-000030000000}">
      <text>
        <r>
          <rPr>
            <b/>
            <sz val="9"/>
            <color indexed="81"/>
            <rFont val="Tahoma"/>
            <family val="2"/>
          </rPr>
          <t xml:space="preserve">Informar o percentual que será depreciado ao longo da sua vida útil. É definido em função do valor venal residual dos equipametnos, após decorrida sua vida útil. </t>
        </r>
      </text>
    </comment>
    <comment ref="D236" authorId="2" shapeId="0" xr:uid="{00000000-0006-0000-0000-000031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8" authorId="2" shapeId="0" xr:uid="{00000000-0006-0000-0000-000032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3" authorId="2" shapeId="0" xr:uid="{00000000-0006-0000-0000-000034000000}">
      <text>
        <r>
          <rPr>
            <sz val="9"/>
            <color indexed="81"/>
            <rFont val="Tahoma"/>
            <family val="2"/>
          </rPr>
          <t>Informar o consumo estimado litros por hora</t>
        </r>
      </text>
    </comment>
    <comment ref="E273" authorId="1" shapeId="0" xr:uid="{00000000-0006-0000-0000-000035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75" authorId="1" shapeId="0" xr:uid="{00000000-0006-0000-0000-000036000000}">
      <text>
        <r>
          <rPr>
            <sz val="9"/>
            <color indexed="81"/>
            <rFont val="Segoe UI"/>
            <family val="2"/>
          </rPr>
          <t xml:space="preserve">
Informar o consumo estimado litros por hora</t>
        </r>
      </text>
    </comment>
    <comment ref="E275" authorId="1" shapeId="0" xr:uid="{00000000-0006-0000-0000-000037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77" authorId="2" shapeId="0" xr:uid="{00000000-0006-0000-0000-000038000000}">
      <text>
        <r>
          <rPr>
            <sz val="9"/>
            <color indexed="81"/>
            <rFont val="Tahoma"/>
            <family val="2"/>
          </rPr>
          <t>Informar o consumo de óleo a cada 200 horas tralhadas</t>
        </r>
      </text>
    </comment>
    <comment ref="E277" authorId="2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o preço unitário 
</t>
        </r>
      </text>
    </comment>
    <comment ref="D279" authorId="2" shapeId="0" xr:uid="{00000000-0006-0000-0000-00003A000000}">
      <text>
        <r>
          <rPr>
            <sz val="9"/>
            <color indexed="81"/>
            <rFont val="Tahoma"/>
            <family val="2"/>
          </rPr>
          <t>Informar o consumo de óleo a cada 200 horas tralhadas</t>
        </r>
      </text>
    </comment>
    <comment ref="E279" authorId="1" shapeId="0" xr:uid="{00000000-0006-0000-0000-00003B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1" authorId="2" shapeId="0" xr:uid="{00000000-0006-0000-0000-00003C000000}">
      <text>
        <r>
          <rPr>
            <sz val="9"/>
            <color indexed="81"/>
            <rFont val="Tahoma"/>
            <family val="2"/>
          </rPr>
          <t>Informar o consumo de filtro(s) a cada 200 horas trabalhadas</t>
        </r>
      </text>
    </comment>
    <comment ref="E281" authorId="1" shapeId="0" xr:uid="{00000000-0006-0000-0000-00003D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3" authorId="2" shapeId="0" xr:uid="{00000000-0006-0000-0000-00003E000000}">
      <text>
        <r>
          <rPr>
            <sz val="9"/>
            <color indexed="81"/>
            <rFont val="Tahoma"/>
            <family val="2"/>
          </rPr>
          <t>Informar o consumo de filtro(s) a cada 200 horas trabalhadas</t>
        </r>
      </text>
    </comment>
    <comment ref="E283" authorId="1" shapeId="0" xr:uid="{00000000-0006-0000-0000-00003F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5" authorId="1" shapeId="0" xr:uid="{00000000-0006-0000-0000-000040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85" authorId="1" shapeId="0" xr:uid="{00000000-0006-0000-0000-000041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7" authorId="1" shapeId="0" xr:uid="{00000000-0006-0000-0000-000042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87" authorId="1" shapeId="0" xr:uid="{00000000-0006-0000-0000-000043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D289" authorId="1" shapeId="0" xr:uid="{00000000-0006-0000-0000-000044000000}">
      <text>
        <r>
          <rPr>
            <sz val="9"/>
            <color indexed="81"/>
            <rFont val="Segoe UI"/>
            <family val="2"/>
          </rPr>
          <t xml:space="preserve">
Informar o consumo de filtro(s) a cada 200 horas trabalhadas</t>
        </r>
      </text>
    </comment>
    <comment ref="E289" authorId="1" shapeId="0" xr:uid="{00000000-0006-0000-0000-000045000000}">
      <text>
        <r>
          <rPr>
            <sz val="9"/>
            <color indexed="81"/>
            <rFont val="Segoe UI"/>
            <family val="2"/>
          </rPr>
          <t xml:space="preserve">
Informar o preço unitário 
</t>
        </r>
      </text>
    </comment>
    <comment ref="E295" authorId="2" shapeId="0" xr:uid="{00000000-0006-0000-0000-000046000000}">
      <text>
        <r>
          <rPr>
            <sz val="9"/>
            <color indexed="81"/>
            <rFont val="Tahoma"/>
            <family val="2"/>
          </rPr>
          <t xml:space="preserve">Informar o custo estiamdo para manutenção mensal 
</t>
        </r>
      </text>
    </comment>
    <comment ref="D306" authorId="2" shapeId="0" xr:uid="{00000000-0006-0000-0000-000047000000}">
      <text>
        <r>
          <rPr>
            <sz val="9"/>
            <color indexed="81"/>
            <rFont val="Tahoma"/>
            <family val="2"/>
          </rPr>
          <t xml:space="preserve">Informar a quantidade de pneus novos.
</t>
        </r>
      </text>
    </comment>
    <comment ref="E306" authorId="2" shapeId="0" xr:uid="{00000000-0006-0000-0000-000048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D308" authorId="2" shapeId="0" xr:uid="{00000000-0006-0000-0000-000049000000}">
      <text>
        <r>
          <rPr>
            <sz val="9"/>
            <color indexed="81"/>
            <rFont val="Tahoma"/>
            <family val="2"/>
          </rPr>
          <t xml:space="preserve">Informar a durabilidade média em horas.
</t>
        </r>
      </text>
    </comment>
    <comment ref="D322" authorId="2" shapeId="0" xr:uid="{00000000-0006-0000-0000-00004A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2" authorId="2" shapeId="0" xr:uid="{00000000-0006-0000-0000-00004B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323" authorId="2" shapeId="0" xr:uid="{00000000-0006-0000-0000-00004C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3" authorId="2" shapeId="0" xr:uid="{00000000-0006-0000-0000-00004D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24" authorId="2" shapeId="0" xr:uid="{00000000-0006-0000-0000-00004E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4" authorId="2" shapeId="0" xr:uid="{00000000-0006-0000-0000-00004F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25" authorId="2" shapeId="0" xr:uid="{00000000-0006-0000-0000-000050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5" authorId="2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29" authorId="2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29" authorId="2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43" authorId="2" shapeId="0" xr:uid="{00000000-0006-0000-0000-000054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43" authorId="2" shapeId="0" xr:uid="{00000000-0006-0000-0000-000055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344" authorId="2" shapeId="0" xr:uid="{00000000-0006-0000-0000-000056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44" authorId="2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45" authorId="2" shapeId="0" xr:uid="{00000000-0006-0000-0000-000058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45" authorId="2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57" authorId="2" shapeId="0" xr:uid="{00000000-0006-0000-0000-00005A000000}">
      <text>
        <r>
          <rPr>
            <sz val="9"/>
            <color indexed="81"/>
            <rFont val="Tahoma"/>
            <family val="2"/>
          </rPr>
          <t xml:space="preserve">Informar a quantidade por Ano.
</t>
        </r>
      </text>
    </comment>
    <comment ref="E357" authorId="2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66" authorId="2" shapeId="0" xr:uid="{00000000-0006-0000-0000-00005C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66" authorId="2" shapeId="0" xr:uid="{00000000-0006-0000-0000-00005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67" authorId="2" shapeId="0" xr:uid="{00000000-0006-0000-0000-00005E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67" authorId="2" shapeId="0" xr:uid="{00000000-0006-0000-0000-00005F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68" authorId="2" shapeId="0" xr:uid="{00000000-0006-0000-0000-000060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68" authorId="2" shapeId="0" xr:uid="{00000000-0006-0000-0000-000061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69" authorId="2" shapeId="0" xr:uid="{00000000-0006-0000-0000-000062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69" authorId="2" shapeId="0" xr:uid="{00000000-0006-0000-0000-000063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70" authorId="2" shapeId="0" xr:uid="{00000000-0006-0000-0000-000064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70" authorId="2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71" authorId="2" shapeId="0" xr:uid="{00000000-0006-0000-0000-000066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71" authorId="2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72" authorId="2" shapeId="0" xr:uid="{00000000-0006-0000-0000-000068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72" authorId="2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73" authorId="2" shapeId="0" xr:uid="{00000000-0006-0000-0000-00006A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73" authorId="2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75" authorId="2" shapeId="0" xr:uid="{00000000-0006-0000-0000-00006C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75" authorId="2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78" authorId="2" shapeId="0" xr:uid="{00000000-0006-0000-0000-00006E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378" authorId="2" shapeId="0" xr:uid="{00000000-0006-0000-0000-00006F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386" authorId="2" shapeId="0" xr:uid="{00000000-0006-0000-0000-000070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386" authorId="2" shapeId="0" xr:uid="{00000000-0006-0000-0000-000071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389" authorId="2" shapeId="0" xr:uid="{00000000-0006-0000-0000-000072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389" authorId="2" shapeId="0" xr:uid="{00000000-0006-0000-0000-000073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90" authorId="0" shapeId="0" xr:uid="{00000000-0006-0000-0000-000074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390" authorId="2" shapeId="0" xr:uid="{00000000-0006-0000-0000-000075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391" authorId="2" shapeId="0" xr:uid="{00000000-0006-0000-0000-000076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391" authorId="2" shapeId="0" xr:uid="{00000000-0006-0000-0000-000077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393" authorId="2" shapeId="0" xr:uid="{00000000-0006-0000-0000-00007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393" authorId="2" shapeId="0" xr:uid="{00000000-0006-0000-0000-00007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394" authorId="2" shapeId="0" xr:uid="{00000000-0006-0000-0000-00007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394" authorId="2" shapeId="0" xr:uid="{00000000-0006-0000-0000-00007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395" authorId="2" shapeId="0" xr:uid="{00000000-0006-0000-0000-00007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E395" authorId="2" shapeId="0" xr:uid="{00000000-0006-0000-0000-00007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D404" authorId="2" shapeId="0" xr:uid="{00000000-0006-0000-0000-00007E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404" authorId="2" shapeId="0" xr:uid="{00000000-0006-0000-0000-00007F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418" authorId="2" shapeId="0" xr:uid="{00000000-0006-0000-0000-000080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430" authorId="2" shapeId="0" xr:uid="{00000000-0006-0000-0000-000081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442" authorId="2" shapeId="0" xr:uid="{00000000-0006-0000-0000-000082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450" authorId="0" shapeId="0" xr:uid="{00000000-0006-0000-0000-000083000000}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453" authorId="2" shapeId="0" xr:uid="{00000000-0006-0000-0000-000084000000}">
      <text>
        <r>
          <rPr>
            <sz val="9"/>
            <color indexed="81"/>
            <rFont val="Tahoma"/>
            <family val="2"/>
          </rPr>
          <t xml:space="preserve">Identificar a aliquota de acordo com enquadramento do Anexo III do Simples Nacional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Clauber Bridi</author>
  </authors>
  <commentList>
    <comment ref="B3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 xr:uid="{00000000-0006-0000-0400-000002000000}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 xr:uid="{00000000-0006-0000-0400-000003000000}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B4" authorId="0" shapeId="0" xr:uid="{00000000-0006-0000-0400-000004000000}">
      <text>
        <r>
          <rPr>
            <b/>
            <sz val="9"/>
            <color indexed="81"/>
            <rFont val="Segoe UI"/>
            <family val="2"/>
          </rPr>
          <t>Informado o número do lote.</t>
        </r>
      </text>
    </comment>
    <comment ref="D4" authorId="0" shapeId="0" xr:uid="{00000000-0006-0000-0400-000005000000}">
      <text>
        <r>
          <rPr>
            <b/>
            <sz val="9"/>
            <color indexed="81"/>
            <rFont val="Segoe UI"/>
            <family val="2"/>
          </rPr>
          <t>Informado o número do ítem do lote.</t>
        </r>
      </text>
    </comment>
    <comment ref="F30" authorId="0" shapeId="0" xr:uid="{00000000-0006-0000-0400-000006000000}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30" authorId="0" shapeId="0" xr:uid="{00000000-0006-0000-0400-000007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F31" authorId="0" shapeId="0" xr:uid="{00000000-0006-0000-0400-000008000000}">
      <text>
        <r>
          <rPr>
            <b/>
            <sz val="9"/>
            <color indexed="81"/>
            <rFont val="Segoe UI"/>
            <family val="2"/>
          </rPr>
          <t>Informar a quantidade de monitores para este item, deste trajeto.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31" authorId="0" shapeId="0" xr:uid="{00000000-0006-0000-0400-000009000000}">
      <text>
        <r>
          <rPr>
            <b/>
            <sz val="9"/>
            <color indexed="81"/>
            <rFont val="Segoe UI"/>
            <family val="2"/>
          </rPr>
          <t>Adotado o Piso da categoria fixado na Convenção Coletiva.
Informar o valor do salário pago pela empresa.</t>
        </r>
      </text>
    </comment>
    <comment ref="C35" authorId="0" shapeId="0" xr:uid="{00000000-0006-0000-0400-00000A000000}">
      <text>
        <r>
          <rPr>
            <b/>
            <sz val="9"/>
            <color indexed="81"/>
            <rFont val="Segoe UI"/>
            <family val="2"/>
          </rPr>
          <t>Informar a vida útil do veículo em anos. Determinado pela taxa de depreciação aplicável.
Ex.: Se taxa depr = 10% aa, então vida útil é de 10 anos. Se taxa depr. = 20 % aa, então vida útil é de 5 anos.</t>
        </r>
      </text>
    </comment>
    <comment ref="E35" authorId="0" shapeId="0" xr:uid="{00000000-0006-0000-0400-00000B000000}">
      <text>
        <r>
          <rPr>
            <b/>
            <sz val="9"/>
            <color indexed="81"/>
            <rFont val="Segoe UI"/>
            <family val="2"/>
          </rPr>
          <t>Informar a quantidade de lugares do veículo, para este ítem, deste trajeto, conforme consta no projeto.</t>
        </r>
      </text>
    </comment>
    <comment ref="F35" authorId="0" shapeId="0" xr:uid="{00000000-0006-0000-0400-00000C000000}">
      <text>
        <r>
          <rPr>
            <b/>
            <sz val="9"/>
            <color indexed="81"/>
            <rFont val="Segoe UI"/>
            <family val="2"/>
          </rPr>
          <t>Informar a quantidade de veículos, para este item, deste trajeto.</t>
        </r>
      </text>
    </comment>
    <comment ref="G35" authorId="0" shapeId="0" xr:uid="{00000000-0006-0000-0400-00000D000000}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F36" authorId="0" shapeId="0" xr:uid="{00000000-0006-0000-0400-00000E000000}">
      <text>
        <r>
          <rPr>
            <b/>
            <sz val="9"/>
            <color indexed="81"/>
            <rFont val="Segoe UI"/>
            <family val="2"/>
          </rPr>
          <t>Informar o consumo médio (Km por litro), deste veículo, em via pavimentada.</t>
        </r>
      </text>
    </comment>
    <comment ref="G36" authorId="0" shapeId="0" xr:uid="{00000000-0006-0000-0400-00000F000000}">
      <text>
        <r>
          <rPr>
            <b/>
            <sz val="9"/>
            <color indexed="81"/>
            <rFont val="Segoe UI"/>
            <family val="2"/>
          </rPr>
          <t>Informar o valor do litro de combustível utilizado por este veículo (R$ por litro)</t>
        </r>
      </text>
    </comment>
    <comment ref="F37" authorId="0" shapeId="0" xr:uid="{00000000-0006-0000-0400-000010000000}">
      <text>
        <r>
          <rPr>
            <b/>
            <sz val="9"/>
            <color indexed="81"/>
            <rFont val="Segoe UI"/>
            <family val="2"/>
          </rPr>
          <t>Informar a velocidade média de deslocamento do veículo, em função do tipo de pavimento, conforme consta no projeto.</t>
        </r>
      </text>
    </comment>
    <comment ref="E40" authorId="0" shapeId="0" xr:uid="{00000000-0006-0000-0400-000011000000}">
      <text>
        <r>
          <rPr>
            <b/>
            <sz val="9"/>
            <color indexed="81"/>
            <rFont val="Segoe UI"/>
            <family val="2"/>
          </rPr>
          <t>Informar a quantidade de Km percorridos por dia, para este item, deste trajeto, conforme consta no projeto.</t>
        </r>
      </text>
    </comment>
    <comment ref="F40" authorId="0" shapeId="0" xr:uid="{00000000-0006-0000-0400-000012000000}">
      <text>
        <r>
          <rPr>
            <b/>
            <sz val="9"/>
            <color indexed="81"/>
            <rFont val="Segoe UI"/>
            <family val="2"/>
          </rPr>
          <t>É um campo calculado pela seguinte fórmula: Quilometragem percorrida por dia, dividido pela velocidade média em função do pavimento, acrescido do fator de majoração por "Tempo p/Higienização"</t>
        </r>
      </text>
    </comment>
    <comment ref="E41" authorId="0" shapeId="0" xr:uid="{00000000-0006-0000-0400-000013000000}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C44" authorId="1" shapeId="0" xr:uid="{00000000-0006-0000-0400-000014000000}">
      <text>
        <r>
          <rPr>
            <b/>
            <sz val="9"/>
            <color indexed="81"/>
            <rFont val="Tahoma"/>
            <family val="2"/>
          </rPr>
          <t>É calculado o fator de utilização das equipes e veículos.
Fórmula: Tempo despendido com os deslocamentos diários, dividido pela quantia de horas normais do dia completo (8,80 hs).</t>
        </r>
      </text>
    </comment>
    <comment ref="C45" authorId="1" shapeId="0" xr:uid="{00000000-0006-0000-0400-000015000000}">
      <text>
        <r>
          <rPr>
            <b/>
            <sz val="9"/>
            <color indexed="81"/>
            <rFont val="Tahoma"/>
            <family val="2"/>
          </rPr>
          <t>Informar o fator de majoração em função do tipo de pavimento. 
Por exemplo:
- Via pavimentada: 00%
- Via mista: 15,00%
- Via sem pavimento: 20,00%
- Via mista ou de chão batido c/difícil acesso: 25,00%</t>
        </r>
      </text>
    </comment>
    <comment ref="C46" authorId="1" shapeId="0" xr:uid="{00000000-0006-0000-0400-000016000000}">
      <text>
        <r>
          <rPr>
            <b/>
            <sz val="9"/>
            <color indexed="81"/>
            <rFont val="Tahoma"/>
            <family val="2"/>
          </rPr>
          <t xml:space="preserve">Campo informado pelo licitante:
Tempo diário para Higienização do Veículo, em horas.
</t>
        </r>
      </text>
    </comment>
    <comment ref="D54" authorId="1" shapeId="0" xr:uid="{00000000-0006-0000-0400-000017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0" authorId="1" shapeId="0" xr:uid="{00000000-0006-0000-0400-000018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9" authorId="1" shapeId="0" xr:uid="{00000000-0006-0000-0400-000019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5" authorId="1" shapeId="0" xr:uid="{00000000-0006-0000-0400-00001A000000}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2" authorId="1" shapeId="0" xr:uid="{00000000-0006-0000-0400-00001B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84" authorId="1" shapeId="0" xr:uid="{00000000-0006-0000-0400-00001C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E85" authorId="1" shapeId="0" xr:uid="{00000000-0006-0000-0400-00001D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0" authorId="1" shapeId="0" xr:uid="{00000000-0006-0000-0400-00001E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E91" authorId="1" shapeId="0" xr:uid="{00000000-0006-0000-0400-00001F000000}">
      <text>
        <r>
          <rPr>
            <sz val="9"/>
            <color indexed="81"/>
            <rFont val="Tahoma"/>
            <family val="2"/>
          </rPr>
          <t>Informado o valor unitário diário do vale refeição, constante na CCT da categoria.</t>
        </r>
      </text>
    </comment>
    <comment ref="D102" authorId="1" shapeId="0" xr:uid="{00000000-0006-0000-0400-000020000000}">
      <text>
        <r>
          <rPr>
            <b/>
            <sz val="9"/>
            <color indexed="81"/>
            <rFont val="Tahoma"/>
            <family val="2"/>
          </rPr>
          <t>Informar o percentual que será depreciado ao longo da sua vida útil. É definido em função do valor venal residual do veículo, após decorrida sua vida útil. Ex: Valor residual venal é de R$ 40.000 de um veículo que custa R$ 100.000, ou seja, 40% do valor, donde se conclui que o valor a ser depreciado é de 60% (100-40).</t>
        </r>
      </text>
    </comment>
    <comment ref="D109" authorId="1" shapeId="0" xr:uid="{00000000-0006-0000-0400-000021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usar da Taxa SELIC, vigente no mês da proposta.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0" authorId="0" shapeId="0" xr:uid="{00000000-0006-0000-0400-000022000000}">
      <text>
        <r>
          <rPr>
            <b/>
            <sz val="9"/>
            <color indexed="81"/>
            <rFont val="Segoe UI"/>
            <family val="2"/>
          </rPr>
          <t>Valor apurado por fórmula, onde foi aplicado 1,00% sobre o valor do veículo.</t>
        </r>
      </text>
    </comment>
    <comment ref="E121" authorId="1" shapeId="0" xr:uid="{00000000-0006-0000-0400-000023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do veículo
</t>
        </r>
      </text>
    </comment>
    <comment ref="E122" authorId="1" shapeId="0" xr:uid="{00000000-0006-0000-0400-000024000000}">
      <text>
        <r>
          <rPr>
            <sz val="9"/>
            <color indexed="81"/>
            <rFont val="Tahoma"/>
            <family val="2"/>
          </rPr>
          <t>Informar o valor do seguro contra terceiros do veículo.</t>
        </r>
      </text>
    </comment>
    <comment ref="E123" authorId="1" shapeId="0" xr:uid="{00000000-0006-0000-0400-000025000000}">
      <text>
        <r>
          <rPr>
            <sz val="9"/>
            <color indexed="81"/>
            <rFont val="Tahoma"/>
            <family val="2"/>
          </rPr>
          <t>Informar o valor do seguro contra acidentes em favor dos alunos transportados.</t>
        </r>
      </text>
    </comment>
    <comment ref="E124" authorId="1" shapeId="0" xr:uid="{00000000-0006-0000-0400-000026000000}">
      <text>
        <r>
          <rPr>
            <sz val="9"/>
            <color indexed="81"/>
            <rFont val="Tahoma"/>
            <family val="2"/>
          </rPr>
          <t>Informar o valor da  aferição do tacógrafo para o ano.</t>
        </r>
      </text>
    </comment>
    <comment ref="E125" authorId="0" shapeId="0" xr:uid="{00000000-0006-0000-0400-000027000000}">
      <text>
        <r>
          <rPr>
            <b/>
            <sz val="9"/>
            <color indexed="81"/>
            <rFont val="Segoe UI"/>
            <family val="2"/>
          </rPr>
          <t>Informar o valor do custo com vistorias técnicas no ano.</t>
        </r>
      </text>
    </comment>
    <comment ref="D133" authorId="1" shapeId="0" xr:uid="{00000000-0006-0000-0400-000028000000}">
      <text>
        <r>
          <rPr>
            <sz val="9"/>
            <color indexed="81"/>
            <rFont val="Tahoma"/>
            <family val="2"/>
          </rPr>
          <t>Informar o consumo de óleo do motor a cada 10.000km</t>
        </r>
      </text>
    </comment>
    <comment ref="E133" authorId="1" shapeId="0" xr:uid="{00000000-0006-0000-0400-000029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D135" authorId="1" shapeId="0" xr:uid="{00000000-0006-0000-0400-00002A000000}">
      <text>
        <r>
          <rPr>
            <sz val="9"/>
            <color indexed="81"/>
            <rFont val="Tahoma"/>
            <family val="2"/>
          </rPr>
          <t>Informar o consumo de óleo da transmissão a cada 100.000km</t>
        </r>
      </text>
    </comment>
    <comment ref="E135" authorId="1" shapeId="0" xr:uid="{00000000-0006-0000-0400-00002B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D137" authorId="1" shapeId="0" xr:uid="{00000000-0006-0000-0400-00002C000000}">
      <text>
        <r>
          <rPr>
            <sz val="9"/>
            <color indexed="81"/>
            <rFont val="Tahoma"/>
            <family val="2"/>
          </rPr>
          <t>Informar o consumo de óleo hidráulico a cada 80.000km</t>
        </r>
      </text>
    </comment>
    <comment ref="E137" authorId="1" shapeId="0" xr:uid="{00000000-0006-0000-0400-00002D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D139" authorId="1" shapeId="0" xr:uid="{00000000-0006-0000-0400-00002E000000}">
      <text>
        <r>
          <rPr>
            <sz val="9"/>
            <color indexed="81"/>
            <rFont val="Tahoma"/>
            <family val="2"/>
          </rPr>
          <t>Informar o consumo de graxa a cada 10.000km</t>
        </r>
      </text>
    </comment>
    <comment ref="E139" authorId="1" shapeId="0" xr:uid="{00000000-0006-0000-0400-00002F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E146" authorId="1" shapeId="0" xr:uid="{00000000-0006-0000-0400-000030000000}">
      <text>
        <r>
          <rPr>
            <sz val="9"/>
            <color indexed="81"/>
            <rFont val="Tahoma"/>
            <family val="2"/>
          </rPr>
          <t>Informar o custo médio de manutenção, para este veículo,  em R$/km rodado, considerando tráfego em rodovias pavimentadas.</t>
        </r>
      </text>
    </comment>
    <comment ref="D147" authorId="0" shapeId="0" xr:uid="{00000000-0006-0000-0400-000031000000}">
      <text>
        <r>
          <rPr>
            <b/>
            <sz val="9"/>
            <color indexed="81"/>
            <rFont val="Segoe UI"/>
            <family val="2"/>
          </rPr>
          <t>Informar o número médio de lavagens por mês para os veículos, considerando tráfego em rodovias pavimentadas.</t>
        </r>
      </text>
    </comment>
    <comment ref="E147" authorId="1" shapeId="0" xr:uid="{00000000-0006-0000-0400-000032000000}">
      <text>
        <r>
          <rPr>
            <sz val="9"/>
            <color indexed="81"/>
            <rFont val="Tahoma"/>
            <family val="2"/>
          </rPr>
          <t>Informar o custo de uma lavagem para este tipo de veículo.</t>
        </r>
      </text>
    </comment>
    <comment ref="D153" authorId="1" shapeId="0" xr:uid="{00000000-0006-0000-0400-000033000000}">
      <text>
        <r>
          <rPr>
            <sz val="9"/>
            <color indexed="81"/>
            <rFont val="Tahoma"/>
            <family val="2"/>
          </rPr>
          <t>Informar a quantidade de pneus novos deste veículo.</t>
        </r>
      </text>
    </comment>
    <comment ref="E153" authorId="1" shapeId="0" xr:uid="{00000000-0006-0000-0400-000034000000}">
      <text>
        <r>
          <rPr>
            <sz val="9"/>
            <color indexed="81"/>
            <rFont val="Tahoma"/>
            <family val="2"/>
          </rPr>
          <t>Informar o preço unitário de cada pneu, deste veículo.</t>
        </r>
      </text>
    </comment>
    <comment ref="D154" authorId="1" shapeId="0" xr:uid="{00000000-0006-0000-0400-000035000000}">
      <text>
        <r>
          <rPr>
            <sz val="9"/>
            <color indexed="81"/>
            <rFont val="Tahoma"/>
            <family val="2"/>
          </rPr>
          <t>Informar a durabilidade média dos pneus do veículo. Não é recomendada recapagem para Vans.</t>
        </r>
      </text>
    </comment>
    <comment ref="D163" authorId="1" shapeId="0" xr:uid="{00000000-0006-0000-0400-000036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3" authorId="1" shapeId="0" xr:uid="{00000000-0006-0000-0400-000037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64" authorId="1" shapeId="0" xr:uid="{00000000-0006-0000-0400-000038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4" authorId="1" shapeId="0" xr:uid="{00000000-0006-0000-0400-000039000000}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65" authorId="1" shapeId="0" xr:uid="{00000000-0006-0000-0400-00003A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5" authorId="1" shapeId="0" xr:uid="{00000000-0006-0000-0400-00003B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6" authorId="0" shapeId="0" xr:uid="{00000000-0006-0000-0400-00003C000000}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66" authorId="1" shapeId="0" xr:uid="{00000000-0006-0000-0400-00003D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67" authorId="1" shapeId="0" xr:uid="{00000000-0006-0000-0400-00003E000000}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67" authorId="1" shapeId="0" xr:uid="{00000000-0006-0000-0400-00003F000000}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78" authorId="1" shapeId="0" xr:uid="{00000000-0006-0000-0400-000040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92" authorId="1" shapeId="0" xr:uid="{00000000-0006-0000-0400-000041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206" authorId="1" shapeId="0" xr:uid="{00000000-0006-0000-0400-000042000000}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216" authorId="1" shapeId="0" xr:uid="{00000000-0006-0000-0400-000043000000}">
      <text>
        <r>
          <rPr>
            <sz val="9"/>
            <color indexed="81"/>
            <rFont val="Tahoma"/>
            <family val="2"/>
          </rPr>
          <t>Preenchido automaticamente com texto informado no item 1 (um) deste lote.</t>
        </r>
      </text>
    </comment>
    <comment ref="D219" authorId="1" shapeId="0" xr:uid="{00000000-0006-0000-0400-000044000000}">
      <text>
        <r>
          <rPr>
            <sz val="9"/>
            <color indexed="81"/>
            <rFont val="Tahoma"/>
            <family val="2"/>
          </rPr>
          <t>Preenchido automaticamente com a alíquota do lote, informada no item 1 (um) deste lote.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7" authorId="0" shapeId="0" xr:uid="{00000000-0006-0000-0500-000002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6" authorId="0" shapeId="0" xr:uid="{00000000-0006-0000-0600-000002000000}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4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5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18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700-000008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700-000009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700-00000A000000}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0700-00000B000000}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31" authorId="0" shapeId="0" xr:uid="{00000000-0006-0000-0700-00000C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00000000-0006-0000-0700-00000D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<sst xmlns="http://schemas.openxmlformats.org/spreadsheetml/2006/main" count="1425" uniqueCount="601">
  <si>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</si>
  <si>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</si>
  <si>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</si>
  <si>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</si>
  <si>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</si>
  <si>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</si>
  <si>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</si>
  <si>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</si>
  <si>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</si>
  <si>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</si>
  <si>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</si>
  <si>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</si>
  <si>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</si>
  <si>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</si>
  <si>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</si>
  <si>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Custo mensal com óleo do motor</t>
  </si>
  <si>
    <t>Custo mensal com óleo da transmissão</t>
  </si>
  <si>
    <t>Custo mensal com óleo hidráulico</t>
  </si>
  <si>
    <t>Custo mensal com graxa</t>
  </si>
  <si>
    <t>km/jogo</t>
  </si>
  <si>
    <t>R$</t>
  </si>
  <si>
    <t>Quantidade</t>
  </si>
  <si>
    <t>INSS</t>
  </si>
  <si>
    <t>FGTS</t>
  </si>
  <si>
    <t>1. Mão-de-obra</t>
  </si>
  <si>
    <t>Custo mensal com pneus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</si>
  <si>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</si>
  <si>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</si>
  <si>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</si>
  <si>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</si>
  <si>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</si>
  <si>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Total por Coletor</t>
  </si>
  <si>
    <t>Administração Central</t>
  </si>
  <si>
    <t>AC</t>
  </si>
  <si>
    <t>Seguros/Riscos/Garantias</t>
  </si>
  <si>
    <t>SRG</t>
  </si>
  <si>
    <t>Lucro</t>
  </si>
  <si>
    <t>L</t>
  </si>
  <si>
    <t>T</t>
  </si>
  <si>
    <t>Tributos - PIS/COFINS</t>
  </si>
  <si>
    <t>Fórmula para o cálculo do BDI:</t>
  </si>
  <si>
    <t>Resultado do cálculo do BDI:</t>
  </si>
  <si>
    <t>Vale Transporte</t>
  </si>
  <si>
    <t>Dias Trabalhados por mês</t>
  </si>
  <si>
    <t>dia</t>
  </si>
  <si>
    <t>anos</t>
  </si>
  <si>
    <t>R$/km rodado</t>
  </si>
  <si>
    <t>Código</t>
  </si>
  <si>
    <t>Descrição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</si>
  <si>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</si>
  <si>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</si>
  <si>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</si>
  <si>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</si>
  <si>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</si>
  <si>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</si>
  <si>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</si>
  <si>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</si>
  <si>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</si>
  <si>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</si>
  <si>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</si>
  <si>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</si>
  <si>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</si>
  <si>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</si>
  <si>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</si>
  <si>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</si>
  <si>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</si>
  <si>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</si>
  <si>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</si>
  <si>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</si>
  <si>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</si>
  <si>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</si>
  <si>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</si>
  <si>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</si>
  <si>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Auxilio acidente de trabalho</t>
  </si>
  <si>
    <t>B</t>
  </si>
  <si>
    <t>SOMA GRUPO B</t>
  </si>
  <si>
    <t>C1</t>
  </si>
  <si>
    <t>Aviso prévio indenizado</t>
  </si>
  <si>
    <t>Depósito rescisão sem justa causa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</si>
  <si>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</si>
  <si>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</si>
  <si>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</si>
  <si>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</si>
  <si>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</si>
  <si>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</si>
  <si>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</si>
  <si>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</si>
  <si>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Licenciamento e Seguro obrigatório</t>
  </si>
  <si>
    <t>Fator de utilização</t>
  </si>
  <si>
    <t>Descrição do Item</t>
  </si>
  <si>
    <t>Taxa de juros anual nominal</t>
  </si>
  <si>
    <t>C2</t>
  </si>
  <si>
    <t>B3</t>
  </si>
  <si>
    <t>Custo Mensal com Ferramentas e Materiais de Consumo (R$/mês)</t>
  </si>
  <si>
    <t>Custo unitário</t>
  </si>
  <si>
    <t>Total por Motorista</t>
  </si>
  <si>
    <t>Custo com consumos/km rodado</t>
  </si>
  <si>
    <t>Consumo</t>
  </si>
  <si>
    <t>Total da frota</t>
  </si>
  <si>
    <t>Reincidência de FGTS sobre aviso prévio indenizado</t>
  </si>
  <si>
    <t>Nº do processo:</t>
  </si>
  <si>
    <t xml:space="preserve">Fator de utilização (FU) </t>
  </si>
  <si>
    <t>Motorista</t>
  </si>
  <si>
    <t>Motorista (Vlr líq. desc. 6,% s/piso sal.)</t>
  </si>
  <si>
    <t>1.3. Vale Transporte</t>
  </si>
  <si>
    <t>1.4. Vale-refeição (diário)</t>
  </si>
  <si>
    <t>Férias (com adicional de férias)</t>
  </si>
  <si>
    <t>13º Salário</t>
  </si>
  <si>
    <t>Previdenciários s/Férias e 13º</t>
  </si>
  <si>
    <t>Custo Mensal com Mão-de-obra (R$/mês) - LUCRO REAL E PRESUMIDO</t>
  </si>
  <si>
    <t>Custo Mensal com Mão-de-obra (R$/mês) - SIMPLES NACIONAL</t>
  </si>
  <si>
    <t>B.D.I. PARA EMPRESAS DO SIMPLES NACIONAL</t>
  </si>
  <si>
    <t>Valor %</t>
  </si>
  <si>
    <t>Total</t>
  </si>
  <si>
    <t>B.D.I. PARA EMPRESAS DO LUCRO PRESUMIDO</t>
  </si>
  <si>
    <t>B.D.I. PARA EMPRESAS DO LUCRO REAL</t>
  </si>
  <si>
    <t>LUCRO REAL</t>
  </si>
  <si>
    <t>LUCRO PRESUMIDO</t>
  </si>
  <si>
    <t>Custo
(R$/mês)</t>
  </si>
  <si>
    <t>AV %</t>
  </si>
  <si>
    <t>SIMPLES NAC.</t>
  </si>
  <si>
    <t>Fórmula para o cálculo do BDI - Sem impostos</t>
  </si>
  <si>
    <t>Resultado cálculo do BDI - Sem impostos</t>
  </si>
  <si>
    <t>Receita Bruta Total em 12 (doze) meses</t>
  </si>
  <si>
    <t>Base = SN1</t>
  </si>
  <si>
    <t>Enquadramento no Anexo III da lei do Simples Nacional</t>
  </si>
  <si>
    <t>Formas de Tributação</t>
  </si>
  <si>
    <t>Composição BDI - Benefícios e Desp. Indiretas</t>
  </si>
  <si>
    <t>Tributos</t>
  </si>
  <si>
    <t>CUSTO TOTAL MENSAL C/CUSTOS E DESPESAS OPERACIONAIS - LUCRO REAL E PRESUMIDO (R$/mês)</t>
  </si>
  <si>
    <t>CUSTO TOTAL MENSAL C/CUSTOS E DESPESAS OPERACIONAIS - SIMPLES NACIONAL (R$/mês)</t>
  </si>
  <si>
    <t>Custo de aquisição do veículo</t>
  </si>
  <si>
    <r>
      <t xml:space="preserve">Custo jg. compl. </t>
    </r>
    <r>
      <rPr>
        <sz val="10"/>
        <rFont val="Arial"/>
        <family val="2"/>
      </rPr>
      <t>/ km rodado</t>
    </r>
  </si>
  <si>
    <t>Piso da categoria</t>
  </si>
  <si>
    <t>1.1. Monitor - EMPRESA LUCRO REAL E PRESUMIDO</t>
  </si>
  <si>
    <t>1.1.1- Monitor - EMPRESA SIMPLES NACIONAL</t>
  </si>
  <si>
    <t>1.2. Motorista - EMPRESA LUCRO REAL E PRESUMIDO</t>
  </si>
  <si>
    <t>1.2.1- Motorista - EMPRESA SIMPLES NACIONAL</t>
  </si>
  <si>
    <t>Monitor (Valor líquido, descontado 6,00% s/piso sal.)</t>
  </si>
  <si>
    <t>Monitor</t>
  </si>
  <si>
    <t>Depreciação do veículo</t>
  </si>
  <si>
    <t>Fator de majoração</t>
  </si>
  <si>
    <t>Custo com lavagens</t>
  </si>
  <si>
    <t>Mês</t>
  </si>
  <si>
    <t>Custo com manutenção e lavagens</t>
  </si>
  <si>
    <t>R$/Mês</t>
  </si>
  <si>
    <t>Equipe e veículos</t>
  </si>
  <si>
    <t>Fator de Majoração pelo "Tipo de via"</t>
  </si>
  <si>
    <t>Vida útil do veícuo</t>
  </si>
  <si>
    <t>Depreciação mensal veículos</t>
  </si>
  <si>
    <t>Custo do veículo</t>
  </si>
  <si>
    <t>Remuneração mensal de capital do veículo</t>
  </si>
  <si>
    <t>Total por veículo</t>
  </si>
  <si>
    <t>Quilometragem mensal</t>
  </si>
  <si>
    <t>Custo Mensal com Veículos (R$/mês)</t>
  </si>
  <si>
    <t>5.1. Benefícios e despesas indiretas</t>
  </si>
  <si>
    <t>Km</t>
  </si>
  <si>
    <t>R$/Km</t>
  </si>
  <si>
    <t>1.1. Monitor</t>
  </si>
  <si>
    <t>1.2. Motorista</t>
  </si>
  <si>
    <t>Serviço de Transporte Escolar</t>
  </si>
  <si>
    <t>Item:</t>
  </si>
  <si>
    <t>R$ / mês</t>
  </si>
  <si>
    <t>Capacidade
(Lugares)</t>
  </si>
  <si>
    <t>Valor
(R$)</t>
  </si>
  <si>
    <t>Distância percorrida</t>
  </si>
  <si>
    <t>Média de dias letivos por mês</t>
  </si>
  <si>
    <t>Dias</t>
  </si>
  <si>
    <t>Km por dia</t>
  </si>
  <si>
    <t>Km por mês</t>
  </si>
  <si>
    <t>Horas p/Dia</t>
  </si>
  <si>
    <t>3. Ferramentas e Materiais de Consumo</t>
  </si>
  <si>
    <t>4. Benefícios e Desp. Ind. - BDI - LUCRO REAL</t>
  </si>
  <si>
    <t>4.1. Benefícios e despesas indiretas</t>
  </si>
  <si>
    <t>4.2. CUSTO MENSAL COM BDI (R$/mês) - LUCRO REAL</t>
  </si>
  <si>
    <t>4.3. PREÇO MENSAL TOTAL (R$/mês)  - LUCRO REAL  =  "A"</t>
  </si>
  <si>
    <r>
      <t>4.4- Quantidade de Km percorridos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</si>
  <si>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4.5. PREÇO POR QUILOMETRO PERCORRIDO - LUCRO REAL = [A/B]</t>
  </si>
  <si>
    <t>5. Benefícios e Desp. Ind. - BDI - LUCRO PRESUMIDO</t>
  </si>
  <si>
    <t>5.2. CUSTO MENSAL COM BDI (R$/mês) - LUCRO PRESUMIDO</t>
  </si>
  <si>
    <t>5.3. PREÇO MENSAL TOTAL (R$/mês)  - LUCRO PRESUMIDO  =  "AA"</t>
  </si>
  <si>
    <r>
      <t>5.4-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</si>
  <si>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5.5. PREÇO POR QUILOMETRO PERCORRIDO - LUCRO PRESUMIDO = [AA/BB]</t>
  </si>
  <si>
    <t>6. Benef. Desp. Ind. + Impostos - SIMPLES NACIONAL</t>
  </si>
  <si>
    <t>6.1. Benefícios e despesas indiretas (sem impostos)</t>
  </si>
  <si>
    <t>6.2.CUSTO MENSAL COM BDI - Sem Impostos (R$/mês) - SIMPLES NACIONAL</t>
  </si>
  <si>
    <t>6.3. CUSTO MENSAL TOTAL - Sem Imposots (R$/mês)  - SIMPLES NACIONAL  =  "SN1"</t>
  </si>
  <si>
    <t>6.4. Impostos alíquota única</t>
  </si>
  <si>
    <t>6.5. PREÇO MENSAL TOTAL (R$/mês)  - SIMPLES NACIONAL  =  "SN2"</t>
  </si>
  <si>
    <r>
      <t>6.6. Quantidade de Km percorridos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</si>
  <si>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6.7. PREÇO POR QUILOMETRO PERCORRIDO - SIMPLES NACIONAL = [SN2/BB]</t>
  </si>
  <si>
    <t>Custo de manutenção do veículo</t>
  </si>
  <si>
    <t>pçs / mês</t>
  </si>
  <si>
    <t>Recipiente térmico para água (5L) - 1 pç/ano</t>
  </si>
  <si>
    <t>Vassoura - 3 pçs/ano</t>
  </si>
  <si>
    <t>Balde - 2 pçs/ano</t>
  </si>
  <si>
    <t>Alcool Gel 70% - 4 litros / mês</t>
  </si>
  <si>
    <t>Panos - 4 pçs / mês</t>
  </si>
  <si>
    <t>Dados do veículo</t>
  </si>
  <si>
    <t>Consumo médio (Km / litro) e Valor do litro (R$)</t>
  </si>
  <si>
    <t>Velocidade média em função do pavimento (Km/h)</t>
  </si>
  <si>
    <t>Seguro contra acidentes em favor dos alunos</t>
  </si>
  <si>
    <t>Vistorias Técnicas</t>
  </si>
  <si>
    <t>{[(1+AC+SRG) x (1+L)] / (1-T)} -1</t>
  </si>
  <si>
    <t>{[(1+AC+SRG) x (1+L)]} -1</t>
  </si>
  <si>
    <t>Composição do BDI - Benefícios e Desp. Ind. - Sem Impostos</t>
  </si>
  <si>
    <t xml:space="preserve">Composição dos Encargos Sociais </t>
  </si>
  <si>
    <t>Empresas Lucro Real e Lucro Presumido</t>
  </si>
  <si>
    <t>Vida útil do 
Veículo</t>
  </si>
  <si>
    <t>PLANILHA DE COMPOSIÇÃO DE CUSTOS E FORMAÇÃO DE PREÇO</t>
  </si>
  <si>
    <t>PREÇO TOTAL MÊS (R$/Mês)</t>
  </si>
  <si>
    <t>PREÇO POR QUILOMETRO (R$/Km)</t>
  </si>
  <si>
    <t>Aferição do tacógrafo digital</t>
  </si>
  <si>
    <t>Litros / mês</t>
  </si>
  <si>
    <t>Investimento médio total do veículo</t>
  </si>
  <si>
    <t>2. Veículos</t>
  </si>
  <si>
    <t>2.1 Depreciação</t>
  </si>
  <si>
    <t>2.2 Remuneração do Capital</t>
  </si>
  <si>
    <t>2.3. Impostos e Seguros</t>
  </si>
  <si>
    <t>2.4. Consumos</t>
  </si>
  <si>
    <t>2.5. Manutenção</t>
  </si>
  <si>
    <t>2.6. Pneus</t>
  </si>
  <si>
    <t>Valor residual do veículo proposto (Vr)</t>
  </si>
  <si>
    <t>Valor do veículo proposto (Vo)</t>
  </si>
  <si>
    <t>Taxade depreciação</t>
  </si>
  <si>
    <t>Empresas do Simples Nacional</t>
  </si>
  <si>
    <t>Fator de Majoração por "Tempo p/Higienização"</t>
  </si>
  <si>
    <t>GRUPO A - Identificação</t>
  </si>
  <si>
    <t>GRUPO B - Orçamento Sintético</t>
  </si>
  <si>
    <t>C1- Mão-de-obra</t>
  </si>
  <si>
    <t>C2- Veículos</t>
  </si>
  <si>
    <t>C3- Distâncias</t>
  </si>
  <si>
    <t>C4- Fatores</t>
  </si>
  <si>
    <t>Aplicação</t>
  </si>
  <si>
    <t>CÁLCULOS (itenização numérica)</t>
  </si>
  <si>
    <t>Item</t>
  </si>
  <si>
    <t>Custo de óleo do motor /10.000 km rodados</t>
  </si>
  <si>
    <t>l/10.000 km</t>
  </si>
  <si>
    <t>Custo de óleo da transmissão /100.000 km</t>
  </si>
  <si>
    <t>l/100.000 km</t>
  </si>
  <si>
    <t>l/80.000 km</t>
  </si>
  <si>
    <t>Custo de óleo hidráulico / 80.000 km</t>
  </si>
  <si>
    <t>kg/10.000 km</t>
  </si>
  <si>
    <t>Custo de graxa /10.000 km rodados</t>
  </si>
  <si>
    <t>Data:</t>
  </si>
  <si>
    <t>GRUPO C - Informações sobre</t>
  </si>
  <si>
    <t>Conforme tipo de via</t>
  </si>
  <si>
    <t/>
  </si>
  <si>
    <t>Horas por dia para higienização do veículo.</t>
  </si>
  <si>
    <t>Custo do jogo de pneus 225/65R16"</t>
  </si>
  <si>
    <t>Provisão Multas FGTS (40% s/FGTS)</t>
  </si>
  <si>
    <t>Lote:</t>
  </si>
  <si>
    <t>Sigla</t>
  </si>
  <si>
    <t>Municipal
(%)</t>
  </si>
  <si>
    <t>Tributos - (ISS p/Municipal) e (ICMS p/Interm.)</t>
  </si>
  <si>
    <t>Nº Licitação:</t>
  </si>
  <si>
    <t>Estruturar Apoio Administrativo Ltda</t>
  </si>
  <si>
    <t>Iloir Carlos Palm</t>
  </si>
  <si>
    <t>CRC/RS 059374/0-9</t>
  </si>
  <si>
    <t>Venãncio Aires, 27 de janeiro de 2021.</t>
  </si>
  <si>
    <t>Custo mensal</t>
  </si>
  <si>
    <t xml:space="preserve">Total de mão-de-obra </t>
  </si>
  <si>
    <t xml:space="preserve">Custo de aquisição </t>
  </si>
  <si>
    <t>2. Equipamentos</t>
  </si>
  <si>
    <t xml:space="preserve">Vida útil </t>
  </si>
  <si>
    <t xml:space="preserve">Depreciação </t>
  </si>
  <si>
    <t xml:space="preserve">Depreciação mensal </t>
  </si>
  <si>
    <t xml:space="preserve">Total </t>
  </si>
  <si>
    <t>Valor proposto (Vo)</t>
  </si>
  <si>
    <t>Valor residual proposto (Vr)</t>
  </si>
  <si>
    <t xml:space="preserve">Investimento médio total </t>
  </si>
  <si>
    <t xml:space="preserve">Remuneração mensal de capital </t>
  </si>
  <si>
    <t>Vlr hora</t>
  </si>
  <si>
    <t>Total de equipamentos</t>
  </si>
  <si>
    <t>Total Uniformes e EPIs</t>
  </si>
  <si>
    <t>3. Uniformes e Epis</t>
  </si>
  <si>
    <t>Horas</t>
  </si>
  <si>
    <t>R$/Hora</t>
  </si>
  <si>
    <t>Custo Mensal com Equipamentos (R$/mês)</t>
  </si>
  <si>
    <t>PREÇO POR HORA (R$/Hora)</t>
  </si>
  <si>
    <t>GRUPO D - Cálculos</t>
  </si>
  <si>
    <t>Custo Mensal com Uniformes e EPIs</t>
  </si>
  <si>
    <t>Número médio de horas trabalhadas por mês</t>
  </si>
  <si>
    <t>C2- Horas trabalhadas</t>
  </si>
  <si>
    <t>Base de cálculo da Insalubridade</t>
  </si>
  <si>
    <t>Adicional de Insalubridade</t>
  </si>
  <si>
    <t>Conjunto</t>
  </si>
  <si>
    <t>Tributos: Enquadramento no Anexo III da lei do Simples Nacional</t>
  </si>
  <si>
    <t>pçs / ano</t>
  </si>
  <si>
    <t>Óculos de Proteção incolor</t>
  </si>
  <si>
    <t>Protetor auditivo de inserção</t>
  </si>
  <si>
    <t>Funcionário(a)</t>
  </si>
  <si>
    <t>Qtde. / Ano</t>
  </si>
  <si>
    <t>Tributos - (ISS p/Municipal)</t>
  </si>
  <si>
    <t>Mao de obra, equipamentos</t>
  </si>
  <si>
    <t xml:space="preserve">Piso salarial </t>
  </si>
  <si>
    <t>Número médio de horas trabalhadas por dia</t>
  </si>
  <si>
    <t>C3 - Equipamento</t>
  </si>
  <si>
    <t>Total de equipamento</t>
  </si>
  <si>
    <t>Horas mensais</t>
  </si>
  <si>
    <t>Custo de óleo diesel / litros horas</t>
  </si>
  <si>
    <t>hora</t>
  </si>
  <si>
    <t>Custo mensal com filtro motor</t>
  </si>
  <si>
    <t>Custo mensal com filtro hidraulico</t>
  </si>
  <si>
    <t>Custo mensal com filtro ar</t>
  </si>
  <si>
    <t>Custo com consumos/horas trabalhadas</t>
  </si>
  <si>
    <t>R$/horas</t>
  </si>
  <si>
    <t>horas/jogo</t>
  </si>
  <si>
    <t>Custo jogo completo</t>
  </si>
  <si>
    <t xml:space="preserve">horas  </t>
  </si>
  <si>
    <t>2.1. Depreciação</t>
  </si>
  <si>
    <t>2.2. Remuneração do Capital</t>
  </si>
  <si>
    <t>2.4. Manutenção</t>
  </si>
  <si>
    <t>4. BENEFÍCIOS E DESPESAS INDIRETAS - BDI - LUCRO REAL</t>
  </si>
  <si>
    <r>
      <t>4.4- Quantidade de Horas trabalhadas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</si>
  <si>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4.5. PREÇO POR HORA TRABALHADA - LUCRO REAL = [A/B]</t>
  </si>
  <si>
    <t>5. BENEFÍCIOS E DESPESAS INDIRETAS - BDI - LUCRO PRESUMIDO</t>
  </si>
  <si>
    <r>
      <t>5.4- Quantidade de horas trabalhadas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</si>
  <si>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5.5. PREÇO POR HORA TRABALHADA - LUCRO PRESUMIDO = [AA/BB]</t>
  </si>
  <si>
    <r>
      <t>6.6. Quantidade de horas trabalhadas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</si>
  <si>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6.7. PREÇO POR HORA TRABALHADA - SIMPLES NACIONAL = [SN2/BB]</t>
  </si>
  <si>
    <t>Idade do veículo (ano)</t>
  </si>
  <si>
    <t>Depreciação Média</t>
  </si>
  <si>
    <t>Residual</t>
  </si>
  <si>
    <t>Depreciação Referencial TCE/RS (%)</t>
  </si>
  <si>
    <t>1.1. Operador</t>
  </si>
  <si>
    <t>6. BENEFÍCIOS E DESPESAS INDIRETAS - BDI + IMPOSTOS - S.N.</t>
  </si>
  <si>
    <t>l/h</t>
  </si>
  <si>
    <t>Total por Operador</t>
  </si>
  <si>
    <t xml:space="preserve">Custo ARLA </t>
  </si>
  <si>
    <t xml:space="preserve">Custo mensal ARLA </t>
  </si>
  <si>
    <t>l/200 horas</t>
  </si>
  <si>
    <t xml:space="preserve">Custo de óleo do motor /200 horas </t>
  </si>
  <si>
    <t>Custo de óleo hidráulico / 200 horas</t>
  </si>
  <si>
    <t xml:space="preserve">Custo filtro do motor /200 horas </t>
  </si>
  <si>
    <t>u/200 horas</t>
  </si>
  <si>
    <t xml:space="preserve">Custo filtro do diesel /200 horas </t>
  </si>
  <si>
    <t xml:space="preserve">Custo filtro hidraulico/200 horas </t>
  </si>
  <si>
    <t xml:space="preserve">Custo filtro do ar /200 horas </t>
  </si>
  <si>
    <t xml:space="preserve">Custo filtro transmissão/200 horas </t>
  </si>
  <si>
    <t>Custo estimado com manutenção</t>
  </si>
  <si>
    <t>1.1.1- Operador - EMPRESA SIMPLES NACIONAL</t>
  </si>
  <si>
    <t>Meias</t>
  </si>
  <si>
    <t>artigo 22 inciso I da lei 8.212-1991</t>
  </si>
  <si>
    <t>artigo 30 da lei 8.036-1990 e artigo primeiro da lei 8.154-1990</t>
  </si>
  <si>
    <t>artigo primeiro decreto lei 6.246-1944 (SENAC) e artigo 4o. Decreto lei 8.621-1946 (SENAI) - decreto lei 2.318-1986</t>
  </si>
  <si>
    <t>artigo primeiro inciso I e artigo terceiro do decreto lei 1.146-1970</t>
  </si>
  <si>
    <t>artigo 8o. Da lei 8.029 de 1990, alterado pela lei 8.154-1990</t>
  </si>
  <si>
    <t>artigo terceiro indico I do decreto 87.043-1982</t>
  </si>
  <si>
    <t>artigo 19 a 23 da lei 8.212-1991</t>
  </si>
  <si>
    <t>de acordo com a atividade preponderante da empresa-artigo 15 da lei 8.036-1990</t>
  </si>
  <si>
    <t xml:space="preserve">cálculo 1/12 </t>
  </si>
  <si>
    <t>definido pela incidência nessa atividade - Ministério do Trabalho</t>
  </si>
  <si>
    <t xml:space="preserve">cálculo 7 dias para 30 dias  </t>
  </si>
  <si>
    <t>corresponde a multa do FGTS de 40%</t>
  </si>
  <si>
    <t>Bases legais  e metodologia TCE-RS orientação técnica resíduos sólidos 2019</t>
  </si>
  <si>
    <t>percentual de 40% sobre o deposito de FGTS</t>
  </si>
  <si>
    <t>De R$ 720.000,01 até R$ 1.800.000,00</t>
  </si>
  <si>
    <t>manutenção</t>
  </si>
  <si>
    <t>cálculo da alíquota do simples nacional</t>
  </si>
  <si>
    <t>toneladas</t>
  </si>
  <si>
    <t>CBO</t>
  </si>
  <si>
    <t>Sindiasseio</t>
  </si>
  <si>
    <t>Sind.construção</t>
  </si>
  <si>
    <t>Vigilante</t>
  </si>
  <si>
    <t>Sind. Segurança</t>
  </si>
  <si>
    <t>escala 12 x 36</t>
  </si>
  <si>
    <t>Auxiliar de serviços gerais - 44 horas semanais</t>
  </si>
  <si>
    <t>Retroescavadeira descrita do projeto básico</t>
  </si>
  <si>
    <t>1.2. Auxiliar de serviços gerias - EMPRESA LUCRO REAL E PRESUMIDO</t>
  </si>
  <si>
    <t>220 hs</t>
  </si>
  <si>
    <t>Horas Extras (100%)</t>
  </si>
  <si>
    <t>Horas Extras Suplementar (50%)</t>
  </si>
  <si>
    <t>Descanso Semanal Remunerado (DSR) (30%)</t>
  </si>
  <si>
    <t>Adicional troca de uniforme</t>
  </si>
  <si>
    <t>hora / dia</t>
  </si>
  <si>
    <t>Adicional de Periculosidade</t>
  </si>
  <si>
    <t>Encargos Sociais - detalhadas planilha encargos</t>
  </si>
  <si>
    <t>Intervalo intrajornada (Vb indenizatória)</t>
  </si>
  <si>
    <t>Seguro de vida</t>
  </si>
  <si>
    <t>Profissionais</t>
  </si>
  <si>
    <t>Encargos Sociais -detalhadas planilha encargos</t>
  </si>
  <si>
    <t>74,33</t>
  </si>
  <si>
    <t>Intervalo intrajornada</t>
  </si>
  <si>
    <t>Adicional Noturno - 7 horas das 22 as 5 horas- acrescido de 1 hora cfe. CCT - total de 8 horas por dia</t>
  </si>
  <si>
    <t xml:space="preserve">Hora Noturna Reduzida - 7 horas reduzidas </t>
  </si>
  <si>
    <t xml:space="preserve">Adicional troca de uniforme </t>
  </si>
  <si>
    <t>hora-dia</t>
  </si>
  <si>
    <t>1.2.1- Auxiliar de serviços gerias - EMPRESA SIMPLES NACIONAL</t>
  </si>
  <si>
    <t>Bases legais em 2025 e metodologia</t>
  </si>
  <si>
    <t>artigo segundo , parágrafo 3o. Da Lei 11457-2007</t>
  </si>
  <si>
    <t>SESC</t>
  </si>
  <si>
    <t>artigo 30 da lei 8.036-1990</t>
  </si>
  <si>
    <t>SENAC</t>
  </si>
  <si>
    <t>artigo primeiro decreto lei 6.246-1944 (SENAC) e artigo 4o. Decreto lei 8.621-1946 (SENAI)</t>
  </si>
  <si>
    <t>artigo 8o. Da lei 8.029 de 1990</t>
  </si>
  <si>
    <t>artigo 19 e 23 da lei 8.213-1991</t>
  </si>
  <si>
    <t>RAT (médio do segmento)</t>
  </si>
  <si>
    <t>A9</t>
  </si>
  <si>
    <t>artigo 15 da lei 8.036-1990</t>
  </si>
  <si>
    <t>Férias + Adiconal de Férias</t>
  </si>
  <si>
    <t>cálculo (1/12)crescido de 1/3</t>
  </si>
  <si>
    <t>Licença Paternidade / Maternidade</t>
  </si>
  <si>
    <t>Auxilio acidente de trabalho - ausência por doença</t>
  </si>
  <si>
    <t>Aviso prévio trabalhado</t>
  </si>
  <si>
    <t>cálculo 7 dias para 30 dias  - definido na cct 3,19%</t>
  </si>
  <si>
    <t>C3</t>
  </si>
  <si>
    <t>Reincidência do grupo A sobre Aviso Prévio Trabalhado</t>
  </si>
  <si>
    <t>D3</t>
  </si>
  <si>
    <t>RAT (média do segmento)</t>
  </si>
  <si>
    <t>Previdenciários s/Férias ,13º Salário, Licença, Faltas, auxilio acidente</t>
  </si>
  <si>
    <t>Operador de máquinas - (Vlr líq. desc. 6,% s/piso sal.)cfe. Lei Federal 7.418-1985</t>
  </si>
  <si>
    <t>Desconto previsto na CCT</t>
  </si>
  <si>
    <t>1.5. Encarregado de operações - EMPRESA LUCRO REAL E PRESUMIDO</t>
  </si>
  <si>
    <t>1.5.1- Encarregado de operações - EMPRESA SIMPLES NACIONAL</t>
  </si>
  <si>
    <t>Adicional de sobreaviso e chefia</t>
  </si>
  <si>
    <t>1.6. Vale Transporte</t>
  </si>
  <si>
    <t>1.2 Auxiliar de Serviços Gerais</t>
  </si>
  <si>
    <t>1.5 Encarregado de Operações</t>
  </si>
  <si>
    <t>1.6 Vale transporte</t>
  </si>
  <si>
    <t>1.3 e 1.4 Vigilante</t>
  </si>
  <si>
    <t>1.7  Vale refeição</t>
  </si>
  <si>
    <t>1.7. Vale-refeição (diário)</t>
  </si>
  <si>
    <t>Auxiliar de Serviços Gerais (Vlr líq. desc. 6,% s/piso sal.)cfe. Lei Federal 7.418-1985</t>
  </si>
  <si>
    <t>Vigilante - (Vlr líq. desc. 6,% s/piso sal.)cfe. Lei Federal 7.418-1985</t>
  </si>
  <si>
    <t>Nº do processo:2025-8697</t>
  </si>
  <si>
    <t>Encarregado de Operações - (Vlr líq. desc. 6,% s/piso sal.)cfe. Lei Federal 7.418-1985</t>
  </si>
  <si>
    <t>Operador de máquinas escavadeira</t>
  </si>
  <si>
    <t>Auxiliar de Serviços Gerais</t>
  </si>
  <si>
    <t>Encarregado de operações</t>
  </si>
  <si>
    <t>SAT</t>
  </si>
  <si>
    <t xml:space="preserve">Lavagem da retro escavadeira </t>
  </si>
  <si>
    <t>2.5. Pneus -</t>
  </si>
  <si>
    <t>Custo jogo pneus 11 x 16</t>
  </si>
  <si>
    <t>Custo jogo pneus 19,5 x 24</t>
  </si>
  <si>
    <t>3.2. Auxiliar de Serviços Gerais</t>
  </si>
  <si>
    <t>Qtde. Homem
Ano</t>
  </si>
  <si>
    <t>Custo Anual</t>
  </si>
  <si>
    <t>Jaqueta ou japona para o frio</t>
  </si>
  <si>
    <t>Calça</t>
  </si>
  <si>
    <t>Camisa manga comprida</t>
  </si>
  <si>
    <t>Camisa manga curta</t>
  </si>
  <si>
    <t>Boné</t>
  </si>
  <si>
    <t>Sapatos ou coturnos c/solado de borracha</t>
  </si>
  <si>
    <t>par</t>
  </si>
  <si>
    <t>Cinto de Nylon</t>
  </si>
  <si>
    <t>Botas de borracha</t>
  </si>
  <si>
    <t>Crachá de identificação</t>
  </si>
  <si>
    <t>Colete a prova de balas</t>
  </si>
  <si>
    <t>Gravata</t>
  </si>
  <si>
    <t>Uniformes e EPIs - custo mensal</t>
  </si>
  <si>
    <t xml:space="preserve">Capa de chuva amarela com reflexivo </t>
  </si>
  <si>
    <t xml:space="preserve">Roçadeira </t>
  </si>
  <si>
    <t>Recipiente térmico para água (5L) - 2 pçs</t>
  </si>
  <si>
    <t>Pá de Concha - 2 pçs</t>
  </si>
  <si>
    <t>Vassourão - 2 pçs</t>
  </si>
  <si>
    <t>Caixa de materiais de primeiros socorros</t>
  </si>
  <si>
    <t>pc/ano</t>
  </si>
  <si>
    <t xml:space="preserve">4. Ferramentas e Materiais de Consumo </t>
  </si>
  <si>
    <t>Apito com cordão</t>
  </si>
  <si>
    <t>Lanterna de alta resolução recaregável</t>
  </si>
  <si>
    <t>Pilhas para lanterna</t>
  </si>
  <si>
    <t>Cassetete</t>
  </si>
  <si>
    <t>Porta cassetete</t>
  </si>
  <si>
    <t>Livro de ocorrência</t>
  </si>
  <si>
    <t xml:space="preserve">4- Ferramentas e Materias de Consumo </t>
  </si>
  <si>
    <t>Custo</t>
  </si>
  <si>
    <t>mensal</t>
  </si>
  <si>
    <t>Materiais - custo mensal</t>
  </si>
  <si>
    <t>Total de postos de trabalho</t>
  </si>
  <si>
    <t>Postos</t>
  </si>
  <si>
    <t>Aparelho de ar condicionado 12 000 BTUS</t>
  </si>
  <si>
    <t>Refrigerador até 300 litros</t>
  </si>
  <si>
    <t>Fogão a gás 4 bocas</t>
  </si>
  <si>
    <t>Cafeteira 15 xícaras</t>
  </si>
  <si>
    <t xml:space="preserve">Computador Destok modelo básico </t>
  </si>
  <si>
    <t>Armário alto de duas portas - 805 mm x 425 mm x 1600 mm</t>
  </si>
  <si>
    <t>2.1.1 Máquinas , Equipamentos, Aparelhos e Ferramentas</t>
  </si>
  <si>
    <t>2.1.2 Bens de Informática</t>
  </si>
  <si>
    <t>2.1.2 Móveis e Utensílios</t>
  </si>
  <si>
    <t>SOMA DA DEPRECIAÇÃO</t>
  </si>
  <si>
    <t>2.2.1 Remuneração de Capital de Máquinas , Equipamentos , Aparelhos e Ferramentas</t>
  </si>
  <si>
    <t>2.2.2 Remuneração de Capital de Bens de Informática</t>
  </si>
  <si>
    <t xml:space="preserve">SOMA REMUNERAÇÃO CAPITAL </t>
  </si>
  <si>
    <t>1.8. Seguro de vida E outros</t>
  </si>
  <si>
    <t>Capacitação Profissional para operador de máquinas</t>
  </si>
  <si>
    <t>Plano de Benefício Familiar Auxiliar de Serviços Gerias</t>
  </si>
  <si>
    <t>Custo estimado de manutenção  retroescavadeira</t>
  </si>
  <si>
    <t>Sistema de monitoramento - gps retroescavadeira</t>
  </si>
  <si>
    <t xml:space="preserve">Manutenção de balança rodoviária </t>
  </si>
  <si>
    <t>Manutenção predial (elétrica-hidraúlica-infraestrutura)</t>
  </si>
  <si>
    <t>Chuveiros</t>
  </si>
  <si>
    <t>pçs/ano</t>
  </si>
  <si>
    <t xml:space="preserve">5- Serviços de Video Monitoramento e demais serviços </t>
  </si>
  <si>
    <t xml:space="preserve">Serviços de educação ambiental </t>
  </si>
  <si>
    <t>Serviços de energia elétrica</t>
  </si>
  <si>
    <t xml:space="preserve">mensal </t>
  </si>
  <si>
    <t xml:space="preserve">Serviços de água </t>
  </si>
  <si>
    <t>2.2.3 Remuneração de Capital de Móveis</t>
  </si>
  <si>
    <t xml:space="preserve">Quantidade ano </t>
  </si>
  <si>
    <t>Qtde.
Posto / mensal</t>
  </si>
  <si>
    <t>1- Operação de transbordo na usina - Retroescavadeira</t>
  </si>
  <si>
    <t>1.8 Seguro de vida e outros</t>
  </si>
  <si>
    <t>5- Serviços de video monitoramento  e demais serviços</t>
  </si>
  <si>
    <t xml:space="preserve">Placas de sinalização </t>
  </si>
  <si>
    <t>Serviços de internet</t>
  </si>
  <si>
    <t>cálculo (1/12)acrescido de 1/3  recomendao TCE-RS</t>
  </si>
  <si>
    <t>B6</t>
  </si>
  <si>
    <t>Auxílio Doença</t>
  </si>
  <si>
    <t>C4</t>
  </si>
  <si>
    <t>C5</t>
  </si>
  <si>
    <t>Férias Indenizadas</t>
  </si>
  <si>
    <t>somando 6,57 mais 4,54 igual 11,11 = 8,33 + 2,78</t>
  </si>
  <si>
    <t xml:space="preserve">Férias Indenizadas s/ aviso prévio indenizado </t>
  </si>
  <si>
    <t>Indenização adicional</t>
  </si>
  <si>
    <t>Seguros para todos os funcionários - menos vigilante (na linha 108 e 132)</t>
  </si>
  <si>
    <t>Encarregado de Operações  - 44 horas semanais mais sobreaviso</t>
  </si>
  <si>
    <t>Operador Retro Escavadeira - 44 horas semanais</t>
  </si>
  <si>
    <t>1.1. Operador de máquina retro escavadeira  - EMPRESA LUCRO REAL E PRESUMIDO</t>
  </si>
  <si>
    <t>3.1. Operador de retroescavadeira e Encarregado das operações de transbordo</t>
  </si>
  <si>
    <t>Horas Extras (100%) feriados</t>
  </si>
  <si>
    <t>horas</t>
  </si>
  <si>
    <t>Porteiro</t>
  </si>
  <si>
    <t>5174-10</t>
  </si>
  <si>
    <t>1.3. Porteiro - EMPRESA LUCRO REAL E PRESUMIDO - DIURNO</t>
  </si>
  <si>
    <t>1.3.1- Porteiro - EMPRESA SIMPLES NACIONAL - DIURNO</t>
  </si>
  <si>
    <t>1.4. Porteiro - EMPRESA LUCRO REAL E PRESUMIDO - NOTURNO</t>
  </si>
  <si>
    <t>Total por Porteiro</t>
  </si>
  <si>
    <t>1.4.1- Porteiro - EMPRESA SIMPLES NACIONAL - NOTURNO</t>
  </si>
  <si>
    <t>Total por Encarregado</t>
  </si>
  <si>
    <t>Total por Auxiliar</t>
  </si>
  <si>
    <t>PREÇO POR TONELADA (R$/TONELADA)  - 1250 toneladas mÊs</t>
  </si>
  <si>
    <t>Jaqueta com faixa refletiva (NBR 15.292)</t>
  </si>
  <si>
    <t xml:space="preserve">Camisetas de manga longa com faixa reflexiva </t>
  </si>
  <si>
    <t xml:space="preserve">Calça com faixa refletiva  </t>
  </si>
  <si>
    <t>Camiseta com  manga curta faixa refletiva</t>
  </si>
  <si>
    <t>Calçado de segurança c/ solado e palmilha antiperfurante e biqueira compiste</t>
  </si>
  <si>
    <t>Creme protetor solar com repelente fps  60</t>
  </si>
  <si>
    <t>Óculos de Proteção escuro</t>
  </si>
  <si>
    <t xml:space="preserve">Bonés arabes de segurança com protetor de nuca </t>
  </si>
  <si>
    <t>Capacete motosserista com tela 8 polegadas e proteor auricular</t>
  </si>
  <si>
    <t>Calçado motosserista</t>
  </si>
  <si>
    <t>Bomé roçador com tela</t>
  </si>
  <si>
    <t>Avental de raspa</t>
  </si>
  <si>
    <t>Perneira de couto com 3 talas</t>
  </si>
  <si>
    <t>Luvas de segurança cut longa e resistenta anticorte  - CA 48460</t>
  </si>
  <si>
    <t>Protetor solar fator de proteção 60</t>
  </si>
  <si>
    <t>3.3 Porteiros</t>
  </si>
  <si>
    <t xml:space="preserve">CUSTO COM LAVAGEM UNIFORMES  </t>
  </si>
  <si>
    <t>Dias uso
s/lavar
(dias)</t>
  </si>
  <si>
    <t>Fator de utilização
(% ano)</t>
  </si>
  <si>
    <t>Unid.</t>
  </si>
  <si>
    <t>Qtde.
p/Func.</t>
  </si>
  <si>
    <t>Qtde. Lavagens mês</t>
  </si>
  <si>
    <t>Total pçs.
Lavadas
mês</t>
  </si>
  <si>
    <t>Peso
Gramas
p/pç</t>
  </si>
  <si>
    <t>Peso mensal
Kg</t>
  </si>
  <si>
    <t>Custo
Mensal</t>
  </si>
  <si>
    <t>Camisetas</t>
  </si>
  <si>
    <t>pç</t>
  </si>
  <si>
    <t>Jaqueta (usa cinco meses)</t>
  </si>
  <si>
    <t>Preço da lavagem por Kg</t>
  </si>
  <si>
    <t xml:space="preserve">Serviços de lavagem de uniformes </t>
  </si>
  <si>
    <t>Luva motosserista - 5 dedos</t>
  </si>
  <si>
    <t>Calça motoserrista - proteção 360 graus</t>
  </si>
  <si>
    <t>Dias trabalhados por mês para cada vigilante</t>
  </si>
  <si>
    <t>máquinas , equipamentos , aparelhos e ferramentas</t>
  </si>
  <si>
    <t>bens de informática</t>
  </si>
  <si>
    <t>móveis e utensílios</t>
  </si>
  <si>
    <t>Descanso Semanal Remunerado (DSR) - horas extras</t>
  </si>
  <si>
    <t xml:space="preserve">Número de Horas Extras referente feriados </t>
  </si>
  <si>
    <t>FERIADOS NACIONAIS, ESTADUAIS E MUNICIPAIS</t>
  </si>
  <si>
    <t>Nacionais / Estaduais</t>
  </si>
  <si>
    <t>01/01 - Confraternização Universal</t>
  </si>
  <si>
    <t>21/04 - Tiradentes</t>
  </si>
  <si>
    <t>01/05 - Dia do Trabalho</t>
  </si>
  <si>
    <t>Variável - Sexta feira Santa</t>
  </si>
  <si>
    <t>Variável - Corpus Cristhi</t>
  </si>
  <si>
    <t>07/09 - Independência do Brasil</t>
  </si>
  <si>
    <t>20/09 - Revolução Farroupilha</t>
  </si>
  <si>
    <t>12/10 - Nossa Senhora Aparecida</t>
  </si>
  <si>
    <t>02/11 - Finados</t>
  </si>
  <si>
    <t>15/11 - Proclamação da República</t>
  </si>
  <si>
    <t>20/11 - Dia da consciência negra</t>
  </si>
  <si>
    <t>25/12 - Natal</t>
  </si>
  <si>
    <t>Municipais</t>
  </si>
  <si>
    <t>20/01 - São Sebastião Mártir</t>
  </si>
  <si>
    <t>25/07 - Dia do Colono e Motorista</t>
  </si>
  <si>
    <t>Sub-Total</t>
  </si>
  <si>
    <t>Coincidências com domingos (média)</t>
  </si>
  <si>
    <t>Total feriados a considerar</t>
  </si>
  <si>
    <t xml:space="preserve">Mesas para o refeitório </t>
  </si>
  <si>
    <t>Cadeiras para o Refeitório</t>
  </si>
  <si>
    <t>2.3. Consumos retroescavadeira</t>
  </si>
  <si>
    <t xml:space="preserve">Contrato de recolhimento de chorume no local </t>
  </si>
  <si>
    <t>Custo com colocação de brita e rachão</t>
  </si>
  <si>
    <t>serão realizdas 5 coletas e o valor de cada coleta é 2.600 cfe orçamento pipi haus em 21-01-2026</t>
  </si>
  <si>
    <t>Número médio de dias trabalhadas por mês - segundas a sábados</t>
  </si>
  <si>
    <t xml:space="preserve">Quantidade de toneldas de resíduos movimentados mês </t>
  </si>
  <si>
    <t>Verba mensal</t>
  </si>
  <si>
    <t xml:space="preserve">Serviços de video- monitoramento  predial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</si>
</sst>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(* #,##0.0000_);_(* \(#,##0.0000\);_(* &quot;-&quot;??_);_(@_)"/>
    <numFmt numFmtId="170" formatCode="0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2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4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18">
    <xf numFmtId="0" fontId="0" fillId="0" borderId="0" xfId="0"/>
    <xf numFmtId="0" fontId="11" fillId="0" borderId="0" xfId="0" applyFont="1"/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5" fontId="11" fillId="0" borderId="0" xfId="3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165" fontId="11" fillId="0" borderId="2" xfId="3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11" fillId="0" borderId="1" xfId="3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65" fontId="8" fillId="0" borderId="6" xfId="3" applyFont="1" applyBorder="1" applyAlignment="1">
      <alignment vertical="center"/>
    </xf>
    <xf numFmtId="165" fontId="8" fillId="0" borderId="7" xfId="3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5" fontId="11" fillId="0" borderId="6" xfId="3" applyFont="1" applyBorder="1" applyAlignment="1">
      <alignment vertical="center"/>
    </xf>
    <xf numFmtId="165" fontId="11" fillId="0" borderId="7" xfId="3" applyFont="1" applyBorder="1" applyAlignment="1">
      <alignment vertical="center"/>
    </xf>
    <xf numFmtId="165" fontId="8" fillId="0" borderId="0" xfId="3" applyFont="1" applyBorder="1" applyAlignment="1">
      <alignment horizontal="center" vertical="center"/>
    </xf>
    <xf numFmtId="165" fontId="8" fillId="0" borderId="0" xfId="3" applyFont="1" applyBorder="1" applyAlignment="1">
      <alignment vertical="center"/>
    </xf>
    <xf numFmtId="166" fontId="11" fillId="0" borderId="1" xfId="3" applyNumberFormat="1" applyFont="1" applyBorder="1" applyAlignment="1">
      <alignment vertical="center"/>
    </xf>
    <xf numFmtId="165" fontId="8" fillId="0" borderId="10" xfId="3" applyFont="1" applyBorder="1" applyAlignment="1">
      <alignment horizontal="center" vertical="center"/>
    </xf>
    <xf numFmtId="165" fontId="11" fillId="0" borderId="1" xfId="3" applyFont="1" applyBorder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11" fillId="0" borderId="0" xfId="3" applyFont="1" applyBorder="1" applyAlignment="1">
      <alignment vertical="center"/>
    </xf>
    <xf numFmtId="165" fontId="11" fillId="0" borderId="8" xfId="3" applyFont="1" applyBorder="1" applyAlignment="1">
      <alignment vertical="center"/>
    </xf>
    <xf numFmtId="165" fontId="8" fillId="0" borderId="26" xfId="3" applyFont="1" applyBorder="1" applyAlignment="1">
      <alignment vertical="center"/>
    </xf>
    <xf numFmtId="4" fontId="8" fillId="0" borderId="27" xfId="0" applyNumberFormat="1" applyFont="1" applyBorder="1" applyAlignment="1">
      <alignment vertical="center"/>
    </xf>
    <xf numFmtId="0" fontId="0" fillId="0" borderId="27" xfId="0" applyBorder="1" applyAlignment="1">
      <alignment vertical="center"/>
    </xf>
    <xf numFmtId="1" fontId="8" fillId="0" borderId="29" xfId="3" applyNumberFormat="1" applyFont="1" applyBorder="1" applyAlignment="1">
      <alignment horizontal="center" vertical="center"/>
    </xf>
    <xf numFmtId="165" fontId="11" fillId="0" borderId="1" xfId="3" applyFont="1" applyFill="1" applyBorder="1" applyAlignment="1">
      <alignment horizontal="center" vertical="center"/>
    </xf>
    <xf numFmtId="43" fontId="11" fillId="0" borderId="0" xfId="0" applyNumberFormat="1" applyFont="1" applyAlignment="1">
      <alignment vertical="center"/>
    </xf>
    <xf numFmtId="166" fontId="11" fillId="0" borderId="1" xfId="3" applyNumberFormat="1" applyFont="1" applyBorder="1" applyAlignment="1">
      <alignment horizontal="center" vertical="center"/>
    </xf>
    <xf numFmtId="166" fontId="11" fillId="0" borderId="1" xfId="3" applyNumberFormat="1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5" fontId="8" fillId="0" borderId="1" xfId="3" applyFont="1" applyBorder="1" applyAlignment="1">
      <alignment horizontal="center" vertical="center"/>
    </xf>
    <xf numFmtId="165" fontId="8" fillId="0" borderId="3" xfId="3" applyFont="1" applyBorder="1" applyAlignment="1">
      <alignment horizontal="center" vertical="center"/>
    </xf>
    <xf numFmtId="10" fontId="8" fillId="0" borderId="13" xfId="2" applyNumberFormat="1" applyFont="1" applyBorder="1" applyAlignment="1">
      <alignment vertical="center"/>
    </xf>
    <xf numFmtId="165" fontId="8" fillId="0" borderId="33" xfId="3" applyFont="1" applyBorder="1" applyAlignment="1">
      <alignment vertical="center"/>
    </xf>
    <xf numFmtId="4" fontId="8" fillId="0" borderId="0" xfId="0" applyNumberFormat="1" applyFont="1" applyAlignment="1">
      <alignment vertical="center"/>
    </xf>
    <xf numFmtId="165" fontId="11" fillId="0" borderId="34" xfId="3" applyFont="1" applyBorder="1" applyAlignment="1">
      <alignment vertical="center"/>
    </xf>
    <xf numFmtId="165" fontId="11" fillId="3" borderId="1" xfId="3" applyFont="1" applyFill="1" applyBorder="1" applyAlignment="1">
      <alignment horizontal="center" vertical="center"/>
    </xf>
    <xf numFmtId="9" fontId="8" fillId="0" borderId="16" xfId="2" applyFont="1" applyBorder="1" applyAlignment="1">
      <alignment vertical="center"/>
    </xf>
    <xf numFmtId="10" fontId="11" fillId="0" borderId="13" xfId="2" applyNumberFormat="1" applyFont="1" applyBorder="1" applyAlignment="1">
      <alignment vertical="center"/>
    </xf>
    <xf numFmtId="0" fontId="10" fillId="0" borderId="0" xfId="0" applyFont="1"/>
    <xf numFmtId="165" fontId="11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0" fontId="11" fillId="0" borderId="0" xfId="0" applyNumberFormat="1" applyFont="1"/>
    <xf numFmtId="0" fontId="21" fillId="0" borderId="0" xfId="0" applyFont="1" applyAlignment="1">
      <alignment horizontal="left" vertical="center"/>
    </xf>
    <xf numFmtId="10" fontId="21" fillId="0" borderId="0" xfId="0" applyNumberFormat="1" applyFont="1" applyAlignment="1">
      <alignment horizontal="right" vertical="center"/>
    </xf>
    <xf numFmtId="10" fontId="20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justify" vertical="center"/>
    </xf>
    <xf numFmtId="0" fontId="25" fillId="0" borderId="0" xfId="0" applyFont="1"/>
    <xf numFmtId="0" fontId="20" fillId="0" borderId="0" xfId="0" applyFont="1" applyAlignment="1">
      <alignment horizontal="right" vertical="center"/>
    </xf>
    <xf numFmtId="0" fontId="13" fillId="0" borderId="0" xfId="1" applyBorder="1" applyAlignment="1" applyProtection="1">
      <alignment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0" fontId="10" fillId="0" borderId="25" xfId="0" applyNumberFormat="1" applyFont="1" applyBorder="1" applyAlignment="1">
      <alignment vertical="center"/>
    </xf>
    <xf numFmtId="0" fontId="10" fillId="0" borderId="26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21" fillId="0" borderId="2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5" fontId="8" fillId="0" borderId="8" xfId="3" applyFont="1" applyBorder="1" applyAlignment="1">
      <alignment horizontal="center" vertical="center"/>
    </xf>
    <xf numFmtId="167" fontId="11" fillId="0" borderId="1" xfId="3" applyNumberFormat="1" applyFont="1" applyBorder="1" applyAlignment="1">
      <alignment horizontal="center" vertical="center"/>
    </xf>
    <xf numFmtId="166" fontId="8" fillId="0" borderId="1" xfId="3" applyNumberFormat="1" applyFont="1" applyBorder="1" applyAlignment="1">
      <alignment horizontal="center" vertical="center"/>
    </xf>
    <xf numFmtId="167" fontId="8" fillId="0" borderId="1" xfId="3" applyNumberFormat="1" applyFont="1" applyBorder="1" applyAlignment="1">
      <alignment horizontal="center" vertical="center"/>
    </xf>
    <xf numFmtId="167" fontId="11" fillId="0" borderId="2" xfId="3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4" fillId="0" borderId="0" xfId="4" applyFont="1"/>
    <xf numFmtId="0" fontId="6" fillId="0" borderId="1" xfId="0" applyFont="1" applyBorder="1" applyAlignment="1">
      <alignment horizontal="center" vertical="center"/>
    </xf>
    <xf numFmtId="165" fontId="11" fillId="0" borderId="27" xfId="3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5" fontId="11" fillId="0" borderId="0" xfId="3" applyFont="1" applyBorder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7" fillId="0" borderId="33" xfId="0" applyFont="1" applyBorder="1" applyAlignment="1">
      <alignment horizontal="left" vertical="center" wrapText="1"/>
    </xf>
    <xf numFmtId="0" fontId="9" fillId="0" borderId="33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168" fontId="8" fillId="0" borderId="21" xfId="0" applyNumberFormat="1" applyFont="1" applyBorder="1" applyAlignment="1">
      <alignment vertical="center"/>
    </xf>
    <xf numFmtId="168" fontId="0" fillId="0" borderId="21" xfId="0" applyNumberFormat="1" applyBorder="1" applyAlignment="1">
      <alignment vertical="center"/>
    </xf>
    <xf numFmtId="10" fontId="8" fillId="0" borderId="34" xfId="2" applyNumberFormat="1" applyFont="1" applyBorder="1" applyAlignment="1">
      <alignment vertical="center"/>
    </xf>
    <xf numFmtId="0" fontId="8" fillId="5" borderId="34" xfId="0" applyFont="1" applyFill="1" applyBorder="1" applyAlignment="1">
      <alignment vertical="center"/>
    </xf>
    <xf numFmtId="165" fontId="8" fillId="0" borderId="17" xfId="3" applyFont="1" applyBorder="1" applyAlignment="1">
      <alignment horizontal="center" vertical="center" wrapText="1"/>
    </xf>
    <xf numFmtId="10" fontId="8" fillId="5" borderId="13" xfId="2" applyNumberFormat="1" applyFont="1" applyFill="1" applyBorder="1" applyAlignment="1">
      <alignment vertical="center"/>
    </xf>
    <xf numFmtId="0" fontId="8" fillId="5" borderId="13" xfId="0" applyFont="1" applyFill="1" applyBorder="1" applyAlignment="1">
      <alignment vertical="center"/>
    </xf>
    <xf numFmtId="0" fontId="8" fillId="5" borderId="21" xfId="0" applyFont="1" applyFill="1" applyBorder="1" applyAlignment="1">
      <alignment vertical="center"/>
    </xf>
    <xf numFmtId="0" fontId="8" fillId="5" borderId="18" xfId="0" applyFont="1" applyFill="1" applyBorder="1" applyAlignment="1">
      <alignment vertical="center"/>
    </xf>
    <xf numFmtId="168" fontId="8" fillId="5" borderId="21" xfId="0" applyNumberFormat="1" applyFont="1" applyFill="1" applyBorder="1" applyAlignment="1">
      <alignment vertical="center"/>
    </xf>
    <xf numFmtId="168" fontId="8" fillId="5" borderId="37" xfId="0" applyNumberFormat="1" applyFont="1" applyFill="1" applyBorder="1" applyAlignment="1">
      <alignment vertical="center"/>
    </xf>
    <xf numFmtId="10" fontId="8" fillId="5" borderId="34" xfId="2" applyNumberFormat="1" applyFont="1" applyFill="1" applyBorder="1" applyAlignment="1">
      <alignment vertical="center"/>
    </xf>
    <xf numFmtId="0" fontId="8" fillId="5" borderId="37" xfId="0" applyFont="1" applyFill="1" applyBorder="1" applyAlignment="1">
      <alignment vertical="center"/>
    </xf>
    <xf numFmtId="168" fontId="8" fillId="0" borderId="44" xfId="0" applyNumberFormat="1" applyFont="1" applyBorder="1" applyAlignment="1">
      <alignment vertical="center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165" fontId="11" fillId="0" borderId="24" xfId="3" applyFont="1" applyBorder="1" applyAlignment="1">
      <alignment vertical="center"/>
    </xf>
    <xf numFmtId="0" fontId="11" fillId="0" borderId="45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165" fontId="11" fillId="0" borderId="20" xfId="3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165" fontId="8" fillId="0" borderId="27" xfId="3" applyFont="1" applyBorder="1" applyAlignment="1">
      <alignment vertical="center"/>
    </xf>
    <xf numFmtId="164" fontId="8" fillId="4" borderId="5" xfId="0" applyNumberFormat="1" applyFont="1" applyFill="1" applyBorder="1" applyAlignment="1">
      <alignment vertical="center"/>
    </xf>
    <xf numFmtId="165" fontId="9" fillId="0" borderId="23" xfId="3" applyFont="1" applyFill="1" applyBorder="1" applyAlignment="1">
      <alignment horizontal="left" vertical="center"/>
    </xf>
    <xf numFmtId="165" fontId="8" fillId="0" borderId="33" xfId="3" applyFont="1" applyBorder="1" applyAlignment="1">
      <alignment horizontal="left" vertical="center"/>
    </xf>
    <xf numFmtId="165" fontId="11" fillId="0" borderId="25" xfId="3" applyFont="1" applyBorder="1" applyAlignment="1">
      <alignment vertical="center"/>
    </xf>
    <xf numFmtId="165" fontId="11" fillId="0" borderId="11" xfId="3" applyFont="1" applyBorder="1" applyAlignment="1">
      <alignment vertical="center"/>
    </xf>
    <xf numFmtId="165" fontId="11" fillId="0" borderId="47" xfId="3" applyFont="1" applyBorder="1" applyAlignment="1">
      <alignment vertical="center"/>
    </xf>
    <xf numFmtId="165" fontId="8" fillId="0" borderId="47" xfId="3" applyFont="1" applyBorder="1" applyAlignment="1">
      <alignment vertical="center"/>
    </xf>
    <xf numFmtId="165" fontId="8" fillId="0" borderId="34" xfId="3" applyFont="1" applyFill="1" applyBorder="1" applyAlignment="1">
      <alignment vertical="center"/>
    </xf>
    <xf numFmtId="165" fontId="8" fillId="0" borderId="11" xfId="3" applyFont="1" applyFill="1" applyBorder="1" applyAlignment="1">
      <alignment vertical="center"/>
    </xf>
    <xf numFmtId="165" fontId="8" fillId="0" borderId="47" xfId="3" applyFont="1" applyFill="1" applyBorder="1" applyAlignment="1">
      <alignment vertical="center"/>
    </xf>
    <xf numFmtId="165" fontId="11" fillId="0" borderId="47" xfId="3" applyFont="1" applyBorder="1" applyAlignment="1">
      <alignment horizontal="center" vertical="center"/>
    </xf>
    <xf numFmtId="165" fontId="11" fillId="0" borderId="11" xfId="3" applyFont="1" applyBorder="1" applyAlignment="1">
      <alignment horizontal="center" vertical="center"/>
    </xf>
    <xf numFmtId="165" fontId="8" fillId="0" borderId="47" xfId="3" applyFont="1" applyBorder="1" applyAlignment="1">
      <alignment horizontal="center" vertical="center"/>
    </xf>
    <xf numFmtId="165" fontId="8" fillId="0" borderId="34" xfId="3" applyFont="1" applyFill="1" applyBorder="1" applyAlignment="1">
      <alignment horizontal="center" vertical="center"/>
    </xf>
    <xf numFmtId="165" fontId="11" fillId="0" borderId="11" xfId="3" applyFont="1" applyFill="1" applyBorder="1" applyAlignment="1">
      <alignment horizontal="center" vertical="center"/>
    </xf>
    <xf numFmtId="165" fontId="11" fillId="0" borderId="47" xfId="3" applyFont="1" applyFill="1" applyBorder="1" applyAlignment="1">
      <alignment horizontal="center" vertical="center"/>
    </xf>
    <xf numFmtId="165" fontId="8" fillId="0" borderId="25" xfId="3" applyFont="1" applyFill="1" applyBorder="1" applyAlignment="1">
      <alignment horizontal="center" vertical="center"/>
    </xf>
    <xf numFmtId="165" fontId="9" fillId="0" borderId="25" xfId="3" applyFont="1" applyBorder="1" applyAlignment="1">
      <alignment vertical="center"/>
    </xf>
    <xf numFmtId="165" fontId="8" fillId="0" borderId="25" xfId="3" applyFont="1" applyBorder="1" applyAlignment="1">
      <alignment vertical="center"/>
    </xf>
    <xf numFmtId="165" fontId="9" fillId="0" borderId="34" xfId="3" applyFont="1" applyBorder="1" applyAlignment="1">
      <alignment vertical="center"/>
    </xf>
    <xf numFmtId="165" fontId="8" fillId="0" borderId="7" xfId="3" applyFont="1" applyFill="1" applyBorder="1" applyAlignment="1">
      <alignment horizontal="center" vertical="center"/>
    </xf>
    <xf numFmtId="0" fontId="8" fillId="0" borderId="44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65" fontId="8" fillId="0" borderId="7" xfId="3" applyFont="1" applyFill="1" applyBorder="1" applyAlignment="1">
      <alignment horizontal="right" vertical="center"/>
    </xf>
    <xf numFmtId="165" fontId="6" fillId="0" borderId="9" xfId="3" applyFont="1" applyFill="1" applyBorder="1" applyAlignment="1">
      <alignment vertical="center"/>
    </xf>
    <xf numFmtId="165" fontId="8" fillId="0" borderId="8" xfId="3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165" fontId="8" fillId="0" borderId="2" xfId="3" applyFont="1" applyBorder="1" applyAlignment="1">
      <alignment horizontal="center" vertical="center"/>
    </xf>
    <xf numFmtId="165" fontId="8" fillId="0" borderId="48" xfId="3" applyFont="1" applyBorder="1" applyAlignment="1">
      <alignment horizontal="center" vertical="center"/>
    </xf>
    <xf numFmtId="165" fontId="8" fillId="0" borderId="1" xfId="3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165" fontId="6" fillId="0" borderId="34" xfId="3" applyFont="1" applyBorder="1" applyAlignment="1">
      <alignment vertical="center"/>
    </xf>
    <xf numFmtId="0" fontId="6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165" fontId="8" fillId="0" borderId="29" xfId="3" applyFont="1" applyBorder="1" applyAlignment="1">
      <alignment horizontal="center" vertical="center"/>
    </xf>
    <xf numFmtId="165" fontId="11" fillId="0" borderId="49" xfId="3" applyFont="1" applyBorder="1" applyAlignment="1">
      <alignment vertical="center"/>
    </xf>
    <xf numFmtId="0" fontId="0" fillId="0" borderId="49" xfId="0" applyBorder="1" applyAlignment="1">
      <alignment vertical="center"/>
    </xf>
    <xf numFmtId="165" fontId="8" fillId="0" borderId="16" xfId="3" applyFont="1" applyBorder="1" applyAlignment="1">
      <alignment horizontal="center" vertical="center"/>
    </xf>
    <xf numFmtId="165" fontId="6" fillId="0" borderId="26" xfId="3" applyFont="1" applyBorder="1" applyAlignment="1">
      <alignment vertical="center"/>
    </xf>
    <xf numFmtId="165" fontId="8" fillId="0" borderId="11" xfId="3" applyFont="1" applyBorder="1" applyAlignment="1">
      <alignment horizontal="center" vertical="center"/>
    </xf>
    <xf numFmtId="165" fontId="8" fillId="0" borderId="11" xfId="3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11" fillId="0" borderId="7" xfId="3" applyNumberFormat="1" applyFont="1" applyBorder="1" applyAlignment="1">
      <alignment horizontal="center" vertical="center"/>
    </xf>
    <xf numFmtId="165" fontId="8" fillId="0" borderId="35" xfId="3" applyFont="1" applyBorder="1" applyAlignment="1">
      <alignment vertical="center"/>
    </xf>
    <xf numFmtId="165" fontId="11" fillId="0" borderId="32" xfId="3" applyFont="1" applyFill="1" applyBorder="1" applyAlignment="1">
      <alignment horizontal="center" vertical="center"/>
    </xf>
    <xf numFmtId="165" fontId="8" fillId="0" borderId="30" xfId="3" applyFont="1" applyBorder="1" applyAlignment="1">
      <alignment horizontal="center" vertical="center" wrapText="1"/>
    </xf>
    <xf numFmtId="1" fontId="11" fillId="0" borderId="3" xfId="3" applyNumberFormat="1" applyFont="1" applyFill="1" applyBorder="1" applyAlignment="1">
      <alignment horizontal="center" vertical="center"/>
    </xf>
    <xf numFmtId="1" fontId="6" fillId="0" borderId="31" xfId="3" applyNumberFormat="1" applyFont="1" applyFill="1" applyBorder="1" applyAlignment="1">
      <alignment horizontal="center" vertical="center"/>
    </xf>
    <xf numFmtId="1" fontId="11" fillId="0" borderId="31" xfId="3" applyNumberFormat="1" applyFont="1" applyFill="1" applyBorder="1" applyAlignment="1">
      <alignment horizontal="center" vertical="center"/>
    </xf>
    <xf numFmtId="1" fontId="6" fillId="0" borderId="1" xfId="3" applyNumberFormat="1" applyFont="1" applyFill="1" applyBorder="1" applyAlignment="1">
      <alignment horizontal="center" vertical="center"/>
    </xf>
    <xf numFmtId="10" fontId="11" fillId="0" borderId="1" xfId="2" applyNumberFormat="1" applyFont="1" applyFill="1" applyBorder="1" applyAlignment="1">
      <alignment horizontal="center" vertical="center"/>
    </xf>
    <xf numFmtId="165" fontId="11" fillId="0" borderId="31" xfId="3" applyFont="1" applyFill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165" fontId="8" fillId="0" borderId="18" xfId="3" applyFont="1" applyFill="1" applyBorder="1" applyAlignment="1">
      <alignment horizontal="center" vertical="center"/>
    </xf>
    <xf numFmtId="165" fontId="11" fillId="0" borderId="2" xfId="3" applyFont="1" applyFill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65" fontId="8" fillId="0" borderId="30" xfId="3" applyFont="1" applyBorder="1" applyAlignment="1">
      <alignment horizontal="center" vertical="center"/>
    </xf>
    <xf numFmtId="3" fontId="8" fillId="0" borderId="1" xfId="0" applyNumberFormat="1" applyFont="1" applyBorder="1" applyAlignment="1">
      <alignment vertical="center"/>
    </xf>
    <xf numFmtId="165" fontId="0" fillId="0" borderId="41" xfId="3" applyFont="1" applyBorder="1" applyAlignment="1">
      <alignment vertical="center"/>
    </xf>
    <xf numFmtId="165" fontId="0" fillId="0" borderId="42" xfId="3" applyFont="1" applyBorder="1" applyAlignment="1">
      <alignment vertical="center"/>
    </xf>
    <xf numFmtId="165" fontId="11" fillId="0" borderId="42" xfId="3" applyFont="1" applyBorder="1" applyAlignment="1">
      <alignment vertical="center"/>
    </xf>
    <xf numFmtId="165" fontId="11" fillId="0" borderId="43" xfId="3" applyFont="1" applyBorder="1" applyAlignment="1">
      <alignment vertical="center"/>
    </xf>
    <xf numFmtId="165" fontId="11" fillId="0" borderId="41" xfId="3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169" fontId="11" fillId="0" borderId="50" xfId="3" applyNumberFormat="1" applyFont="1" applyBorder="1" applyAlignment="1">
      <alignment vertical="center"/>
    </xf>
    <xf numFmtId="165" fontId="11" fillId="0" borderId="4" xfId="3" applyFont="1" applyBorder="1" applyAlignment="1">
      <alignment vertical="center"/>
    </xf>
    <xf numFmtId="165" fontId="11" fillId="0" borderId="3" xfId="3" applyFont="1" applyFill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165" fontId="8" fillId="4" borderId="41" xfId="3" applyFont="1" applyFill="1" applyBorder="1" applyAlignment="1">
      <alignment vertical="center"/>
    </xf>
    <xf numFmtId="165" fontId="6" fillId="0" borderId="42" xfId="3" applyFont="1" applyBorder="1" applyAlignment="1">
      <alignment vertical="center"/>
    </xf>
    <xf numFmtId="13" fontId="11" fillId="0" borderId="0" xfId="0" applyNumberFormat="1" applyFont="1" applyAlignment="1">
      <alignment vertical="center"/>
    </xf>
    <xf numFmtId="0" fontId="20" fillId="5" borderId="22" xfId="0" applyFont="1" applyFill="1" applyBorder="1" applyAlignment="1">
      <alignment horizontal="left" vertical="center"/>
    </xf>
    <xf numFmtId="0" fontId="21" fillId="5" borderId="31" xfId="0" applyFont="1" applyFill="1" applyBorder="1" applyAlignment="1">
      <alignment horizontal="left" vertical="center"/>
    </xf>
    <xf numFmtId="165" fontId="6" fillId="0" borderId="27" xfId="3" applyFont="1" applyBorder="1" applyAlignment="1">
      <alignment vertical="center"/>
    </xf>
    <xf numFmtId="0" fontId="6" fillId="0" borderId="5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165" fontId="8" fillId="0" borderId="0" xfId="3" applyFont="1" applyBorder="1" applyAlignment="1">
      <alignment horizontal="left" vertical="center"/>
    </xf>
    <xf numFmtId="0" fontId="19" fillId="0" borderId="6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4" fontId="0" fillId="0" borderId="6" xfId="0" applyNumberFormat="1" applyBorder="1" applyAlignment="1">
      <alignment vertical="center"/>
    </xf>
    <xf numFmtId="165" fontId="0" fillId="0" borderId="6" xfId="3" applyFont="1" applyFill="1" applyBorder="1" applyAlignment="1">
      <alignment vertical="center"/>
    </xf>
    <xf numFmtId="0" fontId="0" fillId="0" borderId="7" xfId="0" applyBorder="1" applyAlignment="1">
      <alignment vertical="center"/>
    </xf>
    <xf numFmtId="169" fontId="11" fillId="0" borderId="1" xfId="3" applyNumberFormat="1" applyFont="1" applyBorder="1" applyAlignment="1">
      <alignment horizontal="center" vertical="center"/>
    </xf>
    <xf numFmtId="10" fontId="8" fillId="0" borderId="7" xfId="2" applyNumberFormat="1" applyFont="1" applyFill="1" applyBorder="1" applyAlignment="1">
      <alignment vertical="center"/>
    </xf>
    <xf numFmtId="165" fontId="9" fillId="5" borderId="5" xfId="3" applyFont="1" applyFill="1" applyBorder="1" applyAlignment="1">
      <alignment vertical="center"/>
    </xf>
    <xf numFmtId="165" fontId="9" fillId="5" borderId="6" xfId="3" applyFont="1" applyFill="1" applyBorder="1" applyAlignment="1">
      <alignment vertical="center"/>
    </xf>
    <xf numFmtId="165" fontId="9" fillId="5" borderId="7" xfId="3" applyFont="1" applyFill="1" applyBorder="1" applyAlignment="1">
      <alignment vertical="center"/>
    </xf>
    <xf numFmtId="0" fontId="15" fillId="5" borderId="15" xfId="0" applyFont="1" applyFill="1" applyBorder="1" applyAlignment="1">
      <alignment horizontal="center" vertical="center"/>
    </xf>
    <xf numFmtId="165" fontId="15" fillId="5" borderId="15" xfId="3" applyFont="1" applyFill="1" applyBorder="1" applyAlignment="1">
      <alignment horizontal="center" vertical="center"/>
    </xf>
    <xf numFmtId="165" fontId="15" fillId="5" borderId="11" xfId="3" applyFont="1" applyFill="1" applyBorder="1" applyAlignment="1">
      <alignment horizontal="center" vertical="center"/>
    </xf>
    <xf numFmtId="165" fontId="8" fillId="5" borderId="51" xfId="3" applyFont="1" applyFill="1" applyBorder="1" applyAlignment="1">
      <alignment horizontal="center" vertical="center"/>
    </xf>
    <xf numFmtId="0" fontId="15" fillId="5" borderId="14" xfId="0" applyFont="1" applyFill="1" applyBorder="1" applyAlignment="1">
      <alignment horizontal="center" vertical="center"/>
    </xf>
    <xf numFmtId="0" fontId="15" fillId="5" borderId="35" xfId="0" applyFont="1" applyFill="1" applyBorder="1" applyAlignment="1">
      <alignment horizontal="center" vertical="center"/>
    </xf>
    <xf numFmtId="165" fontId="8" fillId="5" borderId="4" xfId="3" applyFont="1" applyFill="1" applyBorder="1" applyAlignment="1">
      <alignment vertical="center"/>
    </xf>
    <xf numFmtId="165" fontId="8" fillId="5" borderId="4" xfId="3" applyFont="1" applyFill="1" applyBorder="1" applyAlignment="1">
      <alignment horizontal="center" vertical="center"/>
    </xf>
    <xf numFmtId="165" fontId="8" fillId="5" borderId="41" xfId="3" applyFont="1" applyFill="1" applyBorder="1" applyAlignment="1">
      <alignment vertical="center"/>
    </xf>
    <xf numFmtId="165" fontId="8" fillId="5" borderId="41" xfId="3" applyFont="1" applyFill="1" applyBorder="1" applyAlignment="1">
      <alignment horizontal="center" vertical="center"/>
    </xf>
    <xf numFmtId="0" fontId="8" fillId="0" borderId="46" xfId="4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8" fillId="0" borderId="23" xfId="4" applyFont="1" applyBorder="1" applyAlignment="1">
      <alignment horizontal="right"/>
    </xf>
    <xf numFmtId="0" fontId="19" fillId="0" borderId="5" xfId="0" applyFont="1" applyBorder="1" applyAlignment="1">
      <alignment horizontal="right"/>
    </xf>
    <xf numFmtId="169" fontId="11" fillId="0" borderId="50" xfId="3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9" fillId="0" borderId="6" xfId="3" applyFont="1" applyFill="1" applyBorder="1" applyAlignment="1">
      <alignment vertical="center"/>
    </xf>
    <xf numFmtId="165" fontId="9" fillId="0" borderId="7" xfId="3" applyFont="1" applyFill="1" applyBorder="1" applyAlignment="1">
      <alignment vertical="center"/>
    </xf>
    <xf numFmtId="165" fontId="11" fillId="0" borderId="0" xfId="3" applyFont="1" applyFill="1" applyBorder="1" applyAlignment="1">
      <alignment horizontal="right" vertical="center"/>
    </xf>
    <xf numFmtId="165" fontId="6" fillId="0" borderId="0" xfId="3" applyFont="1" applyFill="1" applyBorder="1" applyAlignment="1">
      <alignment horizontal="right" vertical="center"/>
    </xf>
    <xf numFmtId="0" fontId="8" fillId="6" borderId="24" xfId="4" applyFont="1" applyFill="1" applyBorder="1" applyAlignment="1">
      <alignment horizontal="left"/>
    </xf>
    <xf numFmtId="1" fontId="11" fillId="6" borderId="10" xfId="3" applyNumberFormat="1" applyFont="1" applyFill="1" applyBorder="1" applyAlignment="1">
      <alignment horizontal="center" vertical="center"/>
    </xf>
    <xf numFmtId="165" fontId="11" fillId="6" borderId="40" xfId="3" applyFont="1" applyFill="1" applyBorder="1" applyAlignment="1">
      <alignment horizontal="center" vertical="center"/>
    </xf>
    <xf numFmtId="165" fontId="11" fillId="6" borderId="18" xfId="3" applyFont="1" applyFill="1" applyBorder="1" applyAlignment="1">
      <alignment horizontal="center" vertical="center"/>
    </xf>
    <xf numFmtId="1" fontId="11" fillId="6" borderId="40" xfId="3" applyNumberFormat="1" applyFont="1" applyFill="1" applyBorder="1" applyAlignment="1">
      <alignment horizontal="center" vertical="center"/>
    </xf>
    <xf numFmtId="1" fontId="11" fillId="6" borderId="1" xfId="3" applyNumberFormat="1" applyFont="1" applyFill="1" applyBorder="1" applyAlignment="1">
      <alignment horizontal="center" vertical="center"/>
    </xf>
    <xf numFmtId="165" fontId="11" fillId="6" borderId="1" xfId="3" applyFont="1" applyFill="1" applyBorder="1" applyAlignment="1">
      <alignment horizontal="center" vertical="center"/>
    </xf>
    <xf numFmtId="165" fontId="11" fillId="6" borderId="3" xfId="3" applyFont="1" applyFill="1" applyBorder="1" applyAlignment="1">
      <alignment horizontal="center" vertical="center"/>
    </xf>
    <xf numFmtId="165" fontId="11" fillId="6" borderId="31" xfId="3" applyFont="1" applyFill="1" applyBorder="1" applyAlignment="1">
      <alignment horizontal="center" vertical="center"/>
    </xf>
    <xf numFmtId="165" fontId="11" fillId="6" borderId="38" xfId="3" applyFont="1" applyFill="1" applyBorder="1" applyAlignment="1">
      <alignment horizontal="center" vertical="center"/>
    </xf>
    <xf numFmtId="10" fontId="8" fillId="6" borderId="7" xfId="2" applyNumberFormat="1" applyFont="1" applyFill="1" applyBorder="1" applyAlignment="1">
      <alignment vertical="center"/>
    </xf>
    <xf numFmtId="165" fontId="11" fillId="6" borderId="0" xfId="3" applyFont="1" applyFill="1" applyBorder="1" applyAlignment="1">
      <alignment vertical="center"/>
    </xf>
    <xf numFmtId="2" fontId="11" fillId="6" borderId="1" xfId="0" applyNumberFormat="1" applyFont="1" applyFill="1" applyBorder="1" applyAlignment="1">
      <alignment horizontal="center" vertical="center"/>
    </xf>
    <xf numFmtId="4" fontId="11" fillId="6" borderId="1" xfId="0" applyNumberFormat="1" applyFont="1" applyFill="1" applyBorder="1" applyAlignment="1">
      <alignment horizontal="center" vertical="center"/>
    </xf>
    <xf numFmtId="165" fontId="11" fillId="6" borderId="2" xfId="3" applyFont="1" applyFill="1" applyBorder="1" applyAlignment="1">
      <alignment horizontal="center" vertical="center"/>
    </xf>
    <xf numFmtId="165" fontId="6" fillId="6" borderId="2" xfId="3" applyFont="1" applyFill="1" applyBorder="1" applyAlignment="1">
      <alignment horizontal="center" vertical="center"/>
    </xf>
    <xf numFmtId="166" fontId="6" fillId="6" borderId="1" xfId="3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3" fontId="11" fillId="6" borderId="1" xfId="0" applyNumberFormat="1" applyFont="1" applyFill="1" applyBorder="1" applyAlignment="1">
      <alignment horizontal="center" vertical="center"/>
    </xf>
    <xf numFmtId="4" fontId="11" fillId="6" borderId="1" xfId="3" applyNumberFormat="1" applyFont="1" applyFill="1" applyBorder="1" applyAlignment="1">
      <alignment horizontal="center" vertical="center"/>
    </xf>
    <xf numFmtId="165" fontId="11" fillId="6" borderId="20" xfId="3" applyFont="1" applyFill="1" applyBorder="1" applyAlignment="1">
      <alignment horizontal="center" vertical="center"/>
    </xf>
    <xf numFmtId="165" fontId="9" fillId="0" borderId="6" xfId="3" quotePrefix="1" applyFont="1" applyFill="1" applyBorder="1" applyAlignment="1">
      <alignment vertical="center"/>
    </xf>
    <xf numFmtId="165" fontId="11" fillId="0" borderId="0" xfId="3" applyFont="1" applyFill="1" applyBorder="1" applyAlignment="1">
      <alignment vertical="center"/>
    </xf>
    <xf numFmtId="0" fontId="11" fillId="0" borderId="50" xfId="0" applyFont="1" applyBorder="1" applyAlignment="1">
      <alignment vertical="center"/>
    </xf>
    <xf numFmtId="165" fontId="11" fillId="0" borderId="9" xfId="3" applyFont="1" applyBorder="1" applyAlignment="1">
      <alignment horizontal="right" vertical="center"/>
    </xf>
    <xf numFmtId="165" fontId="8" fillId="0" borderId="7" xfId="3" applyFont="1" applyFill="1" applyBorder="1" applyAlignment="1">
      <alignment vertical="center"/>
    </xf>
    <xf numFmtId="10" fontId="10" fillId="6" borderId="10" xfId="0" applyNumberFormat="1" applyFont="1" applyFill="1" applyBorder="1" applyAlignment="1">
      <alignment horizontal="center" vertical="center"/>
    </xf>
    <xf numFmtId="10" fontId="10" fillId="6" borderId="18" xfId="0" applyNumberFormat="1" applyFont="1" applyFill="1" applyBorder="1" applyAlignment="1">
      <alignment horizontal="center" vertical="center"/>
    </xf>
    <xf numFmtId="10" fontId="12" fillId="6" borderId="18" xfId="0" applyNumberFormat="1" applyFont="1" applyFill="1" applyBorder="1" applyAlignment="1">
      <alignment horizontal="center" vertical="center"/>
    </xf>
    <xf numFmtId="10" fontId="10" fillId="6" borderId="32" xfId="0" applyNumberFormat="1" applyFont="1" applyFill="1" applyBorder="1" applyAlignment="1">
      <alignment horizontal="center" vertical="center"/>
    </xf>
    <xf numFmtId="0" fontId="10" fillId="0" borderId="3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10" fontId="10" fillId="6" borderId="40" xfId="0" applyNumberFormat="1" applyFont="1" applyFill="1" applyBorder="1" applyAlignment="1">
      <alignment horizontal="center" vertical="center"/>
    </xf>
    <xf numFmtId="0" fontId="10" fillId="0" borderId="33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34" xfId="0" applyFont="1" applyBorder="1" applyAlignment="1">
      <alignment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170" fontId="19" fillId="0" borderId="6" xfId="0" applyNumberFormat="1" applyFont="1" applyBorder="1" applyAlignment="1">
      <alignment horizontal="right" vertical="center"/>
    </xf>
    <xf numFmtId="0" fontId="19" fillId="0" borderId="6" xfId="0" applyFont="1" applyBorder="1" applyAlignment="1">
      <alignment horizontal="right" vertical="center"/>
    </xf>
    <xf numFmtId="165" fontId="11" fillId="0" borderId="20" xfId="3" applyFont="1" applyFill="1" applyBorder="1" applyAlignment="1">
      <alignment horizontal="center" vertical="center"/>
    </xf>
    <xf numFmtId="165" fontId="8" fillId="0" borderId="0" xfId="3" applyFont="1" applyAlignment="1">
      <alignment vertical="center"/>
    </xf>
    <xf numFmtId="165" fontId="6" fillId="0" borderId="0" xfId="3" applyFont="1" applyBorder="1" applyAlignment="1">
      <alignment vertical="center"/>
    </xf>
    <xf numFmtId="1" fontId="8" fillId="0" borderId="16" xfId="3" applyNumberFormat="1" applyFont="1" applyBorder="1" applyAlignment="1">
      <alignment horizontal="center" vertical="center"/>
    </xf>
    <xf numFmtId="169" fontId="11" fillId="0" borderId="0" xfId="3" applyNumberFormat="1" applyFont="1" applyFill="1" applyBorder="1" applyAlignment="1">
      <alignment vertical="center"/>
    </xf>
    <xf numFmtId="165" fontId="8" fillId="0" borderId="42" xfId="3" applyFont="1" applyFill="1" applyBorder="1" applyAlignment="1">
      <alignment horizontal="center" vertical="center"/>
    </xf>
    <xf numFmtId="165" fontId="8" fillId="0" borderId="17" xfId="3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165" fontId="6" fillId="0" borderId="63" xfId="3" applyFont="1" applyBorder="1" applyAlignment="1">
      <alignment vertical="center"/>
    </xf>
    <xf numFmtId="165" fontId="11" fillId="6" borderId="2" xfId="0" applyNumberFormat="1" applyFont="1" applyFill="1" applyBorder="1" applyAlignment="1">
      <alignment horizontal="center" vertical="center"/>
    </xf>
    <xf numFmtId="10" fontId="11" fillId="6" borderId="1" xfId="2" applyNumberFormat="1" applyFont="1" applyFill="1" applyBorder="1" applyAlignment="1">
      <alignment vertical="center"/>
    </xf>
    <xf numFmtId="165" fontId="6" fillId="0" borderId="75" xfId="3" applyFont="1" applyFill="1" applyBorder="1" applyAlignment="1">
      <alignment vertical="center"/>
    </xf>
    <xf numFmtId="165" fontId="8" fillId="0" borderId="74" xfId="3" applyFont="1" applyFill="1" applyBorder="1" applyAlignment="1">
      <alignment vertical="center"/>
    </xf>
    <xf numFmtId="165" fontId="8" fillId="0" borderId="76" xfId="3" applyFont="1" applyBorder="1" applyAlignment="1">
      <alignment vertical="center"/>
    </xf>
    <xf numFmtId="10" fontId="8" fillId="6" borderId="62" xfId="2" applyNumberFormat="1" applyFont="1" applyFill="1" applyBorder="1" applyAlignment="1">
      <alignment vertical="center"/>
    </xf>
    <xf numFmtId="165" fontId="15" fillId="5" borderId="16" xfId="3" applyFont="1" applyFill="1" applyBorder="1" applyAlignment="1">
      <alignment horizontal="center" vertical="center"/>
    </xf>
    <xf numFmtId="165" fontId="6" fillId="0" borderId="77" xfId="3" applyFont="1" applyBorder="1" applyAlignment="1">
      <alignment vertical="center"/>
    </xf>
    <xf numFmtId="165" fontId="8" fillId="0" borderId="4" xfId="3" applyFont="1" applyBorder="1" applyAlignment="1">
      <alignment horizontal="center" vertical="center"/>
    </xf>
    <xf numFmtId="165" fontId="11" fillId="0" borderId="10" xfId="3" applyFont="1" applyBorder="1" applyAlignment="1">
      <alignment vertical="center"/>
    </xf>
    <xf numFmtId="0" fontId="8" fillId="7" borderId="0" xfId="0" applyFont="1" applyFill="1" applyAlignment="1">
      <alignment horizontal="center" vertical="center"/>
    </xf>
    <xf numFmtId="1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8" fillId="0" borderId="5" xfId="3" applyFont="1" applyBorder="1" applyAlignment="1">
      <alignment vertical="center"/>
    </xf>
    <xf numFmtId="165" fontId="6" fillId="0" borderId="0" xfId="3" applyFont="1" applyAlignment="1">
      <alignment vertical="center"/>
    </xf>
    <xf numFmtId="165" fontId="9" fillId="5" borderId="6" xfId="3" quotePrefix="1" applyFont="1" applyFill="1" applyBorder="1" applyAlignment="1">
      <alignment vertical="center"/>
    </xf>
    <xf numFmtId="0" fontId="12" fillId="5" borderId="26" xfId="4" applyFont="1" applyFill="1" applyBorder="1"/>
    <xf numFmtId="0" fontId="10" fillId="0" borderId="70" xfId="4" applyFont="1" applyBorder="1"/>
    <xf numFmtId="0" fontId="10" fillId="0" borderId="73" xfId="4" applyFont="1" applyBorder="1"/>
    <xf numFmtId="0" fontId="14" fillId="5" borderId="27" xfId="4" applyFont="1" applyFill="1" applyBorder="1"/>
    <xf numFmtId="10" fontId="12" fillId="4" borderId="29" xfId="4" applyNumberFormat="1" applyFont="1" applyFill="1" applyBorder="1" applyAlignment="1">
      <alignment horizontal="right"/>
    </xf>
    <xf numFmtId="10" fontId="21" fillId="4" borderId="32" xfId="0" applyNumberFormat="1" applyFont="1" applyFill="1" applyBorder="1" applyAlignment="1">
      <alignment horizontal="right" vertical="center"/>
    </xf>
    <xf numFmtId="0" fontId="12" fillId="5" borderId="14" xfId="0" applyFont="1" applyFill="1" applyBorder="1" applyAlignment="1">
      <alignment vertical="center" wrapText="1"/>
    </xf>
    <xf numFmtId="0" fontId="10" fillId="5" borderId="15" xfId="0" applyFont="1" applyFill="1" applyBorder="1" applyAlignment="1">
      <alignment vertical="center"/>
    </xf>
    <xf numFmtId="0" fontId="12" fillId="5" borderId="5" xfId="0" applyFont="1" applyFill="1" applyBorder="1" applyAlignment="1">
      <alignment vertical="center" wrapText="1"/>
    </xf>
    <xf numFmtId="0" fontId="10" fillId="5" borderId="6" xfId="0" applyFont="1" applyFill="1" applyBorder="1" applyAlignment="1">
      <alignment vertical="center"/>
    </xf>
    <xf numFmtId="10" fontId="12" fillId="4" borderId="7" xfId="0" applyNumberFormat="1" applyFont="1" applyFill="1" applyBorder="1" applyAlignment="1">
      <alignment horizontal="center" vertical="center" wrapText="1"/>
    </xf>
    <xf numFmtId="10" fontId="12" fillId="4" borderId="16" xfId="0" applyNumberFormat="1" applyFont="1" applyFill="1" applyBorder="1" applyAlignment="1">
      <alignment horizontal="center" vertical="center" wrapText="1"/>
    </xf>
    <xf numFmtId="0" fontId="10" fillId="0" borderId="80" xfId="4" applyFont="1" applyBorder="1" applyAlignment="1">
      <alignment horizontal="left"/>
    </xf>
    <xf numFmtId="10" fontId="20" fillId="6" borderId="81" xfId="0" applyNumberFormat="1" applyFont="1" applyFill="1" applyBorder="1" applyAlignment="1">
      <alignment horizontal="right" vertical="center"/>
    </xf>
    <xf numFmtId="10" fontId="10" fillId="6" borderId="81" xfId="4" applyNumberFormat="1" applyFont="1" applyFill="1" applyBorder="1" applyAlignment="1">
      <alignment horizontal="right"/>
    </xf>
    <xf numFmtId="0" fontId="10" fillId="0" borderId="82" xfId="4" applyFont="1" applyBorder="1" applyAlignment="1">
      <alignment horizontal="left"/>
    </xf>
    <xf numFmtId="10" fontId="10" fillId="0" borderId="83" xfId="8" applyNumberFormat="1" applyFont="1" applyFill="1" applyBorder="1"/>
    <xf numFmtId="0" fontId="20" fillId="0" borderId="78" xfId="0" applyFont="1" applyBorder="1" applyAlignment="1">
      <alignment horizontal="left" vertical="center"/>
    </xf>
    <xf numFmtId="0" fontId="20" fillId="0" borderId="67" xfId="0" applyFont="1" applyBorder="1" applyAlignment="1">
      <alignment horizontal="left" vertical="center"/>
    </xf>
    <xf numFmtId="10" fontId="20" fillId="6" borderId="79" xfId="0" applyNumberFormat="1" applyFont="1" applyFill="1" applyBorder="1" applyAlignment="1">
      <alignment horizontal="right" vertical="center"/>
    </xf>
    <xf numFmtId="0" fontId="20" fillId="0" borderId="80" xfId="0" applyFont="1" applyBorder="1" applyAlignment="1">
      <alignment horizontal="left" vertical="center"/>
    </xf>
    <xf numFmtId="0" fontId="20" fillId="0" borderId="70" xfId="0" applyFont="1" applyBorder="1" applyAlignment="1">
      <alignment horizontal="left" vertical="center"/>
    </xf>
    <xf numFmtId="0" fontId="21" fillId="0" borderId="70" xfId="0" applyFont="1" applyBorder="1" applyAlignment="1">
      <alignment horizontal="left" vertical="center"/>
    </xf>
    <xf numFmtId="10" fontId="21" fillId="0" borderId="81" xfId="0" applyNumberFormat="1" applyFont="1" applyBorder="1" applyAlignment="1">
      <alignment horizontal="right" vertical="center"/>
    </xf>
    <xf numFmtId="0" fontId="20" fillId="2" borderId="80" xfId="0" applyFont="1" applyFill="1" applyBorder="1" applyAlignment="1">
      <alignment horizontal="left" vertical="center"/>
    </xf>
    <xf numFmtId="0" fontId="21" fillId="2" borderId="70" xfId="0" applyFont="1" applyFill="1" applyBorder="1" applyAlignment="1">
      <alignment horizontal="left" vertical="center"/>
    </xf>
    <xf numFmtId="10" fontId="21" fillId="2" borderId="81" xfId="0" applyNumberFormat="1" applyFont="1" applyFill="1" applyBorder="1" applyAlignment="1">
      <alignment horizontal="right" vertical="center"/>
    </xf>
    <xf numFmtId="0" fontId="22" fillId="0" borderId="70" xfId="0" applyFont="1" applyBorder="1" applyAlignment="1">
      <alignment horizontal="left" vertical="center"/>
    </xf>
    <xf numFmtId="10" fontId="20" fillId="0" borderId="81" xfId="0" applyNumberFormat="1" applyFont="1" applyBorder="1" applyAlignment="1">
      <alignment horizontal="right" vertical="center"/>
    </xf>
    <xf numFmtId="0" fontId="20" fillId="0" borderId="70" xfId="0" applyFont="1" applyBorder="1" applyAlignment="1">
      <alignment horizontal="left" vertical="center" wrapText="1"/>
    </xf>
    <xf numFmtId="0" fontId="20" fillId="0" borderId="82" xfId="0" applyFont="1" applyBorder="1" applyAlignment="1">
      <alignment horizontal="left" vertical="center"/>
    </xf>
    <xf numFmtId="0" fontId="21" fillId="0" borderId="73" xfId="0" applyFont="1" applyBorder="1" applyAlignment="1">
      <alignment horizontal="left" vertical="center"/>
    </xf>
    <xf numFmtId="10" fontId="21" fillId="0" borderId="83" xfId="0" applyNumberFormat="1" applyFont="1" applyBorder="1" applyAlignment="1">
      <alignment horizontal="right" vertical="center"/>
    </xf>
    <xf numFmtId="0" fontId="10" fillId="0" borderId="84" xfId="4" applyFont="1" applyBorder="1" applyAlignment="1">
      <alignment horizontal="left"/>
    </xf>
    <xf numFmtId="0" fontId="10" fillId="0" borderId="85" xfId="4" applyFont="1" applyBorder="1"/>
    <xf numFmtId="10" fontId="20" fillId="6" borderId="86" xfId="0" applyNumberFormat="1" applyFont="1" applyFill="1" applyBorder="1" applyAlignment="1">
      <alignment horizontal="right" vertical="center"/>
    </xf>
    <xf numFmtId="0" fontId="12" fillId="0" borderId="87" xfId="4" applyFont="1" applyBorder="1" applyAlignment="1">
      <alignment horizontal="center" vertical="center"/>
    </xf>
    <xf numFmtId="0" fontId="12" fillId="0" borderId="88" xfId="4" applyFont="1" applyBorder="1" applyAlignment="1">
      <alignment horizontal="center" vertical="center"/>
    </xf>
    <xf numFmtId="0" fontId="12" fillId="0" borderId="89" xfId="4" applyFont="1" applyBorder="1" applyAlignment="1">
      <alignment horizontal="center" vertical="center" wrapText="1"/>
    </xf>
    <xf numFmtId="10" fontId="8" fillId="0" borderId="16" xfId="2" applyNumberFormat="1" applyFont="1" applyBorder="1" applyAlignment="1">
      <alignment vertical="center"/>
    </xf>
    <xf numFmtId="165" fontId="11" fillId="0" borderId="0" xfId="3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65" fontId="8" fillId="5" borderId="7" xfId="3" applyFont="1" applyFill="1" applyBorder="1" applyAlignment="1">
      <alignment horizontal="center" vertical="center"/>
    </xf>
    <xf numFmtId="165" fontId="6" fillId="0" borderId="48" xfId="3" applyFont="1" applyBorder="1" applyAlignment="1">
      <alignment vertical="center"/>
    </xf>
    <xf numFmtId="165" fontId="6" fillId="0" borderId="47" xfId="3" applyFont="1" applyBorder="1" applyAlignment="1">
      <alignment vertical="center"/>
    </xf>
    <xf numFmtId="43" fontId="8" fillId="0" borderId="0" xfId="0" applyNumberFormat="1" applyFont="1" applyAlignment="1">
      <alignment vertical="center"/>
    </xf>
    <xf numFmtId="1" fontId="11" fillId="6" borderId="1" xfId="0" applyNumberFormat="1" applyFont="1" applyFill="1" applyBorder="1" applyAlignment="1">
      <alignment horizontal="center" vertical="center"/>
    </xf>
    <xf numFmtId="165" fontId="0" fillId="0" borderId="0" xfId="3" applyFont="1" applyAlignment="1">
      <alignment vertical="center"/>
    </xf>
    <xf numFmtId="165" fontId="14" fillId="0" borderId="0" xfId="3" applyFont="1"/>
    <xf numFmtId="165" fontId="31" fillId="0" borderId="0" xfId="3" applyFont="1"/>
    <xf numFmtId="165" fontId="6" fillId="0" borderId="17" xfId="3" applyFont="1" applyBorder="1" applyAlignment="1">
      <alignment vertical="center"/>
    </xf>
    <xf numFmtId="165" fontId="6" fillId="0" borderId="57" xfId="3" applyFont="1" applyBorder="1" applyAlignment="1">
      <alignment vertical="center"/>
    </xf>
    <xf numFmtId="165" fontId="6" fillId="0" borderId="55" xfId="3" applyFont="1" applyBorder="1" applyAlignment="1">
      <alignment vertical="center"/>
    </xf>
    <xf numFmtId="2" fontId="11" fillId="6" borderId="4" xfId="3" applyNumberFormat="1" applyFont="1" applyFill="1" applyBorder="1" applyAlignment="1">
      <alignment horizontal="center" vertical="center"/>
    </xf>
    <xf numFmtId="1" fontId="11" fillId="6" borderId="4" xfId="3" applyNumberFormat="1" applyFont="1" applyFill="1" applyBorder="1" applyAlignment="1">
      <alignment horizontal="center" vertical="center"/>
    </xf>
    <xf numFmtId="165" fontId="6" fillId="0" borderId="33" xfId="3" applyFont="1" applyFill="1" applyBorder="1" applyAlignment="1">
      <alignment horizontal="left" vertical="center"/>
    </xf>
    <xf numFmtId="165" fontId="6" fillId="0" borderId="0" xfId="3" applyFont="1" applyFill="1" applyBorder="1" applyAlignment="1">
      <alignment horizontal="left" vertical="center"/>
    </xf>
    <xf numFmtId="2" fontId="11" fillId="0" borderId="34" xfId="3" applyNumberFormat="1" applyFont="1" applyFill="1" applyBorder="1" applyAlignment="1">
      <alignment horizontal="center" vertical="center"/>
    </xf>
    <xf numFmtId="165" fontId="8" fillId="5" borderId="42" xfId="3" applyFont="1" applyFill="1" applyBorder="1" applyAlignment="1">
      <alignment horizontal="center" vertical="center"/>
    </xf>
    <xf numFmtId="167" fontId="6" fillId="6" borderId="2" xfId="3" applyNumberFormat="1" applyFont="1" applyFill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165" fontId="6" fillId="6" borderId="1" xfId="3" applyFont="1" applyFill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6" borderId="2" xfId="0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center"/>
    </xf>
    <xf numFmtId="165" fontId="6" fillId="0" borderId="50" xfId="3" applyFont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165" fontId="11" fillId="0" borderId="28" xfId="3" applyFont="1" applyBorder="1" applyAlignment="1">
      <alignment vertical="center"/>
    </xf>
    <xf numFmtId="41" fontId="8" fillId="0" borderId="33" xfId="0" applyNumberFormat="1" applyFont="1" applyBorder="1" applyAlignment="1">
      <alignment vertical="center"/>
    </xf>
    <xf numFmtId="41" fontId="8" fillId="0" borderId="0" xfId="0" applyNumberFormat="1" applyFont="1" applyAlignment="1">
      <alignment vertical="center"/>
    </xf>
    <xf numFmtId="41" fontId="6" fillId="0" borderId="1" xfId="0" applyNumberFormat="1" applyFont="1" applyBorder="1" applyAlignment="1">
      <alignment vertical="center"/>
    </xf>
    <xf numFmtId="41" fontId="6" fillId="0" borderId="9" xfId="0" applyNumberFormat="1" applyFont="1" applyBorder="1" applyAlignment="1">
      <alignment vertical="center"/>
    </xf>
    <xf numFmtId="41" fontId="11" fillId="0" borderId="33" xfId="0" applyNumberFormat="1" applyFont="1" applyBorder="1" applyAlignment="1">
      <alignment vertical="center"/>
    </xf>
    <xf numFmtId="41" fontId="11" fillId="0" borderId="0" xfId="0" applyNumberFormat="1" applyFont="1" applyAlignment="1">
      <alignment vertical="center"/>
    </xf>
    <xf numFmtId="41" fontId="8" fillId="0" borderId="5" xfId="0" applyNumberFormat="1" applyFont="1" applyBorder="1" applyAlignment="1">
      <alignment vertical="center"/>
    </xf>
    <xf numFmtId="41" fontId="8" fillId="0" borderId="6" xfId="0" applyNumberFormat="1" applyFont="1" applyBorder="1" applyAlignment="1">
      <alignment vertical="center"/>
    </xf>
    <xf numFmtId="41" fontId="7" fillId="0" borderId="33" xfId="0" applyNumberFormat="1" applyFont="1" applyBorder="1" applyAlignment="1">
      <alignment horizontal="left" vertical="center" wrapText="1"/>
    </xf>
    <xf numFmtId="41" fontId="7" fillId="0" borderId="0" xfId="0" applyNumberFormat="1" applyFont="1" applyAlignment="1">
      <alignment horizontal="left" vertical="center" wrapText="1"/>
    </xf>
    <xf numFmtId="41" fontId="6" fillId="0" borderId="0" xfId="0" applyNumberFormat="1" applyFont="1" applyAlignment="1">
      <alignment vertical="center"/>
    </xf>
    <xf numFmtId="41" fontId="6" fillId="0" borderId="19" xfId="0" applyNumberFormat="1" applyFont="1" applyBorder="1" applyAlignment="1">
      <alignment vertical="center"/>
    </xf>
    <xf numFmtId="41" fontId="11" fillId="0" borderId="55" xfId="0" applyNumberFormat="1" applyFont="1" applyBorder="1" applyAlignment="1">
      <alignment vertical="center"/>
    </xf>
    <xf numFmtId="41" fontId="6" fillId="0" borderId="21" xfId="0" applyNumberFormat="1" applyFont="1" applyBorder="1" applyAlignment="1">
      <alignment vertical="center"/>
    </xf>
    <xf numFmtId="41" fontId="11" fillId="0" borderId="9" xfId="0" applyNumberFormat="1" applyFont="1" applyBorder="1" applyAlignment="1">
      <alignment vertical="center"/>
    </xf>
    <xf numFmtId="41" fontId="8" fillId="0" borderId="21" xfId="0" applyNumberFormat="1" applyFont="1" applyBorder="1" applyAlignment="1">
      <alignment vertical="center"/>
    </xf>
    <xf numFmtId="41" fontId="6" fillId="0" borderId="33" xfId="0" applyNumberFormat="1" applyFont="1" applyBorder="1" applyAlignment="1">
      <alignment vertical="center"/>
    </xf>
    <xf numFmtId="41" fontId="6" fillId="0" borderId="1" xfId="0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9" fillId="0" borderId="33" xfId="0" applyNumberFormat="1" applyFont="1" applyBorder="1" applyAlignment="1">
      <alignment vertical="center"/>
    </xf>
    <xf numFmtId="41" fontId="9" fillId="0" borderId="0" xfId="0" applyNumberFormat="1" applyFont="1" applyAlignment="1">
      <alignment vertical="center"/>
    </xf>
    <xf numFmtId="41" fontId="15" fillId="5" borderId="14" xfId="0" applyNumberFormat="1" applyFont="1" applyFill="1" applyBorder="1" applyAlignment="1">
      <alignment horizontal="center" vertical="center"/>
    </xf>
    <xf numFmtId="41" fontId="15" fillId="5" borderId="35" xfId="0" applyNumberFormat="1" applyFont="1" applyFill="1" applyBorder="1" applyAlignment="1">
      <alignment horizontal="center" vertical="center"/>
    </xf>
    <xf numFmtId="41" fontId="6" fillId="0" borderId="12" xfId="0" applyNumberFormat="1" applyFont="1" applyBorder="1" applyAlignment="1">
      <alignment vertical="center"/>
    </xf>
    <xf numFmtId="41" fontId="6" fillId="0" borderId="8" xfId="0" applyNumberFormat="1" applyFont="1" applyBorder="1" applyAlignment="1">
      <alignment vertical="center"/>
    </xf>
    <xf numFmtId="41" fontId="11" fillId="0" borderId="23" xfId="0" applyNumberFormat="1" applyFont="1" applyBorder="1" applyAlignment="1">
      <alignment vertical="center"/>
    </xf>
    <xf numFmtId="41" fontId="11" fillId="0" borderId="24" xfId="0" applyNumberFormat="1" applyFont="1" applyBorder="1" applyAlignment="1">
      <alignment vertical="center"/>
    </xf>
    <xf numFmtId="41" fontId="8" fillId="0" borderId="33" xfId="3" applyNumberFormat="1" applyFont="1" applyBorder="1" applyAlignment="1">
      <alignment horizontal="left" vertical="center"/>
    </xf>
    <xf numFmtId="41" fontId="8" fillId="0" borderId="0" xfId="3" applyNumberFormat="1" applyFont="1" applyBorder="1" applyAlignment="1">
      <alignment horizontal="left" vertical="center"/>
    </xf>
    <xf numFmtId="41" fontId="6" fillId="0" borderId="39" xfId="0" applyNumberFormat="1" applyFont="1" applyBorder="1" applyAlignment="1">
      <alignment vertical="center"/>
    </xf>
    <xf numFmtId="41" fontId="6" fillId="0" borderId="54" xfId="0" applyNumberFormat="1" applyFont="1" applyBorder="1" applyAlignment="1">
      <alignment vertical="center"/>
    </xf>
    <xf numFmtId="41" fontId="11" fillId="0" borderId="45" xfId="0" applyNumberFormat="1" applyFont="1" applyBorder="1" applyAlignment="1">
      <alignment vertical="center"/>
    </xf>
    <xf numFmtId="41" fontId="8" fillId="0" borderId="26" xfId="0" applyNumberFormat="1" applyFont="1" applyBorder="1" applyAlignment="1">
      <alignment vertical="center"/>
    </xf>
    <xf numFmtId="41" fontId="8" fillId="0" borderId="27" xfId="0" applyNumberFormat="1" applyFont="1" applyBorder="1" applyAlignment="1">
      <alignment vertical="center"/>
    </xf>
    <xf numFmtId="0" fontId="20" fillId="0" borderId="66" xfId="0" applyFont="1" applyBorder="1" applyAlignment="1">
      <alignment horizontal="center" vertical="center"/>
    </xf>
    <xf numFmtId="2" fontId="20" fillId="0" borderId="68" xfId="0" applyNumberFormat="1" applyFont="1" applyBorder="1" applyAlignment="1">
      <alignment horizontal="center" vertical="center"/>
    </xf>
    <xf numFmtId="0" fontId="20" fillId="0" borderId="69" xfId="0" applyFont="1" applyBorder="1" applyAlignment="1">
      <alignment horizontal="center" vertical="center"/>
    </xf>
    <xf numFmtId="2" fontId="20" fillId="0" borderId="71" xfId="0" applyNumberFormat="1" applyFont="1" applyBorder="1" applyAlignment="1">
      <alignment horizontal="center" vertical="center"/>
    </xf>
    <xf numFmtId="0" fontId="20" fillId="0" borderId="72" xfId="0" applyFont="1" applyBorder="1" applyAlignment="1">
      <alignment horizontal="center" vertical="center"/>
    </xf>
    <xf numFmtId="2" fontId="20" fillId="0" borderId="90" xfId="0" applyNumberFormat="1" applyFont="1" applyBorder="1" applyAlignment="1">
      <alignment horizontal="center" vertical="center"/>
    </xf>
    <xf numFmtId="0" fontId="6" fillId="8" borderId="0" xfId="0" applyFont="1" applyFill="1" applyAlignment="1">
      <alignment vertical="center"/>
    </xf>
    <xf numFmtId="2" fontId="32" fillId="8" borderId="0" xfId="0" applyNumberFormat="1" applyFont="1" applyFill="1" applyAlignment="1">
      <alignment vertical="center"/>
    </xf>
    <xf numFmtId="43" fontId="5" fillId="7" borderId="0" xfId="7" applyNumberFormat="1" applyFill="1"/>
    <xf numFmtId="10" fontId="6" fillId="7" borderId="0" xfId="2" applyNumberFormat="1" applyFont="1" applyFill="1"/>
    <xf numFmtId="0" fontId="5" fillId="0" borderId="0" xfId="7"/>
    <xf numFmtId="43" fontId="5" fillId="0" borderId="0" xfId="7" applyNumberFormat="1"/>
    <xf numFmtId="4" fontId="6" fillId="0" borderId="1" xfId="0" applyNumberFormat="1" applyFont="1" applyBorder="1" applyAlignment="1">
      <alignment vertical="center"/>
    </xf>
    <xf numFmtId="165" fontId="8" fillId="0" borderId="60" xfId="3" applyFont="1" applyBorder="1" applyAlignment="1">
      <alignment horizontal="center" vertical="center"/>
    </xf>
    <xf numFmtId="10" fontId="11" fillId="7" borderId="0" xfId="2" applyNumberFormat="1" applyFont="1" applyFill="1" applyAlignment="1">
      <alignment vertical="center"/>
    </xf>
    <xf numFmtId="43" fontId="8" fillId="4" borderId="0" xfId="0" applyNumberFormat="1" applyFont="1" applyFill="1" applyAlignment="1">
      <alignment vertical="center"/>
    </xf>
    <xf numFmtId="10" fontId="2" fillId="0" borderId="0" xfId="2" applyNumberFormat="1" applyFont="1"/>
    <xf numFmtId="165" fontId="6" fillId="0" borderId="42" xfId="3" applyFont="1" applyFill="1" applyBorder="1" applyAlignment="1">
      <alignment vertical="center"/>
    </xf>
    <xf numFmtId="165" fontId="6" fillId="0" borderId="34" xfId="3" applyFont="1" applyFill="1" applyBorder="1" applyAlignment="1">
      <alignment vertical="center"/>
    </xf>
    <xf numFmtId="164" fontId="8" fillId="4" borderId="24" xfId="0" applyNumberFormat="1" applyFont="1" applyFill="1" applyBorder="1" applyAlignment="1">
      <alignment vertical="center"/>
    </xf>
    <xf numFmtId="9" fontId="8" fillId="0" borderId="24" xfId="2" applyFont="1" applyBorder="1" applyAlignment="1">
      <alignment vertical="center"/>
    </xf>
    <xf numFmtId="9" fontId="8" fillId="0" borderId="25" xfId="2" applyFont="1" applyBorder="1" applyAlignment="1">
      <alignment vertical="center"/>
    </xf>
    <xf numFmtId="165" fontId="6" fillId="0" borderId="50" xfId="3" applyFont="1" applyBorder="1" applyAlignment="1">
      <alignment horizontal="center" vertical="center"/>
    </xf>
    <xf numFmtId="165" fontId="6" fillId="6" borderId="54" xfId="3" applyFont="1" applyFill="1" applyBorder="1" applyAlignment="1">
      <alignment horizontal="center" vertical="center"/>
    </xf>
    <xf numFmtId="165" fontId="11" fillId="0" borderId="50" xfId="3" applyFont="1" applyBorder="1" applyAlignment="1">
      <alignment horizontal="center" vertical="center"/>
    </xf>
    <xf numFmtId="10" fontId="11" fillId="0" borderId="0" xfId="3" applyNumberFormat="1" applyFont="1" applyAlignment="1">
      <alignment vertical="center"/>
    </xf>
    <xf numFmtId="0" fontId="19" fillId="0" borderId="0" xfId="0" applyFont="1" applyAlignment="1">
      <alignment vertical="center" wrapText="1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 wrapText="1"/>
    </xf>
    <xf numFmtId="43" fontId="1" fillId="7" borderId="0" xfId="7" applyNumberFormat="1" applyFont="1" applyFill="1"/>
    <xf numFmtId="165" fontId="6" fillId="0" borderId="12" xfId="3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0" fillId="0" borderId="12" xfId="3" applyFont="1" applyBorder="1" applyAlignment="1">
      <alignment horizontal="left" vertical="center"/>
    </xf>
    <xf numFmtId="165" fontId="6" fillId="0" borderId="91" xfId="3" applyFont="1" applyBorder="1" applyAlignment="1">
      <alignment vertical="center"/>
    </xf>
    <xf numFmtId="165" fontId="8" fillId="0" borderId="92" xfId="3" applyFont="1" applyBorder="1" applyAlignment="1">
      <alignment horizontal="center" vertical="center"/>
    </xf>
    <xf numFmtId="165" fontId="8" fillId="0" borderId="93" xfId="3" applyFont="1" applyBorder="1" applyAlignment="1">
      <alignment horizontal="center" vertical="center"/>
    </xf>
    <xf numFmtId="165" fontId="8" fillId="0" borderId="34" xfId="3" applyFont="1" applyBorder="1" applyAlignment="1">
      <alignment horizontal="center" vertical="center"/>
    </xf>
    <xf numFmtId="165" fontId="8" fillId="0" borderId="12" xfId="3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165" fontId="6" fillId="0" borderId="23" xfId="3" applyFont="1" applyBorder="1" applyAlignment="1">
      <alignment horizontal="left" vertical="center"/>
    </xf>
    <xf numFmtId="165" fontId="6" fillId="0" borderId="24" xfId="3" applyFont="1" applyBorder="1" applyAlignment="1">
      <alignment horizontal="left" vertical="center"/>
    </xf>
    <xf numFmtId="165" fontId="6" fillId="0" borderId="94" xfId="3" applyFont="1" applyBorder="1" applyAlignment="1">
      <alignment horizontal="left" vertical="center"/>
    </xf>
    <xf numFmtId="1" fontId="11" fillId="6" borderId="11" xfId="3" applyNumberFormat="1" applyFont="1" applyFill="1" applyBorder="1" applyAlignment="1">
      <alignment horizontal="center" vertical="center"/>
    </xf>
    <xf numFmtId="165" fontId="11" fillId="6" borderId="47" xfId="3" applyFont="1" applyFill="1" applyBorder="1" applyAlignment="1">
      <alignment horizontal="center" vertical="center"/>
    </xf>
    <xf numFmtId="49" fontId="6" fillId="0" borderId="94" xfId="3" applyNumberFormat="1" applyFont="1" applyBorder="1" applyAlignment="1">
      <alignment horizontal="left" vertical="center"/>
    </xf>
    <xf numFmtId="166" fontId="8" fillId="8" borderId="0" xfId="3" applyNumberFormat="1" applyFont="1" applyFill="1" applyBorder="1" applyAlignment="1">
      <alignment horizontal="center" vertical="center"/>
    </xf>
    <xf numFmtId="169" fontId="11" fillId="0" borderId="0" xfId="3" applyNumberFormat="1" applyFont="1" applyBorder="1" applyAlignment="1">
      <alignment vertical="center"/>
    </xf>
    <xf numFmtId="0" fontId="8" fillId="0" borderId="33" xfId="4" applyFont="1" applyBorder="1" applyAlignment="1">
      <alignment vertical="center"/>
    </xf>
    <xf numFmtId="165" fontId="6" fillId="0" borderId="2" xfId="3" applyFont="1" applyFill="1" applyBorder="1" applyAlignment="1">
      <alignment horizontal="center" vertical="center"/>
    </xf>
    <xf numFmtId="165" fontId="6" fillId="0" borderId="11" xfId="3" applyFont="1" applyBorder="1" applyAlignment="1">
      <alignment vertical="center"/>
    </xf>
    <xf numFmtId="2" fontId="6" fillId="6" borderId="1" xfId="0" applyNumberFormat="1" applyFont="1" applyFill="1" applyBorder="1" applyAlignment="1">
      <alignment horizontal="center" vertical="center"/>
    </xf>
    <xf numFmtId="165" fontId="6" fillId="8" borderId="1" xfId="3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6" fillId="9" borderId="8" xfId="3" applyFont="1" applyFill="1" applyBorder="1" applyAlignment="1">
      <alignment horizontal="center" vertical="center"/>
    </xf>
    <xf numFmtId="165" fontId="6" fillId="0" borderId="8" xfId="3" applyFont="1" applyFill="1" applyBorder="1" applyAlignment="1">
      <alignment horizontal="center" vertical="center"/>
    </xf>
    <xf numFmtId="165" fontId="6" fillId="0" borderId="8" xfId="3" applyFont="1" applyBorder="1" applyAlignment="1">
      <alignment horizontal="center" vertical="center"/>
    </xf>
    <xf numFmtId="1" fontId="6" fillId="8" borderId="1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vertical="center"/>
    </xf>
    <xf numFmtId="165" fontId="6" fillId="0" borderId="25" xfId="3" applyFont="1" applyBorder="1" applyAlignment="1">
      <alignment vertical="center"/>
    </xf>
    <xf numFmtId="49" fontId="6" fillId="8" borderId="1" xfId="3" applyNumberFormat="1" applyFont="1" applyFill="1" applyBorder="1" applyAlignment="1">
      <alignment horizontal="center" vertical="center"/>
    </xf>
    <xf numFmtId="165" fontId="6" fillId="6" borderId="8" xfId="3" applyFont="1" applyFill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10" fontId="20" fillId="6" borderId="18" xfId="0" applyNumberFormat="1" applyFont="1" applyFill="1" applyBorder="1" applyAlignment="1">
      <alignment horizontal="right" vertical="center"/>
    </xf>
    <xf numFmtId="10" fontId="21" fillId="0" borderId="18" xfId="0" applyNumberFormat="1" applyFont="1" applyBorder="1" applyAlignment="1">
      <alignment horizontal="right" vertical="center"/>
    </xf>
    <xf numFmtId="0" fontId="20" fillId="2" borderId="2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left" vertical="center"/>
    </xf>
    <xf numFmtId="10" fontId="21" fillId="2" borderId="18" xfId="0" applyNumberFormat="1" applyFont="1" applyFill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0" fillId="8" borderId="2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10" fontId="20" fillId="0" borderId="18" xfId="0" applyNumberFormat="1" applyFont="1" applyBorder="1" applyAlignment="1">
      <alignment horizontal="right" vertical="center"/>
    </xf>
    <xf numFmtId="10" fontId="20" fillId="0" borderId="0" xfId="0" applyNumberFormat="1" applyFont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10" fontId="21" fillId="5" borderId="32" xfId="0" applyNumberFormat="1" applyFont="1" applyFill="1" applyBorder="1" applyAlignment="1">
      <alignment horizontal="right" vertical="center"/>
    </xf>
    <xf numFmtId="0" fontId="12" fillId="0" borderId="39" xfId="4" applyFont="1" applyBorder="1" applyAlignment="1">
      <alignment horizontal="left" vertical="center"/>
    </xf>
    <xf numFmtId="0" fontId="12" fillId="0" borderId="40" xfId="4" applyFont="1" applyBorder="1" applyAlignment="1">
      <alignment horizontal="center" vertical="center" wrapText="1"/>
    </xf>
    <xf numFmtId="0" fontId="10" fillId="0" borderId="0" xfId="4" applyFont="1" applyAlignment="1">
      <alignment horizontal="left"/>
    </xf>
    <xf numFmtId="0" fontId="10" fillId="0" borderId="97" xfId="4" applyFont="1" applyBorder="1"/>
    <xf numFmtId="10" fontId="20" fillId="6" borderId="98" xfId="0" applyNumberFormat="1" applyFont="1" applyFill="1" applyBorder="1" applyAlignment="1">
      <alignment horizontal="right" vertical="center"/>
    </xf>
    <xf numFmtId="0" fontId="10" fillId="0" borderId="99" xfId="4" applyFont="1" applyBorder="1"/>
    <xf numFmtId="10" fontId="20" fillId="6" borderId="100" xfId="0" applyNumberFormat="1" applyFont="1" applyFill="1" applyBorder="1" applyAlignment="1">
      <alignment horizontal="right" vertical="center"/>
    </xf>
    <xf numFmtId="0" fontId="10" fillId="0" borderId="101" xfId="4" applyFont="1" applyBorder="1"/>
    <xf numFmtId="10" fontId="10" fillId="6" borderId="102" xfId="4" applyNumberFormat="1" applyFont="1" applyFill="1" applyBorder="1" applyAlignment="1">
      <alignment horizontal="right"/>
    </xf>
    <xf numFmtId="10" fontId="10" fillId="6" borderId="103" xfId="4" applyNumberFormat="1" applyFont="1" applyFill="1" applyBorder="1" applyAlignment="1">
      <alignment horizontal="right"/>
    </xf>
    <xf numFmtId="0" fontId="10" fillId="0" borderId="104" xfId="4" applyFont="1" applyBorder="1" applyAlignment="1">
      <alignment wrapText="1"/>
    </xf>
    <xf numFmtId="0" fontId="12" fillId="5" borderId="5" xfId="4" applyFont="1" applyFill="1" applyBorder="1"/>
    <xf numFmtId="0" fontId="14" fillId="0" borderId="6" xfId="4" applyFont="1" applyBorder="1"/>
    <xf numFmtId="10" fontId="12" fillId="5" borderId="16" xfId="4" applyNumberFormat="1" applyFont="1" applyFill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15" fillId="10" borderId="14" xfId="0" applyFont="1" applyFill="1" applyBorder="1" applyAlignment="1">
      <alignment horizontal="center" vertical="center"/>
    </xf>
    <xf numFmtId="0" fontId="15" fillId="10" borderId="15" xfId="0" applyFont="1" applyFill="1" applyBorder="1" applyAlignment="1">
      <alignment horizontal="center" vertical="center"/>
    </xf>
    <xf numFmtId="165" fontId="15" fillId="10" borderId="15" xfId="3" applyFont="1" applyFill="1" applyBorder="1" applyAlignment="1">
      <alignment horizontal="center" vertical="center"/>
    </xf>
    <xf numFmtId="165" fontId="15" fillId="10" borderId="16" xfId="3" applyFont="1" applyFill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166" fontId="6" fillId="0" borderId="1" xfId="3" applyNumberFormat="1" applyFont="1" applyBorder="1" applyAlignment="1">
      <alignment horizontal="center" vertical="center"/>
    </xf>
    <xf numFmtId="165" fontId="6" fillId="6" borderId="0" xfId="3" applyFont="1" applyFill="1" applyBorder="1" applyAlignment="1">
      <alignment vertical="center"/>
    </xf>
    <xf numFmtId="0" fontId="6" fillId="6" borderId="0" xfId="0" applyFont="1" applyFill="1" applyAlignment="1">
      <alignment vertical="center"/>
    </xf>
    <xf numFmtId="0" fontId="6" fillId="0" borderId="39" xfId="0" applyFont="1" applyBorder="1" applyAlignment="1">
      <alignment vertical="center" wrapText="1"/>
    </xf>
    <xf numFmtId="166" fontId="6" fillId="0" borderId="1" xfId="3" applyNumberFormat="1" applyFont="1" applyBorder="1" applyAlignment="1">
      <alignment vertical="center"/>
    </xf>
    <xf numFmtId="165" fontId="8" fillId="10" borderId="4" xfId="3" applyFont="1" applyFill="1" applyBorder="1" applyAlignment="1">
      <alignment vertical="center"/>
    </xf>
    <xf numFmtId="166" fontId="6" fillId="0" borderId="1" xfId="3" applyNumberFormat="1" applyFont="1" applyFill="1" applyBorder="1" applyAlignment="1">
      <alignment vertical="center"/>
    </xf>
    <xf numFmtId="165" fontId="6" fillId="0" borderId="1" xfId="3" applyFont="1" applyBorder="1" applyAlignment="1">
      <alignment vertical="center"/>
    </xf>
    <xf numFmtId="9" fontId="6" fillId="6" borderId="1" xfId="2" applyFont="1" applyFill="1" applyBorder="1" applyAlignment="1">
      <alignment vertical="center"/>
    </xf>
    <xf numFmtId="165" fontId="6" fillId="0" borderId="1" xfId="3" applyFont="1" applyFill="1" applyBorder="1" applyAlignment="1">
      <alignment vertical="center"/>
    </xf>
    <xf numFmtId="0" fontId="0" fillId="0" borderId="105" xfId="0" applyBorder="1" applyAlignment="1">
      <alignment vertical="center"/>
    </xf>
    <xf numFmtId="0" fontId="15" fillId="10" borderId="35" xfId="0" applyFont="1" applyFill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54" xfId="0" applyFont="1" applyBorder="1" applyAlignment="1">
      <alignment vertical="center" wrapText="1"/>
    </xf>
    <xf numFmtId="0" fontId="6" fillId="6" borderId="0" xfId="0" applyFont="1" applyFill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165" fontId="6" fillId="0" borderId="3" xfId="3" applyFont="1" applyBorder="1" applyAlignment="1">
      <alignment horizontal="center" vertical="center"/>
    </xf>
    <xf numFmtId="0" fontId="8" fillId="8" borderId="23" xfId="4" applyFont="1" applyFill="1" applyBorder="1" applyAlignment="1">
      <alignment horizontal="center"/>
    </xf>
    <xf numFmtId="0" fontId="15" fillId="5" borderId="15" xfId="0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/>
    </xf>
    <xf numFmtId="4" fontId="6" fillId="6" borderId="1" xfId="3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65" fontId="6" fillId="0" borderId="23" xfId="3" applyFont="1" applyBorder="1" applyAlignment="1">
      <alignment vertical="center"/>
    </xf>
    <xf numFmtId="165" fontId="6" fillId="0" borderId="24" xfId="3" applyFont="1" applyBorder="1" applyAlignment="1">
      <alignment vertical="center"/>
    </xf>
    <xf numFmtId="165" fontId="6" fillId="0" borderId="94" xfId="3" applyFont="1" applyBorder="1" applyAlignment="1">
      <alignment vertical="center"/>
    </xf>
    <xf numFmtId="13" fontId="6" fillId="6" borderId="1" xfId="0" applyNumberFormat="1" applyFont="1" applyFill="1" applyBorder="1" applyAlignment="1">
      <alignment horizontal="center" vertical="center"/>
    </xf>
    <xf numFmtId="165" fontId="6" fillId="0" borderId="34" xfId="3" applyFont="1" applyFill="1" applyBorder="1" applyAlignment="1">
      <alignment horizontal="center" vertical="center"/>
    </xf>
    <xf numFmtId="165" fontId="8" fillId="10" borderId="4" xfId="3" applyFont="1" applyFill="1" applyBorder="1" applyAlignment="1">
      <alignment horizontal="center" vertical="center"/>
    </xf>
    <xf numFmtId="0" fontId="6" fillId="0" borderId="45" xfId="0" applyFont="1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65" fontId="6" fillId="0" borderId="11" xfId="3" applyFont="1" applyFill="1" applyBorder="1" applyAlignment="1">
      <alignment horizontal="center" vertical="center"/>
    </xf>
    <xf numFmtId="165" fontId="8" fillId="5" borderId="34" xfId="3" applyFont="1" applyFill="1" applyBorder="1" applyAlignment="1">
      <alignment horizontal="center" vertical="center"/>
    </xf>
    <xf numFmtId="0" fontId="20" fillId="8" borderId="69" xfId="0" applyFont="1" applyFill="1" applyBorder="1" applyAlignment="1">
      <alignment horizontal="center" vertical="center"/>
    </xf>
    <xf numFmtId="2" fontId="20" fillId="8" borderId="71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 wrapText="1"/>
    </xf>
    <xf numFmtId="165" fontId="8" fillId="0" borderId="0" xfId="3" applyFont="1" applyBorder="1" applyAlignment="1">
      <alignment horizontal="right" vertical="center"/>
    </xf>
    <xf numFmtId="169" fontId="11" fillId="0" borderId="106" xfId="3" applyNumberFormat="1" applyFont="1" applyFill="1" applyBorder="1" applyAlignment="1">
      <alignment vertical="center"/>
    </xf>
    <xf numFmtId="2" fontId="8" fillId="0" borderId="3" xfId="3" applyNumberFormat="1" applyFont="1" applyBorder="1" applyAlignment="1">
      <alignment horizontal="center" vertical="center"/>
    </xf>
    <xf numFmtId="165" fontId="11" fillId="0" borderId="34" xfId="3" applyFont="1" applyBorder="1" applyAlignment="1">
      <alignment horizontal="center" vertical="center"/>
    </xf>
    <xf numFmtId="165" fontId="6" fillId="0" borderId="47" xfId="3" applyFont="1" applyFill="1" applyBorder="1" applyAlignment="1">
      <alignment horizontal="center" vertical="center"/>
    </xf>
    <xf numFmtId="165" fontId="8" fillId="0" borderId="4" xfId="3" applyFont="1" applyFill="1" applyBorder="1" applyAlignment="1">
      <alignment vertical="center"/>
    </xf>
    <xf numFmtId="41" fontId="6" fillId="0" borderId="12" xfId="0" applyNumberFormat="1" applyFont="1" applyBorder="1" applyAlignment="1">
      <alignment horizontal="left" vertical="center"/>
    </xf>
    <xf numFmtId="41" fontId="6" fillId="0" borderId="9" xfId="0" applyNumberFormat="1" applyFont="1" applyBorder="1" applyAlignment="1">
      <alignment horizontal="left" vertical="center"/>
    </xf>
    <xf numFmtId="41" fontId="6" fillId="0" borderId="50" xfId="0" applyNumberFormat="1" applyFont="1" applyBorder="1" applyAlignment="1">
      <alignment horizontal="left" vertical="center"/>
    </xf>
    <xf numFmtId="2" fontId="8" fillId="8" borderId="4" xfId="3" applyNumberFormat="1" applyFont="1" applyFill="1" applyBorder="1" applyAlignment="1">
      <alignment horizontal="center" vertical="center"/>
    </xf>
    <xf numFmtId="0" fontId="34" fillId="0" borderId="0" xfId="10" applyFont="1"/>
    <xf numFmtId="0" fontId="34" fillId="0" borderId="0" xfId="10" applyFont="1" applyAlignment="1">
      <alignment horizontal="center"/>
    </xf>
    <xf numFmtId="0" fontId="22" fillId="0" borderId="0" xfId="10" applyFont="1"/>
    <xf numFmtId="0" fontId="34" fillId="0" borderId="1" xfId="10" applyFont="1" applyBorder="1"/>
    <xf numFmtId="0" fontId="34" fillId="0" borderId="1" xfId="10" applyFont="1" applyBorder="1" applyAlignment="1">
      <alignment horizontal="center" wrapText="1"/>
    </xf>
    <xf numFmtId="0" fontId="22" fillId="0" borderId="1" xfId="10" applyFont="1" applyBorder="1"/>
    <xf numFmtId="0" fontId="22" fillId="8" borderId="1" xfId="10" applyFont="1" applyFill="1" applyBorder="1" applyAlignment="1">
      <alignment horizontal="center"/>
    </xf>
    <xf numFmtId="9" fontId="22" fillId="8" borderId="1" xfId="2" applyFont="1" applyFill="1" applyBorder="1" applyAlignment="1">
      <alignment horizontal="center"/>
    </xf>
    <xf numFmtId="0" fontId="22" fillId="0" borderId="1" xfId="10" applyFont="1" applyBorder="1" applyAlignment="1">
      <alignment horizontal="center"/>
    </xf>
    <xf numFmtId="165" fontId="22" fillId="0" borderId="1" xfId="3" applyFont="1" applyFill="1" applyBorder="1" applyAlignment="1">
      <alignment horizontal="center"/>
    </xf>
    <xf numFmtId="167" fontId="22" fillId="0" borderId="1" xfId="3" applyNumberFormat="1" applyFont="1" applyFill="1" applyBorder="1" applyAlignment="1">
      <alignment horizontal="center"/>
    </xf>
    <xf numFmtId="167" fontId="34" fillId="0" borderId="1" xfId="3" applyNumberFormat="1" applyFont="1" applyFill="1" applyBorder="1" applyAlignment="1">
      <alignment horizontal="center"/>
    </xf>
    <xf numFmtId="165" fontId="34" fillId="4" borderId="1" xfId="3" applyFont="1" applyFill="1" applyBorder="1" applyAlignment="1">
      <alignment horizontal="center"/>
    </xf>
    <xf numFmtId="0" fontId="22" fillId="0" borderId="0" xfId="10" applyFont="1" applyAlignment="1">
      <alignment horizontal="center"/>
    </xf>
    <xf numFmtId="165" fontId="22" fillId="8" borderId="1" xfId="3" applyFont="1" applyFill="1" applyBorder="1" applyAlignment="1">
      <alignment horizontal="center"/>
    </xf>
    <xf numFmtId="165" fontId="6" fillId="0" borderId="5" xfId="3" applyFont="1" applyFill="1" applyBorder="1" applyAlignment="1">
      <alignment horizontal="left" vertical="center"/>
    </xf>
    <xf numFmtId="165" fontId="6" fillId="0" borderId="6" xfId="3" applyFont="1" applyFill="1" applyBorder="1" applyAlignment="1">
      <alignment horizontal="left" vertical="center"/>
    </xf>
    <xf numFmtId="165" fontId="6" fillId="0" borderId="7" xfId="3" applyFont="1" applyFill="1" applyBorder="1" applyAlignment="1">
      <alignment horizontal="left" vertical="center"/>
    </xf>
    <xf numFmtId="0" fontId="8" fillId="0" borderId="66" xfId="4" applyFont="1" applyBorder="1"/>
    <xf numFmtId="166" fontId="8" fillId="0" borderId="68" xfId="5" applyNumberFormat="1" applyFont="1" applyBorder="1"/>
    <xf numFmtId="0" fontId="8" fillId="0" borderId="69" xfId="4" applyFont="1" applyBorder="1"/>
    <xf numFmtId="166" fontId="8" fillId="0" borderId="71" xfId="5" applyNumberFormat="1" applyFont="1" applyBorder="1"/>
    <xf numFmtId="16" fontId="6" fillId="0" borderId="69" xfId="4" applyNumberFormat="1" applyBorder="1"/>
    <xf numFmtId="166" fontId="6" fillId="0" borderId="71" xfId="5" applyNumberFormat="1" applyFont="1" applyBorder="1"/>
    <xf numFmtId="0" fontId="6" fillId="0" borderId="69" xfId="4" applyBorder="1"/>
    <xf numFmtId="166" fontId="6" fillId="0" borderId="71" xfId="5" applyNumberFormat="1" applyFont="1" applyFill="1" applyBorder="1"/>
    <xf numFmtId="0" fontId="8" fillId="0" borderId="72" xfId="4" applyFont="1" applyBorder="1"/>
    <xf numFmtId="165" fontId="8" fillId="0" borderId="90" xfId="5" applyFont="1" applyBorder="1"/>
    <xf numFmtId="41" fontId="15" fillId="5" borderId="5" xfId="0" applyNumberFormat="1" applyFont="1" applyFill="1" applyBorder="1" applyAlignment="1">
      <alignment horizontal="left" vertical="center"/>
    </xf>
    <xf numFmtId="41" fontId="15" fillId="5" borderId="35" xfId="0" applyNumberFormat="1" applyFont="1" applyFill="1" applyBorder="1" applyAlignment="1">
      <alignment horizontal="left" vertical="center"/>
    </xf>
    <xf numFmtId="41" fontId="8" fillId="0" borderId="12" xfId="0" applyNumberFormat="1" applyFont="1" applyBorder="1" applyAlignment="1">
      <alignment horizontal="left" vertical="center"/>
    </xf>
    <xf numFmtId="41" fontId="0" fillId="0" borderId="9" xfId="0" applyNumberFormat="1" applyBorder="1" applyAlignment="1">
      <alignment horizontal="left" vertical="center"/>
    </xf>
    <xf numFmtId="41" fontId="8" fillId="0" borderId="5" xfId="0" applyNumberFormat="1" applyFont="1" applyBorder="1" applyAlignment="1">
      <alignment horizontal="left" vertical="center"/>
    </xf>
    <xf numFmtId="41" fontId="8" fillId="0" borderId="35" xfId="0" applyNumberFormat="1" applyFont="1" applyBorder="1" applyAlignment="1">
      <alignment horizontal="left" vertical="center"/>
    </xf>
    <xf numFmtId="41" fontId="6" fillId="0" borderId="12" xfId="0" applyNumberFormat="1" applyFont="1" applyBorder="1" applyAlignment="1">
      <alignment horizontal="left" vertical="center"/>
    </xf>
    <xf numFmtId="41" fontId="6" fillId="0" borderId="9" xfId="0" applyNumberFormat="1" applyFont="1" applyBorder="1" applyAlignment="1">
      <alignment horizontal="left" vertical="center"/>
    </xf>
    <xf numFmtId="0" fontId="15" fillId="5" borderId="5" xfId="0" applyFont="1" applyFill="1" applyBorder="1" applyAlignment="1">
      <alignment horizontal="left" vertical="center"/>
    </xf>
    <xf numFmtId="0" fontId="15" fillId="5" borderId="35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41" fontId="6" fillId="0" borderId="12" xfId="0" applyNumberFormat="1" applyFont="1" applyBorder="1" applyAlignment="1">
      <alignment horizontal="left" vertical="center" wrapText="1"/>
    </xf>
    <xf numFmtId="41" fontId="6" fillId="0" borderId="9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6" fillId="0" borderId="17" xfId="0" applyNumberFormat="1" applyFont="1" applyBorder="1" applyAlignment="1">
      <alignment horizontal="left" vertical="center"/>
    </xf>
    <xf numFmtId="41" fontId="0" fillId="0" borderId="55" xfId="0" applyNumberFormat="1" applyBorder="1" applyAlignment="1">
      <alignment horizontal="left" vertical="center"/>
    </xf>
    <xf numFmtId="165" fontId="8" fillId="4" borderId="5" xfId="3" applyFont="1" applyFill="1" applyBorder="1" applyAlignment="1">
      <alignment horizontal="center" vertical="center"/>
    </xf>
    <xf numFmtId="165" fontId="8" fillId="4" borderId="7" xfId="3" applyFont="1" applyFill="1" applyBorder="1" applyAlignment="1">
      <alignment horizontal="center" vertical="center"/>
    </xf>
    <xf numFmtId="41" fontId="8" fillId="6" borderId="33" xfId="0" applyNumberFormat="1" applyFont="1" applyFill="1" applyBorder="1" applyAlignment="1">
      <alignment horizontal="left" vertical="center"/>
    </xf>
    <xf numFmtId="41" fontId="0" fillId="6" borderId="0" xfId="0" applyNumberFormat="1" applyFill="1" applyAlignment="1">
      <alignment horizontal="left" vertical="center"/>
    </xf>
    <xf numFmtId="41" fontId="6" fillId="0" borderId="12" xfId="0" applyNumberFormat="1" applyFont="1" applyBorder="1" applyAlignment="1">
      <alignment vertical="center"/>
    </xf>
    <xf numFmtId="41" fontId="6" fillId="0" borderId="9" xfId="0" applyNumberFormat="1" applyFont="1" applyBorder="1" applyAlignment="1">
      <alignment vertical="center"/>
    </xf>
    <xf numFmtId="0" fontId="8" fillId="0" borderId="1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41" fontId="0" fillId="5" borderId="35" xfId="0" applyNumberFormat="1" applyFill="1" applyBorder="1" applyAlignment="1">
      <alignment horizontal="left" vertical="center"/>
    </xf>
    <xf numFmtId="41" fontId="0" fillId="0" borderId="8" xfId="0" applyNumberFormat="1" applyBorder="1" applyAlignment="1">
      <alignment horizontal="left" vertical="center"/>
    </xf>
    <xf numFmtId="41" fontId="15" fillId="5" borderId="17" xfId="0" applyNumberFormat="1" applyFont="1" applyFill="1" applyBorder="1" applyAlignment="1">
      <alignment horizontal="left" vertical="center"/>
    </xf>
    <xf numFmtId="41" fontId="15" fillId="5" borderId="55" xfId="0" applyNumberFormat="1" applyFont="1" applyFill="1" applyBorder="1" applyAlignment="1">
      <alignment horizontal="left" vertical="center"/>
    </xf>
    <xf numFmtId="41" fontId="25" fillId="0" borderId="12" xfId="0" applyNumberFormat="1" applyFont="1" applyBorder="1" applyAlignment="1">
      <alignment horizontal="left" vertical="center"/>
    </xf>
    <xf numFmtId="41" fontId="25" fillId="0" borderId="9" xfId="0" applyNumberFormat="1" applyFont="1" applyBorder="1" applyAlignment="1">
      <alignment horizontal="left" vertical="center"/>
    </xf>
    <xf numFmtId="0" fontId="6" fillId="0" borderId="55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41" fontId="11" fillId="0" borderId="12" xfId="0" applyNumberFormat="1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41" fontId="6" fillId="0" borderId="50" xfId="0" applyNumberFormat="1" applyFont="1" applyBorder="1" applyAlignment="1">
      <alignment horizontal="left" vertical="center"/>
    </xf>
    <xf numFmtId="41" fontId="8" fillId="0" borderId="8" xfId="0" applyNumberFormat="1" applyFont="1" applyBorder="1" applyAlignment="1">
      <alignment horizontal="left" vertical="center"/>
    </xf>
    <xf numFmtId="41" fontId="6" fillId="0" borderId="1" xfId="0" applyNumberFormat="1" applyFont="1" applyBorder="1" applyAlignment="1">
      <alignment horizontal="left" vertical="center"/>
    </xf>
    <xf numFmtId="41" fontId="0" fillId="0" borderId="1" xfId="0" applyNumberFormat="1" applyBorder="1" applyAlignment="1">
      <alignment horizontal="left" vertical="center"/>
    </xf>
    <xf numFmtId="41" fontId="8" fillId="0" borderId="45" xfId="0" applyNumberFormat="1" applyFont="1" applyBorder="1" applyAlignment="1">
      <alignment horizontal="left" vertical="center"/>
    </xf>
    <xf numFmtId="41" fontId="0" fillId="0" borderId="49" xfId="0" applyNumberFormat="1" applyBorder="1" applyAlignment="1">
      <alignment horizontal="left" vertical="center"/>
    </xf>
    <xf numFmtId="0" fontId="6" fillId="0" borderId="50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6" fillId="0" borderId="95" xfId="0" applyFont="1" applyBorder="1" applyAlignment="1">
      <alignment horizontal="left" vertical="center" wrapText="1"/>
    </xf>
    <xf numFmtId="0" fontId="6" fillId="0" borderId="96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165" fontId="9" fillId="5" borderId="5" xfId="3" applyFont="1" applyFill="1" applyBorder="1" applyAlignment="1">
      <alignment horizontal="left" vertical="center"/>
    </xf>
    <xf numFmtId="165" fontId="9" fillId="5" borderId="6" xfId="3" applyFont="1" applyFill="1" applyBorder="1" applyAlignment="1">
      <alignment horizontal="left" vertical="center"/>
    </xf>
    <xf numFmtId="165" fontId="9" fillId="5" borderId="7" xfId="3" applyFont="1" applyFill="1" applyBorder="1" applyAlignment="1">
      <alignment horizontal="left" vertical="center"/>
    </xf>
    <xf numFmtId="165" fontId="6" fillId="0" borderId="5" xfId="3" applyFont="1" applyFill="1" applyBorder="1" applyAlignment="1">
      <alignment horizontal="left" vertical="center"/>
    </xf>
    <xf numFmtId="165" fontId="6" fillId="0" borderId="6" xfId="3" applyFont="1" applyFill="1" applyBorder="1" applyAlignment="1">
      <alignment horizontal="left" vertical="center"/>
    </xf>
    <xf numFmtId="165" fontId="6" fillId="0" borderId="7" xfId="3" applyFont="1" applyFill="1" applyBorder="1" applyAlignment="1">
      <alignment horizontal="left" vertical="center"/>
    </xf>
    <xf numFmtId="165" fontId="8" fillId="0" borderId="5" xfId="3" applyFont="1" applyBorder="1" applyAlignment="1">
      <alignment horizontal="left" vertical="center"/>
    </xf>
    <xf numFmtId="165" fontId="8" fillId="0" borderId="6" xfId="3" applyFont="1" applyBorder="1" applyAlignment="1">
      <alignment horizontal="left" vertical="center"/>
    </xf>
    <xf numFmtId="165" fontId="8" fillId="0" borderId="35" xfId="3" applyFont="1" applyBorder="1" applyAlignment="1">
      <alignment horizontal="left" vertical="center"/>
    </xf>
    <xf numFmtId="165" fontId="8" fillId="0" borderId="60" xfId="3" applyFont="1" applyBorder="1" applyAlignment="1">
      <alignment horizontal="center" vertical="center"/>
    </xf>
    <xf numFmtId="165" fontId="8" fillId="0" borderId="61" xfId="3" applyFont="1" applyBorder="1" applyAlignment="1">
      <alignment horizontal="center" vertical="center"/>
    </xf>
    <xf numFmtId="165" fontId="8" fillId="0" borderId="52" xfId="3" applyFont="1" applyFill="1" applyBorder="1" applyAlignment="1">
      <alignment horizontal="left" vertical="center"/>
    </xf>
    <xf numFmtId="165" fontId="8" fillId="0" borderId="64" xfId="3" applyFont="1" applyFill="1" applyBorder="1" applyAlignment="1">
      <alignment horizontal="left" vertical="center"/>
    </xf>
    <xf numFmtId="165" fontId="8" fillId="0" borderId="65" xfId="3" applyFont="1" applyBorder="1" applyAlignment="1">
      <alignment horizontal="left" vertical="center"/>
    </xf>
    <xf numFmtId="165" fontId="8" fillId="0" borderId="58" xfId="3" applyFont="1" applyBorder="1" applyAlignment="1">
      <alignment horizontal="left" vertical="center"/>
    </xf>
    <xf numFmtId="165" fontId="8" fillId="0" borderId="26" xfId="3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65" fontId="8" fillId="0" borderId="41" xfId="3" applyFont="1" applyFill="1" applyBorder="1" applyAlignment="1">
      <alignment horizontal="center" vertical="center"/>
    </xf>
    <xf numFmtId="165" fontId="8" fillId="0" borderId="43" xfId="3" applyFont="1" applyFill="1" applyBorder="1" applyAlignment="1">
      <alignment horizontal="center" vertical="center"/>
    </xf>
    <xf numFmtId="165" fontId="8" fillId="0" borderId="12" xfId="3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5" fontId="15" fillId="0" borderId="12" xfId="3" applyFont="1" applyBorder="1" applyAlignment="1">
      <alignment horizontal="left" vertical="center"/>
    </xf>
    <xf numFmtId="165" fontId="15" fillId="0" borderId="52" xfId="3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65" fontId="6" fillId="0" borderId="12" xfId="3" applyFont="1" applyBorder="1" applyAlignment="1">
      <alignment horizontal="left" vertical="center"/>
    </xf>
    <xf numFmtId="165" fontId="6" fillId="0" borderId="13" xfId="3" applyFont="1" applyBorder="1" applyAlignment="1">
      <alignment horizontal="left" vertical="center"/>
    </xf>
    <xf numFmtId="165" fontId="6" fillId="0" borderId="12" xfId="3" applyFont="1" applyFill="1" applyBorder="1" applyAlignment="1">
      <alignment horizontal="left" vertical="center"/>
    </xf>
    <xf numFmtId="165" fontId="6" fillId="0" borderId="13" xfId="3" applyFont="1" applyFill="1" applyBorder="1" applyAlignment="1">
      <alignment horizontal="left" vertical="center"/>
    </xf>
    <xf numFmtId="165" fontId="8" fillId="0" borderId="17" xfId="3" applyFont="1" applyBorder="1" applyAlignment="1">
      <alignment horizontal="left" vertical="center"/>
    </xf>
    <xf numFmtId="165" fontId="8" fillId="0" borderId="36" xfId="3" applyFont="1" applyBorder="1" applyAlignment="1">
      <alignment horizontal="left" vertical="center"/>
    </xf>
    <xf numFmtId="165" fontId="0" fillId="0" borderId="12" xfId="3" applyFont="1" applyBorder="1" applyAlignment="1">
      <alignment horizontal="left" vertical="center"/>
    </xf>
    <xf numFmtId="0" fontId="27" fillId="0" borderId="5" xfId="4" applyFont="1" applyBorder="1" applyAlignment="1">
      <alignment horizontal="center" vertical="center" wrapText="1"/>
    </xf>
    <xf numFmtId="0" fontId="27" fillId="0" borderId="6" xfId="4" applyFont="1" applyBorder="1" applyAlignment="1">
      <alignment horizontal="center" vertical="center" wrapText="1"/>
    </xf>
    <xf numFmtId="0" fontId="27" fillId="0" borderId="7" xfId="4" applyFont="1" applyBorder="1" applyAlignment="1">
      <alignment horizontal="center" vertical="center" wrapText="1"/>
    </xf>
    <xf numFmtId="165" fontId="19" fillId="0" borderId="5" xfId="3" applyFont="1" applyFill="1" applyBorder="1" applyAlignment="1">
      <alignment horizontal="center" vertical="center" wrapText="1"/>
    </xf>
    <xf numFmtId="165" fontId="19" fillId="0" borderId="6" xfId="3" applyFont="1" applyFill="1" applyBorder="1" applyAlignment="1">
      <alignment horizontal="center" vertical="center" wrapText="1"/>
    </xf>
    <xf numFmtId="165" fontId="19" fillId="0" borderId="7" xfId="3" applyFont="1" applyFill="1" applyBorder="1" applyAlignment="1">
      <alignment horizontal="center" vertical="center" wrapText="1"/>
    </xf>
    <xf numFmtId="0" fontId="28" fillId="6" borderId="6" xfId="4" applyFont="1" applyFill="1" applyBorder="1" applyAlignment="1">
      <alignment horizontal="left" vertical="center"/>
    </xf>
    <xf numFmtId="0" fontId="28" fillId="6" borderId="35" xfId="4" applyFont="1" applyFill="1" applyBorder="1" applyAlignment="1">
      <alignment horizontal="left" vertical="center"/>
    </xf>
    <xf numFmtId="14" fontId="28" fillId="6" borderId="6" xfId="4" applyNumberFormat="1" applyFont="1" applyFill="1" applyBorder="1" applyAlignment="1">
      <alignment horizontal="left" vertical="center"/>
    </xf>
    <xf numFmtId="0" fontId="28" fillId="6" borderId="7" xfId="4" applyFont="1" applyFill="1" applyBorder="1" applyAlignment="1">
      <alignment horizontal="left" vertical="center"/>
    </xf>
    <xf numFmtId="165" fontId="8" fillId="0" borderId="5" xfId="3" applyFont="1" applyFill="1" applyBorder="1" applyAlignment="1">
      <alignment horizontal="center" vertical="center" wrapText="1"/>
    </xf>
    <xf numFmtId="165" fontId="8" fillId="0" borderId="7" xfId="3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65" fontId="14" fillId="0" borderId="12" xfId="3" applyFont="1" applyFill="1" applyBorder="1" applyAlignment="1">
      <alignment horizontal="left" vertical="center"/>
    </xf>
    <xf numFmtId="165" fontId="14" fillId="0" borderId="12" xfId="3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65" fontId="6" fillId="0" borderId="17" xfId="3" applyFont="1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165" fontId="8" fillId="0" borderId="52" xfId="3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165" fontId="6" fillId="0" borderId="52" xfId="3" applyFont="1" applyFill="1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165" fontId="8" fillId="0" borderId="59" xfId="3" applyFont="1" applyBorder="1" applyAlignment="1">
      <alignment horizontal="center" vertical="center"/>
    </xf>
    <xf numFmtId="165" fontId="8" fillId="0" borderId="6" xfId="3" applyFont="1" applyBorder="1" applyAlignment="1">
      <alignment horizontal="center" vertical="center"/>
    </xf>
    <xf numFmtId="165" fontId="8" fillId="0" borderId="7" xfId="3" applyFont="1" applyBorder="1" applyAlignment="1">
      <alignment horizontal="center" vertical="center"/>
    </xf>
    <xf numFmtId="165" fontId="8" fillId="0" borderId="5" xfId="3" applyFont="1" applyFill="1" applyBorder="1" applyAlignment="1">
      <alignment horizontal="left" vertical="center"/>
    </xf>
    <xf numFmtId="165" fontId="8" fillId="0" borderId="6" xfId="3" applyFont="1" applyFill="1" applyBorder="1" applyAlignment="1">
      <alignment horizontal="left" vertical="center"/>
    </xf>
    <xf numFmtId="165" fontId="8" fillId="0" borderId="7" xfId="3" applyFont="1" applyFill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55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19" fillId="5" borderId="19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0" fontId="19" fillId="5" borderId="40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4" fontId="26" fillId="0" borderId="5" xfId="0" applyNumberFormat="1" applyFont="1" applyBorder="1" applyAlignment="1">
      <alignment horizontal="center" vertical="center"/>
    </xf>
    <xf numFmtId="4" fontId="26" fillId="0" borderId="6" xfId="0" applyNumberFormat="1" applyFont="1" applyBorder="1" applyAlignment="1">
      <alignment horizontal="center" vertical="center"/>
    </xf>
    <xf numFmtId="4" fontId="26" fillId="0" borderId="7" xfId="0" applyNumberFormat="1" applyFont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left" vertical="center" wrapText="1"/>
    </xf>
    <xf numFmtId="0" fontId="12" fillId="5" borderId="6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</cellXfs>
  <cellStyles count="14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Normal 5" xfId="11" xr:uid="{00000000-0005-0000-0000-000005000000}"/>
    <cellStyle name="Porcentagem" xfId="2" builtinId="5"/>
    <cellStyle name="Porcentagem 2" xfId="8" xr:uid="{00000000-0005-0000-0000-000007000000}"/>
    <cellStyle name="Porcentagem 3" xfId="9" xr:uid="{00000000-0005-0000-0000-000008000000}"/>
    <cellStyle name="Porcentagem 4" xfId="13" xr:uid="{00000000-0005-0000-0000-000009000000}"/>
    <cellStyle name="Separador de milhares 3" xfId="5" xr:uid="{00000000-0005-0000-0000-00000A000000}"/>
    <cellStyle name="Vírgula" xfId="3" builtinId="3"/>
    <cellStyle name="Vírgula 2" xfId="6" xr:uid="{00000000-0005-0000-0000-00000C000000}"/>
    <cellStyle name="Vírgula 3" xfId="12" xr:uid="{00000000-0005-0000-0000-00000D000000}"/>
  </cellStyles>
  <dxfs count="0"/>
  <tableStyles count="0" defaultTableStyle="TableStyleMedium2" defaultPivotStyle="PivotStyleLight16"/>
  <colors>
    <mruColors>
      <color rgb="FF00FF00"/>
      <color rgb="FF66FFFF"/>
      <color rgb="FFFFFF99"/>
      <color rgb="FFFF66FF"/>
      <color rgb="FFFFFFFF"/>
      <color rgb="FFFFFFCC"/>
      <color rgb="FFFF3399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5"/>
  <sheetViews>
    <sheetView tabSelected="1" view="pageBreakPreview" topLeftCell="A445" zoomScaleNormal="100" zoomScaleSheetLayoutView="100" workbookViewId="0">
      <selection activeCell="D464" sqref="D464"/>
    </sheetView>
  </sheetViews>
  <sheetFormatPr defaultColWidth="9.140625" defaultRowHeight="12.75" x14ac:dyDescent="0.2"/>
  <cols>
    <col min="1" max="1" width="42.85546875" style="4" customWidth="1"/>
    <col min="2" max="2" width="16.42578125" style="4" customWidth="1"/>
    <col min="3" max="3" width="13.7109375" style="4" customWidth="1"/>
    <col min="4" max="4" width="15.42578125" style="4" customWidth="1"/>
    <col min="5" max="5" width="16.28515625" style="5" customWidth="1"/>
    <col min="6" max="6" width="13.85546875" style="5" customWidth="1"/>
    <col min="7" max="7" width="14.85546875" style="5" customWidth="1"/>
    <col min="8" max="8" width="10" style="5" customWidth="1"/>
    <col min="9" max="9" width="16.85546875" style="4" customWidth="1"/>
    <col min="10" max="10" width="14.28515625" style="5" bestFit="1" customWidth="1"/>
    <col min="11" max="11" width="13.7109375" style="4" customWidth="1"/>
    <col min="12" max="16384" width="9.140625" style="4"/>
  </cols>
  <sheetData>
    <row r="1" spans="1:10" s="79" customFormat="1" ht="29.25" customHeight="1" thickBot="1" x14ac:dyDescent="0.25">
      <c r="A1" s="656" t="s">
        <v>209</v>
      </c>
      <c r="B1" s="657"/>
      <c r="C1" s="657"/>
      <c r="D1" s="657"/>
      <c r="E1" s="657"/>
      <c r="F1" s="657"/>
      <c r="G1" s="657"/>
      <c r="H1" s="658"/>
      <c r="I1" s="4"/>
      <c r="J1" s="346"/>
    </row>
    <row r="2" spans="1:10" s="2" customFormat="1" ht="15.75" customHeight="1" thickBot="1" x14ac:dyDescent="0.25">
      <c r="A2" s="208" t="s">
        <v>227</v>
      </c>
      <c r="B2" s="209"/>
      <c r="C2" s="297" t="s">
        <v>247</v>
      </c>
      <c r="D2" s="209"/>
      <c r="E2" s="209"/>
      <c r="F2" s="209"/>
      <c r="G2" s="209"/>
      <c r="H2" s="210"/>
      <c r="I2" s="4"/>
      <c r="J2" s="345"/>
    </row>
    <row r="3" spans="1:10" s="2" customFormat="1" ht="15.75" customHeight="1" thickBot="1" x14ac:dyDescent="0.25">
      <c r="A3" s="659" t="s">
        <v>501</v>
      </c>
      <c r="B3" s="660"/>
      <c r="C3" s="660"/>
      <c r="D3" s="660"/>
      <c r="E3" s="660"/>
      <c r="F3" s="660"/>
      <c r="G3" s="660"/>
      <c r="H3" s="661"/>
      <c r="I3" s="4"/>
      <c r="J3" s="345"/>
    </row>
    <row r="4" spans="1:10" s="79" customFormat="1" ht="23.25" customHeight="1" thickBot="1" x14ac:dyDescent="0.25">
      <c r="A4" s="514" t="s">
        <v>425</v>
      </c>
      <c r="B4" s="231"/>
      <c r="C4" s="221" t="s">
        <v>255</v>
      </c>
      <c r="D4" s="662"/>
      <c r="E4" s="663"/>
      <c r="F4" s="221" t="s">
        <v>244</v>
      </c>
      <c r="G4" s="664">
        <v>46059</v>
      </c>
      <c r="H4" s="665"/>
      <c r="I4" s="4"/>
      <c r="J4" s="346"/>
    </row>
    <row r="5" spans="1:10" s="2" customFormat="1" ht="15.95" customHeight="1" thickBot="1" x14ac:dyDescent="0.25">
      <c r="A5" s="201"/>
      <c r="B5" s="202"/>
      <c r="C5" s="203"/>
      <c r="D5" s="203"/>
      <c r="E5" s="204"/>
      <c r="F5" s="204"/>
      <c r="G5" s="204"/>
      <c r="H5" s="205"/>
      <c r="J5" s="345"/>
    </row>
    <row r="6" spans="1:10" s="2" customFormat="1" ht="15.95" customHeight="1" thickBot="1" x14ac:dyDescent="0.25">
      <c r="A6" s="208" t="s">
        <v>228</v>
      </c>
      <c r="B6" s="209"/>
      <c r="C6" s="209"/>
      <c r="D6" s="209"/>
      <c r="E6" s="209"/>
      <c r="F6" s="209"/>
      <c r="G6" s="209"/>
      <c r="H6" s="210"/>
      <c r="J6" s="345"/>
    </row>
    <row r="7" spans="1:10" s="2" customFormat="1" ht="15.95" customHeight="1" thickBot="1" x14ac:dyDescent="0.25">
      <c r="A7" s="118" t="s">
        <v>126</v>
      </c>
      <c r="B7" s="118"/>
      <c r="C7" s="666" t="s">
        <v>116</v>
      </c>
      <c r="D7" s="667"/>
      <c r="E7" s="666" t="s">
        <v>117</v>
      </c>
      <c r="F7" s="667"/>
      <c r="G7" s="666" t="s">
        <v>120</v>
      </c>
      <c r="H7" s="667"/>
      <c r="I7" s="4"/>
      <c r="J7" s="345"/>
    </row>
    <row r="8" spans="1:10" s="2" customFormat="1" ht="28.5" customHeight="1" x14ac:dyDescent="0.2">
      <c r="A8" s="653" t="s">
        <v>89</v>
      </c>
      <c r="B8" s="654"/>
      <c r="C8" s="98" t="s">
        <v>118</v>
      </c>
      <c r="D8" s="22" t="s">
        <v>119</v>
      </c>
      <c r="E8" s="98" t="s">
        <v>118</v>
      </c>
      <c r="F8" s="22" t="s">
        <v>119</v>
      </c>
      <c r="G8" s="98" t="s">
        <v>118</v>
      </c>
      <c r="H8" s="22" t="s">
        <v>119</v>
      </c>
      <c r="I8" s="4"/>
      <c r="J8" s="345"/>
    </row>
    <row r="9" spans="1:10" s="6" customFormat="1" ht="15.95" customHeight="1" x14ac:dyDescent="0.2">
      <c r="A9" s="643" t="str">
        <f>A66</f>
        <v>1. Mão-de-obra</v>
      </c>
      <c r="B9" s="644"/>
      <c r="C9" s="94">
        <f>+G198</f>
        <v>49493.135707115711</v>
      </c>
      <c r="D9" s="40">
        <f t="shared" ref="D9:D17" si="0">IFERROR(C9/$C$29,0)</f>
        <v>0.36838033852935725</v>
      </c>
      <c r="E9" s="94">
        <f>C9</f>
        <v>49493.135707115711</v>
      </c>
      <c r="F9" s="40">
        <f t="shared" ref="F9:F25" si="1">IFERROR(E9/$E$29,0)</f>
        <v>0.39187833393770449</v>
      </c>
      <c r="G9" s="94">
        <f>G199</f>
        <v>42451.734666438249</v>
      </c>
      <c r="H9" s="40">
        <f>IFERROR(G9/$G$29,0)</f>
        <v>0.33422626827455398</v>
      </c>
      <c r="I9" s="4"/>
      <c r="J9" s="273"/>
    </row>
    <row r="10" spans="1:10" s="2" customFormat="1" ht="15.95" customHeight="1" x14ac:dyDescent="0.2">
      <c r="A10" s="649" t="s">
        <v>325</v>
      </c>
      <c r="B10" s="644"/>
      <c r="C10" s="95">
        <f>G79</f>
        <v>6513.2265707695569</v>
      </c>
      <c r="D10" s="26">
        <f t="shared" ref="D10:D16" si="2">IFERROR(C10/$C$29,0)</f>
        <v>4.8478330879195765E-2</v>
      </c>
      <c r="E10" s="95">
        <f t="shared" ref="E10:E23" si="3">C10</f>
        <v>6513.2265707695569</v>
      </c>
      <c r="F10" s="26">
        <f t="shared" si="1"/>
        <v>5.1570633798920934E-2</v>
      </c>
      <c r="G10" s="95">
        <f>G84</f>
        <v>5022.754671969692</v>
      </c>
      <c r="H10" s="26">
        <f t="shared" ref="H10:H25" si="4">IFERROR(G10/$G$29,0)</f>
        <v>3.9544592551083606E-2</v>
      </c>
      <c r="I10" s="4"/>
      <c r="J10" s="273"/>
    </row>
    <row r="11" spans="1:10" s="2" customFormat="1" ht="15.95" customHeight="1" x14ac:dyDescent="0.2">
      <c r="A11" s="655" t="s">
        <v>417</v>
      </c>
      <c r="B11" s="644"/>
      <c r="C11" s="95">
        <f>G97</f>
        <v>9266.765719098521</v>
      </c>
      <c r="D11" s="26">
        <f t="shared" si="2"/>
        <v>6.8973085740109269E-2</v>
      </c>
      <c r="E11" s="95">
        <f t="shared" si="3"/>
        <v>9266.765719098521</v>
      </c>
      <c r="F11" s="26">
        <f t="shared" si="1"/>
        <v>7.3372694195030841E-2</v>
      </c>
      <c r="G11" s="95">
        <f>G102</f>
        <v>7146.1802079075051</v>
      </c>
      <c r="H11" s="26">
        <f t="shared" si="4"/>
        <v>5.6262509932124637E-2</v>
      </c>
      <c r="I11" s="4"/>
      <c r="J11" s="273"/>
    </row>
    <row r="12" spans="1:10" s="2" customFormat="1" ht="15.95" customHeight="1" x14ac:dyDescent="0.2">
      <c r="A12" s="655" t="s">
        <v>420</v>
      </c>
      <c r="B12" s="644"/>
      <c r="C12" s="95">
        <f>G117+G141</f>
        <v>19089.794784266665</v>
      </c>
      <c r="D12" s="26">
        <f t="shared" si="2"/>
        <v>0.14208647248982179</v>
      </c>
      <c r="E12" s="95">
        <f>C12</f>
        <v>19089.794784266665</v>
      </c>
      <c r="F12" s="26">
        <f t="shared" si="1"/>
        <v>0.15114978811487112</v>
      </c>
      <c r="G12" s="95">
        <f>G124+G148</f>
        <v>17854.897975060001</v>
      </c>
      <c r="H12" s="26">
        <f t="shared" si="4"/>
        <v>0.14057319371085858</v>
      </c>
      <c r="I12" s="4"/>
      <c r="J12" s="273"/>
    </row>
    <row r="13" spans="1:10" s="2" customFormat="1" ht="15.95" customHeight="1" x14ac:dyDescent="0.2">
      <c r="A13" s="433" t="s">
        <v>418</v>
      </c>
      <c r="B13" s="432"/>
      <c r="C13" s="95">
        <f>G163</f>
        <v>9593.9028329809717</v>
      </c>
      <c r="D13" s="26">
        <f t="shared" si="2"/>
        <v>7.1407986641734866E-2</v>
      </c>
      <c r="E13" s="95">
        <f t="shared" si="3"/>
        <v>9593.9028329809717</v>
      </c>
      <c r="F13" s="26">
        <f t="shared" si="1"/>
        <v>7.5962910905406147E-2</v>
      </c>
      <c r="G13" s="95">
        <f>G168</f>
        <v>7398.4560115010563</v>
      </c>
      <c r="H13" s="26">
        <f t="shared" si="4"/>
        <v>5.824869968558357E-2</v>
      </c>
      <c r="I13" s="4"/>
      <c r="J13" s="273"/>
    </row>
    <row r="14" spans="1:10" s="2" customFormat="1" ht="15.95" customHeight="1" x14ac:dyDescent="0.2">
      <c r="A14" s="433" t="s">
        <v>419</v>
      </c>
      <c r="B14" s="432"/>
      <c r="C14" s="95">
        <f>G178</f>
        <v>1223.7348</v>
      </c>
      <c r="D14" s="26">
        <f t="shared" si="2"/>
        <v>9.1083305483378989E-3</v>
      </c>
      <c r="E14" s="95">
        <f>C14</f>
        <v>1223.7348</v>
      </c>
      <c r="F14" s="26">
        <f t="shared" si="1"/>
        <v>9.6893265652724346E-3</v>
      </c>
      <c r="G14" s="95">
        <f>E14</f>
        <v>1223.7348</v>
      </c>
      <c r="H14" s="26">
        <f t="shared" si="4"/>
        <v>9.6345725039372956E-3</v>
      </c>
      <c r="I14" s="4"/>
      <c r="J14" s="273"/>
    </row>
    <row r="15" spans="1:10" s="2" customFormat="1" ht="15.95" customHeight="1" x14ac:dyDescent="0.2">
      <c r="A15" s="433" t="s">
        <v>421</v>
      </c>
      <c r="B15" s="432"/>
      <c r="C15" s="95">
        <f>G190</f>
        <v>3637.4809999999998</v>
      </c>
      <c r="D15" s="26">
        <f t="shared" si="2"/>
        <v>2.7073986382751138E-2</v>
      </c>
      <c r="E15" s="95">
        <f>C15</f>
        <v>3637.4809999999998</v>
      </c>
      <c r="F15" s="26">
        <f t="shared" si="1"/>
        <v>2.8800963479974372E-2</v>
      </c>
      <c r="G15" s="95">
        <f>E15</f>
        <v>3637.4809999999998</v>
      </c>
      <c r="H15" s="26">
        <f t="shared" si="4"/>
        <v>2.8638210195701175E-2</v>
      </c>
      <c r="I15" s="4"/>
      <c r="J15" s="273"/>
    </row>
    <row r="16" spans="1:10" s="2" customFormat="1" ht="15.95" customHeight="1" x14ac:dyDescent="0.2">
      <c r="A16" s="431" t="s">
        <v>502</v>
      </c>
      <c r="B16" s="432"/>
      <c r="C16" s="95">
        <f>G196</f>
        <v>168.23</v>
      </c>
      <c r="D16" s="26">
        <f t="shared" si="2"/>
        <v>1.2521458474065497E-3</v>
      </c>
      <c r="E16" s="95">
        <f>C16</f>
        <v>168.23</v>
      </c>
      <c r="F16" s="26">
        <f t="shared" si="1"/>
        <v>1.3320168782286665E-3</v>
      </c>
      <c r="G16" s="95">
        <f>E16</f>
        <v>168.23</v>
      </c>
      <c r="H16" s="26">
        <f t="shared" si="4"/>
        <v>1.3244896952651598E-3</v>
      </c>
      <c r="I16" s="4"/>
      <c r="J16" s="273"/>
    </row>
    <row r="17" spans="1:10" s="6" customFormat="1" ht="15.95" customHeight="1" x14ac:dyDescent="0.2">
      <c r="A17" s="643" t="str">
        <f>A202</f>
        <v>2. Equipamentos</v>
      </c>
      <c r="B17" s="644"/>
      <c r="C17" s="94">
        <f>+G312</f>
        <v>39984.374898715279</v>
      </c>
      <c r="D17" s="40">
        <f t="shared" si="0"/>
        <v>0.2976060690160674</v>
      </c>
      <c r="E17" s="94">
        <f t="shared" si="3"/>
        <v>39984.374898715279</v>
      </c>
      <c r="F17" s="40">
        <f t="shared" si="1"/>
        <v>0.31658956327950655</v>
      </c>
      <c r="G17" s="94">
        <f t="shared" ref="G17:G22" si="5">E17</f>
        <v>39984.374898715279</v>
      </c>
      <c r="H17" s="40">
        <f t="shared" si="4"/>
        <v>0.3148005262139173</v>
      </c>
      <c r="I17" s="4"/>
      <c r="J17" s="273"/>
    </row>
    <row r="18" spans="1:10" s="2" customFormat="1" ht="15.95" customHeight="1" x14ac:dyDescent="0.2">
      <c r="A18" s="649" t="str">
        <f>A203</f>
        <v>2.1. Depreciação</v>
      </c>
      <c r="B18" s="644"/>
      <c r="C18" s="95">
        <f>G231</f>
        <v>4100.8329836111116</v>
      </c>
      <c r="D18" s="46">
        <f t="shared" ref="D18:D26" si="6">IFERROR(C18/$C$29,0)</f>
        <v>3.0522742622222345E-2</v>
      </c>
      <c r="E18" s="95">
        <f t="shared" si="3"/>
        <v>4100.8329836111116</v>
      </c>
      <c r="F18" s="46">
        <f t="shared" si="1"/>
        <v>3.2469706645466459E-2</v>
      </c>
      <c r="G18" s="95">
        <f t="shared" si="5"/>
        <v>4100.8329836111116</v>
      </c>
      <c r="H18" s="46">
        <f t="shared" si="4"/>
        <v>3.2286221415897265E-2</v>
      </c>
      <c r="I18" s="4"/>
      <c r="J18" s="345"/>
    </row>
    <row r="19" spans="1:10" s="2" customFormat="1" ht="15.95" customHeight="1" x14ac:dyDescent="0.2">
      <c r="A19" s="649" t="str">
        <f>A232</f>
        <v>2.2. Remuneração do Capital</v>
      </c>
      <c r="B19" s="644"/>
      <c r="C19" s="95">
        <f>G269</f>
        <v>4806.9582137708321</v>
      </c>
      <c r="D19" s="46">
        <f t="shared" si="6"/>
        <v>3.5778474505319818E-2</v>
      </c>
      <c r="E19" s="95">
        <f t="shared" si="3"/>
        <v>4806.9582137708321</v>
      </c>
      <c r="F19" s="46">
        <f t="shared" si="1"/>
        <v>3.8060687592478583E-2</v>
      </c>
      <c r="G19" s="95">
        <f t="shared" si="5"/>
        <v>4806.9582137708321</v>
      </c>
      <c r="H19" s="46">
        <f t="shared" si="4"/>
        <v>3.7845607916005983E-2</v>
      </c>
      <c r="I19" s="4"/>
      <c r="J19" s="345"/>
    </row>
    <row r="20" spans="1:10" s="2" customFormat="1" ht="15.95" customHeight="1" x14ac:dyDescent="0.2">
      <c r="A20" s="649" t="str">
        <f>A270</f>
        <v>2.3. Consumos retroescavadeira</v>
      </c>
      <c r="B20" s="650"/>
      <c r="C20" s="95">
        <f>G291</f>
        <v>23214.464</v>
      </c>
      <c r="D20" s="46">
        <f t="shared" si="6"/>
        <v>0.17278662959857838</v>
      </c>
      <c r="E20" s="95">
        <f t="shared" si="3"/>
        <v>23214.464</v>
      </c>
      <c r="F20" s="46">
        <f t="shared" si="1"/>
        <v>0.18380822604191741</v>
      </c>
      <c r="G20" s="95">
        <f t="shared" si="5"/>
        <v>23214.464</v>
      </c>
      <c r="H20" s="46">
        <f t="shared" si="4"/>
        <v>0.18276953188553779</v>
      </c>
      <c r="I20" s="4"/>
      <c r="J20" s="345"/>
    </row>
    <row r="21" spans="1:10" s="2" customFormat="1" ht="15.95" customHeight="1" x14ac:dyDescent="0.2">
      <c r="A21" s="649" t="str">
        <f>A293</f>
        <v>2.4. Manutenção</v>
      </c>
      <c r="B21" s="650"/>
      <c r="C21" s="95">
        <f>G302</f>
        <v>7508.333333333333</v>
      </c>
      <c r="D21" s="46">
        <f t="shared" si="6"/>
        <v>5.5884969412575113E-2</v>
      </c>
      <c r="E21" s="95">
        <f t="shared" si="3"/>
        <v>7508.333333333333</v>
      </c>
      <c r="F21" s="46">
        <f t="shared" si="1"/>
        <v>5.9449721972103103E-2</v>
      </c>
      <c r="G21" s="95">
        <f t="shared" si="5"/>
        <v>7508.333333333333</v>
      </c>
      <c r="H21" s="46">
        <f t="shared" si="4"/>
        <v>5.9113773575556722E-2</v>
      </c>
      <c r="I21" s="4"/>
      <c r="J21" s="345"/>
    </row>
    <row r="22" spans="1:10" s="2" customFormat="1" ht="15.95" customHeight="1" x14ac:dyDescent="0.2">
      <c r="A22" s="651" t="str">
        <f>A304</f>
        <v>2.5. Pneus -</v>
      </c>
      <c r="B22" s="652"/>
      <c r="C22" s="95">
        <f>G309</f>
        <v>353.78636799999998</v>
      </c>
      <c r="D22" s="46">
        <f t="shared" si="6"/>
        <v>2.633252877371726E-3</v>
      </c>
      <c r="E22" s="95">
        <f t="shared" si="3"/>
        <v>353.78636799999998</v>
      </c>
      <c r="F22" s="46">
        <f t="shared" si="1"/>
        <v>2.8012210275409751E-3</v>
      </c>
      <c r="G22" s="95">
        <f t="shared" si="5"/>
        <v>353.78636799999998</v>
      </c>
      <c r="H22" s="46">
        <f t="shared" si="4"/>
        <v>2.785391420919501E-3</v>
      </c>
      <c r="I22" s="4"/>
      <c r="J22" s="345"/>
    </row>
    <row r="23" spans="1:10" s="6" customFormat="1" ht="15.95" customHeight="1" x14ac:dyDescent="0.2">
      <c r="A23" s="643" t="str">
        <f>A314</f>
        <v>3. Uniformes e Epis</v>
      </c>
      <c r="B23" s="644"/>
      <c r="C23" s="94">
        <f>G334+G362+G381</f>
        <v>6692.3533333333326</v>
      </c>
      <c r="D23" s="40">
        <f t="shared" si="6"/>
        <v>4.9811581975335632E-2</v>
      </c>
      <c r="E23" s="94">
        <f t="shared" si="3"/>
        <v>6692.3533333333326</v>
      </c>
      <c r="F23" s="40">
        <f t="shared" si="1"/>
        <v>5.2988929412529737E-2</v>
      </c>
      <c r="G23" s="94">
        <f>E23</f>
        <v>6692.3533333333326</v>
      </c>
      <c r="H23" s="40">
        <f t="shared" si="4"/>
        <v>5.2689490739305962E-2</v>
      </c>
      <c r="I23" s="4"/>
      <c r="J23" s="273"/>
    </row>
    <row r="24" spans="1:10" s="6" customFormat="1" ht="15.95" customHeight="1" x14ac:dyDescent="0.2">
      <c r="A24" s="643" t="s">
        <v>465</v>
      </c>
      <c r="B24" s="644"/>
      <c r="C24" s="94">
        <f>G400</f>
        <v>208.17249999999996</v>
      </c>
      <c r="D24" s="40">
        <f t="shared" si="6"/>
        <v>1.5494402390729355E-3</v>
      </c>
      <c r="E24" s="94">
        <f>C24</f>
        <v>208.17249999999996</v>
      </c>
      <c r="F24" s="40">
        <f t="shared" si="1"/>
        <v>1.648274883094912E-3</v>
      </c>
      <c r="G24" s="94">
        <f>E24</f>
        <v>208.17249999999996</v>
      </c>
      <c r="H24" s="40">
        <f t="shared" si="4"/>
        <v>1.6389605366913535E-3</v>
      </c>
      <c r="I24" s="4"/>
      <c r="J24" s="273"/>
    </row>
    <row r="25" spans="1:10" s="6" customFormat="1" ht="15.95" customHeight="1" x14ac:dyDescent="0.2">
      <c r="A25" s="438" t="s">
        <v>503</v>
      </c>
      <c r="B25" s="432"/>
      <c r="C25" s="94">
        <f>G410</f>
        <v>4450</v>
      </c>
      <c r="D25" s="40">
        <f t="shared" si="6"/>
        <v>3.3121613392136637E-2</v>
      </c>
      <c r="E25" s="94">
        <f>C25</f>
        <v>4450</v>
      </c>
      <c r="F25" s="96">
        <f t="shared" si="1"/>
        <v>3.5234352422977865E-2</v>
      </c>
      <c r="G25" s="94">
        <f>E25</f>
        <v>4450</v>
      </c>
      <c r="H25" s="40">
        <f t="shared" si="4"/>
        <v>3.5035244272305539E-2</v>
      </c>
      <c r="I25" s="4"/>
      <c r="J25" s="273"/>
    </row>
    <row r="26" spans="1:10" s="6" customFormat="1" ht="15.95" customHeight="1" x14ac:dyDescent="0.2">
      <c r="A26" s="645" t="str">
        <f>A416</f>
        <v>4. BENEFÍCIOS E DESPESAS INDIRETAS - BDI - LUCRO REAL</v>
      </c>
      <c r="B26" s="644"/>
      <c r="C26" s="94">
        <f>+G420</f>
        <v>33525.322116022136</v>
      </c>
      <c r="D26" s="40">
        <f t="shared" si="6"/>
        <v>0.24953095684802998</v>
      </c>
      <c r="E26" s="101"/>
      <c r="F26" s="97"/>
      <c r="G26" s="101"/>
      <c r="H26" s="100"/>
      <c r="I26" s="4"/>
      <c r="J26" s="273"/>
    </row>
    <row r="27" spans="1:10" s="6" customFormat="1" ht="15.95" customHeight="1" x14ac:dyDescent="0.2">
      <c r="A27" s="645" t="str">
        <f>A428</f>
        <v>5. BENEFÍCIOS E DESPESAS INDIRETAS - BDI - LUCRO PRESUMIDO</v>
      </c>
      <c r="B27" s="644"/>
      <c r="C27" s="103"/>
      <c r="D27" s="99"/>
      <c r="E27" s="94">
        <f>G432</f>
        <v>25469.162004532907</v>
      </c>
      <c r="F27" s="40">
        <f>IFERROR(E27/$E$29,0)</f>
        <v>0.20166054606418649</v>
      </c>
      <c r="G27" s="101"/>
      <c r="H27" s="102"/>
      <c r="I27" s="4"/>
      <c r="J27" s="273"/>
    </row>
    <row r="28" spans="1:10" s="6" customFormat="1" ht="15.95" customHeight="1" thickBot="1" x14ac:dyDescent="0.25">
      <c r="A28" s="646" t="str">
        <f>A440</f>
        <v>6. BENEFÍCIOS E DESPESAS INDIRETAS - BDI + IMPOSTOS - S.N.</v>
      </c>
      <c r="B28" s="647"/>
      <c r="C28" s="104"/>
      <c r="D28" s="105"/>
      <c r="E28" s="106"/>
      <c r="F28" s="97"/>
      <c r="G28" s="107">
        <f>G444+G454</f>
        <v>33228.320324759246</v>
      </c>
      <c r="H28" s="96">
        <f>IFERROR(G28/$G$29,0)</f>
        <v>0.26160950996322585</v>
      </c>
      <c r="I28" s="4"/>
      <c r="J28" s="273"/>
    </row>
    <row r="29" spans="1:10" s="2" customFormat="1" ht="15.95" customHeight="1" thickBot="1" x14ac:dyDescent="0.25">
      <c r="A29" s="630" t="s">
        <v>210</v>
      </c>
      <c r="B29" s="648"/>
      <c r="C29" s="117">
        <f>C9+C17+C23+C26+C24+C25</f>
        <v>134353.35855518648</v>
      </c>
      <c r="D29" s="337">
        <f>D9+D17+D23+D26+D24+D25</f>
        <v>0.99999999999999978</v>
      </c>
      <c r="E29" s="117">
        <f>E9+E17+E23+E27+E24+E25</f>
        <v>126297.19844369723</v>
      </c>
      <c r="F29" s="337">
        <f>F9+F17+F23+F27+F24+F25</f>
        <v>1</v>
      </c>
      <c r="G29" s="117">
        <f>G9+G17+G23+G28+G24+G25</f>
        <v>127014.95572324611</v>
      </c>
      <c r="H29" s="337">
        <f>H9+H17+H23+H28+H24+H25</f>
        <v>1</v>
      </c>
      <c r="I29" s="4"/>
      <c r="J29" s="345"/>
    </row>
    <row r="30" spans="1:10" s="2" customFormat="1" ht="15.95" customHeight="1" thickBot="1" x14ac:dyDescent="0.25">
      <c r="A30" s="630" t="s">
        <v>279</v>
      </c>
      <c r="B30" s="648"/>
      <c r="C30" s="117">
        <f>G426</f>
        <v>645.92960843839637</v>
      </c>
      <c r="D30" s="45"/>
      <c r="E30" s="117">
        <f>G438</f>
        <v>607.19806944085201</v>
      </c>
      <c r="F30" s="45"/>
      <c r="G30" s="117">
        <f>G460</f>
        <v>610.64882559252942</v>
      </c>
      <c r="H30" s="45"/>
      <c r="I30" s="4"/>
      <c r="J30" s="345"/>
    </row>
    <row r="31" spans="1:10" s="2" customFormat="1" ht="15.95" customHeight="1" thickBot="1" x14ac:dyDescent="0.25">
      <c r="A31" s="630" t="s">
        <v>531</v>
      </c>
      <c r="B31" s="648"/>
      <c r="C31" s="420">
        <f>C29/1250</f>
        <v>107.48268684414919</v>
      </c>
      <c r="D31" s="421"/>
      <c r="E31" s="420">
        <f>E29/1250</f>
        <v>101.03775875495778</v>
      </c>
      <c r="F31" s="421"/>
      <c r="G31" s="420">
        <f>G29/1250</f>
        <v>101.61196457859688</v>
      </c>
      <c r="H31" s="422"/>
      <c r="I31" s="4"/>
      <c r="J31" s="345"/>
    </row>
    <row r="32" spans="1:10" ht="15.95" customHeight="1" thickBot="1" x14ac:dyDescent="0.25">
      <c r="A32" s="108"/>
      <c r="B32" s="109"/>
      <c r="C32" s="109"/>
      <c r="D32" s="109"/>
      <c r="E32" s="110"/>
      <c r="F32" s="110"/>
      <c r="G32" s="120"/>
      <c r="H32" s="176"/>
      <c r="J32" s="345"/>
    </row>
    <row r="33" spans="1:11" s="2" customFormat="1" ht="15.95" customHeight="1" thickBot="1" x14ac:dyDescent="0.25">
      <c r="A33" s="624" t="s">
        <v>245</v>
      </c>
      <c r="B33" s="625"/>
      <c r="C33" s="625"/>
      <c r="D33" s="625"/>
      <c r="E33" s="625"/>
      <c r="F33" s="625"/>
      <c r="G33" s="625"/>
      <c r="H33" s="626"/>
      <c r="I33" s="4"/>
      <c r="J33" s="347"/>
      <c r="K33" s="150"/>
    </row>
    <row r="34" spans="1:11" s="2" customFormat="1" ht="15.95" customHeight="1" thickBot="1" x14ac:dyDescent="0.25">
      <c r="A34" s="639" t="s">
        <v>229</v>
      </c>
      <c r="B34" s="640"/>
      <c r="C34" s="116"/>
      <c r="D34" s="116"/>
      <c r="E34" s="285" t="s">
        <v>361</v>
      </c>
      <c r="F34" s="152" t="s">
        <v>21</v>
      </c>
      <c r="G34" s="152" t="s">
        <v>162</v>
      </c>
      <c r="H34" s="177"/>
      <c r="J34" s="345"/>
      <c r="K34" s="150"/>
    </row>
    <row r="35" spans="1:11" s="2" customFormat="1" ht="15.95" customHeight="1" thickBot="1" x14ac:dyDescent="0.25">
      <c r="A35" s="441" t="s">
        <v>517</v>
      </c>
      <c r="B35" s="442"/>
      <c r="C35" s="442" t="s">
        <v>363</v>
      </c>
      <c r="D35" s="442"/>
      <c r="E35" s="446"/>
      <c r="F35" s="444">
        <v>1</v>
      </c>
      <c r="G35" s="445">
        <v>2482.3000000000002</v>
      </c>
      <c r="H35" s="418"/>
      <c r="J35" s="345"/>
      <c r="K35" s="150"/>
    </row>
    <row r="36" spans="1:11" s="2" customFormat="1" ht="15.95" customHeight="1" thickBot="1" x14ac:dyDescent="0.25">
      <c r="A36" s="441" t="s">
        <v>367</v>
      </c>
      <c r="B36" s="442"/>
      <c r="C36" s="442" t="s">
        <v>362</v>
      </c>
      <c r="D36" s="442"/>
      <c r="E36" s="446">
        <v>5143</v>
      </c>
      <c r="F36" s="444">
        <v>2</v>
      </c>
      <c r="G36" s="445">
        <v>1765.86</v>
      </c>
      <c r="H36" s="418"/>
      <c r="J36" s="345"/>
      <c r="K36" s="150"/>
    </row>
    <row r="37" spans="1:11" s="2" customFormat="1" ht="15.95" customHeight="1" thickBot="1" x14ac:dyDescent="0.25">
      <c r="A37" s="441" t="s">
        <v>522</v>
      </c>
      <c r="B37" s="442" t="s">
        <v>366</v>
      </c>
      <c r="C37" s="442" t="s">
        <v>365</v>
      </c>
      <c r="D37" s="442"/>
      <c r="E37" s="443" t="s">
        <v>523</v>
      </c>
      <c r="F37" s="444">
        <v>4</v>
      </c>
      <c r="G37" s="445">
        <v>1667.6</v>
      </c>
      <c r="H37" s="418"/>
      <c r="J37" s="345"/>
      <c r="K37" s="150"/>
    </row>
    <row r="38" spans="1:11" s="2" customFormat="1" ht="15.95" customHeight="1" thickBot="1" x14ac:dyDescent="0.25">
      <c r="A38" s="441" t="s">
        <v>516</v>
      </c>
      <c r="B38" s="442"/>
      <c r="C38" s="442" t="s">
        <v>362</v>
      </c>
      <c r="D38" s="442"/>
      <c r="E38" s="443"/>
      <c r="F38" s="444">
        <v>1</v>
      </c>
      <c r="G38" s="445">
        <v>3000</v>
      </c>
      <c r="H38" s="418"/>
      <c r="J38" s="345"/>
      <c r="K38" s="150"/>
    </row>
    <row r="39" spans="1:11" s="2" customFormat="1" ht="15.95" customHeight="1" thickBot="1" x14ac:dyDescent="0.25">
      <c r="A39" s="630" t="s">
        <v>261</v>
      </c>
      <c r="B39" s="631"/>
      <c r="C39" s="631"/>
      <c r="D39" s="631"/>
      <c r="E39" s="632"/>
      <c r="F39" s="275"/>
      <c r="G39" s="155"/>
      <c r="H39" s="178"/>
      <c r="I39" s="4"/>
      <c r="J39" s="345"/>
    </row>
    <row r="40" spans="1:11" s="2" customFormat="1" ht="15.95" customHeight="1" thickBot="1" x14ac:dyDescent="0.25">
      <c r="A40" s="41"/>
      <c r="B40" s="20"/>
      <c r="C40" s="42"/>
      <c r="D40" s="27"/>
      <c r="E40" s="110"/>
      <c r="F40" s="110"/>
      <c r="G40" s="120"/>
      <c r="H40" s="178"/>
      <c r="I40" s="4"/>
      <c r="J40" s="345"/>
    </row>
    <row r="41" spans="1:11" s="2" customFormat="1" ht="15.95" customHeight="1" thickBot="1" x14ac:dyDescent="0.25">
      <c r="A41" s="295" t="s">
        <v>283</v>
      </c>
      <c r="B41" s="288"/>
      <c r="C41" s="14"/>
      <c r="D41" s="14"/>
      <c r="E41" s="14"/>
      <c r="F41" s="289" t="s">
        <v>167</v>
      </c>
      <c r="G41" s="641" t="s">
        <v>276</v>
      </c>
      <c r="H41" s="178"/>
      <c r="I41" s="4"/>
      <c r="J41" s="345"/>
    </row>
    <row r="42" spans="1:11" s="2" customFormat="1" ht="15.95" customHeight="1" thickBot="1" x14ac:dyDescent="0.25">
      <c r="A42" s="627" t="s">
        <v>597</v>
      </c>
      <c r="B42" s="628"/>
      <c r="C42" s="628"/>
      <c r="D42" s="628"/>
      <c r="E42" s="629"/>
      <c r="F42" s="352">
        <v>26</v>
      </c>
      <c r="G42" s="642"/>
      <c r="H42" s="178"/>
      <c r="I42" s="4"/>
      <c r="J42" s="345"/>
    </row>
    <row r="43" spans="1:11" s="2" customFormat="1" ht="15.95" customHeight="1" thickBot="1" x14ac:dyDescent="0.25">
      <c r="A43" s="627" t="s">
        <v>296</v>
      </c>
      <c r="B43" s="628"/>
      <c r="C43" s="628"/>
      <c r="D43" s="628"/>
      <c r="E43" s="628"/>
      <c r="F43" s="629"/>
      <c r="G43" s="351">
        <v>8</v>
      </c>
      <c r="H43" s="178"/>
      <c r="I43" s="4"/>
      <c r="J43" s="345"/>
    </row>
    <row r="44" spans="1:11" s="2" customFormat="1" ht="15.95" customHeight="1" thickBot="1" x14ac:dyDescent="0.25">
      <c r="A44" s="557" t="s">
        <v>570</v>
      </c>
      <c r="B44" s="558"/>
      <c r="C44" s="558"/>
      <c r="D44" s="558"/>
      <c r="E44" s="558"/>
      <c r="F44" s="559"/>
      <c r="G44" s="351">
        <v>8</v>
      </c>
      <c r="H44" s="178"/>
      <c r="I44" s="4"/>
      <c r="J44" s="345"/>
    </row>
    <row r="45" spans="1:11" s="6" customFormat="1" ht="15.95" customHeight="1" thickBot="1" x14ac:dyDescent="0.25">
      <c r="A45" s="627" t="s">
        <v>282</v>
      </c>
      <c r="B45" s="628"/>
      <c r="C45" s="628"/>
      <c r="D45" s="628"/>
      <c r="E45" s="628"/>
      <c r="F45" s="629"/>
      <c r="G45" s="541">
        <f>G43*F42</f>
        <v>208</v>
      </c>
      <c r="H45" s="178"/>
      <c r="I45" s="343"/>
      <c r="J45" s="273"/>
    </row>
    <row r="46" spans="1:11" s="6" customFormat="1" ht="15.95" customHeight="1" thickBot="1" x14ac:dyDescent="0.25">
      <c r="A46" s="353"/>
      <c r="B46" s="354"/>
      <c r="C46" s="274"/>
      <c r="D46" s="27"/>
      <c r="E46" s="27"/>
      <c r="F46" s="2"/>
      <c r="G46" s="355"/>
      <c r="H46" s="178"/>
      <c r="I46" s="343"/>
      <c r="J46" s="273"/>
    </row>
    <row r="47" spans="1:11" s="6" customFormat="1" ht="15.95" customHeight="1" thickBot="1" x14ac:dyDescent="0.25">
      <c r="A47" s="630" t="s">
        <v>297</v>
      </c>
      <c r="B47" s="631"/>
      <c r="C47" s="631"/>
      <c r="D47" s="631"/>
      <c r="E47" s="632"/>
      <c r="F47" s="155" t="s">
        <v>21</v>
      </c>
      <c r="G47" s="155" t="s">
        <v>162</v>
      </c>
      <c r="H47" s="178"/>
      <c r="I47" s="343"/>
      <c r="J47" s="273"/>
    </row>
    <row r="48" spans="1:11" s="6" customFormat="1" ht="15.95" customHeight="1" thickBot="1" x14ac:dyDescent="0.25">
      <c r="A48" s="348" t="s">
        <v>368</v>
      </c>
      <c r="B48" s="349"/>
      <c r="C48" s="349"/>
      <c r="D48" s="349"/>
      <c r="E48" s="350"/>
      <c r="F48" s="232">
        <v>1</v>
      </c>
      <c r="G48" s="233">
        <v>483950</v>
      </c>
      <c r="H48" s="418"/>
      <c r="I48" s="343"/>
      <c r="J48" s="273"/>
    </row>
    <row r="49" spans="1:10" s="6" customFormat="1" ht="15.95" customHeight="1" thickBot="1" x14ac:dyDescent="0.25">
      <c r="A49" s="519" t="s">
        <v>452</v>
      </c>
      <c r="B49" s="520"/>
      <c r="C49" s="520"/>
      <c r="D49" s="520"/>
      <c r="E49" s="521"/>
      <c r="F49" s="444">
        <v>1</v>
      </c>
      <c r="G49" s="445">
        <v>3967</v>
      </c>
      <c r="H49" s="418"/>
      <c r="I49" s="343"/>
      <c r="J49" s="273"/>
    </row>
    <row r="50" spans="1:10" s="6" customFormat="1" ht="15.95" customHeight="1" thickBot="1" x14ac:dyDescent="0.25">
      <c r="A50" s="519" t="s">
        <v>471</v>
      </c>
      <c r="B50" s="520"/>
      <c r="C50" s="520"/>
      <c r="D50" s="520"/>
      <c r="E50" s="521"/>
      <c r="F50" s="444">
        <v>1</v>
      </c>
      <c r="G50" s="445">
        <v>1779</v>
      </c>
      <c r="H50" s="418"/>
      <c r="I50" s="343"/>
      <c r="J50" s="273"/>
    </row>
    <row r="51" spans="1:10" s="6" customFormat="1" ht="15.95" customHeight="1" thickBot="1" x14ac:dyDescent="0.25">
      <c r="A51" s="519" t="s">
        <v>472</v>
      </c>
      <c r="B51" s="520"/>
      <c r="C51" s="520"/>
      <c r="D51" s="520"/>
      <c r="E51" s="521"/>
      <c r="F51" s="444">
        <v>1</v>
      </c>
      <c r="G51" s="445">
        <v>1519</v>
      </c>
      <c r="H51" s="418"/>
      <c r="I51" s="343"/>
      <c r="J51" s="273"/>
    </row>
    <row r="52" spans="1:10" s="6" customFormat="1" ht="15.95" customHeight="1" thickBot="1" x14ac:dyDescent="0.25">
      <c r="A52" s="519" t="s">
        <v>473</v>
      </c>
      <c r="B52" s="520"/>
      <c r="C52" s="520"/>
      <c r="D52" s="520"/>
      <c r="E52" s="521"/>
      <c r="F52" s="444">
        <v>1</v>
      </c>
      <c r="G52" s="445">
        <v>620</v>
      </c>
      <c r="H52" s="418"/>
      <c r="I52" s="343"/>
      <c r="J52" s="273"/>
    </row>
    <row r="53" spans="1:10" s="6" customFormat="1" ht="15.95" customHeight="1" thickBot="1" x14ac:dyDescent="0.25">
      <c r="A53" s="519" t="s">
        <v>474</v>
      </c>
      <c r="B53" s="520"/>
      <c r="C53" s="520"/>
      <c r="D53" s="520"/>
      <c r="E53" s="521"/>
      <c r="F53" s="444">
        <v>1</v>
      </c>
      <c r="G53" s="445">
        <v>128</v>
      </c>
      <c r="H53" s="418"/>
      <c r="I53" s="343"/>
      <c r="J53" s="273"/>
    </row>
    <row r="54" spans="1:10" s="6" customFormat="1" ht="15.95" customHeight="1" thickBot="1" x14ac:dyDescent="0.25">
      <c r="A54" s="519" t="s">
        <v>475</v>
      </c>
      <c r="B54" s="520"/>
      <c r="C54" s="520"/>
      <c r="D54" s="520"/>
      <c r="E54" s="521"/>
      <c r="F54" s="444">
        <v>1</v>
      </c>
      <c r="G54" s="445">
        <v>7175</v>
      </c>
      <c r="H54" s="418"/>
      <c r="I54" s="343"/>
      <c r="J54" s="273"/>
    </row>
    <row r="55" spans="1:10" s="6" customFormat="1" ht="15.95" customHeight="1" thickBot="1" x14ac:dyDescent="0.25">
      <c r="A55" s="519" t="s">
        <v>476</v>
      </c>
      <c r="B55" s="520"/>
      <c r="C55" s="520"/>
      <c r="D55" s="520"/>
      <c r="E55" s="521"/>
      <c r="F55" s="444">
        <v>1</v>
      </c>
      <c r="G55" s="445">
        <v>999</v>
      </c>
      <c r="H55" s="418"/>
      <c r="I55" s="343"/>
      <c r="J55" s="273"/>
    </row>
    <row r="56" spans="1:10" s="6" customFormat="1" ht="15.95" customHeight="1" thickBot="1" x14ac:dyDescent="0.25">
      <c r="A56" s="519" t="s">
        <v>591</v>
      </c>
      <c r="B56" s="520"/>
      <c r="C56" s="520"/>
      <c r="D56" s="520"/>
      <c r="E56" s="521"/>
      <c r="F56" s="444">
        <v>5</v>
      </c>
      <c r="G56" s="445">
        <f>5*425</f>
        <v>2125</v>
      </c>
      <c r="H56" s="418"/>
      <c r="I56" s="343"/>
      <c r="J56" s="273"/>
    </row>
    <row r="57" spans="1:10" s="6" customFormat="1" ht="15.95" customHeight="1" thickBot="1" x14ac:dyDescent="0.25">
      <c r="A57" s="519" t="s">
        <v>592</v>
      </c>
      <c r="B57" s="520"/>
      <c r="C57" s="520"/>
      <c r="D57" s="520"/>
      <c r="E57" s="521"/>
      <c r="F57" s="444">
        <v>25</v>
      </c>
      <c r="G57" s="445">
        <f>25*220</f>
        <v>5500</v>
      </c>
      <c r="H57" s="418"/>
      <c r="I57" s="343"/>
      <c r="J57" s="273"/>
    </row>
    <row r="58" spans="1:10" s="6" customFormat="1" ht="15.95" customHeight="1" thickBot="1" x14ac:dyDescent="0.25">
      <c r="A58" s="519"/>
      <c r="B58" s="520"/>
      <c r="C58" s="520"/>
      <c r="D58" s="520"/>
      <c r="E58" s="521"/>
      <c r="F58" s="444"/>
      <c r="G58" s="445"/>
      <c r="H58" s="418"/>
      <c r="I58" s="343"/>
      <c r="J58" s="273"/>
    </row>
    <row r="59" spans="1:10" s="6" customFormat="1" ht="15.95" customHeight="1" thickBot="1" x14ac:dyDescent="0.25">
      <c r="A59" s="630" t="s">
        <v>298</v>
      </c>
      <c r="B59" s="631"/>
      <c r="C59" s="631"/>
      <c r="D59" s="631"/>
      <c r="E59" s="632"/>
      <c r="F59" s="275"/>
      <c r="G59" s="155">
        <f>SUM(G48:G57)</f>
        <v>507762</v>
      </c>
      <c r="H59" s="178"/>
      <c r="I59" s="416"/>
      <c r="J59" s="273"/>
    </row>
    <row r="60" spans="1:10" ht="15.95" customHeight="1" thickBot="1" x14ac:dyDescent="0.25">
      <c r="A60" s="88"/>
      <c r="B60" s="6"/>
      <c r="E60" s="27"/>
      <c r="F60" s="27"/>
      <c r="G60" s="43"/>
      <c r="H60" s="178"/>
      <c r="I60" s="34"/>
    </row>
    <row r="61" spans="1:10" s="2" customFormat="1" ht="15.95" customHeight="1" x14ac:dyDescent="0.2">
      <c r="A61" s="278" t="s">
        <v>232</v>
      </c>
      <c r="B61" s="280"/>
      <c r="C61" s="414" t="s">
        <v>0</v>
      </c>
      <c r="D61" s="633" t="s">
        <v>233</v>
      </c>
      <c r="E61" s="633"/>
      <c r="F61" s="633"/>
      <c r="G61" s="634"/>
      <c r="H61" s="178"/>
      <c r="I61" s="4"/>
      <c r="J61" s="345"/>
    </row>
    <row r="62" spans="1:10" s="2" customFormat="1" ht="15.95" customHeight="1" x14ac:dyDescent="0.2">
      <c r="A62" s="41" t="s">
        <v>598</v>
      </c>
      <c r="B62" s="434"/>
      <c r="C62" s="435"/>
      <c r="D62" s="436" t="s">
        <v>360</v>
      </c>
      <c r="E62" s="447">
        <v>1250</v>
      </c>
      <c r="F62" s="19"/>
      <c r="G62" s="437"/>
      <c r="H62" s="178"/>
      <c r="I62" s="4"/>
      <c r="J62" s="345"/>
    </row>
    <row r="63" spans="1:10" s="6" customFormat="1" ht="15.95" customHeight="1" thickBot="1" x14ac:dyDescent="0.25">
      <c r="A63" s="635" t="s">
        <v>101</v>
      </c>
      <c r="B63" s="636"/>
      <c r="C63" s="286">
        <v>1</v>
      </c>
      <c r="D63" s="637" t="s">
        <v>294</v>
      </c>
      <c r="E63" s="638"/>
      <c r="F63" s="638"/>
      <c r="G63" s="279"/>
      <c r="H63" s="178"/>
      <c r="I63" s="4"/>
      <c r="J63" s="345"/>
    </row>
    <row r="64" spans="1:10" ht="15.95" customHeight="1" thickBot="1" x14ac:dyDescent="0.25">
      <c r="A64" s="88"/>
      <c r="B64" s="6"/>
      <c r="E64" s="27"/>
      <c r="F64" s="27"/>
      <c r="G64" s="43"/>
      <c r="H64" s="178"/>
    </row>
    <row r="65" spans="1:10" s="2" customFormat="1" ht="15.95" customHeight="1" thickBot="1" x14ac:dyDescent="0.25">
      <c r="A65" s="624" t="s">
        <v>280</v>
      </c>
      <c r="B65" s="625"/>
      <c r="C65" s="625"/>
      <c r="D65" s="625"/>
      <c r="E65" s="625"/>
      <c r="F65" s="625"/>
      <c r="G65" s="625"/>
      <c r="H65" s="626"/>
      <c r="I65" s="4"/>
      <c r="J65" s="345"/>
    </row>
    <row r="66" spans="1:10" ht="15.95" customHeight="1" x14ac:dyDescent="0.2">
      <c r="A66" s="367" t="s">
        <v>24</v>
      </c>
      <c r="B66" s="6"/>
      <c r="E66" s="27"/>
      <c r="F66" s="27"/>
      <c r="G66" s="43"/>
      <c r="H66" s="178"/>
    </row>
    <row r="67" spans="1:10" ht="15.95" customHeight="1" thickBot="1" x14ac:dyDescent="0.25">
      <c r="A67" s="367" t="s">
        <v>518</v>
      </c>
      <c r="B67" s="368"/>
      <c r="E67" s="27"/>
      <c r="F67" s="27"/>
      <c r="G67" s="43"/>
      <c r="H67" s="179"/>
    </row>
    <row r="68" spans="1:10" ht="15.95" customHeight="1" thickBot="1" x14ac:dyDescent="0.25">
      <c r="A68" s="570" t="s">
        <v>27</v>
      </c>
      <c r="B68" s="571"/>
      <c r="C68" s="211" t="s">
        <v>28</v>
      </c>
      <c r="D68" s="211" t="s">
        <v>21</v>
      </c>
      <c r="E68" s="212" t="s">
        <v>94</v>
      </c>
      <c r="F68" s="212" t="s">
        <v>29</v>
      </c>
      <c r="G68" s="213" t="s">
        <v>30</v>
      </c>
      <c r="H68" s="213" t="s">
        <v>272</v>
      </c>
    </row>
    <row r="69" spans="1:10" ht="15.95" customHeight="1" x14ac:dyDescent="0.2">
      <c r="A69" s="586" t="s">
        <v>133</v>
      </c>
      <c r="B69" s="587"/>
      <c r="C69" s="8" t="s">
        <v>5</v>
      </c>
      <c r="D69" s="8">
        <v>1</v>
      </c>
      <c r="E69" s="172">
        <f>G35</f>
        <v>2482.3000000000002</v>
      </c>
      <c r="F69" s="9">
        <f>D69*E69</f>
        <v>2482.3000000000002</v>
      </c>
      <c r="G69" s="121"/>
      <c r="H69" s="180"/>
    </row>
    <row r="70" spans="1:10" s="150" customFormat="1" ht="15.95" customHeight="1" x14ac:dyDescent="0.2">
      <c r="A70" s="611" t="s">
        <v>295</v>
      </c>
      <c r="B70" s="577"/>
      <c r="C70" s="147" t="s">
        <v>5</v>
      </c>
      <c r="D70" s="147"/>
      <c r="E70" s="246">
        <v>1621</v>
      </c>
      <c r="F70" s="148"/>
      <c r="G70" s="149"/>
      <c r="H70" s="190"/>
      <c r="I70" s="4"/>
      <c r="J70" s="296"/>
    </row>
    <row r="71" spans="1:10" s="150" customFormat="1" ht="15.95" customHeight="1" x14ac:dyDescent="0.2">
      <c r="A71" s="540" t="s">
        <v>520</v>
      </c>
      <c r="B71" s="539"/>
      <c r="C71" s="147" t="s">
        <v>521</v>
      </c>
      <c r="D71" s="147">
        <v>8</v>
      </c>
      <c r="E71" s="246">
        <f>F69/220*2</f>
        <v>22.566363636363636</v>
      </c>
      <c r="F71" s="148">
        <f>E71*D71</f>
        <v>180.53090909090909</v>
      </c>
      <c r="G71" s="149"/>
      <c r="H71" s="190"/>
      <c r="I71" s="4"/>
      <c r="J71" s="296"/>
    </row>
    <row r="72" spans="1:10" s="150" customFormat="1" ht="15.95" customHeight="1" x14ac:dyDescent="0.2">
      <c r="A72" s="540" t="s">
        <v>569</v>
      </c>
      <c r="B72" s="539"/>
      <c r="C72" s="147" t="s">
        <v>20</v>
      </c>
      <c r="D72" s="147"/>
      <c r="E72" s="246">
        <f>(64/301*(F71))</f>
        <v>38.385309574146781</v>
      </c>
      <c r="F72" s="148">
        <f>E72</f>
        <v>38.385309574146781</v>
      </c>
      <c r="G72" s="149"/>
      <c r="H72" s="190"/>
      <c r="I72" s="4"/>
      <c r="J72" s="296"/>
    </row>
    <row r="73" spans="1:10" s="150" customFormat="1" ht="15.95" customHeight="1" x14ac:dyDescent="0.2">
      <c r="A73" s="369" t="s">
        <v>284</v>
      </c>
      <c r="B73" s="370"/>
      <c r="C73" s="80"/>
      <c r="D73" s="292">
        <v>2</v>
      </c>
      <c r="E73" s="186"/>
      <c r="F73" s="186"/>
      <c r="G73" s="149"/>
      <c r="H73" s="190"/>
      <c r="I73" s="4"/>
      <c r="J73" s="296"/>
    </row>
    <row r="74" spans="1:10" s="150" customFormat="1" ht="15.95" customHeight="1" x14ac:dyDescent="0.2">
      <c r="A74" s="369" t="s">
        <v>285</v>
      </c>
      <c r="B74" s="370"/>
      <c r="C74" s="80" t="s">
        <v>0</v>
      </c>
      <c r="D74" s="293">
        <v>40</v>
      </c>
      <c r="E74" s="294">
        <f>IF(D73=2,E69,E70)+F71+F72</f>
        <v>2701.2162186650562</v>
      </c>
      <c r="F74" s="186">
        <f>(D74/100)*E74</f>
        <v>1080.4864874660225</v>
      </c>
      <c r="G74" s="149"/>
      <c r="H74" s="190"/>
      <c r="J74" s="296"/>
    </row>
    <row r="75" spans="1:10" ht="15.95" customHeight="1" x14ac:dyDescent="0.2">
      <c r="A75" s="572" t="s">
        <v>1</v>
      </c>
      <c r="B75" s="612"/>
      <c r="C75" s="82"/>
      <c r="D75" s="82"/>
      <c r="E75" s="19"/>
      <c r="F75" s="39">
        <f>SUM(F69:F74)</f>
        <v>3781.7027061310787</v>
      </c>
      <c r="G75" s="122"/>
      <c r="H75" s="178"/>
    </row>
    <row r="76" spans="1:10" ht="15.95" customHeight="1" x14ac:dyDescent="0.2">
      <c r="A76" s="608" t="s">
        <v>2</v>
      </c>
      <c r="B76" s="573"/>
      <c r="C76" s="10" t="s">
        <v>0</v>
      </c>
      <c r="D76" s="44">
        <f>'Enc. Soc. - LR-LP e SN'!C$32*100</f>
        <v>72.22999999999999</v>
      </c>
      <c r="E76" s="11">
        <f>F75</f>
        <v>3781.7027061310787</v>
      </c>
      <c r="F76" s="11">
        <f>E76*D76/100</f>
        <v>2731.5238646384778</v>
      </c>
      <c r="G76" s="122"/>
      <c r="H76" s="178"/>
    </row>
    <row r="77" spans="1:10" ht="15.95" customHeight="1" x14ac:dyDescent="0.2">
      <c r="A77" s="572" t="s">
        <v>328</v>
      </c>
      <c r="B77" s="601"/>
      <c r="C77" s="82"/>
      <c r="D77" s="82"/>
      <c r="E77" s="19"/>
      <c r="F77" s="39">
        <f>F75+F76</f>
        <v>6513.2265707695569</v>
      </c>
      <c r="G77" s="122"/>
      <c r="H77" s="178"/>
    </row>
    <row r="78" spans="1:10" ht="15.95" customHeight="1" x14ac:dyDescent="0.2">
      <c r="A78" s="608" t="s">
        <v>3</v>
      </c>
      <c r="B78" s="573"/>
      <c r="C78" s="10" t="s">
        <v>4</v>
      </c>
      <c r="D78" s="173">
        <f>F35</f>
        <v>1</v>
      </c>
      <c r="E78" s="11">
        <f>F77</f>
        <v>6513.2265707695569</v>
      </c>
      <c r="F78" s="11">
        <f>D78*E78</f>
        <v>6513.2265707695569</v>
      </c>
      <c r="G78" s="122"/>
      <c r="H78" s="178"/>
    </row>
    <row r="79" spans="1:10" ht="15.95" customHeight="1" thickBot="1" x14ac:dyDescent="0.25">
      <c r="A79" s="371"/>
      <c r="B79" s="372"/>
      <c r="E79" s="229" t="s">
        <v>88</v>
      </c>
      <c r="F79" s="182">
        <f>$C$63</f>
        <v>1</v>
      </c>
      <c r="G79" s="214">
        <f>F78*F79</f>
        <v>6513.2265707695569</v>
      </c>
      <c r="H79" s="214">
        <f>G79/G$45</f>
        <v>31.313589282545948</v>
      </c>
    </row>
    <row r="80" spans="1:10" ht="15.95" customHeight="1" x14ac:dyDescent="0.2">
      <c r="A80" s="367" t="s">
        <v>341</v>
      </c>
      <c r="B80" s="368"/>
      <c r="E80" s="27"/>
      <c r="F80" s="27"/>
      <c r="G80" s="43"/>
      <c r="H80" s="178"/>
    </row>
    <row r="81" spans="1:9" ht="15.95" customHeight="1" x14ac:dyDescent="0.2">
      <c r="A81" s="613" t="s">
        <v>2</v>
      </c>
      <c r="B81" s="614"/>
      <c r="C81" s="80" t="s">
        <v>0</v>
      </c>
      <c r="D81" s="44">
        <f>'Enc. Soc. - LR-LP e SN'!C$42*100</f>
        <v>32.817279999999997</v>
      </c>
      <c r="E81" s="11">
        <f>F75</f>
        <v>3781.7027061310787</v>
      </c>
      <c r="F81" s="11">
        <f>E81*D81/100</f>
        <v>1241.0519658386131</v>
      </c>
      <c r="G81" s="43"/>
      <c r="H81" s="178"/>
    </row>
    <row r="82" spans="1:9" ht="15.95" customHeight="1" x14ac:dyDescent="0.2">
      <c r="A82" s="615" t="s">
        <v>328</v>
      </c>
      <c r="B82" s="616"/>
      <c r="C82" s="82"/>
      <c r="D82" s="82"/>
      <c r="E82" s="19"/>
      <c r="F82" s="39">
        <f>E81+F81</f>
        <v>5022.754671969692</v>
      </c>
      <c r="G82" s="43"/>
      <c r="H82" s="178"/>
    </row>
    <row r="83" spans="1:9" ht="15.95" customHeight="1" x14ac:dyDescent="0.2">
      <c r="A83" s="608" t="s">
        <v>3</v>
      </c>
      <c r="B83" s="573"/>
      <c r="C83" s="10" t="s">
        <v>4</v>
      </c>
      <c r="D83" s="10">
        <f>D78</f>
        <v>1</v>
      </c>
      <c r="E83" s="33">
        <f>F82</f>
        <v>5022.754671969692</v>
      </c>
      <c r="F83" s="11">
        <f>D83*E83</f>
        <v>5022.754671969692</v>
      </c>
      <c r="G83" s="43"/>
      <c r="H83" s="178"/>
    </row>
    <row r="84" spans="1:9" ht="15.95" customHeight="1" thickBot="1" x14ac:dyDescent="0.25">
      <c r="A84" s="371"/>
      <c r="B84" s="372"/>
      <c r="E84" s="229" t="s">
        <v>88</v>
      </c>
      <c r="F84" s="182">
        <f>$C$63</f>
        <v>1</v>
      </c>
      <c r="G84" s="214">
        <f>F83*F84</f>
        <v>5022.754671969692</v>
      </c>
      <c r="H84" s="214">
        <f>G84/G$45</f>
        <v>24.147858999854289</v>
      </c>
      <c r="I84" s="34"/>
    </row>
    <row r="85" spans="1:9" ht="15.95" customHeight="1" thickBot="1" x14ac:dyDescent="0.25">
      <c r="A85" s="367" t="s">
        <v>369</v>
      </c>
      <c r="B85" s="368"/>
      <c r="E85" s="27"/>
      <c r="F85" s="27"/>
      <c r="G85" s="43"/>
      <c r="H85" s="179"/>
      <c r="I85" s="34"/>
    </row>
    <row r="86" spans="1:9" ht="15.95" customHeight="1" thickBot="1" x14ac:dyDescent="0.25">
      <c r="A86" s="570" t="s">
        <v>27</v>
      </c>
      <c r="B86" s="571"/>
      <c r="C86" s="211" t="s">
        <v>28</v>
      </c>
      <c r="D86" s="211" t="s">
        <v>21</v>
      </c>
      <c r="E86" s="212" t="s">
        <v>94</v>
      </c>
      <c r="F86" s="212" t="s">
        <v>29</v>
      </c>
      <c r="G86" s="213" t="s">
        <v>30</v>
      </c>
      <c r="H86" s="213" t="s">
        <v>272</v>
      </c>
      <c r="I86" s="34"/>
    </row>
    <row r="87" spans="1:9" ht="15.95" customHeight="1" x14ac:dyDescent="0.2">
      <c r="A87" s="586" t="s">
        <v>133</v>
      </c>
      <c r="B87" s="587"/>
      <c r="C87" s="8" t="s">
        <v>5</v>
      </c>
      <c r="D87" s="8">
        <v>1</v>
      </c>
      <c r="E87" s="172">
        <f>G36</f>
        <v>1765.86</v>
      </c>
      <c r="F87" s="9">
        <f>D87*E87</f>
        <v>1765.86</v>
      </c>
      <c r="G87" s="121"/>
      <c r="H87" s="180"/>
      <c r="I87" s="34"/>
    </row>
    <row r="88" spans="1:9" ht="15.95" customHeight="1" x14ac:dyDescent="0.2">
      <c r="A88" s="611" t="s">
        <v>295</v>
      </c>
      <c r="B88" s="577"/>
      <c r="C88" s="147" t="s">
        <v>5</v>
      </c>
      <c r="D88" s="147"/>
      <c r="E88" s="246">
        <v>1621</v>
      </c>
      <c r="F88" s="148"/>
      <c r="G88" s="149"/>
      <c r="H88" s="190"/>
      <c r="I88" s="34"/>
    </row>
    <row r="89" spans="1:9" ht="15.95" customHeight="1" x14ac:dyDescent="0.2">
      <c r="A89" s="540" t="s">
        <v>520</v>
      </c>
      <c r="B89" s="539"/>
      <c r="C89" s="147" t="s">
        <v>521</v>
      </c>
      <c r="D89" s="147">
        <v>8</v>
      </c>
      <c r="E89" s="246">
        <f>E87/220*2</f>
        <v>16.053272727272727</v>
      </c>
      <c r="F89" s="148">
        <f>E89*D89</f>
        <v>128.42618181818182</v>
      </c>
      <c r="G89" s="149"/>
      <c r="H89" s="190"/>
      <c r="I89" s="34"/>
    </row>
    <row r="90" spans="1:9" ht="15.95" customHeight="1" x14ac:dyDescent="0.2">
      <c r="A90" s="540" t="s">
        <v>569</v>
      </c>
      <c r="B90" s="539"/>
      <c r="C90" s="147" t="s">
        <v>20</v>
      </c>
      <c r="D90" s="147"/>
      <c r="E90" s="246">
        <f>(64/301*(F89))</f>
        <v>27.306563575958926</v>
      </c>
      <c r="F90" s="148">
        <f>E90</f>
        <v>27.306563575958926</v>
      </c>
      <c r="G90" s="149"/>
      <c r="H90" s="190"/>
      <c r="I90" s="34"/>
    </row>
    <row r="91" spans="1:9" ht="15.95" customHeight="1" x14ac:dyDescent="0.2">
      <c r="A91" s="369" t="s">
        <v>284</v>
      </c>
      <c r="B91" s="370"/>
      <c r="C91" s="80"/>
      <c r="D91" s="292">
        <v>2</v>
      </c>
      <c r="E91" s="186"/>
      <c r="F91" s="186"/>
      <c r="G91" s="149"/>
      <c r="H91" s="190"/>
      <c r="I91" s="34"/>
    </row>
    <row r="92" spans="1:9" ht="15.95" customHeight="1" x14ac:dyDescent="0.2">
      <c r="A92" s="369" t="s">
        <v>285</v>
      </c>
      <c r="B92" s="370"/>
      <c r="C92" s="80" t="s">
        <v>0</v>
      </c>
      <c r="D92" s="293">
        <v>40</v>
      </c>
      <c r="E92" s="294">
        <f>IF(D91=2,E87,E88)+F89+F90</f>
        <v>1921.5927453941408</v>
      </c>
      <c r="F92" s="186">
        <f>(D92/100)*E92</f>
        <v>768.6370981576564</v>
      </c>
      <c r="G92" s="149"/>
      <c r="H92" s="190"/>
      <c r="I92" s="34"/>
    </row>
    <row r="93" spans="1:9" ht="15.95" customHeight="1" x14ac:dyDescent="0.2">
      <c r="A93" s="572" t="s">
        <v>1</v>
      </c>
      <c r="B93" s="612"/>
      <c r="C93" s="82"/>
      <c r="D93" s="82"/>
      <c r="E93" s="19"/>
      <c r="F93" s="39">
        <f>SUM(F87:F92)</f>
        <v>2690.2298435517973</v>
      </c>
      <c r="G93" s="122"/>
      <c r="H93" s="178"/>
      <c r="I93" s="34"/>
    </row>
    <row r="94" spans="1:9" ht="15.95" customHeight="1" x14ac:dyDescent="0.2">
      <c r="A94" s="608" t="s">
        <v>2</v>
      </c>
      <c r="B94" s="573"/>
      <c r="C94" s="10" t="s">
        <v>0</v>
      </c>
      <c r="D94" s="44">
        <f>'Enc. Soc. - LR-LP e SN'!C$32*100</f>
        <v>72.22999999999999</v>
      </c>
      <c r="E94" s="11">
        <f>F93</f>
        <v>2690.2298435517973</v>
      </c>
      <c r="F94" s="11">
        <f>E94*D94/100</f>
        <v>1943.1530159974632</v>
      </c>
      <c r="G94" s="122"/>
      <c r="H94" s="178"/>
      <c r="I94" s="34"/>
    </row>
    <row r="95" spans="1:9" ht="15.95" customHeight="1" x14ac:dyDescent="0.2">
      <c r="A95" s="572" t="s">
        <v>530</v>
      </c>
      <c r="B95" s="601"/>
      <c r="C95" s="82"/>
      <c r="D95" s="82"/>
      <c r="E95" s="19"/>
      <c r="F95" s="39">
        <f>F93+F94</f>
        <v>4633.3828595492605</v>
      </c>
      <c r="G95" s="122"/>
      <c r="H95" s="178"/>
      <c r="I95" s="34"/>
    </row>
    <row r="96" spans="1:9" ht="15.95" customHeight="1" x14ac:dyDescent="0.2">
      <c r="A96" s="608" t="s">
        <v>3</v>
      </c>
      <c r="B96" s="573"/>
      <c r="C96" s="10" t="s">
        <v>4</v>
      </c>
      <c r="D96" s="173">
        <f>F36</f>
        <v>2</v>
      </c>
      <c r="E96" s="11">
        <f>F95</f>
        <v>4633.3828595492605</v>
      </c>
      <c r="F96" s="11">
        <f>D96*E96</f>
        <v>9266.765719098521</v>
      </c>
      <c r="G96" s="122"/>
      <c r="H96" s="178"/>
      <c r="I96" s="34"/>
    </row>
    <row r="97" spans="1:9" ht="15.95" customHeight="1" thickBot="1" x14ac:dyDescent="0.25">
      <c r="A97" s="371"/>
      <c r="B97" s="372"/>
      <c r="E97" s="229" t="s">
        <v>88</v>
      </c>
      <c r="F97" s="182">
        <f>$C$63</f>
        <v>1</v>
      </c>
      <c r="G97" s="214">
        <f>F96*F97</f>
        <v>9266.765719098521</v>
      </c>
      <c r="H97" s="214">
        <f>G97/G$45</f>
        <v>44.551758264896733</v>
      </c>
      <c r="I97" s="34"/>
    </row>
    <row r="98" spans="1:9" ht="15.95" customHeight="1" x14ac:dyDescent="0.2">
      <c r="A98" s="367" t="s">
        <v>388</v>
      </c>
      <c r="B98" s="368"/>
      <c r="E98" s="27"/>
      <c r="F98" s="27"/>
      <c r="G98" s="43"/>
      <c r="H98" s="178"/>
      <c r="I98" s="34"/>
    </row>
    <row r="99" spans="1:9" ht="15.95" customHeight="1" x14ac:dyDescent="0.2">
      <c r="A99" s="613" t="s">
        <v>2</v>
      </c>
      <c r="B99" s="614"/>
      <c r="C99" s="80" t="s">
        <v>0</v>
      </c>
      <c r="D99" s="44">
        <f>'Enc. Soc. - LR-LP e SN'!C$42*100</f>
        <v>32.817279999999997</v>
      </c>
      <c r="E99" s="11">
        <f>F93</f>
        <v>2690.2298435517973</v>
      </c>
      <c r="F99" s="11">
        <f>E99*D99/100</f>
        <v>882.8602604019552</v>
      </c>
      <c r="G99" s="43"/>
      <c r="H99" s="178"/>
      <c r="I99" s="34"/>
    </row>
    <row r="100" spans="1:9" ht="15.95" customHeight="1" x14ac:dyDescent="0.2">
      <c r="A100" s="615" t="s">
        <v>530</v>
      </c>
      <c r="B100" s="616"/>
      <c r="C100" s="82"/>
      <c r="D100" s="82"/>
      <c r="E100" s="19"/>
      <c r="F100" s="39">
        <f>E99+F99</f>
        <v>3573.0901039537525</v>
      </c>
      <c r="G100" s="43"/>
      <c r="H100" s="178"/>
      <c r="I100" s="34"/>
    </row>
    <row r="101" spans="1:9" ht="15.95" customHeight="1" x14ac:dyDescent="0.2">
      <c r="A101" s="608" t="s">
        <v>3</v>
      </c>
      <c r="B101" s="573"/>
      <c r="C101" s="10" t="s">
        <v>4</v>
      </c>
      <c r="D101" s="10">
        <f>D96</f>
        <v>2</v>
      </c>
      <c r="E101" s="33">
        <f>F100</f>
        <v>3573.0901039537525</v>
      </c>
      <c r="F101" s="11">
        <f>D101*E101</f>
        <v>7146.1802079075051</v>
      </c>
      <c r="G101" s="43"/>
      <c r="H101" s="178"/>
      <c r="I101" s="34"/>
    </row>
    <row r="102" spans="1:9" ht="15.95" customHeight="1" thickBot="1" x14ac:dyDescent="0.25">
      <c r="A102" s="371"/>
      <c r="B102" s="372"/>
      <c r="E102" s="229" t="s">
        <v>88</v>
      </c>
      <c r="F102" s="182">
        <f>$C$63</f>
        <v>1</v>
      </c>
      <c r="G102" s="214">
        <f>F101*F102</f>
        <v>7146.1802079075051</v>
      </c>
      <c r="H102" s="214">
        <f>G102/G$45</f>
        <v>34.356635614939925</v>
      </c>
      <c r="I102" s="34"/>
    </row>
    <row r="103" spans="1:9" ht="15.95" customHeight="1" x14ac:dyDescent="0.2">
      <c r="A103" s="371"/>
      <c r="B103" s="372"/>
      <c r="E103" s="229"/>
      <c r="F103" s="448"/>
      <c r="G103" s="43"/>
      <c r="H103" s="43"/>
      <c r="I103" s="34"/>
    </row>
    <row r="104" spans="1:9" ht="15.95" customHeight="1" thickBot="1" x14ac:dyDescent="0.25">
      <c r="A104" s="449" t="s">
        <v>524</v>
      </c>
      <c r="B104" s="6"/>
      <c r="C104" s="150"/>
      <c r="D104" s="150"/>
      <c r="E104" s="274"/>
      <c r="F104" s="274"/>
      <c r="G104" s="43"/>
      <c r="H104" s="43"/>
      <c r="I104" s="34"/>
    </row>
    <row r="105" spans="1:9" ht="15.95" customHeight="1" thickBot="1" x14ac:dyDescent="0.25">
      <c r="A105" s="578" t="s">
        <v>27</v>
      </c>
      <c r="B105" s="599"/>
      <c r="C105" s="211" t="s">
        <v>28</v>
      </c>
      <c r="D105" s="211" t="s">
        <v>21</v>
      </c>
      <c r="E105" s="212" t="s">
        <v>94</v>
      </c>
      <c r="F105" s="212" t="s">
        <v>29</v>
      </c>
      <c r="G105" s="213" t="s">
        <v>30</v>
      </c>
      <c r="H105" s="213" t="s">
        <v>272</v>
      </c>
      <c r="I105" s="34"/>
    </row>
    <row r="106" spans="1:9" ht="15.95" customHeight="1" x14ac:dyDescent="0.2">
      <c r="A106" s="595" t="s">
        <v>133</v>
      </c>
      <c r="B106" s="596"/>
      <c r="C106" s="147" t="s">
        <v>5</v>
      </c>
      <c r="D106" s="147">
        <v>1</v>
      </c>
      <c r="E106" s="450">
        <f>G37</f>
        <v>1667.6</v>
      </c>
      <c r="F106" s="148">
        <f>D106*E106</f>
        <v>1667.6</v>
      </c>
      <c r="G106" s="451" t="s">
        <v>370</v>
      </c>
      <c r="H106" s="178"/>
      <c r="I106" s="34"/>
    </row>
    <row r="107" spans="1:9" ht="15.95" customHeight="1" x14ac:dyDescent="0.2">
      <c r="A107" s="619" t="s">
        <v>371</v>
      </c>
      <c r="B107" s="620"/>
      <c r="C107" s="80" t="s">
        <v>301</v>
      </c>
      <c r="D107" s="452"/>
      <c r="E107" s="186">
        <f>E106/220*2</f>
        <v>15.159999999999998</v>
      </c>
      <c r="F107" s="186">
        <f>D107*E107</f>
        <v>0</v>
      </c>
      <c r="G107" s="149"/>
      <c r="H107" s="178"/>
      <c r="I107" s="34"/>
    </row>
    <row r="108" spans="1:9" ht="15.95" customHeight="1" x14ac:dyDescent="0.2">
      <c r="A108" s="617" t="s">
        <v>372</v>
      </c>
      <c r="B108" s="618"/>
      <c r="C108" s="80" t="s">
        <v>301</v>
      </c>
      <c r="D108" s="452">
        <v>2.5</v>
      </c>
      <c r="E108" s="294">
        <f>E106/220*1.5</f>
        <v>11.37</v>
      </c>
      <c r="F108" s="186">
        <f>D108*E108</f>
        <v>28.424999999999997</v>
      </c>
      <c r="G108" s="149"/>
      <c r="H108" s="178"/>
      <c r="I108" s="34"/>
    </row>
    <row r="109" spans="1:9" ht="15.95" customHeight="1" x14ac:dyDescent="0.2">
      <c r="A109" s="617" t="s">
        <v>373</v>
      </c>
      <c r="B109" s="618"/>
      <c r="C109" s="80" t="s">
        <v>301</v>
      </c>
      <c r="D109" s="452">
        <v>27.5</v>
      </c>
      <c r="E109" s="294">
        <f>(E106/220)*0.3</f>
        <v>2.2739999999999996</v>
      </c>
      <c r="F109" s="186">
        <f>E109*D109</f>
        <v>62.534999999999989</v>
      </c>
      <c r="G109" s="149"/>
      <c r="H109" s="178"/>
      <c r="I109" s="34"/>
    </row>
    <row r="110" spans="1:9" ht="15.95" customHeight="1" x14ac:dyDescent="0.2">
      <c r="A110" s="621" t="s">
        <v>374</v>
      </c>
      <c r="B110" s="622"/>
      <c r="C110" s="80" t="s">
        <v>375</v>
      </c>
      <c r="D110" s="452">
        <f>10*15/60</f>
        <v>2.5</v>
      </c>
      <c r="E110" s="294">
        <f>E106/220/6</f>
        <v>1.2633333333333332</v>
      </c>
      <c r="F110" s="186">
        <f>E110*D110</f>
        <v>3.1583333333333332</v>
      </c>
      <c r="G110" s="149"/>
      <c r="H110" s="178"/>
      <c r="I110" s="34"/>
    </row>
    <row r="111" spans="1:9" ht="15.95" customHeight="1" x14ac:dyDescent="0.2">
      <c r="A111" s="617" t="s">
        <v>376</v>
      </c>
      <c r="B111" s="618"/>
      <c r="C111" s="80" t="s">
        <v>0</v>
      </c>
      <c r="D111" s="452">
        <v>30</v>
      </c>
      <c r="E111" s="294">
        <f>SUM(F106:F110)</f>
        <v>1761.7183333333332</v>
      </c>
      <c r="F111" s="186">
        <f>D111*E111/100</f>
        <v>528.51549999999997</v>
      </c>
      <c r="G111" s="149"/>
      <c r="H111" s="178"/>
      <c r="I111" s="34"/>
    </row>
    <row r="112" spans="1:9" ht="15.95" customHeight="1" x14ac:dyDescent="0.2">
      <c r="A112" s="594" t="s">
        <v>1</v>
      </c>
      <c r="B112" s="623"/>
      <c r="C112" s="82"/>
      <c r="D112" s="82"/>
      <c r="E112" s="19"/>
      <c r="F112" s="38">
        <f>SUM(F106:F111)</f>
        <v>2290.2338333333332</v>
      </c>
      <c r="G112" s="123"/>
      <c r="H112" s="178"/>
      <c r="I112" s="34"/>
    </row>
    <row r="113" spans="1:9" ht="15.95" customHeight="1" x14ac:dyDescent="0.2">
      <c r="A113" s="580" t="s">
        <v>377</v>
      </c>
      <c r="B113" s="581"/>
      <c r="C113" s="80" t="s">
        <v>0</v>
      </c>
      <c r="D113" s="453">
        <v>86.8</v>
      </c>
      <c r="E113" s="186">
        <f>F112</f>
        <v>2290.2338333333332</v>
      </c>
      <c r="F113" s="186">
        <f>E113*D113/100</f>
        <v>1987.9229673333332</v>
      </c>
      <c r="G113" s="342"/>
      <c r="H113" s="178"/>
      <c r="I113" s="34"/>
    </row>
    <row r="114" spans="1:9" ht="15.95" customHeight="1" x14ac:dyDescent="0.2">
      <c r="A114" s="621" t="s">
        <v>378</v>
      </c>
      <c r="B114" s="622"/>
      <c r="C114" s="454" t="s">
        <v>301</v>
      </c>
      <c r="D114" s="455">
        <f>(30*0.5)/2</f>
        <v>7.5</v>
      </c>
      <c r="E114" s="456">
        <f>(E106/220)*1.5</f>
        <v>11.37</v>
      </c>
      <c r="F114" s="186">
        <f>D114*E114</f>
        <v>85.274999999999991</v>
      </c>
      <c r="G114" s="149"/>
      <c r="H114" s="178"/>
      <c r="I114" s="34"/>
    </row>
    <row r="115" spans="1:9" ht="15.95" customHeight="1" x14ac:dyDescent="0.2">
      <c r="A115" s="621" t="s">
        <v>379</v>
      </c>
      <c r="B115" s="668"/>
      <c r="C115" s="454" t="s">
        <v>28</v>
      </c>
      <c r="D115" s="457">
        <v>1</v>
      </c>
      <c r="E115" s="456">
        <v>62.5</v>
      </c>
      <c r="F115" s="186">
        <f>D115*E115</f>
        <v>62.5</v>
      </c>
      <c r="G115" s="149"/>
      <c r="H115" s="178"/>
      <c r="I115" s="34"/>
    </row>
    <row r="116" spans="1:9" ht="15.95" customHeight="1" thickBot="1" x14ac:dyDescent="0.25">
      <c r="A116" s="594" t="s">
        <v>527</v>
      </c>
      <c r="B116" s="623"/>
      <c r="C116" s="72"/>
      <c r="D116" s="72"/>
      <c r="E116" s="73"/>
      <c r="F116" s="38">
        <f>SUM(F112:F115)</f>
        <v>4425.9318006666663</v>
      </c>
      <c r="G116" s="123"/>
      <c r="H116" s="178"/>
      <c r="I116" s="34"/>
    </row>
    <row r="117" spans="1:9" ht="15.95" customHeight="1" thickBot="1" x14ac:dyDescent="0.25">
      <c r="A117" s="580" t="s">
        <v>3</v>
      </c>
      <c r="B117" s="581"/>
      <c r="C117" s="80" t="s">
        <v>380</v>
      </c>
      <c r="D117" s="458">
        <v>2</v>
      </c>
      <c r="E117" s="186">
        <f>F116</f>
        <v>4425.9318006666663</v>
      </c>
      <c r="F117" s="186">
        <f>D117*E117</f>
        <v>8851.8636013333326</v>
      </c>
      <c r="G117" s="219">
        <f>F117</f>
        <v>8851.8636013333326</v>
      </c>
      <c r="H117" s="214">
        <f>G117/G$45</f>
        <v>42.557036544871792</v>
      </c>
      <c r="I117" s="34"/>
    </row>
    <row r="118" spans="1:9" ht="15.95" customHeight="1" x14ac:dyDescent="0.2">
      <c r="A118" s="459"/>
      <c r="B118" s="150"/>
      <c r="C118" s="150"/>
      <c r="D118" s="150"/>
      <c r="E118" s="274"/>
      <c r="F118" s="274"/>
      <c r="G118" s="460"/>
      <c r="H118" s="178"/>
      <c r="I118" s="34"/>
    </row>
    <row r="119" spans="1:9" ht="15.95" customHeight="1" x14ac:dyDescent="0.2">
      <c r="A119" s="449" t="s">
        <v>525</v>
      </c>
      <c r="B119" s="6"/>
      <c r="C119" s="150"/>
      <c r="D119" s="150"/>
      <c r="E119" s="274"/>
      <c r="F119" s="274"/>
      <c r="G119" s="149"/>
      <c r="H119" s="178"/>
      <c r="I119" s="34"/>
    </row>
    <row r="120" spans="1:9" ht="15.95" customHeight="1" x14ac:dyDescent="0.2">
      <c r="A120" s="669" t="s">
        <v>381</v>
      </c>
      <c r="B120" s="581"/>
      <c r="C120" s="80" t="s">
        <v>0</v>
      </c>
      <c r="D120" s="461" t="s">
        <v>382</v>
      </c>
      <c r="E120" s="186">
        <f>F112</f>
        <v>2290.2338333333332</v>
      </c>
      <c r="F120" s="186">
        <f>E120*D120/100</f>
        <v>1702.3308083166664</v>
      </c>
      <c r="G120" s="149"/>
      <c r="H120" s="178"/>
      <c r="I120" s="34"/>
    </row>
    <row r="121" spans="1:9" ht="15.95" customHeight="1" x14ac:dyDescent="0.2">
      <c r="A121" s="621" t="s">
        <v>383</v>
      </c>
      <c r="B121" s="622"/>
      <c r="C121" s="454" t="str">
        <f>C114</f>
        <v>hora</v>
      </c>
      <c r="D121" s="457">
        <f>D114</f>
        <v>7.5</v>
      </c>
      <c r="E121" s="462">
        <f>E114</f>
        <v>11.37</v>
      </c>
      <c r="F121" s="186">
        <f>D121*E121</f>
        <v>85.274999999999991</v>
      </c>
      <c r="G121" s="149"/>
      <c r="H121" s="178"/>
      <c r="I121" s="34"/>
    </row>
    <row r="122" spans="1:9" ht="15.95" customHeight="1" x14ac:dyDescent="0.2">
      <c r="A122" s="621" t="s">
        <v>379</v>
      </c>
      <c r="B122" s="668"/>
      <c r="C122" s="454" t="s">
        <v>28</v>
      </c>
      <c r="D122" s="457">
        <v>1</v>
      </c>
      <c r="E122" s="456">
        <v>62.5</v>
      </c>
      <c r="F122" s="186">
        <f>D122*E122</f>
        <v>62.5</v>
      </c>
      <c r="G122" s="149"/>
      <c r="H122" s="178"/>
      <c r="I122" s="34"/>
    </row>
    <row r="123" spans="1:9" ht="15.95" customHeight="1" thickBot="1" x14ac:dyDescent="0.25">
      <c r="A123" s="594" t="s">
        <v>527</v>
      </c>
      <c r="B123" s="623"/>
      <c r="C123" s="82"/>
      <c r="D123" s="82"/>
      <c r="E123" s="19"/>
      <c r="F123" s="39">
        <f>SUM(F120:F122)+E120</f>
        <v>4140.33964165</v>
      </c>
      <c r="G123" s="149"/>
      <c r="H123" s="178"/>
      <c r="I123" s="34"/>
    </row>
    <row r="124" spans="1:9" ht="15.95" customHeight="1" thickBot="1" x14ac:dyDescent="0.25">
      <c r="A124" s="580" t="s">
        <v>3</v>
      </c>
      <c r="B124" s="581"/>
      <c r="C124" s="80" t="s">
        <v>380</v>
      </c>
      <c r="D124" s="458">
        <v>2</v>
      </c>
      <c r="E124" s="186">
        <f>F123</f>
        <v>4140.33964165</v>
      </c>
      <c r="F124" s="186">
        <f>D124*E124</f>
        <v>8280.6792833</v>
      </c>
      <c r="G124" s="219">
        <f>F124</f>
        <v>8280.6792833</v>
      </c>
      <c r="H124" s="214">
        <f>G124/G$45</f>
        <v>39.810958092788461</v>
      </c>
      <c r="I124" s="34"/>
    </row>
    <row r="125" spans="1:9" ht="15.95" customHeight="1" x14ac:dyDescent="0.2">
      <c r="A125" s="88"/>
      <c r="B125" s="6"/>
      <c r="C125" s="150"/>
      <c r="D125" s="150"/>
      <c r="E125" s="274"/>
      <c r="F125" s="274"/>
      <c r="G125" s="149"/>
      <c r="H125" s="178"/>
      <c r="I125" s="34"/>
    </row>
    <row r="126" spans="1:9" ht="15.95" customHeight="1" thickBot="1" x14ac:dyDescent="0.25">
      <c r="A126" s="449" t="s">
        <v>526</v>
      </c>
      <c r="B126" s="6"/>
      <c r="C126" s="150"/>
      <c r="D126" s="150"/>
      <c r="E126" s="274"/>
      <c r="F126" s="274"/>
      <c r="G126" s="149"/>
      <c r="H126" s="178"/>
      <c r="I126" s="34"/>
    </row>
    <row r="127" spans="1:9" ht="15.95" customHeight="1" thickBot="1" x14ac:dyDescent="0.25">
      <c r="A127" s="578" t="s">
        <v>27</v>
      </c>
      <c r="B127" s="599"/>
      <c r="C127" s="211" t="s">
        <v>28</v>
      </c>
      <c r="D127" s="211" t="s">
        <v>21</v>
      </c>
      <c r="E127" s="212" t="s">
        <v>94</v>
      </c>
      <c r="F127" s="212" t="s">
        <v>29</v>
      </c>
      <c r="G127" s="213" t="s">
        <v>30</v>
      </c>
      <c r="H127" s="213" t="s">
        <v>272</v>
      </c>
      <c r="I127" s="34"/>
    </row>
    <row r="128" spans="1:9" ht="15.95" customHeight="1" x14ac:dyDescent="0.2">
      <c r="A128" s="595" t="s">
        <v>133</v>
      </c>
      <c r="B128" s="596"/>
      <c r="C128" s="147" t="s">
        <v>5</v>
      </c>
      <c r="D128" s="147">
        <v>1</v>
      </c>
      <c r="E128" s="450">
        <f>G37</f>
        <v>1667.6</v>
      </c>
      <c r="F128" s="148">
        <f>D128*E128</f>
        <v>1667.6</v>
      </c>
      <c r="G128" s="451" t="s">
        <v>370</v>
      </c>
      <c r="H128" s="178"/>
      <c r="I128" s="34"/>
    </row>
    <row r="129" spans="1:9" ht="15.95" customHeight="1" x14ac:dyDescent="0.2">
      <c r="A129" s="619" t="s">
        <v>371</v>
      </c>
      <c r="B129" s="620"/>
      <c r="C129" s="80" t="s">
        <v>301</v>
      </c>
      <c r="D129" s="452"/>
      <c r="E129" s="186">
        <f>E128/220*2</f>
        <v>15.159999999999998</v>
      </c>
      <c r="F129" s="186">
        <f>D129*E129</f>
        <v>0</v>
      </c>
      <c r="G129" s="149"/>
      <c r="H129" s="178"/>
    </row>
    <row r="130" spans="1:9" ht="15.95" customHeight="1" x14ac:dyDescent="0.2">
      <c r="A130" s="617" t="s">
        <v>372</v>
      </c>
      <c r="B130" s="618"/>
      <c r="C130" s="80" t="s">
        <v>301</v>
      </c>
      <c r="D130" s="452">
        <v>2.5</v>
      </c>
      <c r="E130" s="294">
        <f>E128/220*1.5</f>
        <v>11.37</v>
      </c>
      <c r="F130" s="186">
        <f>D130*E130</f>
        <v>28.424999999999997</v>
      </c>
      <c r="G130" s="149"/>
      <c r="H130" s="178"/>
    </row>
    <row r="131" spans="1:9" ht="15.95" customHeight="1" x14ac:dyDescent="0.2">
      <c r="A131" s="617" t="s">
        <v>373</v>
      </c>
      <c r="B131" s="618"/>
      <c r="C131" s="80" t="s">
        <v>301</v>
      </c>
      <c r="D131" s="452">
        <v>27.5</v>
      </c>
      <c r="E131" s="294">
        <f>(F128/220)*0.3</f>
        <v>2.2739999999999996</v>
      </c>
      <c r="F131" s="186">
        <f>E131*D131</f>
        <v>62.534999999999989</v>
      </c>
      <c r="G131" s="149"/>
      <c r="H131" s="178"/>
      <c r="I131" s="150"/>
    </row>
    <row r="132" spans="1:9" ht="23.25" customHeight="1" x14ac:dyDescent="0.2">
      <c r="A132" s="617" t="s">
        <v>384</v>
      </c>
      <c r="B132" s="618"/>
      <c r="C132" s="80" t="s">
        <v>0</v>
      </c>
      <c r="D132" s="452">
        <v>20</v>
      </c>
      <c r="E132" s="294">
        <f>E128/220*D132/100</f>
        <v>1.516</v>
      </c>
      <c r="F132" s="186">
        <f>(8*E132)*15</f>
        <v>181.92000000000002</v>
      </c>
      <c r="G132" s="149"/>
      <c r="H132" s="178"/>
    </row>
    <row r="133" spans="1:9" ht="15.95" customHeight="1" x14ac:dyDescent="0.2">
      <c r="A133" s="617" t="s">
        <v>385</v>
      </c>
      <c r="B133" s="618"/>
      <c r="C133" s="80" t="s">
        <v>0</v>
      </c>
      <c r="D133" s="452">
        <v>13</v>
      </c>
      <c r="E133" s="294">
        <f>(E128/220)*D133/100</f>
        <v>0.98539999999999994</v>
      </c>
      <c r="F133" s="186">
        <f>(7*E133)*15</f>
        <v>103.46699999999998</v>
      </c>
      <c r="G133" s="149"/>
      <c r="H133" s="178"/>
    </row>
    <row r="134" spans="1:9" ht="15.95" customHeight="1" x14ac:dyDescent="0.2">
      <c r="A134" s="621" t="s">
        <v>386</v>
      </c>
      <c r="B134" s="622"/>
      <c r="C134" s="80" t="s">
        <v>387</v>
      </c>
      <c r="D134" s="452">
        <f>10*15/60</f>
        <v>2.5</v>
      </c>
      <c r="E134" s="294">
        <f>E128/220/6</f>
        <v>1.2633333333333332</v>
      </c>
      <c r="F134" s="186">
        <f>E134*D134</f>
        <v>3.1583333333333332</v>
      </c>
      <c r="G134" s="149"/>
      <c r="H134" s="178"/>
    </row>
    <row r="135" spans="1:9" ht="15.95" customHeight="1" x14ac:dyDescent="0.2">
      <c r="A135" s="617" t="s">
        <v>376</v>
      </c>
      <c r="B135" s="618"/>
      <c r="C135" s="80" t="s">
        <v>0</v>
      </c>
      <c r="D135" s="452">
        <v>30</v>
      </c>
      <c r="E135" s="294">
        <f>SUM(F128:F134)</f>
        <v>2047.1053333333334</v>
      </c>
      <c r="F135" s="186">
        <f>D135*E135/100</f>
        <v>614.13160000000005</v>
      </c>
      <c r="G135" s="149"/>
      <c r="H135" s="178">
        <f>G135/G$45</f>
        <v>0</v>
      </c>
    </row>
    <row r="136" spans="1:9" ht="15.95" customHeight="1" x14ac:dyDescent="0.2">
      <c r="A136" s="594" t="s">
        <v>1</v>
      </c>
      <c r="B136" s="623"/>
      <c r="C136" s="82"/>
      <c r="D136" s="82"/>
      <c r="E136" s="19"/>
      <c r="F136" s="38">
        <f>SUM(F128:F135)</f>
        <v>2661.2369333333336</v>
      </c>
      <c r="G136" s="123"/>
      <c r="H136" s="178"/>
    </row>
    <row r="137" spans="1:9" ht="15.95" customHeight="1" x14ac:dyDescent="0.2">
      <c r="A137" s="580" t="s">
        <v>377</v>
      </c>
      <c r="B137" s="581"/>
      <c r="C137" s="80" t="s">
        <v>0</v>
      </c>
      <c r="D137" s="453">
        <v>86.8</v>
      </c>
      <c r="E137" s="186">
        <f>F136</f>
        <v>2661.2369333333336</v>
      </c>
      <c r="F137" s="186">
        <f>E137*D137/100</f>
        <v>2309.9536581333332</v>
      </c>
      <c r="G137" s="342"/>
      <c r="H137" s="178"/>
    </row>
    <row r="138" spans="1:9" ht="15.95" customHeight="1" x14ac:dyDescent="0.2">
      <c r="A138" s="621" t="s">
        <v>383</v>
      </c>
      <c r="B138" s="622"/>
      <c r="C138" s="454" t="s">
        <v>301</v>
      </c>
      <c r="D138" s="455">
        <f>(30*0.5)/2</f>
        <v>7.5</v>
      </c>
      <c r="E138" s="456">
        <f>(E128/220)*1.5</f>
        <v>11.37</v>
      </c>
      <c r="F138" s="186">
        <f>D138*E138</f>
        <v>85.274999999999991</v>
      </c>
      <c r="G138" s="149"/>
      <c r="H138" s="178"/>
      <c r="I138" s="150"/>
    </row>
    <row r="139" spans="1:9" ht="15.95" customHeight="1" x14ac:dyDescent="0.2">
      <c r="A139" s="621" t="s">
        <v>379</v>
      </c>
      <c r="B139" s="668"/>
      <c r="C139" s="454" t="s">
        <v>28</v>
      </c>
      <c r="D139" s="457">
        <v>1</v>
      </c>
      <c r="E139" s="456">
        <v>62.5</v>
      </c>
      <c r="F139" s="186">
        <f>D139*E139</f>
        <v>62.5</v>
      </c>
      <c r="G139" s="149"/>
      <c r="H139" s="178"/>
    </row>
    <row r="140" spans="1:9" ht="15.95" customHeight="1" thickBot="1" x14ac:dyDescent="0.25">
      <c r="A140" s="594" t="s">
        <v>527</v>
      </c>
      <c r="B140" s="623"/>
      <c r="C140" s="72"/>
      <c r="D140" s="72"/>
      <c r="E140" s="73"/>
      <c r="F140" s="38">
        <f>SUM(F136:F139)</f>
        <v>5118.9655914666664</v>
      </c>
      <c r="G140" s="123"/>
      <c r="H140" s="277"/>
    </row>
    <row r="141" spans="1:9" ht="15.95" customHeight="1" thickBot="1" x14ac:dyDescent="0.25">
      <c r="A141" s="580" t="s">
        <v>3</v>
      </c>
      <c r="B141" s="581"/>
      <c r="C141" s="80" t="s">
        <v>380</v>
      </c>
      <c r="D141" s="458">
        <v>2</v>
      </c>
      <c r="E141" s="186">
        <f>F140</f>
        <v>5118.9655914666664</v>
      </c>
      <c r="F141" s="186">
        <f>D141*E141</f>
        <v>10237.931182933333</v>
      </c>
      <c r="G141" s="219">
        <f>F141</f>
        <v>10237.931182933333</v>
      </c>
      <c r="H141" s="214">
        <f>G141/G$45</f>
        <v>49.220822994871796</v>
      </c>
    </row>
    <row r="142" spans="1:9" ht="15.95" customHeight="1" x14ac:dyDescent="0.2">
      <c r="A142" s="459"/>
      <c r="B142" s="150"/>
      <c r="C142" s="150"/>
      <c r="D142" s="150"/>
      <c r="E142" s="274"/>
      <c r="F142" s="274"/>
      <c r="G142" s="460"/>
      <c r="H142" s="178"/>
    </row>
    <row r="143" spans="1:9" ht="15.95" customHeight="1" x14ac:dyDescent="0.2">
      <c r="A143" s="449" t="s">
        <v>528</v>
      </c>
      <c r="B143" s="6"/>
      <c r="C143" s="150"/>
      <c r="D143" s="150"/>
      <c r="E143" s="274"/>
      <c r="F143" s="274"/>
      <c r="G143" s="149"/>
      <c r="H143" s="178"/>
    </row>
    <row r="144" spans="1:9" ht="15.95" customHeight="1" x14ac:dyDescent="0.2">
      <c r="A144" s="669" t="s">
        <v>381</v>
      </c>
      <c r="B144" s="581"/>
      <c r="C144" s="80" t="s">
        <v>0</v>
      </c>
      <c r="D144" s="461" t="s">
        <v>382</v>
      </c>
      <c r="E144" s="186">
        <f>F136</f>
        <v>2661.2369333333336</v>
      </c>
      <c r="F144" s="186">
        <f>E144*D144/100</f>
        <v>1978.0974125466666</v>
      </c>
      <c r="G144" s="149"/>
      <c r="H144" s="178"/>
      <c r="I144" s="150"/>
    </row>
    <row r="145" spans="1:8" ht="15.95" customHeight="1" x14ac:dyDescent="0.2">
      <c r="A145" s="621" t="s">
        <v>383</v>
      </c>
      <c r="B145" s="622"/>
      <c r="C145" s="454" t="str">
        <f>C138</f>
        <v>hora</v>
      </c>
      <c r="D145" s="457">
        <f>D138</f>
        <v>7.5</v>
      </c>
      <c r="E145" s="462">
        <f>E138</f>
        <v>11.37</v>
      </c>
      <c r="F145" s="186">
        <f>D145*E145</f>
        <v>85.274999999999991</v>
      </c>
      <c r="G145" s="149"/>
      <c r="H145" s="178"/>
    </row>
    <row r="146" spans="1:8" ht="15.95" customHeight="1" x14ac:dyDescent="0.2">
      <c r="A146" s="621" t="s">
        <v>379</v>
      </c>
      <c r="B146" s="668"/>
      <c r="C146" s="454" t="s">
        <v>28</v>
      </c>
      <c r="D146" s="457">
        <v>1</v>
      </c>
      <c r="E146" s="456">
        <v>62.5</v>
      </c>
      <c r="F146" s="186">
        <f>D146*E146</f>
        <v>62.5</v>
      </c>
      <c r="G146" s="149"/>
      <c r="H146" s="178">
        <f>G146/G$45</f>
        <v>0</v>
      </c>
    </row>
    <row r="147" spans="1:8" ht="15.95" customHeight="1" thickBot="1" x14ac:dyDescent="0.25">
      <c r="A147" s="594" t="s">
        <v>527</v>
      </c>
      <c r="B147" s="623"/>
      <c r="C147" s="82"/>
      <c r="D147" s="82"/>
      <c r="E147" s="19"/>
      <c r="F147" s="39">
        <f>SUM(F144:F146)+E144</f>
        <v>4787.1093458800005</v>
      </c>
      <c r="G147" s="149"/>
      <c r="H147" s="178"/>
    </row>
    <row r="148" spans="1:8" ht="15.95" customHeight="1" thickBot="1" x14ac:dyDescent="0.25">
      <c r="A148" s="580" t="s">
        <v>3</v>
      </c>
      <c r="B148" s="581"/>
      <c r="C148" s="80" t="s">
        <v>380</v>
      </c>
      <c r="D148" s="458">
        <v>2</v>
      </c>
      <c r="E148" s="186">
        <f>F147</f>
        <v>4787.1093458800005</v>
      </c>
      <c r="F148" s="186">
        <f>D148*E148</f>
        <v>9574.2186917600011</v>
      </c>
      <c r="G148" s="219">
        <f>F148</f>
        <v>9574.2186917600011</v>
      </c>
      <c r="H148" s="214">
        <f>G148/G$45</f>
        <v>46.029897556538465</v>
      </c>
    </row>
    <row r="149" spans="1:8" ht="15.95" customHeight="1" x14ac:dyDescent="0.2">
      <c r="A149" s="371"/>
      <c r="B149" s="372"/>
      <c r="E149" s="27"/>
      <c r="F149" s="27"/>
      <c r="G149" s="120"/>
      <c r="H149" s="178"/>
    </row>
    <row r="150" spans="1:8" ht="15.95" customHeight="1" thickBot="1" x14ac:dyDescent="0.25">
      <c r="A150" s="367" t="s">
        <v>413</v>
      </c>
      <c r="B150" s="368"/>
      <c r="E150" s="27"/>
      <c r="F150" s="27"/>
      <c r="G150" s="43"/>
      <c r="H150" s="179"/>
    </row>
    <row r="151" spans="1:8" ht="15.95" customHeight="1" thickBot="1" x14ac:dyDescent="0.25">
      <c r="A151" s="570" t="s">
        <v>27</v>
      </c>
      <c r="B151" s="571"/>
      <c r="C151" s="211" t="s">
        <v>28</v>
      </c>
      <c r="D151" s="211" t="s">
        <v>21</v>
      </c>
      <c r="E151" s="212" t="s">
        <v>94</v>
      </c>
      <c r="F151" s="212" t="s">
        <v>29</v>
      </c>
      <c r="G151" s="213" t="s">
        <v>30</v>
      </c>
      <c r="H151" s="213" t="s">
        <v>272</v>
      </c>
    </row>
    <row r="152" spans="1:8" ht="15.95" customHeight="1" x14ac:dyDescent="0.2">
      <c r="A152" s="586" t="s">
        <v>133</v>
      </c>
      <c r="B152" s="587"/>
      <c r="C152" s="8" t="s">
        <v>5</v>
      </c>
      <c r="D152" s="8">
        <v>1</v>
      </c>
      <c r="E152" s="172">
        <f>G38</f>
        <v>3000</v>
      </c>
      <c r="F152" s="9">
        <f>D152*E152</f>
        <v>3000</v>
      </c>
      <c r="G152" s="121"/>
      <c r="H152" s="180"/>
    </row>
    <row r="153" spans="1:8" ht="15.95" customHeight="1" x14ac:dyDescent="0.2">
      <c r="A153" s="611" t="s">
        <v>295</v>
      </c>
      <c r="B153" s="577"/>
      <c r="C153" s="147" t="s">
        <v>5</v>
      </c>
      <c r="D153" s="147"/>
      <c r="E153" s="246">
        <v>1621</v>
      </c>
      <c r="F153" s="148"/>
      <c r="G153" s="149"/>
      <c r="H153" s="190"/>
    </row>
    <row r="154" spans="1:8" ht="15.95" customHeight="1" x14ac:dyDescent="0.2">
      <c r="A154" s="540" t="s">
        <v>520</v>
      </c>
      <c r="B154" s="539"/>
      <c r="C154" s="147" t="s">
        <v>521</v>
      </c>
      <c r="D154" s="147">
        <v>8</v>
      </c>
      <c r="E154" s="246">
        <f>F152/220*2</f>
        <v>27.272727272727273</v>
      </c>
      <c r="F154" s="148">
        <f>E154*D154</f>
        <v>218.18181818181819</v>
      </c>
      <c r="G154" s="149"/>
      <c r="H154" s="190"/>
    </row>
    <row r="155" spans="1:8" ht="15.95" customHeight="1" x14ac:dyDescent="0.2">
      <c r="A155" s="540" t="s">
        <v>569</v>
      </c>
      <c r="B155" s="539"/>
      <c r="C155" s="147" t="s">
        <v>20</v>
      </c>
      <c r="D155" s="147"/>
      <c r="E155" s="246">
        <f>(64/301*F154)</f>
        <v>46.390818483841741</v>
      </c>
      <c r="F155" s="148">
        <f>E155</f>
        <v>46.390818483841741</v>
      </c>
      <c r="G155" s="149"/>
      <c r="H155" s="190"/>
    </row>
    <row r="156" spans="1:8" ht="15.95" customHeight="1" x14ac:dyDescent="0.2">
      <c r="A156" s="369" t="s">
        <v>284</v>
      </c>
      <c r="B156" s="370"/>
      <c r="C156" s="80"/>
      <c r="D156" s="292">
        <v>2</v>
      </c>
      <c r="E156" s="186"/>
      <c r="F156" s="186"/>
      <c r="G156" s="149"/>
      <c r="H156" s="190"/>
    </row>
    <row r="157" spans="1:8" ht="15.95" customHeight="1" x14ac:dyDescent="0.2">
      <c r="A157" s="369" t="s">
        <v>285</v>
      </c>
      <c r="B157" s="370"/>
      <c r="C157" s="80" t="s">
        <v>0</v>
      </c>
      <c r="D157" s="293">
        <v>40</v>
      </c>
      <c r="E157" s="294">
        <f>IF(D156=2,E152,E153)+F154+F155</f>
        <v>3264.57263666566</v>
      </c>
      <c r="F157" s="186">
        <f>(D157/100)*E157</f>
        <v>1305.829054666264</v>
      </c>
      <c r="G157" s="149"/>
      <c r="H157" s="190"/>
    </row>
    <row r="158" spans="1:8" ht="15.95" customHeight="1" x14ac:dyDescent="0.2">
      <c r="A158" s="391" t="s">
        <v>415</v>
      </c>
      <c r="B158" s="391"/>
      <c r="C158" s="93"/>
      <c r="D158" s="511"/>
      <c r="E158" s="512"/>
      <c r="F158" s="513">
        <v>1000</v>
      </c>
      <c r="G158" s="149"/>
      <c r="H158" s="190"/>
    </row>
    <row r="159" spans="1:8" ht="15.95" customHeight="1" x14ac:dyDescent="0.2">
      <c r="A159" s="572" t="s">
        <v>1</v>
      </c>
      <c r="B159" s="612"/>
      <c r="C159" s="82"/>
      <c r="D159" s="82"/>
      <c r="E159" s="19"/>
      <c r="F159" s="39">
        <f>SUM(F152:F158)</f>
        <v>5570.4016913319238</v>
      </c>
      <c r="G159" s="122"/>
      <c r="H159" s="178"/>
    </row>
    <row r="160" spans="1:8" ht="15.95" customHeight="1" x14ac:dyDescent="0.2">
      <c r="A160" s="608" t="s">
        <v>2</v>
      </c>
      <c r="B160" s="573"/>
      <c r="C160" s="10" t="s">
        <v>0</v>
      </c>
      <c r="D160" s="44">
        <f>'Enc. Soc. - LR-LP e SN'!C$32*100</f>
        <v>72.22999999999999</v>
      </c>
      <c r="E160" s="11">
        <f>F159</f>
        <v>5570.4016913319238</v>
      </c>
      <c r="F160" s="11">
        <f>E160*D160/100</f>
        <v>4023.5011416490479</v>
      </c>
      <c r="G160" s="122"/>
      <c r="H160" s="178"/>
    </row>
    <row r="161" spans="1:12" ht="15.95" customHeight="1" x14ac:dyDescent="0.2">
      <c r="A161" s="572" t="s">
        <v>529</v>
      </c>
      <c r="B161" s="601"/>
      <c r="C161" s="82"/>
      <c r="D161" s="82"/>
      <c r="E161" s="19"/>
      <c r="F161" s="39">
        <f>F159+F160</f>
        <v>9593.9028329809717</v>
      </c>
      <c r="G161" s="122"/>
      <c r="H161" s="178"/>
    </row>
    <row r="162" spans="1:12" ht="15.95" customHeight="1" x14ac:dyDescent="0.2">
      <c r="A162" s="608" t="s">
        <v>3</v>
      </c>
      <c r="B162" s="573"/>
      <c r="C162" s="10" t="s">
        <v>4</v>
      </c>
      <c r="D162" s="173">
        <v>1</v>
      </c>
      <c r="E162" s="11">
        <f>F161</f>
        <v>9593.9028329809717</v>
      </c>
      <c r="F162" s="11">
        <f>D162*E162</f>
        <v>9593.9028329809717</v>
      </c>
      <c r="G162" s="122"/>
      <c r="H162" s="178"/>
    </row>
    <row r="163" spans="1:12" ht="15.95" customHeight="1" thickBot="1" x14ac:dyDescent="0.25">
      <c r="A163" s="371"/>
      <c r="B163" s="372"/>
      <c r="E163" s="229" t="s">
        <v>88</v>
      </c>
      <c r="F163" s="182">
        <f>$C$63</f>
        <v>1</v>
      </c>
      <c r="G163" s="214">
        <f>F162*F163</f>
        <v>9593.9028329809717</v>
      </c>
      <c r="H163" s="214">
        <f>G163/G$45</f>
        <v>46.124532850870054</v>
      </c>
    </row>
    <row r="164" spans="1:12" ht="15.95" customHeight="1" x14ac:dyDescent="0.2">
      <c r="A164" s="367" t="s">
        <v>414</v>
      </c>
      <c r="B164" s="368"/>
      <c r="E164" s="27"/>
      <c r="F164" s="27"/>
      <c r="G164" s="43"/>
      <c r="H164" s="178"/>
    </row>
    <row r="165" spans="1:12" ht="15.95" customHeight="1" x14ac:dyDescent="0.2">
      <c r="A165" s="613" t="s">
        <v>2</v>
      </c>
      <c r="B165" s="614"/>
      <c r="C165" s="80" t="s">
        <v>0</v>
      </c>
      <c r="D165" s="44">
        <f>'Enc. Soc. - LR-LP e SN'!C$42*100</f>
        <v>32.817279999999997</v>
      </c>
      <c r="E165" s="11">
        <f>F159</f>
        <v>5570.4016913319238</v>
      </c>
      <c r="F165" s="11">
        <f>E165*D165/100</f>
        <v>1828.0543201691328</v>
      </c>
      <c r="G165" s="43"/>
      <c r="H165" s="178"/>
    </row>
    <row r="166" spans="1:12" ht="15.95" customHeight="1" x14ac:dyDescent="0.2">
      <c r="A166" s="615" t="s">
        <v>529</v>
      </c>
      <c r="B166" s="616"/>
      <c r="C166" s="82"/>
      <c r="D166" s="82"/>
      <c r="E166" s="19"/>
      <c r="F166" s="39">
        <f>E165+F165</f>
        <v>7398.4560115010563</v>
      </c>
      <c r="G166" s="43"/>
      <c r="H166" s="178"/>
    </row>
    <row r="167" spans="1:12" ht="15.95" customHeight="1" x14ac:dyDescent="0.2">
      <c r="A167" s="608" t="s">
        <v>3</v>
      </c>
      <c r="B167" s="573"/>
      <c r="C167" s="10" t="s">
        <v>4</v>
      </c>
      <c r="D167" s="10">
        <f>D162</f>
        <v>1</v>
      </c>
      <c r="E167" s="33">
        <f>F166</f>
        <v>7398.4560115010563</v>
      </c>
      <c r="F167" s="11">
        <f>D167*E167</f>
        <v>7398.4560115010563</v>
      </c>
      <c r="G167" s="43"/>
      <c r="H167" s="178"/>
    </row>
    <row r="168" spans="1:12" ht="15.95" customHeight="1" thickBot="1" x14ac:dyDescent="0.25">
      <c r="A168" s="371"/>
      <c r="B168" s="372"/>
      <c r="E168" s="229" t="s">
        <v>88</v>
      </c>
      <c r="F168" s="182">
        <f>$C$63</f>
        <v>1</v>
      </c>
      <c r="G168" s="214">
        <f>F167*F168</f>
        <v>7398.4560115010563</v>
      </c>
      <c r="H168" s="214">
        <f>G168/G$45</f>
        <v>35.569500055293538</v>
      </c>
    </row>
    <row r="169" spans="1:12" ht="15.95" customHeight="1" thickBot="1" x14ac:dyDescent="0.25">
      <c r="A169" s="88" t="s">
        <v>416</v>
      </c>
      <c r="B169" s="491"/>
      <c r="C169" s="150"/>
      <c r="D169" s="150"/>
      <c r="E169" s="150"/>
      <c r="F169" s="149"/>
      <c r="G169" s="371"/>
      <c r="H169" s="372"/>
      <c r="J169" s="4"/>
      <c r="K169" s="27"/>
      <c r="L169" s="27"/>
    </row>
    <row r="170" spans="1:12" ht="15.95" customHeight="1" thickBot="1" x14ac:dyDescent="0.25">
      <c r="A170" s="492" t="s">
        <v>27</v>
      </c>
      <c r="B170" s="508"/>
      <c r="C170" s="493" t="s">
        <v>28</v>
      </c>
      <c r="D170" s="493" t="s">
        <v>21</v>
      </c>
      <c r="E170" s="494" t="s">
        <v>94</v>
      </c>
      <c r="F170" s="494" t="s">
        <v>29</v>
      </c>
      <c r="G170" s="495" t="s">
        <v>30</v>
      </c>
      <c r="H170" s="213" t="s">
        <v>272</v>
      </c>
      <c r="I170" s="372"/>
      <c r="J170" s="4"/>
      <c r="L170" s="27"/>
    </row>
    <row r="171" spans="1:12" ht="15.95" customHeight="1" x14ac:dyDescent="0.2">
      <c r="A171" s="496" t="s">
        <v>42</v>
      </c>
      <c r="B171" s="509"/>
      <c r="C171" s="80" t="s">
        <v>20</v>
      </c>
      <c r="D171" s="497">
        <v>1</v>
      </c>
      <c r="E171" s="498">
        <v>6.6</v>
      </c>
      <c r="F171" s="186"/>
      <c r="G171" s="149"/>
      <c r="H171" s="371"/>
      <c r="I171" s="372"/>
      <c r="J171" s="4"/>
      <c r="L171" s="27"/>
    </row>
    <row r="172" spans="1:12" ht="15.95" customHeight="1" x14ac:dyDescent="0.2">
      <c r="A172" s="496" t="s">
        <v>43</v>
      </c>
      <c r="B172" s="509"/>
      <c r="C172" s="80" t="s">
        <v>44</v>
      </c>
      <c r="D172" s="499">
        <v>26</v>
      </c>
      <c r="E172" s="186"/>
      <c r="F172" s="186"/>
      <c r="G172" s="149"/>
      <c r="H172" s="371"/>
      <c r="I172" s="372"/>
      <c r="J172" s="4"/>
      <c r="L172" s="27"/>
    </row>
    <row r="173" spans="1:12" ht="15.95" customHeight="1" x14ac:dyDescent="0.2">
      <c r="A173" s="89" t="s">
        <v>565</v>
      </c>
      <c r="B173" s="195"/>
      <c r="C173" s="147" t="s">
        <v>44</v>
      </c>
      <c r="D173" s="499">
        <v>15</v>
      </c>
      <c r="E173" s="148"/>
      <c r="F173" s="148"/>
      <c r="G173" s="149"/>
      <c r="H173" s="371"/>
      <c r="I173" s="372"/>
      <c r="J173" s="4"/>
      <c r="L173" s="27"/>
    </row>
    <row r="174" spans="1:12" ht="27.75" customHeight="1" x14ac:dyDescent="0.2">
      <c r="A174" s="500" t="s">
        <v>423</v>
      </c>
      <c r="B174" s="510"/>
      <c r="C174" s="147" t="s">
        <v>6</v>
      </c>
      <c r="D174" s="501">
        <f>D172*2*2</f>
        <v>104</v>
      </c>
      <c r="E174" s="148">
        <f>E171-(G36*0.06/52)</f>
        <v>4.5624692307692305</v>
      </c>
      <c r="F174" s="148">
        <f>IFERROR(D174*E174,"-")</f>
        <v>474.49679999999995</v>
      </c>
      <c r="G174" s="149"/>
      <c r="H174" s="371"/>
      <c r="I174" s="372"/>
      <c r="J174" s="4"/>
      <c r="L174" s="27"/>
    </row>
    <row r="175" spans="1:12" ht="33" customHeight="1" x14ac:dyDescent="0.2">
      <c r="A175" s="500" t="s">
        <v>411</v>
      </c>
      <c r="B175" s="510"/>
      <c r="C175" s="147" t="s">
        <v>6</v>
      </c>
      <c r="D175" s="501">
        <f>D172*2*1</f>
        <v>52</v>
      </c>
      <c r="E175" s="148">
        <f>E171-(G35*0.06/52)</f>
        <v>3.7358076923076915</v>
      </c>
      <c r="F175" s="148">
        <f>D175*E175</f>
        <v>194.26199999999994</v>
      </c>
      <c r="G175" s="149"/>
      <c r="H175" s="371"/>
      <c r="I175" s="372"/>
      <c r="J175" s="4"/>
      <c r="L175" s="27"/>
    </row>
    <row r="176" spans="1:12" ht="33" customHeight="1" x14ac:dyDescent="0.2">
      <c r="A176" s="500" t="s">
        <v>424</v>
      </c>
      <c r="B176" s="510"/>
      <c r="C176" s="147" t="s">
        <v>6</v>
      </c>
      <c r="D176" s="501">
        <f>D173*4*2</f>
        <v>120</v>
      </c>
      <c r="E176" s="148">
        <f>E171-(G37*0.06/30)</f>
        <v>3.2647999999999997</v>
      </c>
      <c r="F176" s="148">
        <f>D176*E176</f>
        <v>391.77599999999995</v>
      </c>
      <c r="G176" s="149"/>
      <c r="H176" s="371"/>
      <c r="I176" s="372"/>
      <c r="J176" s="4"/>
      <c r="L176" s="27"/>
    </row>
    <row r="177" spans="1:12" ht="33" customHeight="1" thickBot="1" x14ac:dyDescent="0.25">
      <c r="A177" s="500" t="s">
        <v>426</v>
      </c>
      <c r="B177" s="510"/>
      <c r="C177" s="147" t="s">
        <v>6</v>
      </c>
      <c r="D177" s="501">
        <f>D172*2*1</f>
        <v>52</v>
      </c>
      <c r="E177" s="148">
        <f>E171-(G38*0.06/52)</f>
        <v>3.138461538461538</v>
      </c>
      <c r="F177" s="148">
        <f>D177*E177</f>
        <v>163.19999999999999</v>
      </c>
      <c r="G177" s="149"/>
      <c r="H177" s="371"/>
      <c r="I177" s="372"/>
      <c r="J177" s="4"/>
      <c r="L177" s="27"/>
    </row>
    <row r="178" spans="1:12" ht="15.95" customHeight="1" thickBot="1" x14ac:dyDescent="0.25">
      <c r="A178" s="459"/>
      <c r="B178" s="150"/>
      <c r="C178" s="150"/>
      <c r="D178" s="150"/>
      <c r="E178" s="274"/>
      <c r="F178" s="274"/>
      <c r="G178" s="502">
        <f>F174+F175+F176+F177</f>
        <v>1223.7348</v>
      </c>
      <c r="H178" s="214">
        <f>G178/G$45</f>
        <v>5.8833403846153844</v>
      </c>
      <c r="I178" s="372"/>
      <c r="J178" s="4"/>
      <c r="L178" s="27"/>
    </row>
    <row r="179" spans="1:12" ht="15.95" customHeight="1" x14ac:dyDescent="0.2">
      <c r="A179" s="459"/>
      <c r="B179" s="150"/>
      <c r="C179" s="150"/>
      <c r="D179" s="150"/>
      <c r="E179" s="274"/>
      <c r="F179" s="274"/>
      <c r="G179" s="149"/>
      <c r="H179" s="371"/>
      <c r="I179" s="372"/>
      <c r="J179" s="4"/>
      <c r="L179" s="27"/>
    </row>
    <row r="180" spans="1:12" ht="15.95" customHeight="1" thickBot="1" x14ac:dyDescent="0.25">
      <c r="A180" s="88" t="s">
        <v>422</v>
      </c>
      <c r="B180" s="6"/>
      <c r="C180" s="150"/>
      <c r="D180" s="150"/>
      <c r="E180" s="274"/>
      <c r="F180" s="274"/>
      <c r="G180" s="124"/>
      <c r="H180" s="371"/>
      <c r="I180" s="372"/>
      <c r="J180" s="4"/>
      <c r="L180" s="27"/>
    </row>
    <row r="181" spans="1:12" ht="15.95" customHeight="1" thickBot="1" x14ac:dyDescent="0.25">
      <c r="A181" s="492" t="s">
        <v>27</v>
      </c>
      <c r="B181" s="508"/>
      <c r="C181" s="493" t="s">
        <v>28</v>
      </c>
      <c r="D181" s="493" t="s">
        <v>21</v>
      </c>
      <c r="E181" s="494" t="s">
        <v>94</v>
      </c>
      <c r="F181" s="494" t="s">
        <v>29</v>
      </c>
      <c r="G181" s="495" t="s">
        <v>30</v>
      </c>
      <c r="H181" s="213" t="s">
        <v>272</v>
      </c>
      <c r="I181" s="372"/>
      <c r="J181" s="4"/>
      <c r="L181" s="27"/>
    </row>
    <row r="182" spans="1:12" ht="15.95" customHeight="1" x14ac:dyDescent="0.2">
      <c r="A182" s="496" t="s">
        <v>428</v>
      </c>
      <c r="B182" s="509"/>
      <c r="C182" s="80" t="s">
        <v>7</v>
      </c>
      <c r="D182" s="503">
        <f>D172*F36</f>
        <v>52</v>
      </c>
      <c r="E182" s="359">
        <v>27.15</v>
      </c>
      <c r="F182" s="504">
        <f>D182*E182</f>
        <v>1411.8</v>
      </c>
      <c r="G182" s="124"/>
      <c r="H182" s="371"/>
      <c r="I182" s="372"/>
      <c r="J182" s="4"/>
      <c r="L182" s="27"/>
    </row>
    <row r="183" spans="1:12" ht="15.95" customHeight="1" x14ac:dyDescent="0.2">
      <c r="A183" s="496" t="s">
        <v>412</v>
      </c>
      <c r="B183" s="509"/>
      <c r="C183" s="80" t="s">
        <v>0</v>
      </c>
      <c r="D183" s="505">
        <v>0.19</v>
      </c>
      <c r="E183" s="504">
        <f>-E182*D183</f>
        <v>-5.1585000000000001</v>
      </c>
      <c r="F183" s="504">
        <f>E183*D182</f>
        <v>-268.24200000000002</v>
      </c>
      <c r="G183" s="124"/>
      <c r="H183" s="371"/>
      <c r="I183" s="372"/>
      <c r="J183" s="4"/>
      <c r="L183" s="27"/>
    </row>
    <row r="184" spans="1:12" ht="15.95" customHeight="1" x14ac:dyDescent="0.2">
      <c r="A184" s="496" t="s">
        <v>427</v>
      </c>
      <c r="B184" s="509"/>
      <c r="C184" s="80" t="s">
        <v>7</v>
      </c>
      <c r="D184" s="503">
        <f>D172*F35</f>
        <v>26</v>
      </c>
      <c r="E184" s="359">
        <v>23.18</v>
      </c>
      <c r="F184" s="504">
        <f>D184*E184</f>
        <v>602.67999999999995</v>
      </c>
      <c r="G184" s="124"/>
      <c r="H184" s="371"/>
      <c r="I184" s="372"/>
      <c r="J184" s="4"/>
      <c r="L184" s="27"/>
    </row>
    <row r="185" spans="1:12" ht="15.95" customHeight="1" x14ac:dyDescent="0.2">
      <c r="A185" s="496" t="s">
        <v>412</v>
      </c>
      <c r="B185" s="509"/>
      <c r="C185" s="80" t="s">
        <v>0</v>
      </c>
      <c r="D185" s="505">
        <v>0.2</v>
      </c>
      <c r="E185" s="504">
        <f>-(E184*0.2)</f>
        <v>-4.6360000000000001</v>
      </c>
      <c r="F185" s="504">
        <f>D184*E185</f>
        <v>-120.536</v>
      </c>
      <c r="G185" s="124"/>
      <c r="H185" s="371"/>
      <c r="I185" s="372"/>
      <c r="J185" s="4"/>
      <c r="L185" s="27"/>
    </row>
    <row r="186" spans="1:12" ht="15.95" customHeight="1" x14ac:dyDescent="0.2">
      <c r="A186" s="496" t="s">
        <v>364</v>
      </c>
      <c r="B186" s="509"/>
      <c r="C186" s="80" t="s">
        <v>7</v>
      </c>
      <c r="D186" s="503">
        <f>15*4</f>
        <v>60</v>
      </c>
      <c r="E186" s="359">
        <v>30</v>
      </c>
      <c r="F186" s="504">
        <f>D186*E186</f>
        <v>1800</v>
      </c>
      <c r="G186" s="124"/>
      <c r="H186" s="371"/>
      <c r="I186" s="372"/>
      <c r="J186" s="4"/>
      <c r="L186" s="27"/>
    </row>
    <row r="187" spans="1:12" ht="15.95" customHeight="1" x14ac:dyDescent="0.2">
      <c r="A187" s="496" t="s">
        <v>412</v>
      </c>
      <c r="B187" s="509"/>
      <c r="C187" s="80" t="s">
        <v>0</v>
      </c>
      <c r="D187" s="505">
        <v>0.2</v>
      </c>
      <c r="E187" s="504">
        <f>-(E186*0.2)</f>
        <v>-6</v>
      </c>
      <c r="F187" s="504">
        <f>D186*E187</f>
        <v>-360</v>
      </c>
      <c r="G187" s="124"/>
      <c r="H187" s="371"/>
      <c r="I187" s="372"/>
      <c r="J187" s="4"/>
      <c r="L187" s="27"/>
    </row>
    <row r="188" spans="1:12" ht="15.95" customHeight="1" x14ac:dyDescent="0.2">
      <c r="A188" s="496" t="s">
        <v>429</v>
      </c>
      <c r="B188" s="509"/>
      <c r="C188" s="80" t="s">
        <v>7</v>
      </c>
      <c r="D188" s="503">
        <f>D172*F38</f>
        <v>26</v>
      </c>
      <c r="E188" s="359">
        <v>27.15</v>
      </c>
      <c r="F188" s="504">
        <f>D188*E188</f>
        <v>705.9</v>
      </c>
      <c r="G188" s="124"/>
      <c r="H188" s="371"/>
      <c r="I188" s="372"/>
      <c r="J188" s="4"/>
      <c r="L188" s="27"/>
    </row>
    <row r="189" spans="1:12" ht="15.95" customHeight="1" thickBot="1" x14ac:dyDescent="0.25">
      <c r="A189" s="496" t="s">
        <v>412</v>
      </c>
      <c r="B189" s="509"/>
      <c r="C189" s="80" t="s">
        <v>0</v>
      </c>
      <c r="D189" s="505">
        <v>0.19</v>
      </c>
      <c r="E189" s="504">
        <f>-(E188*0.19)</f>
        <v>-5.1585000000000001</v>
      </c>
      <c r="F189" s="504">
        <f>D188*E189</f>
        <v>-134.12100000000001</v>
      </c>
      <c r="G189" s="124"/>
      <c r="H189" s="371"/>
      <c r="I189" s="372"/>
      <c r="J189" s="4"/>
      <c r="L189" s="27"/>
    </row>
    <row r="190" spans="1:12" ht="15.95" customHeight="1" thickBot="1" x14ac:dyDescent="0.25">
      <c r="A190" s="459"/>
      <c r="B190" s="150"/>
      <c r="C190" s="150"/>
      <c r="D190" s="150"/>
      <c r="E190" s="274"/>
      <c r="F190" s="274"/>
      <c r="G190" s="502">
        <f>SUM(F182:F189)</f>
        <v>3637.4809999999998</v>
      </c>
      <c r="H190" s="214">
        <f>G190/G$45</f>
        <v>17.487889423076922</v>
      </c>
      <c r="I190" s="372"/>
      <c r="J190" s="4"/>
      <c r="L190" s="27"/>
    </row>
    <row r="191" spans="1:12" ht="15.95" customHeight="1" thickBot="1" x14ac:dyDescent="0.25">
      <c r="A191" s="88" t="s">
        <v>484</v>
      </c>
      <c r="B191" s="6"/>
      <c r="C191" s="150"/>
      <c r="D191" s="150"/>
      <c r="E191" s="274"/>
      <c r="F191" s="274"/>
      <c r="G191" s="124"/>
      <c r="H191" s="371"/>
      <c r="I191" s="372"/>
      <c r="J191" s="4"/>
      <c r="L191" s="27"/>
    </row>
    <row r="192" spans="1:12" ht="15.95" customHeight="1" thickBot="1" x14ac:dyDescent="0.25">
      <c r="A192" s="492" t="s">
        <v>27</v>
      </c>
      <c r="B192" s="508"/>
      <c r="C192" s="493" t="s">
        <v>28</v>
      </c>
      <c r="D192" s="493" t="s">
        <v>21</v>
      </c>
      <c r="E192" s="494" t="s">
        <v>94</v>
      </c>
      <c r="F192" s="494" t="s">
        <v>29</v>
      </c>
      <c r="G192" s="495" t="s">
        <v>30</v>
      </c>
      <c r="H192" s="213" t="s">
        <v>272</v>
      </c>
      <c r="I192" s="372"/>
      <c r="J192" s="4"/>
      <c r="L192" s="27"/>
    </row>
    <row r="193" spans="1:12" ht="35.25" customHeight="1" x14ac:dyDescent="0.2">
      <c r="A193" s="609" t="s">
        <v>515</v>
      </c>
      <c r="B193" s="610"/>
      <c r="C193" s="80" t="s">
        <v>7</v>
      </c>
      <c r="D193" s="506">
        <v>4</v>
      </c>
      <c r="E193" s="359">
        <v>25.5</v>
      </c>
      <c r="F193" s="504">
        <f>D193*E193</f>
        <v>102</v>
      </c>
      <c r="G193" s="124"/>
      <c r="H193" s="371"/>
      <c r="I193" s="372"/>
      <c r="J193" s="4"/>
      <c r="L193" s="27"/>
    </row>
    <row r="194" spans="1:12" ht="15.95" customHeight="1" x14ac:dyDescent="0.2">
      <c r="A194" s="89" t="s">
        <v>485</v>
      </c>
      <c r="B194" s="195"/>
      <c r="C194" s="80" t="s">
        <v>7</v>
      </c>
      <c r="D194" s="506">
        <v>1</v>
      </c>
      <c r="E194" s="359">
        <v>15.19</v>
      </c>
      <c r="F194" s="504">
        <f>E194*D194</f>
        <v>15.19</v>
      </c>
      <c r="G194" s="124"/>
      <c r="H194" s="371"/>
      <c r="I194" s="372"/>
      <c r="J194" s="4"/>
      <c r="L194" s="27"/>
    </row>
    <row r="195" spans="1:12" ht="15.95" customHeight="1" thickBot="1" x14ac:dyDescent="0.25">
      <c r="A195" s="89" t="s">
        <v>486</v>
      </c>
      <c r="B195" s="195"/>
      <c r="C195" s="80" t="s">
        <v>7</v>
      </c>
      <c r="D195" s="506">
        <v>2</v>
      </c>
      <c r="E195" s="359">
        <v>25.52</v>
      </c>
      <c r="F195" s="504">
        <f>E195*D195</f>
        <v>51.04</v>
      </c>
      <c r="G195" s="124"/>
      <c r="H195" s="371"/>
      <c r="I195" s="372"/>
      <c r="J195" s="4"/>
      <c r="L195" s="27"/>
    </row>
    <row r="196" spans="1:12" ht="15.95" customHeight="1" thickBot="1" x14ac:dyDescent="0.25">
      <c r="A196" s="459"/>
      <c r="B196" s="150"/>
      <c r="C196" s="150"/>
      <c r="D196" s="274"/>
      <c r="E196" s="2"/>
      <c r="F196" s="507"/>
      <c r="G196" s="502">
        <f>ROUND(SUM(F193:F195),2)</f>
        <v>168.23</v>
      </c>
      <c r="H196" s="214">
        <f>G196/G$45</f>
        <v>0.80879807692307693</v>
      </c>
      <c r="I196" s="372"/>
      <c r="J196" s="4"/>
      <c r="L196" s="27"/>
    </row>
    <row r="197" spans="1:12" ht="15.95" customHeight="1" thickBot="1" x14ac:dyDescent="0.25">
      <c r="A197" s="459"/>
      <c r="B197" s="150"/>
      <c r="C197" s="150"/>
      <c r="D197" s="150"/>
      <c r="E197" s="274"/>
      <c r="F197" s="274"/>
      <c r="G197" s="149"/>
      <c r="H197" s="371"/>
      <c r="I197" s="372"/>
      <c r="J197" s="4"/>
      <c r="L197" s="27"/>
    </row>
    <row r="198" spans="1:12" ht="15.95" customHeight="1" thickBot="1" x14ac:dyDescent="0.25">
      <c r="A198" s="12" t="s">
        <v>109</v>
      </c>
      <c r="B198" s="13"/>
      <c r="C198" s="13"/>
      <c r="D198" s="13"/>
      <c r="E198" s="14"/>
      <c r="F198" s="15"/>
      <c r="G198" s="502">
        <f>G196+G190+G178+G163+G141+G117+G97+G79</f>
        <v>49493.135707115711</v>
      </c>
      <c r="H198" s="214">
        <f>G198/G$45</f>
        <v>237.94776782267169</v>
      </c>
      <c r="I198" s="372"/>
      <c r="J198" s="4"/>
      <c r="L198" s="27"/>
    </row>
    <row r="199" spans="1:12" ht="15.95" customHeight="1" thickBot="1" x14ac:dyDescent="0.25">
      <c r="A199" s="12" t="s">
        <v>110</v>
      </c>
      <c r="B199" s="13"/>
      <c r="C199" s="13"/>
      <c r="D199" s="13"/>
      <c r="E199" s="14"/>
      <c r="F199" s="15"/>
      <c r="G199" s="502">
        <f>G196+G190+G178+G168+G148+G124+G102+G84</f>
        <v>42451.734666438249</v>
      </c>
      <c r="H199" s="214">
        <f>G199/G$45</f>
        <v>204.09487820403004</v>
      </c>
      <c r="I199" s="372"/>
      <c r="J199" s="4"/>
      <c r="L199" s="27"/>
    </row>
    <row r="200" spans="1:12" ht="15.95" customHeight="1" x14ac:dyDescent="0.2">
      <c r="A200" s="371"/>
      <c r="B200" s="372"/>
      <c r="E200" s="27"/>
      <c r="F200" s="27"/>
      <c r="G200" s="43"/>
      <c r="H200" s="178"/>
    </row>
    <row r="201" spans="1:12" ht="15.95" customHeight="1" x14ac:dyDescent="0.2">
      <c r="A201" s="371"/>
      <c r="B201" s="372"/>
      <c r="E201" s="27"/>
      <c r="F201" s="27"/>
      <c r="G201" s="43"/>
      <c r="H201" s="178"/>
    </row>
    <row r="202" spans="1:12" ht="15.95" customHeight="1" x14ac:dyDescent="0.2">
      <c r="A202" s="367" t="s">
        <v>263</v>
      </c>
      <c r="B202" s="368"/>
      <c r="E202" s="27"/>
      <c r="F202" s="27"/>
      <c r="G202" s="43"/>
      <c r="H202" s="178"/>
    </row>
    <row r="203" spans="1:12" ht="15.95" customHeight="1" x14ac:dyDescent="0.2">
      <c r="A203" s="367" t="s">
        <v>310</v>
      </c>
      <c r="B203" s="368"/>
      <c r="E203" s="27"/>
      <c r="F203" s="27"/>
      <c r="G203" s="43"/>
      <c r="H203" s="178"/>
    </row>
    <row r="204" spans="1:12" ht="15.95" customHeight="1" thickBot="1" x14ac:dyDescent="0.25">
      <c r="A204" s="367" t="s">
        <v>477</v>
      </c>
      <c r="B204" s="368"/>
      <c r="E204" s="27"/>
      <c r="F204" s="27"/>
      <c r="G204" s="43"/>
      <c r="H204" s="43"/>
    </row>
    <row r="205" spans="1:12" ht="15.95" customHeight="1" thickBot="1" x14ac:dyDescent="0.25">
      <c r="A205" s="570" t="s">
        <v>27</v>
      </c>
      <c r="B205" s="600"/>
      <c r="C205" s="211" t="s">
        <v>28</v>
      </c>
      <c r="D205" s="211" t="s">
        <v>21</v>
      </c>
      <c r="E205" s="212" t="s">
        <v>94</v>
      </c>
      <c r="F205" s="212" t="s">
        <v>29</v>
      </c>
      <c r="G205" s="213" t="s">
        <v>30</v>
      </c>
      <c r="H205" s="213" t="s">
        <v>272</v>
      </c>
    </row>
    <row r="206" spans="1:12" ht="15.95" customHeight="1" x14ac:dyDescent="0.2">
      <c r="A206" s="586" t="s">
        <v>262</v>
      </c>
      <c r="B206" s="587"/>
      <c r="C206" s="8" t="s">
        <v>7</v>
      </c>
      <c r="D206" s="8">
        <v>1</v>
      </c>
      <c r="E206" s="172">
        <f>G48+G49+G50+G51+G52+G53</f>
        <v>491963</v>
      </c>
      <c r="F206" s="9">
        <f>D206*E206</f>
        <v>491963</v>
      </c>
      <c r="G206" s="121"/>
      <c r="H206" s="121"/>
      <c r="J206" s="5">
        <f>E206+E215+E224</f>
        <v>507762</v>
      </c>
    </row>
    <row r="207" spans="1:12" ht="15.95" customHeight="1" x14ac:dyDescent="0.2">
      <c r="A207" s="576" t="s">
        <v>264</v>
      </c>
      <c r="B207" s="573"/>
      <c r="C207" s="10" t="s">
        <v>45</v>
      </c>
      <c r="D207" s="344">
        <v>6</v>
      </c>
      <c r="E207" s="33"/>
      <c r="F207" s="11"/>
      <c r="G207" s="122"/>
      <c r="H207" s="178"/>
    </row>
    <row r="208" spans="1:12" ht="15.95" customHeight="1" x14ac:dyDescent="0.2">
      <c r="A208" s="576" t="s">
        <v>265</v>
      </c>
      <c r="B208" s="573"/>
      <c r="C208" s="10" t="s">
        <v>0</v>
      </c>
      <c r="D208" s="282">
        <v>0.58179999999999998</v>
      </c>
      <c r="E208" s="186">
        <f>F206</f>
        <v>491963</v>
      </c>
      <c r="F208" s="186">
        <f>D208*E208</f>
        <v>286224.07339999999</v>
      </c>
      <c r="G208" s="122"/>
      <c r="H208" s="178"/>
    </row>
    <row r="209" spans="1:8" ht="15.95" customHeight="1" x14ac:dyDescent="0.2">
      <c r="A209" s="572" t="s">
        <v>266</v>
      </c>
      <c r="B209" s="573"/>
      <c r="C209" s="37" t="s">
        <v>5</v>
      </c>
      <c r="D209" s="37">
        <f>D207*12</f>
        <v>72</v>
      </c>
      <c r="E209" s="38">
        <f>F208</f>
        <v>286224.07339999999</v>
      </c>
      <c r="F209" s="38">
        <f>IFERROR(E209/D209,0)</f>
        <v>3975.3343527777779</v>
      </c>
      <c r="G209" s="122"/>
      <c r="H209" s="178"/>
    </row>
    <row r="210" spans="1:8" ht="15.95" customHeight="1" x14ac:dyDescent="0.2">
      <c r="A210" s="572" t="s">
        <v>273</v>
      </c>
      <c r="B210" s="573"/>
      <c r="C210" s="143" t="s">
        <v>286</v>
      </c>
      <c r="D210" s="281">
        <v>1</v>
      </c>
      <c r="E210" s="144">
        <f>F209</f>
        <v>3975.3343527777779</v>
      </c>
      <c r="F210" s="145">
        <f>D210*E210</f>
        <v>3975.3343527777779</v>
      </c>
      <c r="G210" s="122"/>
      <c r="H210" s="178"/>
    </row>
    <row r="211" spans="1:8" ht="15.95" customHeight="1" thickBot="1" x14ac:dyDescent="0.25">
      <c r="A211" s="375"/>
      <c r="B211" s="376"/>
      <c r="C211" s="78"/>
      <c r="D211" s="78"/>
      <c r="E211" s="83" t="s">
        <v>88</v>
      </c>
      <c r="F211" s="225">
        <f>$C$63</f>
        <v>1</v>
      </c>
      <c r="G211" s="214">
        <f>F210*F211</f>
        <v>3975.3343527777779</v>
      </c>
      <c r="H211" s="214">
        <f>G211/G$45</f>
        <v>19.112184388354702</v>
      </c>
    </row>
    <row r="212" spans="1:8" ht="15.95" customHeight="1" x14ac:dyDescent="0.2">
      <c r="A212" s="375"/>
      <c r="B212" s="376"/>
      <c r="C212" s="78"/>
      <c r="D212" s="78"/>
      <c r="E212" s="83"/>
      <c r="F212" s="276"/>
      <c r="G212" s="528"/>
      <c r="H212" s="356"/>
    </row>
    <row r="213" spans="1:8" ht="15.95" customHeight="1" thickBot="1" x14ac:dyDescent="0.25">
      <c r="A213" s="367" t="s">
        <v>478</v>
      </c>
      <c r="B213" s="368"/>
      <c r="E213" s="27"/>
      <c r="F213" s="27"/>
      <c r="G213" s="43"/>
      <c r="H213" s="43"/>
    </row>
    <row r="214" spans="1:8" ht="15.95" customHeight="1" thickBot="1" x14ac:dyDescent="0.25">
      <c r="A214" s="570" t="s">
        <v>27</v>
      </c>
      <c r="B214" s="600"/>
      <c r="C214" s="211" t="s">
        <v>28</v>
      </c>
      <c r="D214" s="211" t="s">
        <v>21</v>
      </c>
      <c r="E214" s="212" t="s">
        <v>94</v>
      </c>
      <c r="F214" s="212" t="s">
        <v>29</v>
      </c>
      <c r="G214" s="213" t="s">
        <v>30</v>
      </c>
      <c r="H214" s="213" t="s">
        <v>272</v>
      </c>
    </row>
    <row r="215" spans="1:8" ht="15.95" customHeight="1" x14ac:dyDescent="0.2">
      <c r="A215" s="586" t="s">
        <v>262</v>
      </c>
      <c r="B215" s="587"/>
      <c r="C215" s="8" t="s">
        <v>7</v>
      </c>
      <c r="D215" s="8">
        <v>1</v>
      </c>
      <c r="E215" s="172">
        <f>G54</f>
        <v>7175</v>
      </c>
      <c r="F215" s="9">
        <f>D215*E215</f>
        <v>7175</v>
      </c>
      <c r="G215" s="121"/>
      <c r="H215" s="121"/>
    </row>
    <row r="216" spans="1:8" ht="15.95" customHeight="1" x14ac:dyDescent="0.2">
      <c r="A216" s="576" t="s">
        <v>264</v>
      </c>
      <c r="B216" s="573"/>
      <c r="C216" s="10" t="s">
        <v>45</v>
      </c>
      <c r="D216" s="344">
        <v>4</v>
      </c>
      <c r="E216" s="33"/>
      <c r="F216" s="11"/>
      <c r="G216" s="122"/>
      <c r="H216" s="178"/>
    </row>
    <row r="217" spans="1:8" ht="15.95" customHeight="1" x14ac:dyDescent="0.2">
      <c r="A217" s="576" t="s">
        <v>265</v>
      </c>
      <c r="B217" s="573"/>
      <c r="C217" s="10" t="s">
        <v>0</v>
      </c>
      <c r="D217" s="282">
        <v>0.5262</v>
      </c>
      <c r="E217" s="186">
        <f>F215</f>
        <v>7175</v>
      </c>
      <c r="F217" s="186">
        <f>D217*E217</f>
        <v>3775.4850000000001</v>
      </c>
      <c r="G217" s="122"/>
      <c r="H217" s="178"/>
    </row>
    <row r="218" spans="1:8" ht="15.95" customHeight="1" x14ac:dyDescent="0.2">
      <c r="A218" s="572" t="s">
        <v>266</v>
      </c>
      <c r="B218" s="573"/>
      <c r="C218" s="37" t="s">
        <v>5</v>
      </c>
      <c r="D218" s="37">
        <f>D216*12</f>
        <v>48</v>
      </c>
      <c r="E218" s="38">
        <f>F217</f>
        <v>3775.4850000000001</v>
      </c>
      <c r="F218" s="38">
        <f>IFERROR(E218/D218,0)</f>
        <v>78.655937500000007</v>
      </c>
      <c r="G218" s="122"/>
      <c r="H218" s="178"/>
    </row>
    <row r="219" spans="1:8" ht="15.95" customHeight="1" x14ac:dyDescent="0.2">
      <c r="A219" s="572" t="s">
        <v>273</v>
      </c>
      <c r="B219" s="573"/>
      <c r="C219" s="143" t="s">
        <v>286</v>
      </c>
      <c r="D219" s="281">
        <v>1</v>
      </c>
      <c r="E219" s="144">
        <f>F218</f>
        <v>78.655937500000007</v>
      </c>
      <c r="F219" s="145">
        <f>D219*E219</f>
        <v>78.655937500000007</v>
      </c>
      <c r="G219" s="122"/>
      <c r="H219" s="178"/>
    </row>
    <row r="220" spans="1:8" ht="15.95" customHeight="1" thickBot="1" x14ac:dyDescent="0.25">
      <c r="A220" s="375"/>
      <c r="B220" s="376"/>
      <c r="C220" s="78"/>
      <c r="D220" s="78"/>
      <c r="E220" s="83" t="s">
        <v>88</v>
      </c>
      <c r="F220" s="225">
        <f>$C$63</f>
        <v>1</v>
      </c>
      <c r="G220" s="214">
        <f>F219*F220</f>
        <v>78.655937500000007</v>
      </c>
      <c r="H220" s="214">
        <f>G220/G$45</f>
        <v>0.37815354567307696</v>
      </c>
    </row>
    <row r="221" spans="1:8" ht="15.95" customHeight="1" x14ac:dyDescent="0.2">
      <c r="A221" s="375"/>
      <c r="B221" s="376"/>
      <c r="C221" s="78"/>
      <c r="D221" s="78"/>
      <c r="E221" s="83"/>
      <c r="F221" s="276"/>
      <c r="G221" s="528"/>
      <c r="H221" s="356"/>
    </row>
    <row r="222" spans="1:8" ht="15.95" customHeight="1" thickBot="1" x14ac:dyDescent="0.25">
      <c r="A222" s="367" t="s">
        <v>479</v>
      </c>
      <c r="B222" s="368"/>
      <c r="E222" s="27"/>
      <c r="F222" s="27"/>
      <c r="G222" s="43"/>
      <c r="H222" s="43"/>
    </row>
    <row r="223" spans="1:8" ht="15.95" customHeight="1" thickBot="1" x14ac:dyDescent="0.25">
      <c r="A223" s="570" t="s">
        <v>27</v>
      </c>
      <c r="B223" s="600"/>
      <c r="C223" s="211" t="s">
        <v>28</v>
      </c>
      <c r="D223" s="211" t="s">
        <v>21</v>
      </c>
      <c r="E223" s="212" t="s">
        <v>94</v>
      </c>
      <c r="F223" s="212" t="s">
        <v>29</v>
      </c>
      <c r="G223" s="213" t="s">
        <v>30</v>
      </c>
      <c r="H223" s="213" t="s">
        <v>272</v>
      </c>
    </row>
    <row r="224" spans="1:8" ht="15.95" customHeight="1" x14ac:dyDescent="0.2">
      <c r="A224" s="586" t="s">
        <v>262</v>
      </c>
      <c r="B224" s="587"/>
      <c r="C224" s="8" t="s">
        <v>7</v>
      </c>
      <c r="D224" s="8">
        <v>1</v>
      </c>
      <c r="E224" s="172">
        <f>G55+G56+G57</f>
        <v>8624</v>
      </c>
      <c r="F224" s="9">
        <f>D224*E224</f>
        <v>8624</v>
      </c>
      <c r="G224" s="121"/>
      <c r="H224" s="121"/>
    </row>
    <row r="225" spans="1:10" ht="15.95" customHeight="1" x14ac:dyDescent="0.2">
      <c r="A225" s="576" t="s">
        <v>264</v>
      </c>
      <c r="B225" s="573"/>
      <c r="C225" s="10" t="s">
        <v>45</v>
      </c>
      <c r="D225" s="344">
        <v>10</v>
      </c>
      <c r="E225" s="33"/>
      <c r="F225" s="11"/>
      <c r="G225" s="122"/>
      <c r="H225" s="178"/>
    </row>
    <row r="226" spans="1:10" ht="15.95" customHeight="1" x14ac:dyDescent="0.2">
      <c r="A226" s="576" t="s">
        <v>265</v>
      </c>
      <c r="B226" s="573"/>
      <c r="C226" s="10" t="s">
        <v>0</v>
      </c>
      <c r="D226" s="282">
        <v>0.65180000000000005</v>
      </c>
      <c r="E226" s="186">
        <f>F224</f>
        <v>8624</v>
      </c>
      <c r="F226" s="186">
        <f>D226*E226</f>
        <v>5621.1232</v>
      </c>
      <c r="G226" s="122"/>
      <c r="H226" s="178"/>
    </row>
    <row r="227" spans="1:10" ht="15.95" customHeight="1" x14ac:dyDescent="0.2">
      <c r="A227" s="572" t="s">
        <v>266</v>
      </c>
      <c r="B227" s="573"/>
      <c r="C227" s="37" t="s">
        <v>5</v>
      </c>
      <c r="D227" s="37">
        <f>D225*12</f>
        <v>120</v>
      </c>
      <c r="E227" s="38">
        <f>F226</f>
        <v>5621.1232</v>
      </c>
      <c r="F227" s="38">
        <f>IFERROR(E227/D227,0)</f>
        <v>46.842693333333337</v>
      </c>
      <c r="G227" s="122"/>
      <c r="H227" s="178"/>
    </row>
    <row r="228" spans="1:10" ht="15.95" customHeight="1" x14ac:dyDescent="0.2">
      <c r="A228" s="572" t="s">
        <v>273</v>
      </c>
      <c r="B228" s="573"/>
      <c r="C228" s="143" t="s">
        <v>286</v>
      </c>
      <c r="D228" s="281">
        <v>1</v>
      </c>
      <c r="E228" s="144">
        <f>F227</f>
        <v>46.842693333333337</v>
      </c>
      <c r="F228" s="145">
        <f>D228*E228</f>
        <v>46.842693333333337</v>
      </c>
      <c r="G228" s="122"/>
      <c r="H228" s="178"/>
    </row>
    <row r="229" spans="1:10" ht="15.95" customHeight="1" thickBot="1" x14ac:dyDescent="0.25">
      <c r="A229" s="375"/>
      <c r="B229" s="376"/>
      <c r="C229" s="78"/>
      <c r="D229" s="78"/>
      <c r="E229" s="83" t="s">
        <v>88</v>
      </c>
      <c r="F229" s="225">
        <f>$C$63</f>
        <v>1</v>
      </c>
      <c r="G229" s="214">
        <f>F228*F229</f>
        <v>46.842693333333337</v>
      </c>
      <c r="H229" s="214">
        <f>G229/G$45</f>
        <v>0.22520525641025643</v>
      </c>
    </row>
    <row r="230" spans="1:10" ht="15.95" customHeight="1" thickBot="1" x14ac:dyDescent="0.25">
      <c r="A230" s="375"/>
      <c r="B230" s="376"/>
      <c r="C230" s="78"/>
      <c r="D230" s="78"/>
      <c r="E230" s="83"/>
      <c r="F230" s="276"/>
      <c r="G230" s="276"/>
      <c r="H230" s="356"/>
    </row>
    <row r="231" spans="1:10" ht="15.95" customHeight="1" thickBot="1" x14ac:dyDescent="0.25">
      <c r="A231" s="375"/>
      <c r="B231" s="376"/>
      <c r="C231" s="78"/>
      <c r="D231" s="531"/>
      <c r="E231" s="532" t="s">
        <v>480</v>
      </c>
      <c r="F231" s="276"/>
      <c r="G231" s="218">
        <f>G211+G220+G229</f>
        <v>4100.8329836111116</v>
      </c>
      <c r="H231" s="214">
        <f>G231/G$45</f>
        <v>19.715543190438037</v>
      </c>
    </row>
    <row r="232" spans="1:10" ht="15.95" customHeight="1" thickBot="1" x14ac:dyDescent="0.25">
      <c r="A232" s="367" t="s">
        <v>311</v>
      </c>
      <c r="B232" s="368"/>
      <c r="E232" s="27"/>
      <c r="F232" s="253"/>
      <c r="G232" s="27"/>
      <c r="H232" s="178"/>
    </row>
    <row r="233" spans="1:10" ht="15.95" customHeight="1" thickBot="1" x14ac:dyDescent="0.25">
      <c r="A233" s="367" t="s">
        <v>481</v>
      </c>
      <c r="B233" s="368"/>
      <c r="E233" s="27"/>
      <c r="F233" s="253"/>
      <c r="G233" s="120"/>
      <c r="H233" s="43"/>
    </row>
    <row r="234" spans="1:10" ht="15.95" customHeight="1" thickBot="1" x14ac:dyDescent="0.25">
      <c r="A234" s="570" t="s">
        <v>27</v>
      </c>
      <c r="B234" s="600"/>
      <c r="C234" s="211" t="s">
        <v>28</v>
      </c>
      <c r="D234" s="211" t="s">
        <v>21</v>
      </c>
      <c r="E234" s="212" t="s">
        <v>94</v>
      </c>
      <c r="F234" s="212" t="s">
        <v>29</v>
      </c>
      <c r="G234" s="213" t="s">
        <v>30</v>
      </c>
      <c r="H234" s="213" t="s">
        <v>272</v>
      </c>
      <c r="I234" s="34"/>
    </row>
    <row r="235" spans="1:10" ht="15.95" customHeight="1" x14ac:dyDescent="0.2">
      <c r="A235" s="586" t="s">
        <v>262</v>
      </c>
      <c r="B235" s="587"/>
      <c r="C235" s="8" t="s">
        <v>7</v>
      </c>
      <c r="D235" s="8">
        <v>1</v>
      </c>
      <c r="E235" s="9">
        <f>E206</f>
        <v>491963</v>
      </c>
      <c r="F235" s="9">
        <f>D235*E235</f>
        <v>491963</v>
      </c>
      <c r="G235" s="128"/>
      <c r="H235" s="121"/>
      <c r="I235" s="34"/>
    </row>
    <row r="236" spans="1:10" ht="15.95" customHeight="1" x14ac:dyDescent="0.2">
      <c r="A236" s="608" t="s">
        <v>90</v>
      </c>
      <c r="B236" s="573"/>
      <c r="C236" s="10" t="s">
        <v>0</v>
      </c>
      <c r="D236" s="243">
        <v>15</v>
      </c>
      <c r="E236" s="11"/>
      <c r="F236" s="11"/>
      <c r="G236" s="127"/>
      <c r="H236" s="178"/>
      <c r="I236" s="34"/>
    </row>
    <row r="237" spans="1:10" ht="15.95" customHeight="1" x14ac:dyDescent="0.2">
      <c r="A237" s="576" t="s">
        <v>268</v>
      </c>
      <c r="B237" s="573"/>
      <c r="C237" s="10" t="s">
        <v>20</v>
      </c>
      <c r="D237" s="48">
        <f>F235</f>
        <v>491963</v>
      </c>
      <c r="E237" s="11"/>
      <c r="F237" s="11"/>
      <c r="G237" s="127"/>
      <c r="H237" s="178"/>
      <c r="I237" s="34">
        <f>F208</f>
        <v>286224.07339999999</v>
      </c>
    </row>
    <row r="238" spans="1:10" ht="15.95" customHeight="1" x14ac:dyDescent="0.2">
      <c r="A238" s="576" t="s">
        <v>269</v>
      </c>
      <c r="B238" s="573"/>
      <c r="C238" s="10"/>
      <c r="D238" s="48">
        <f>(F206-F208)</f>
        <v>205738.92660000001</v>
      </c>
      <c r="E238" s="11"/>
      <c r="F238" s="11"/>
      <c r="G238" s="127"/>
      <c r="H238" s="178"/>
      <c r="I238" s="34">
        <f>D207+1</f>
        <v>7</v>
      </c>
      <c r="J238" s="5">
        <f>(I238/I239)*I237</f>
        <v>166964.04281666668</v>
      </c>
    </row>
    <row r="239" spans="1:10" ht="15.95" customHeight="1" x14ac:dyDescent="0.2">
      <c r="A239" s="576" t="s">
        <v>270</v>
      </c>
      <c r="B239" s="573"/>
      <c r="C239" s="10" t="s">
        <v>20</v>
      </c>
      <c r="D239" s="33">
        <f>(D237-D238)*((D207+1)/(2*D207))+D238</f>
        <v>372702.96941666666</v>
      </c>
      <c r="E239" s="11"/>
      <c r="F239" s="11"/>
      <c r="G239" s="127"/>
      <c r="H239" s="178"/>
      <c r="I239" s="361">
        <f>6*2</f>
        <v>12</v>
      </c>
      <c r="J239" s="5">
        <f>J238+D238</f>
        <v>372702.96941666666</v>
      </c>
    </row>
    <row r="240" spans="1:10" ht="15.95" customHeight="1" x14ac:dyDescent="0.2">
      <c r="A240" s="572" t="s">
        <v>271</v>
      </c>
      <c r="B240" s="573"/>
      <c r="C240" s="37" t="s">
        <v>20</v>
      </c>
      <c r="D240" s="37"/>
      <c r="E240" s="146">
        <f>D236*D239/12/100</f>
        <v>4658.7871177083325</v>
      </c>
      <c r="F240" s="38">
        <f>E240</f>
        <v>4658.7871177083325</v>
      </c>
      <c r="G240" s="127"/>
      <c r="H240" s="178"/>
      <c r="I240" s="34"/>
    </row>
    <row r="241" spans="1:10" ht="15.95" customHeight="1" x14ac:dyDescent="0.2">
      <c r="A241" s="572" t="s">
        <v>267</v>
      </c>
      <c r="B241" s="601"/>
      <c r="C241" s="82"/>
      <c r="D241" s="82"/>
      <c r="E241" s="19"/>
      <c r="F241" s="145">
        <f>F240</f>
        <v>4658.7871177083325</v>
      </c>
      <c r="G241" s="127"/>
      <c r="H241" s="178"/>
      <c r="I241" s="34"/>
    </row>
    <row r="242" spans="1:10" ht="15.95" customHeight="1" x14ac:dyDescent="0.2">
      <c r="A242" s="572" t="s">
        <v>267</v>
      </c>
      <c r="B242" s="573"/>
      <c r="C242" s="37" t="s">
        <v>7</v>
      </c>
      <c r="D242" s="10">
        <f>D210</f>
        <v>1</v>
      </c>
      <c r="E242" s="38">
        <f>F241</f>
        <v>4658.7871177083325</v>
      </c>
      <c r="F242" s="39">
        <f>D242*E242</f>
        <v>4658.7871177083325</v>
      </c>
      <c r="G242" s="127"/>
      <c r="H242" s="178"/>
      <c r="I242" s="34"/>
    </row>
    <row r="243" spans="1:10" ht="15.95" customHeight="1" thickBot="1" x14ac:dyDescent="0.25">
      <c r="A243" s="371"/>
      <c r="B243" s="372"/>
      <c r="D243" s="85"/>
      <c r="E243" s="83" t="s">
        <v>88</v>
      </c>
      <c r="F243" s="225">
        <f>$C$63</f>
        <v>1</v>
      </c>
      <c r="G243" s="214">
        <f>F242*F243</f>
        <v>4658.7871177083325</v>
      </c>
      <c r="H243" s="214">
        <f>G243/G$45</f>
        <v>22.398014988982368</v>
      </c>
      <c r="I243" s="34"/>
    </row>
    <row r="244" spans="1:10" ht="15.95" customHeight="1" x14ac:dyDescent="0.2">
      <c r="A244" s="371"/>
      <c r="B244" s="372"/>
      <c r="D244" s="85"/>
      <c r="E244" s="83"/>
      <c r="F244" s="533"/>
      <c r="G244" s="253"/>
      <c r="H244" s="528"/>
      <c r="I244" s="34"/>
    </row>
    <row r="245" spans="1:10" ht="15.95" customHeight="1" thickBot="1" x14ac:dyDescent="0.25">
      <c r="A245" s="367" t="s">
        <v>482</v>
      </c>
      <c r="B245" s="368"/>
      <c r="E245" s="27"/>
      <c r="F245" s="253"/>
      <c r="G245" s="253"/>
      <c r="H245" s="43"/>
      <c r="I245" s="34"/>
    </row>
    <row r="246" spans="1:10" ht="15.95" customHeight="1" thickBot="1" x14ac:dyDescent="0.25">
      <c r="A246" s="570" t="s">
        <v>27</v>
      </c>
      <c r="B246" s="600"/>
      <c r="C246" s="211" t="s">
        <v>28</v>
      </c>
      <c r="D246" s="211" t="s">
        <v>21</v>
      </c>
      <c r="E246" s="212" t="s">
        <v>94</v>
      </c>
      <c r="F246" s="212" t="s">
        <v>29</v>
      </c>
      <c r="G246" s="213" t="s">
        <v>30</v>
      </c>
      <c r="H246" s="213" t="s">
        <v>272</v>
      </c>
      <c r="I246" s="34"/>
    </row>
    <row r="247" spans="1:10" ht="15.95" customHeight="1" x14ac:dyDescent="0.2">
      <c r="A247" s="586" t="s">
        <v>262</v>
      </c>
      <c r="B247" s="587"/>
      <c r="C247" s="8" t="s">
        <v>7</v>
      </c>
      <c r="D247" s="8">
        <v>1</v>
      </c>
      <c r="E247" s="9">
        <f>E215</f>
        <v>7175</v>
      </c>
      <c r="F247" s="9">
        <f>D247*E247</f>
        <v>7175</v>
      </c>
      <c r="G247" s="128"/>
      <c r="H247" s="121"/>
      <c r="I247" s="34"/>
    </row>
    <row r="248" spans="1:10" ht="15.95" customHeight="1" x14ac:dyDescent="0.2">
      <c r="A248" s="608" t="s">
        <v>90</v>
      </c>
      <c r="B248" s="573"/>
      <c r="C248" s="10" t="s">
        <v>0</v>
      </c>
      <c r="D248" s="243">
        <v>15</v>
      </c>
      <c r="E248" s="11"/>
      <c r="F248" s="11"/>
      <c r="G248" s="127"/>
      <c r="H248" s="178"/>
      <c r="I248" s="34">
        <f>D249-D250</f>
        <v>3775.4850000000001</v>
      </c>
    </row>
    <row r="249" spans="1:10" ht="15.95" customHeight="1" x14ac:dyDescent="0.2">
      <c r="A249" s="576" t="s">
        <v>268</v>
      </c>
      <c r="B249" s="573"/>
      <c r="C249" s="10" t="s">
        <v>20</v>
      </c>
      <c r="D249" s="48">
        <f>F247</f>
        <v>7175</v>
      </c>
      <c r="E249" s="11"/>
      <c r="F249" s="11"/>
      <c r="G249" s="127"/>
      <c r="H249" s="178"/>
      <c r="I249" s="34">
        <f>D216+1</f>
        <v>5</v>
      </c>
      <c r="J249" s="5">
        <f>(I249/I250)*I248</f>
        <v>2359.6781249999999</v>
      </c>
    </row>
    <row r="250" spans="1:10" ht="15.95" customHeight="1" x14ac:dyDescent="0.2">
      <c r="A250" s="576" t="s">
        <v>269</v>
      </c>
      <c r="B250" s="573"/>
      <c r="C250" s="10"/>
      <c r="D250" s="48">
        <f>(F215-F217)</f>
        <v>3399.5149999999999</v>
      </c>
      <c r="E250" s="11"/>
      <c r="F250" s="11"/>
      <c r="G250" s="127"/>
      <c r="H250" s="178"/>
      <c r="I250" s="34">
        <f>D216*2</f>
        <v>8</v>
      </c>
      <c r="J250" s="5">
        <f>J249+D250</f>
        <v>5759.1931249999998</v>
      </c>
    </row>
    <row r="251" spans="1:10" ht="15.95" customHeight="1" x14ac:dyDescent="0.2">
      <c r="A251" s="576" t="s">
        <v>270</v>
      </c>
      <c r="B251" s="573"/>
      <c r="C251" s="10" t="s">
        <v>20</v>
      </c>
      <c r="D251" s="33">
        <f>(D249-D250)*((D216+1)/(2*D216))+D250</f>
        <v>5759.1931249999998</v>
      </c>
      <c r="E251" s="11"/>
      <c r="F251" s="11"/>
      <c r="G251" s="127"/>
      <c r="H251" s="178"/>
      <c r="I251" s="34"/>
    </row>
    <row r="252" spans="1:10" ht="15.95" customHeight="1" x14ac:dyDescent="0.2">
      <c r="A252" s="572" t="s">
        <v>271</v>
      </c>
      <c r="B252" s="573"/>
      <c r="C252" s="37" t="s">
        <v>20</v>
      </c>
      <c r="D252" s="37"/>
      <c r="E252" s="146">
        <f>D248*D251/12/100</f>
        <v>71.989914062499992</v>
      </c>
      <c r="F252" s="38">
        <f>E252</f>
        <v>71.989914062499992</v>
      </c>
      <c r="G252" s="127"/>
      <c r="H252" s="178"/>
      <c r="I252" s="34"/>
    </row>
    <row r="253" spans="1:10" ht="15.95" customHeight="1" x14ac:dyDescent="0.2">
      <c r="A253" s="572" t="s">
        <v>267</v>
      </c>
      <c r="B253" s="601"/>
      <c r="C253" s="82"/>
      <c r="D253" s="82"/>
      <c r="E253" s="19"/>
      <c r="F253" s="145">
        <f>F252</f>
        <v>71.989914062499992</v>
      </c>
      <c r="G253" s="127"/>
      <c r="H253" s="178"/>
      <c r="I253" s="34"/>
    </row>
    <row r="254" spans="1:10" ht="15.95" customHeight="1" x14ac:dyDescent="0.2">
      <c r="A254" s="572" t="s">
        <v>267</v>
      </c>
      <c r="B254" s="573"/>
      <c r="C254" s="37" t="s">
        <v>7</v>
      </c>
      <c r="D254" s="10">
        <v>1</v>
      </c>
      <c r="E254" s="38">
        <f>F253</f>
        <v>71.989914062499992</v>
      </c>
      <c r="F254" s="39">
        <f>D254*E254</f>
        <v>71.989914062499992</v>
      </c>
      <c r="G254" s="127"/>
      <c r="H254" s="178"/>
      <c r="I254" s="34"/>
    </row>
    <row r="255" spans="1:10" ht="15.95" customHeight="1" thickBot="1" x14ac:dyDescent="0.25">
      <c r="A255" s="371"/>
      <c r="B255" s="372"/>
      <c r="D255" s="85"/>
      <c r="E255" s="83" t="s">
        <v>88</v>
      </c>
      <c r="F255" s="225">
        <f>$C$63</f>
        <v>1</v>
      </c>
      <c r="G255" s="214">
        <f>F254*F255</f>
        <v>71.989914062499992</v>
      </c>
      <c r="H255" s="214">
        <f>G255/G$45</f>
        <v>0.34610535606971149</v>
      </c>
      <c r="I255" s="34"/>
    </row>
    <row r="256" spans="1:10" ht="15.95" customHeight="1" x14ac:dyDescent="0.2">
      <c r="A256" s="371"/>
      <c r="B256" s="372"/>
      <c r="D256" s="85"/>
      <c r="E256" s="83"/>
      <c r="F256" s="533"/>
      <c r="G256" s="533"/>
      <c r="H256" s="528"/>
      <c r="I256" s="34"/>
    </row>
    <row r="257" spans="1:10" ht="15.95" customHeight="1" thickBot="1" x14ac:dyDescent="0.25">
      <c r="A257" s="367" t="s">
        <v>498</v>
      </c>
      <c r="B257" s="368"/>
      <c r="E257" s="27"/>
      <c r="F257" s="253"/>
      <c r="G257" s="533"/>
      <c r="H257" s="43"/>
      <c r="I257" s="34"/>
    </row>
    <row r="258" spans="1:10" ht="15.95" customHeight="1" thickBot="1" x14ac:dyDescent="0.25">
      <c r="A258" s="570" t="s">
        <v>27</v>
      </c>
      <c r="B258" s="600"/>
      <c r="C258" s="211" t="s">
        <v>28</v>
      </c>
      <c r="D258" s="211" t="s">
        <v>21</v>
      </c>
      <c r="E258" s="212" t="s">
        <v>94</v>
      </c>
      <c r="F258" s="212" t="s">
        <v>29</v>
      </c>
      <c r="G258" s="213" t="s">
        <v>30</v>
      </c>
      <c r="H258" s="213" t="s">
        <v>272</v>
      </c>
      <c r="I258" s="34"/>
    </row>
    <row r="259" spans="1:10" ht="15.95" customHeight="1" x14ac:dyDescent="0.2">
      <c r="A259" s="586" t="s">
        <v>262</v>
      </c>
      <c r="B259" s="587"/>
      <c r="C259" s="8" t="s">
        <v>7</v>
      </c>
      <c r="D259" s="8">
        <v>1</v>
      </c>
      <c r="E259" s="9">
        <f>E224</f>
        <v>8624</v>
      </c>
      <c r="F259" s="9">
        <f>D259*E259</f>
        <v>8624</v>
      </c>
      <c r="G259" s="128"/>
      <c r="H259" s="121"/>
      <c r="I259" s="34"/>
    </row>
    <row r="260" spans="1:10" ht="15.95" customHeight="1" x14ac:dyDescent="0.2">
      <c r="A260" s="608" t="s">
        <v>90</v>
      </c>
      <c r="B260" s="573"/>
      <c r="C260" s="10" t="s">
        <v>0</v>
      </c>
      <c r="D260" s="243">
        <v>15</v>
      </c>
      <c r="E260" s="11"/>
      <c r="F260" s="11"/>
      <c r="G260" s="127"/>
      <c r="H260" s="178"/>
      <c r="I260" s="34"/>
    </row>
    <row r="261" spans="1:10" ht="15.95" customHeight="1" x14ac:dyDescent="0.2">
      <c r="A261" s="576" t="s">
        <v>268</v>
      </c>
      <c r="B261" s="573"/>
      <c r="C261" s="10" t="s">
        <v>20</v>
      </c>
      <c r="D261" s="48">
        <f>F259</f>
        <v>8624</v>
      </c>
      <c r="E261" s="11"/>
      <c r="F261" s="11"/>
      <c r="G261" s="127"/>
      <c r="H261" s="178"/>
      <c r="I261" s="34">
        <f>D261-D262</f>
        <v>5621.1232</v>
      </c>
    </row>
    <row r="262" spans="1:10" ht="15.95" customHeight="1" x14ac:dyDescent="0.2">
      <c r="A262" s="576" t="s">
        <v>269</v>
      </c>
      <c r="B262" s="573"/>
      <c r="C262" s="10"/>
      <c r="D262" s="48">
        <f>(F224-F226)</f>
        <v>3002.8768</v>
      </c>
      <c r="E262" s="11"/>
      <c r="F262" s="11"/>
      <c r="G262" s="127"/>
      <c r="H262" s="178"/>
      <c r="I262" s="34">
        <f>11/20</f>
        <v>0.55000000000000004</v>
      </c>
      <c r="J262" s="5">
        <f>I262*I261</f>
        <v>3091.6177600000001</v>
      </c>
    </row>
    <row r="263" spans="1:10" ht="15.95" customHeight="1" x14ac:dyDescent="0.2">
      <c r="A263" s="576" t="s">
        <v>270</v>
      </c>
      <c r="B263" s="573"/>
      <c r="C263" s="10" t="s">
        <v>20</v>
      </c>
      <c r="D263" s="33">
        <f>(D261-D262)*((D225+1)/(2*D225))+D262</f>
        <v>6094.4945600000001</v>
      </c>
      <c r="E263" s="11"/>
      <c r="F263" s="11"/>
      <c r="G263" s="127"/>
      <c r="H263" s="178"/>
      <c r="I263" s="34"/>
      <c r="J263" s="5">
        <f>J262+D262</f>
        <v>6094.4945600000001</v>
      </c>
    </row>
    <row r="264" spans="1:10" ht="15.95" customHeight="1" x14ac:dyDescent="0.2">
      <c r="A264" s="572" t="s">
        <v>271</v>
      </c>
      <c r="B264" s="573"/>
      <c r="C264" s="37" t="s">
        <v>20</v>
      </c>
      <c r="D264" s="37"/>
      <c r="E264" s="146">
        <f>D260*D263/12/100</f>
        <v>76.181181999999993</v>
      </c>
      <c r="F264" s="38">
        <f>E264</f>
        <v>76.181181999999993</v>
      </c>
      <c r="G264" s="127"/>
      <c r="H264" s="178"/>
      <c r="I264" s="34"/>
    </row>
    <row r="265" spans="1:10" ht="15.95" customHeight="1" x14ac:dyDescent="0.2">
      <c r="A265" s="572" t="s">
        <v>267</v>
      </c>
      <c r="B265" s="601"/>
      <c r="C265" s="82"/>
      <c r="D265" s="82"/>
      <c r="E265" s="19"/>
      <c r="F265" s="145">
        <f>F264</f>
        <v>76.181181999999993</v>
      </c>
      <c r="G265" s="127"/>
      <c r="H265" s="178"/>
      <c r="I265" s="34"/>
    </row>
    <row r="266" spans="1:10" ht="15.95" customHeight="1" x14ac:dyDescent="0.2">
      <c r="A266" s="572" t="s">
        <v>267</v>
      </c>
      <c r="B266" s="573"/>
      <c r="C266" s="37" t="s">
        <v>7</v>
      </c>
      <c r="D266" s="10">
        <v>1</v>
      </c>
      <c r="E266" s="38">
        <f>F265</f>
        <v>76.181181999999993</v>
      </c>
      <c r="F266" s="534">
        <f>D266*E266</f>
        <v>76.181181999999993</v>
      </c>
      <c r="G266" s="127"/>
      <c r="H266" s="178"/>
      <c r="I266" s="34"/>
    </row>
    <row r="267" spans="1:10" ht="15.95" customHeight="1" thickBot="1" x14ac:dyDescent="0.25">
      <c r="A267" s="371"/>
      <c r="B267" s="372"/>
      <c r="D267" s="85"/>
      <c r="E267" s="83" t="s">
        <v>88</v>
      </c>
      <c r="F267" s="225">
        <f>$C$63</f>
        <v>1</v>
      </c>
      <c r="G267" s="214">
        <f>F266*F267</f>
        <v>76.181181999999993</v>
      </c>
      <c r="H267" s="214">
        <f>G267/G$45</f>
        <v>0.36625568269230768</v>
      </c>
      <c r="I267" s="34"/>
    </row>
    <row r="268" spans="1:10" ht="15.95" customHeight="1" thickBot="1" x14ac:dyDescent="0.25">
      <c r="A268" s="371"/>
      <c r="B268" s="372"/>
      <c r="D268" s="85"/>
      <c r="E268" s="83"/>
      <c r="F268" s="533"/>
      <c r="G268" s="533"/>
      <c r="H268" s="528"/>
      <c r="I268" s="34"/>
    </row>
    <row r="269" spans="1:10" ht="15.95" customHeight="1" thickBot="1" x14ac:dyDescent="0.25">
      <c r="A269" s="371"/>
      <c r="B269" s="372"/>
      <c r="D269" s="82"/>
      <c r="E269" s="532" t="s">
        <v>483</v>
      </c>
      <c r="F269" s="533"/>
      <c r="G269" s="537">
        <f>G267+G255+G243</f>
        <v>4806.9582137708321</v>
      </c>
      <c r="H269" s="214">
        <f>G269/G$45</f>
        <v>23.110376027744387</v>
      </c>
      <c r="I269" s="34"/>
    </row>
    <row r="270" spans="1:10" ht="15.95" customHeight="1" thickBot="1" x14ac:dyDescent="0.25">
      <c r="A270" s="367" t="s">
        <v>593</v>
      </c>
      <c r="B270" s="377"/>
      <c r="C270" s="150"/>
      <c r="D270" s="274"/>
      <c r="E270" s="274"/>
      <c r="F270" s="127"/>
      <c r="G270" s="127"/>
      <c r="H270" s="127"/>
      <c r="I270" s="34"/>
    </row>
    <row r="271" spans="1:10" ht="15.95" customHeight="1" thickBot="1" x14ac:dyDescent="0.25">
      <c r="A271" s="574" t="s">
        <v>299</v>
      </c>
      <c r="B271" s="575"/>
      <c r="C271" s="413">
        <f>G45</f>
        <v>208</v>
      </c>
      <c r="D271" s="150"/>
      <c r="E271" s="274"/>
      <c r="F271" s="127"/>
      <c r="G271" s="127"/>
      <c r="H271" s="127"/>
      <c r="I271" s="34"/>
    </row>
    <row r="272" spans="1:10" ht="15.95" customHeight="1" thickBot="1" x14ac:dyDescent="0.25">
      <c r="A272" s="570" t="s">
        <v>27</v>
      </c>
      <c r="B272" s="571"/>
      <c r="C272" s="211" t="s">
        <v>28</v>
      </c>
      <c r="D272" s="211" t="s">
        <v>97</v>
      </c>
      <c r="E272" s="212" t="s">
        <v>94</v>
      </c>
      <c r="F272" s="212" t="s">
        <v>29</v>
      </c>
      <c r="G272" s="287" t="s">
        <v>30</v>
      </c>
      <c r="H272" s="213" t="s">
        <v>272</v>
      </c>
      <c r="I272" s="34"/>
    </row>
    <row r="273" spans="1:9" ht="15.95" customHeight="1" x14ac:dyDescent="0.2">
      <c r="A273" s="378" t="s">
        <v>300</v>
      </c>
      <c r="B273" s="379"/>
      <c r="C273" s="147" t="s">
        <v>327</v>
      </c>
      <c r="D273" s="246">
        <v>17</v>
      </c>
      <c r="E273" s="357">
        <v>5.57</v>
      </c>
      <c r="F273" s="148"/>
      <c r="G273" s="149"/>
      <c r="H273" s="277"/>
      <c r="I273" s="361"/>
    </row>
    <row r="274" spans="1:9" ht="15.95" customHeight="1" x14ac:dyDescent="0.2">
      <c r="A274" s="380" t="s">
        <v>13</v>
      </c>
      <c r="B274" s="381"/>
      <c r="C274" s="80" t="s">
        <v>301</v>
      </c>
      <c r="D274" s="186">
        <f>C271</f>
        <v>208</v>
      </c>
      <c r="E274" s="358">
        <f>IFERROR(+E273*D273,"-")</f>
        <v>94.69</v>
      </c>
      <c r="F274" s="186">
        <f>IFERROR(D274*E274,"-")</f>
        <v>19695.52</v>
      </c>
      <c r="G274" s="149"/>
      <c r="H274" s="127"/>
      <c r="I274" s="34"/>
    </row>
    <row r="275" spans="1:9" ht="15.95" customHeight="1" x14ac:dyDescent="0.2">
      <c r="A275" s="576" t="s">
        <v>329</v>
      </c>
      <c r="B275" s="577"/>
      <c r="C275" s="147" t="s">
        <v>327</v>
      </c>
      <c r="D275" s="359">
        <v>0.85</v>
      </c>
      <c r="E275" s="357">
        <v>3.3</v>
      </c>
      <c r="F275" s="186"/>
      <c r="G275" s="149"/>
      <c r="H275" s="127"/>
      <c r="I275" s="361"/>
    </row>
    <row r="276" spans="1:9" ht="15.95" customHeight="1" x14ac:dyDescent="0.2">
      <c r="A276" s="576" t="s">
        <v>330</v>
      </c>
      <c r="B276" s="577"/>
      <c r="C276" s="80" t="s">
        <v>301</v>
      </c>
      <c r="D276" s="186">
        <f>C271</f>
        <v>208</v>
      </c>
      <c r="E276" s="358">
        <f>IFERROR(+E275*D275,"-")</f>
        <v>2.8049999999999997</v>
      </c>
      <c r="F276" s="186">
        <f>IFERROR(D276*E276,"-")</f>
        <v>583.43999999999994</v>
      </c>
      <c r="G276" s="149"/>
      <c r="H276" s="127"/>
      <c r="I276" s="34"/>
    </row>
    <row r="277" spans="1:9" ht="15.95" customHeight="1" x14ac:dyDescent="0.2">
      <c r="A277" s="380" t="s">
        <v>332</v>
      </c>
      <c r="B277" s="381"/>
      <c r="C277" s="80" t="s">
        <v>331</v>
      </c>
      <c r="D277" s="359">
        <v>15.5</v>
      </c>
      <c r="E277" s="359">
        <v>14</v>
      </c>
      <c r="F277" s="186"/>
      <c r="G277" s="149"/>
      <c r="H277" s="127"/>
      <c r="I277" s="361"/>
    </row>
    <row r="278" spans="1:9" ht="15.95" customHeight="1" x14ac:dyDescent="0.2">
      <c r="A278" s="380" t="s">
        <v>15</v>
      </c>
      <c r="B278" s="381"/>
      <c r="C278" s="80" t="s">
        <v>301</v>
      </c>
      <c r="D278" s="186">
        <f>D274</f>
        <v>208</v>
      </c>
      <c r="E278" s="360">
        <f>+D277*E277/200</f>
        <v>1.085</v>
      </c>
      <c r="F278" s="186">
        <f>D278*E278</f>
        <v>225.68</v>
      </c>
      <c r="G278" s="149"/>
      <c r="H278" s="127"/>
      <c r="I278" s="34"/>
    </row>
    <row r="279" spans="1:9" ht="15.95" customHeight="1" x14ac:dyDescent="0.2">
      <c r="A279" s="380" t="s">
        <v>333</v>
      </c>
      <c r="B279" s="381"/>
      <c r="C279" s="80" t="s">
        <v>331</v>
      </c>
      <c r="D279" s="359">
        <v>124</v>
      </c>
      <c r="E279" s="359">
        <v>12.9</v>
      </c>
      <c r="F279" s="186"/>
      <c r="G279" s="149"/>
      <c r="H279" s="127"/>
      <c r="I279" s="361"/>
    </row>
    <row r="280" spans="1:9" ht="15.95" customHeight="1" x14ac:dyDescent="0.2">
      <c r="A280" s="380" t="s">
        <v>17</v>
      </c>
      <c r="B280" s="381"/>
      <c r="C280" s="80" t="s">
        <v>301</v>
      </c>
      <c r="D280" s="186">
        <f>D274</f>
        <v>208</v>
      </c>
      <c r="E280" s="360">
        <f>+D279*E279/200</f>
        <v>7.9980000000000011</v>
      </c>
      <c r="F280" s="186">
        <f>D280*E280</f>
        <v>1663.5840000000003</v>
      </c>
      <c r="G280" s="149"/>
      <c r="H280" s="127"/>
      <c r="I280" s="34"/>
    </row>
    <row r="281" spans="1:9" ht="15.95" customHeight="1" x14ac:dyDescent="0.2">
      <c r="A281" s="380" t="s">
        <v>334</v>
      </c>
      <c r="B281" s="381"/>
      <c r="C281" s="80" t="s">
        <v>335</v>
      </c>
      <c r="D281" s="359">
        <v>1</v>
      </c>
      <c r="E281" s="359">
        <v>125</v>
      </c>
      <c r="F281" s="186"/>
      <c r="G281" s="149"/>
      <c r="H281" s="127"/>
      <c r="I281" s="361"/>
    </row>
    <row r="282" spans="1:9" ht="15.95" customHeight="1" x14ac:dyDescent="0.2">
      <c r="A282" s="380" t="s">
        <v>302</v>
      </c>
      <c r="B282" s="381"/>
      <c r="C282" s="80" t="s">
        <v>301</v>
      </c>
      <c r="D282" s="186">
        <f>D280</f>
        <v>208</v>
      </c>
      <c r="E282" s="360">
        <f>+D281*E281/200</f>
        <v>0.625</v>
      </c>
      <c r="F282" s="186">
        <f>D282*E282</f>
        <v>130</v>
      </c>
      <c r="G282" s="149"/>
      <c r="H282" s="127"/>
      <c r="I282" s="34"/>
    </row>
    <row r="283" spans="1:9" ht="15.95" customHeight="1" x14ac:dyDescent="0.2">
      <c r="A283" s="380" t="s">
        <v>336</v>
      </c>
      <c r="B283" s="381"/>
      <c r="C283" s="80" t="s">
        <v>335</v>
      </c>
      <c r="D283" s="359">
        <v>2</v>
      </c>
      <c r="E283" s="359">
        <v>71</v>
      </c>
      <c r="F283" s="186"/>
      <c r="G283" s="149"/>
      <c r="H283" s="127"/>
      <c r="I283" s="361"/>
    </row>
    <row r="284" spans="1:9" ht="15.95" customHeight="1" x14ac:dyDescent="0.2">
      <c r="A284" s="380" t="s">
        <v>302</v>
      </c>
      <c r="B284" s="381"/>
      <c r="C284" s="80" t="s">
        <v>301</v>
      </c>
      <c r="D284" s="186">
        <f>D282</f>
        <v>208</v>
      </c>
      <c r="E284" s="360">
        <f>+D283*E283/200</f>
        <v>0.71</v>
      </c>
      <c r="F284" s="186">
        <f>D284*E284</f>
        <v>147.68</v>
      </c>
      <c r="G284" s="149"/>
      <c r="H284" s="127"/>
      <c r="I284" s="34"/>
    </row>
    <row r="285" spans="1:9" ht="15.95" customHeight="1" x14ac:dyDescent="0.2">
      <c r="A285" s="380" t="s">
        <v>337</v>
      </c>
      <c r="B285" s="381"/>
      <c r="C285" s="80" t="s">
        <v>335</v>
      </c>
      <c r="D285" s="359">
        <v>1</v>
      </c>
      <c r="E285" s="359">
        <v>204</v>
      </c>
      <c r="F285" s="186"/>
      <c r="G285" s="149"/>
      <c r="H285" s="127"/>
      <c r="I285" s="361"/>
    </row>
    <row r="286" spans="1:9" ht="15.95" customHeight="1" x14ac:dyDescent="0.2">
      <c r="A286" s="380" t="s">
        <v>303</v>
      </c>
      <c r="B286" s="381"/>
      <c r="C286" s="80" t="s">
        <v>301</v>
      </c>
      <c r="D286" s="186">
        <f>D282</f>
        <v>208</v>
      </c>
      <c r="E286" s="360">
        <f>+D285*E285/200</f>
        <v>1.02</v>
      </c>
      <c r="F286" s="186">
        <f>D286*E286</f>
        <v>212.16</v>
      </c>
      <c r="G286" s="149"/>
      <c r="H286" s="127"/>
      <c r="I286" s="34"/>
    </row>
    <row r="287" spans="1:9" ht="15.95" customHeight="1" x14ac:dyDescent="0.2">
      <c r="A287" s="380" t="s">
        <v>339</v>
      </c>
      <c r="B287" s="381"/>
      <c r="C287" s="80" t="s">
        <v>335</v>
      </c>
      <c r="D287" s="359">
        <v>1</v>
      </c>
      <c r="E287" s="359">
        <v>197</v>
      </c>
      <c r="F287" s="186"/>
      <c r="G287" s="149"/>
      <c r="H287" s="127"/>
      <c r="I287" s="361"/>
    </row>
    <row r="288" spans="1:9" ht="15.95" customHeight="1" x14ac:dyDescent="0.2">
      <c r="A288" s="380" t="s">
        <v>303</v>
      </c>
      <c r="B288" s="381"/>
      <c r="C288" s="80" t="s">
        <v>301</v>
      </c>
      <c r="D288" s="186">
        <f>D284</f>
        <v>208</v>
      </c>
      <c r="E288" s="360">
        <f>+D287*E287/200</f>
        <v>0.98499999999999999</v>
      </c>
      <c r="F288" s="186">
        <f>D288*E288</f>
        <v>204.88</v>
      </c>
      <c r="G288" s="149"/>
      <c r="H288" s="127"/>
      <c r="I288" s="34"/>
    </row>
    <row r="289" spans="1:9" ht="15.95" customHeight="1" x14ac:dyDescent="0.2">
      <c r="A289" s="380" t="s">
        <v>338</v>
      </c>
      <c r="B289" s="381"/>
      <c r="C289" s="80" t="s">
        <v>335</v>
      </c>
      <c r="D289" s="359">
        <v>2</v>
      </c>
      <c r="E289" s="359">
        <v>169</v>
      </c>
      <c r="F289" s="186"/>
      <c r="G289" s="149"/>
      <c r="H289" s="127"/>
      <c r="I289" s="361"/>
    </row>
    <row r="290" spans="1:9" ht="15.95" customHeight="1" thickBot="1" x14ac:dyDescent="0.25">
      <c r="A290" s="380" t="s">
        <v>304</v>
      </c>
      <c r="B290" s="381"/>
      <c r="C290" s="80" t="s">
        <v>301</v>
      </c>
      <c r="D290" s="186">
        <f>D286</f>
        <v>208</v>
      </c>
      <c r="E290" s="360">
        <f>+D289*E289/200</f>
        <v>1.69</v>
      </c>
      <c r="F290" s="186">
        <f>D290*E290</f>
        <v>351.52</v>
      </c>
      <c r="G290" s="149"/>
      <c r="H290" s="127"/>
      <c r="I290" s="34"/>
    </row>
    <row r="291" spans="1:9" ht="15.95" customHeight="1" thickBot="1" x14ac:dyDescent="0.25">
      <c r="A291" s="382" t="s">
        <v>305</v>
      </c>
      <c r="B291" s="381"/>
      <c r="C291" s="37" t="s">
        <v>306</v>
      </c>
      <c r="D291" s="75"/>
      <c r="E291" s="38"/>
      <c r="F291" s="186"/>
      <c r="G291" s="218">
        <f>SUM(F273:F290)</f>
        <v>23214.464</v>
      </c>
      <c r="H291" s="214">
        <f>G291/G$45</f>
        <v>111.608</v>
      </c>
      <c r="I291" s="34"/>
    </row>
    <row r="292" spans="1:9" ht="15.95" customHeight="1" x14ac:dyDescent="0.2">
      <c r="A292" s="383"/>
      <c r="B292" s="372"/>
      <c r="C292" s="150"/>
      <c r="D292" s="150"/>
      <c r="E292" s="274"/>
      <c r="F292" s="274"/>
      <c r="G292" s="149"/>
      <c r="H292" s="127"/>
      <c r="I292" s="34"/>
    </row>
    <row r="293" spans="1:9" ht="15.95" customHeight="1" thickBot="1" x14ac:dyDescent="0.25">
      <c r="A293" s="367" t="s">
        <v>312</v>
      </c>
      <c r="B293" s="372"/>
      <c r="C293" s="150"/>
      <c r="D293" s="150"/>
      <c r="E293" s="274"/>
      <c r="F293" s="274"/>
      <c r="G293" s="149"/>
      <c r="H293" s="127"/>
      <c r="I293" s="34"/>
    </row>
    <row r="294" spans="1:9" ht="15.95" customHeight="1" thickBot="1" x14ac:dyDescent="0.25">
      <c r="A294" s="602" t="s">
        <v>27</v>
      </c>
      <c r="B294" s="603"/>
      <c r="C294" s="211" t="s">
        <v>28</v>
      </c>
      <c r="D294" s="211" t="s">
        <v>21</v>
      </c>
      <c r="E294" s="212" t="s">
        <v>94</v>
      </c>
      <c r="F294" s="212" t="s">
        <v>29</v>
      </c>
      <c r="G294" s="287" t="s">
        <v>30</v>
      </c>
      <c r="H294" s="287" t="s">
        <v>272</v>
      </c>
      <c r="I294" s="34"/>
    </row>
    <row r="295" spans="1:9" ht="15.95" customHeight="1" x14ac:dyDescent="0.2">
      <c r="A295" s="380" t="s">
        <v>487</v>
      </c>
      <c r="B295" s="381"/>
      <c r="C295" s="147" t="s">
        <v>599</v>
      </c>
      <c r="D295" s="186">
        <v>1</v>
      </c>
      <c r="E295" s="246">
        <v>2000</v>
      </c>
      <c r="F295" s="148">
        <f>D295*E295</f>
        <v>2000</v>
      </c>
      <c r="G295" s="149"/>
      <c r="H295" s="127"/>
      <c r="I295" s="361"/>
    </row>
    <row r="296" spans="1:9" ht="15.95" customHeight="1" x14ac:dyDescent="0.2">
      <c r="A296" s="380" t="s">
        <v>488</v>
      </c>
      <c r="B296" s="381"/>
      <c r="C296" s="147" t="s">
        <v>599</v>
      </c>
      <c r="D296" s="423">
        <v>1</v>
      </c>
      <c r="E296" s="424">
        <v>150</v>
      </c>
      <c r="F296" s="148">
        <f>E296</f>
        <v>150</v>
      </c>
      <c r="G296" s="149"/>
      <c r="H296" s="127"/>
      <c r="I296" s="361"/>
    </row>
    <row r="297" spans="1:9" ht="15.95" customHeight="1" x14ac:dyDescent="0.2">
      <c r="A297" s="380" t="s">
        <v>431</v>
      </c>
      <c r="B297" s="380"/>
      <c r="C297" s="147" t="s">
        <v>599</v>
      </c>
      <c r="D297" s="423">
        <v>4</v>
      </c>
      <c r="E297" s="424">
        <v>200</v>
      </c>
      <c r="F297" s="148">
        <f>E297*D297</f>
        <v>800</v>
      </c>
      <c r="G297" s="149"/>
      <c r="H297" s="127"/>
      <c r="I297" s="361"/>
    </row>
    <row r="298" spans="1:9" ht="15.95" customHeight="1" x14ac:dyDescent="0.2">
      <c r="A298" s="380" t="s">
        <v>489</v>
      </c>
      <c r="B298" s="370"/>
      <c r="C298" s="147" t="s">
        <v>599</v>
      </c>
      <c r="D298" s="423">
        <v>1</v>
      </c>
      <c r="E298" s="424">
        <v>1500</v>
      </c>
      <c r="F298" s="148">
        <f>E298</f>
        <v>1500</v>
      </c>
      <c r="G298" s="149"/>
      <c r="H298" s="535"/>
      <c r="I298" s="361"/>
    </row>
    <row r="299" spans="1:9" ht="15.95" customHeight="1" x14ac:dyDescent="0.2">
      <c r="A299" s="380" t="s">
        <v>490</v>
      </c>
      <c r="B299" s="370"/>
      <c r="C299" s="147" t="s">
        <v>599</v>
      </c>
      <c r="D299" s="423">
        <v>1</v>
      </c>
      <c r="E299" s="424">
        <v>1000</v>
      </c>
      <c r="F299" s="148">
        <f>E299</f>
        <v>1000</v>
      </c>
      <c r="G299" s="149"/>
      <c r="H299" s="535"/>
      <c r="I299" s="361"/>
    </row>
    <row r="300" spans="1:9" ht="15.95" customHeight="1" x14ac:dyDescent="0.2">
      <c r="A300" s="380" t="s">
        <v>595</v>
      </c>
      <c r="B300" s="370"/>
      <c r="C300" s="147" t="s">
        <v>599</v>
      </c>
      <c r="D300" s="423">
        <v>1</v>
      </c>
      <c r="E300" s="424">
        <f>(100+95)*5</f>
        <v>975</v>
      </c>
      <c r="F300" s="148">
        <f>E300</f>
        <v>975</v>
      </c>
      <c r="G300" s="149"/>
      <c r="H300" s="535"/>
      <c r="I300" s="361"/>
    </row>
    <row r="301" spans="1:9" ht="15.95" customHeight="1" thickBot="1" x14ac:dyDescent="0.25">
      <c r="A301" s="380" t="s">
        <v>594</v>
      </c>
      <c r="B301" s="370"/>
      <c r="C301" s="147" t="s">
        <v>599</v>
      </c>
      <c r="D301" s="423">
        <v>1</v>
      </c>
      <c r="E301" s="424">
        <f>2600*5/12</f>
        <v>1083.3333333333333</v>
      </c>
      <c r="F301" s="148">
        <f t="shared" ref="F301" si="7">E301</f>
        <v>1083.3333333333333</v>
      </c>
      <c r="G301" s="149"/>
      <c r="H301" s="535"/>
      <c r="I301" s="361" t="s">
        <v>596</v>
      </c>
    </row>
    <row r="302" spans="1:9" ht="15.95" customHeight="1" thickBot="1" x14ac:dyDescent="0.25">
      <c r="A302" s="382" t="s">
        <v>340</v>
      </c>
      <c r="B302" s="381"/>
      <c r="C302" s="37"/>
      <c r="D302" s="364"/>
      <c r="E302" s="365"/>
      <c r="F302" s="186"/>
      <c r="G302" s="218">
        <f>F295+F296+F297+F298+F299+F301+F300</f>
        <v>7508.333333333333</v>
      </c>
      <c r="H302" s="214">
        <f>G302/G$45</f>
        <v>36.097756410256409</v>
      </c>
      <c r="I302" s="415"/>
    </row>
    <row r="303" spans="1:9" ht="15.95" customHeight="1" x14ac:dyDescent="0.2">
      <c r="A303" s="383"/>
      <c r="B303" s="372"/>
      <c r="C303" s="150"/>
      <c r="D303" s="150"/>
      <c r="E303" s="274"/>
      <c r="F303" s="274"/>
      <c r="G303" s="149"/>
      <c r="H303" s="127"/>
      <c r="I303" s="34"/>
    </row>
    <row r="304" spans="1:9" ht="15.95" customHeight="1" thickBot="1" x14ac:dyDescent="0.25">
      <c r="A304" s="367" t="s">
        <v>432</v>
      </c>
      <c r="B304" s="372"/>
      <c r="C304" s="150"/>
      <c r="D304" s="150"/>
      <c r="E304" s="274"/>
      <c r="F304" s="274"/>
      <c r="G304" s="149"/>
      <c r="H304" s="127"/>
      <c r="I304" s="34"/>
    </row>
    <row r="305" spans="1:9" ht="15.95" customHeight="1" thickBot="1" x14ac:dyDescent="0.25">
      <c r="A305" s="602" t="s">
        <v>27</v>
      </c>
      <c r="B305" s="603"/>
      <c r="C305" s="211" t="s">
        <v>28</v>
      </c>
      <c r="D305" s="211" t="s">
        <v>21</v>
      </c>
      <c r="E305" s="212" t="s">
        <v>94</v>
      </c>
      <c r="F305" s="212" t="s">
        <v>29</v>
      </c>
      <c r="G305" s="287" t="s">
        <v>30</v>
      </c>
      <c r="H305" s="287" t="s">
        <v>272</v>
      </c>
      <c r="I305" s="34"/>
    </row>
    <row r="306" spans="1:9" ht="15.95" customHeight="1" x14ac:dyDescent="0.2">
      <c r="A306" s="604" t="s">
        <v>433</v>
      </c>
      <c r="B306" s="605"/>
      <c r="C306" s="147" t="s">
        <v>7</v>
      </c>
      <c r="D306" s="362">
        <v>2</v>
      </c>
      <c r="E306" s="246">
        <v>886.22</v>
      </c>
      <c r="F306" s="148">
        <f>D306*E306</f>
        <v>1772.44</v>
      </c>
      <c r="G306" s="149"/>
      <c r="H306" s="127"/>
      <c r="I306" s="34"/>
    </row>
    <row r="307" spans="1:9" ht="15.95" customHeight="1" x14ac:dyDescent="0.2">
      <c r="A307" s="604" t="s">
        <v>434</v>
      </c>
      <c r="B307" s="605"/>
      <c r="C307" s="147" t="s">
        <v>7</v>
      </c>
      <c r="D307" s="362">
        <v>2</v>
      </c>
      <c r="E307" s="246">
        <v>3366.02</v>
      </c>
      <c r="F307" s="148">
        <f>E307*D307</f>
        <v>6732.04</v>
      </c>
      <c r="G307" s="149"/>
      <c r="H307" s="127"/>
      <c r="I307" s="34"/>
    </row>
    <row r="308" spans="1:9" ht="15.95" customHeight="1" thickBot="1" x14ac:dyDescent="0.25">
      <c r="A308" s="604" t="s">
        <v>308</v>
      </c>
      <c r="B308" s="605"/>
      <c r="C308" s="80" t="s">
        <v>307</v>
      </c>
      <c r="D308" s="363">
        <v>5000</v>
      </c>
      <c r="E308" s="186">
        <f>F307+F306</f>
        <v>8504.48</v>
      </c>
      <c r="F308" s="186">
        <f>E308/D308</f>
        <v>1.700896</v>
      </c>
      <c r="G308" s="149"/>
      <c r="H308" s="127"/>
      <c r="I308" s="34"/>
    </row>
    <row r="309" spans="1:9" ht="15.95" customHeight="1" thickBot="1" x14ac:dyDescent="0.25">
      <c r="A309" s="380" t="s">
        <v>25</v>
      </c>
      <c r="B309" s="381"/>
      <c r="C309" s="80" t="s">
        <v>309</v>
      </c>
      <c r="D309" s="186">
        <v>208</v>
      </c>
      <c r="E309" s="186">
        <f>F308</f>
        <v>1.700896</v>
      </c>
      <c r="F309" s="186">
        <f>IFERROR(D309*E309,0)</f>
        <v>353.78636799999998</v>
      </c>
      <c r="G309" s="218">
        <f>F309</f>
        <v>353.78636799999998</v>
      </c>
      <c r="H309" s="214">
        <f>G309/G$45</f>
        <v>1.700896</v>
      </c>
      <c r="I309" s="34"/>
    </row>
    <row r="310" spans="1:9" ht="15.95" customHeight="1" x14ac:dyDescent="0.2">
      <c r="A310" s="371"/>
      <c r="B310" s="372"/>
      <c r="D310" s="85"/>
      <c r="E310" s="83"/>
      <c r="F310" s="276"/>
      <c r="G310" s="149"/>
      <c r="H310" s="127"/>
      <c r="I310" s="34"/>
    </row>
    <row r="311" spans="1:9" ht="15.95" customHeight="1" thickBot="1" x14ac:dyDescent="0.25">
      <c r="A311" s="371"/>
      <c r="B311" s="372"/>
      <c r="E311" s="27"/>
      <c r="F311" s="27"/>
      <c r="G311" s="43"/>
      <c r="H311" s="178"/>
    </row>
    <row r="312" spans="1:9" ht="15.95" customHeight="1" thickBot="1" x14ac:dyDescent="0.25">
      <c r="A312" s="373" t="s">
        <v>278</v>
      </c>
      <c r="B312" s="374"/>
      <c r="C312" s="13"/>
      <c r="D312" s="13"/>
      <c r="E312" s="14"/>
      <c r="F312" s="15"/>
      <c r="G312" s="220">
        <f>+SUM(G206:G311)-G269-G231</f>
        <v>39984.374898715279</v>
      </c>
      <c r="H312" s="214">
        <f>G312/G$45</f>
        <v>192.23257162843885</v>
      </c>
    </row>
    <row r="313" spans="1:9" ht="15.95" customHeight="1" x14ac:dyDescent="0.2">
      <c r="A313" s="371"/>
      <c r="B313" s="372"/>
      <c r="E313" s="27"/>
      <c r="F313" s="27"/>
      <c r="G313" s="120"/>
      <c r="H313" s="178"/>
    </row>
    <row r="314" spans="1:9" ht="15.95" customHeight="1" x14ac:dyDescent="0.2">
      <c r="A314" s="367" t="s">
        <v>275</v>
      </c>
      <c r="B314" s="368"/>
      <c r="C314" s="6"/>
      <c r="D314" s="6"/>
      <c r="E314" s="20"/>
      <c r="F314" s="20"/>
      <c r="G314" s="130"/>
      <c r="H314" s="178"/>
    </row>
    <row r="315" spans="1:9" ht="15.95" customHeight="1" thickBot="1" x14ac:dyDescent="0.25">
      <c r="A315" s="367" t="s">
        <v>519</v>
      </c>
      <c r="B315" s="368"/>
      <c r="C315" s="6"/>
      <c r="D315" s="6"/>
      <c r="E315" s="20"/>
      <c r="F315" s="20"/>
      <c r="G315" s="130"/>
      <c r="H315" s="43"/>
    </row>
    <row r="316" spans="1:9" ht="15.95" customHeight="1" thickBot="1" x14ac:dyDescent="0.25">
      <c r="A316" s="570" t="s">
        <v>27</v>
      </c>
      <c r="B316" s="571"/>
      <c r="C316" s="211" t="s">
        <v>28</v>
      </c>
      <c r="D316" s="211" t="s">
        <v>292</v>
      </c>
      <c r="E316" s="212" t="s">
        <v>94</v>
      </c>
      <c r="F316" s="212" t="s">
        <v>29</v>
      </c>
      <c r="G316" s="220" t="s">
        <v>30</v>
      </c>
      <c r="H316" s="214" t="s">
        <v>272</v>
      </c>
    </row>
    <row r="317" spans="1:9" ht="15.95" customHeight="1" x14ac:dyDescent="0.2">
      <c r="A317" s="576" t="s">
        <v>532</v>
      </c>
      <c r="B317" s="577"/>
      <c r="C317" s="80" t="s">
        <v>288</v>
      </c>
      <c r="D317" s="250">
        <v>4</v>
      </c>
      <c r="E317" s="245">
        <v>179.9</v>
      </c>
      <c r="F317" s="425">
        <f>E317*D317</f>
        <v>719.6</v>
      </c>
      <c r="G317" s="338"/>
      <c r="H317" s="27"/>
      <c r="I317" s="150"/>
    </row>
    <row r="318" spans="1:9" ht="15.95" customHeight="1" x14ac:dyDescent="0.2">
      <c r="A318" s="576" t="s">
        <v>534</v>
      </c>
      <c r="B318" s="577"/>
      <c r="C318" s="80" t="s">
        <v>288</v>
      </c>
      <c r="D318" s="250">
        <v>10</v>
      </c>
      <c r="E318" s="245">
        <v>139.91999999999999</v>
      </c>
      <c r="F318" s="425">
        <f t="shared" ref="F318:F321" si="8">E318*D318</f>
        <v>1399.1999999999998</v>
      </c>
      <c r="G318" s="338"/>
      <c r="H318" s="27"/>
      <c r="I318" s="150"/>
    </row>
    <row r="319" spans="1:9" ht="15.95" customHeight="1" x14ac:dyDescent="0.2">
      <c r="A319" s="576" t="s">
        <v>535</v>
      </c>
      <c r="B319" s="577"/>
      <c r="C319" s="80" t="s">
        <v>288</v>
      </c>
      <c r="D319" s="250">
        <v>20</v>
      </c>
      <c r="E319" s="245">
        <v>68</v>
      </c>
      <c r="F319" s="425">
        <f t="shared" si="8"/>
        <v>1360</v>
      </c>
      <c r="G319" s="338"/>
      <c r="H319" s="27"/>
      <c r="I319" s="150"/>
    </row>
    <row r="320" spans="1:9" ht="15.95" customHeight="1" x14ac:dyDescent="0.2">
      <c r="A320" s="576" t="s">
        <v>533</v>
      </c>
      <c r="B320" s="577"/>
      <c r="C320" s="80" t="s">
        <v>288</v>
      </c>
      <c r="D320" s="250">
        <v>20</v>
      </c>
      <c r="E320" s="245">
        <v>75</v>
      </c>
      <c r="F320" s="425">
        <f t="shared" si="8"/>
        <v>1500</v>
      </c>
      <c r="G320" s="338"/>
      <c r="H320" s="27"/>
      <c r="I320" s="150"/>
    </row>
    <row r="321" spans="1:10" ht="21.75" customHeight="1" x14ac:dyDescent="0.2">
      <c r="A321" s="582" t="s">
        <v>536</v>
      </c>
      <c r="B321" s="583"/>
      <c r="C321" s="80" t="s">
        <v>288</v>
      </c>
      <c r="D321" s="250">
        <v>8</v>
      </c>
      <c r="E321" s="245">
        <v>130</v>
      </c>
      <c r="F321" s="425">
        <f t="shared" si="8"/>
        <v>1040</v>
      </c>
      <c r="G321" s="338"/>
      <c r="H321" s="27"/>
      <c r="I321" s="150"/>
    </row>
    <row r="322" spans="1:10" ht="15.95" customHeight="1" x14ac:dyDescent="0.2">
      <c r="A322" s="576" t="s">
        <v>451</v>
      </c>
      <c r="B322" s="577"/>
      <c r="C322" s="80" t="s">
        <v>288</v>
      </c>
      <c r="D322" s="250">
        <v>4</v>
      </c>
      <c r="E322" s="245">
        <v>273</v>
      </c>
      <c r="F322" s="11">
        <f>D322*E322</f>
        <v>1092</v>
      </c>
      <c r="G322" s="132"/>
      <c r="H322" s="122"/>
      <c r="I322" s="150"/>
    </row>
    <row r="323" spans="1:10" ht="15.95" customHeight="1" x14ac:dyDescent="0.2">
      <c r="A323" s="576" t="s">
        <v>537</v>
      </c>
      <c r="B323" s="577"/>
      <c r="C323" s="80" t="s">
        <v>288</v>
      </c>
      <c r="D323" s="250">
        <v>24</v>
      </c>
      <c r="E323" s="245">
        <v>37</v>
      </c>
      <c r="F323" s="11">
        <f t="shared" ref="F323:F329" si="9">D323*E323</f>
        <v>888</v>
      </c>
      <c r="G323" s="132"/>
      <c r="H323" s="178"/>
      <c r="I323" s="150"/>
    </row>
    <row r="324" spans="1:10" ht="15.95" customHeight="1" x14ac:dyDescent="0.2">
      <c r="A324" s="576" t="s">
        <v>289</v>
      </c>
      <c r="B324" s="577"/>
      <c r="C324" s="80" t="s">
        <v>288</v>
      </c>
      <c r="D324" s="250">
        <v>6</v>
      </c>
      <c r="E324" s="245">
        <v>11</v>
      </c>
      <c r="F324" s="11">
        <f t="shared" si="9"/>
        <v>66</v>
      </c>
      <c r="G324" s="338"/>
      <c r="H324" s="178"/>
      <c r="I324" s="150"/>
    </row>
    <row r="325" spans="1:10" ht="15.95" customHeight="1" x14ac:dyDescent="0.2">
      <c r="A325" s="576" t="s">
        <v>538</v>
      </c>
      <c r="B325" s="577"/>
      <c r="C325" s="80" t="s">
        <v>288</v>
      </c>
      <c r="D325" s="250">
        <v>6</v>
      </c>
      <c r="E325" s="245">
        <v>11</v>
      </c>
      <c r="F325" s="11">
        <f t="shared" si="9"/>
        <v>66</v>
      </c>
      <c r="G325" s="338"/>
      <c r="H325" s="178"/>
      <c r="I325" s="150"/>
    </row>
    <row r="326" spans="1:10" ht="15.95" customHeight="1" x14ac:dyDescent="0.2">
      <c r="A326" s="576" t="s">
        <v>545</v>
      </c>
      <c r="B326" s="577"/>
      <c r="C326" s="80" t="s">
        <v>288</v>
      </c>
      <c r="D326" s="250">
        <v>30</v>
      </c>
      <c r="E326" s="245">
        <v>32</v>
      </c>
      <c r="F326" s="11">
        <f t="shared" si="9"/>
        <v>960</v>
      </c>
      <c r="G326" s="338"/>
      <c r="H326" s="178"/>
      <c r="I326" s="150"/>
    </row>
    <row r="327" spans="1:10" ht="15.95" customHeight="1" x14ac:dyDescent="0.2">
      <c r="A327" s="576" t="s">
        <v>539</v>
      </c>
      <c r="B327" s="577"/>
      <c r="C327" s="80" t="s">
        <v>288</v>
      </c>
      <c r="D327" s="250">
        <v>4</v>
      </c>
      <c r="E327" s="245">
        <v>47.5</v>
      </c>
      <c r="F327" s="11">
        <f t="shared" si="9"/>
        <v>190</v>
      </c>
      <c r="G327" s="338"/>
      <c r="H327" s="178"/>
      <c r="I327" s="150"/>
    </row>
    <row r="328" spans="1:10" ht="15.95" customHeight="1" x14ac:dyDescent="0.2">
      <c r="A328" s="576" t="s">
        <v>342</v>
      </c>
      <c r="B328" s="577"/>
      <c r="C328" s="80" t="s">
        <v>288</v>
      </c>
      <c r="D328" s="250">
        <v>24</v>
      </c>
      <c r="E328" s="245">
        <v>13.3</v>
      </c>
      <c r="F328" s="11">
        <f t="shared" si="9"/>
        <v>319.20000000000005</v>
      </c>
      <c r="G328" s="338"/>
      <c r="H328" s="178"/>
      <c r="I328" s="150"/>
    </row>
    <row r="329" spans="1:10" ht="15.95" customHeight="1" x14ac:dyDescent="0.2">
      <c r="A329" s="576" t="s">
        <v>290</v>
      </c>
      <c r="B329" s="577"/>
      <c r="C329" s="80" t="s">
        <v>288</v>
      </c>
      <c r="D329" s="250">
        <v>60</v>
      </c>
      <c r="E329" s="245">
        <v>2.02</v>
      </c>
      <c r="F329" s="11">
        <f t="shared" si="9"/>
        <v>121.2</v>
      </c>
      <c r="G329" s="338"/>
      <c r="H329" s="178"/>
      <c r="I329" s="150"/>
    </row>
    <row r="330" spans="1:10" ht="15.95" customHeight="1" x14ac:dyDescent="0.2">
      <c r="A330" s="538" t="s">
        <v>562</v>
      </c>
      <c r="B330" s="539"/>
      <c r="C330" s="80" t="s">
        <v>5</v>
      </c>
      <c r="D330" s="250">
        <v>1</v>
      </c>
      <c r="E330" s="245">
        <f>'lavagem de uniformes'!J7</f>
        <v>179.06</v>
      </c>
      <c r="F330" s="38">
        <f>E330</f>
        <v>179.06</v>
      </c>
      <c r="G330" s="338"/>
      <c r="H330" s="178"/>
      <c r="I330" s="150"/>
    </row>
    <row r="331" spans="1:10" ht="15.95" customHeight="1" x14ac:dyDescent="0.2">
      <c r="A331" s="572" t="s">
        <v>274</v>
      </c>
      <c r="B331" s="573"/>
      <c r="C331" s="37"/>
      <c r="D331" s="37"/>
      <c r="E331" s="38"/>
      <c r="F331" s="38">
        <f>SUM(F317:F329)</f>
        <v>9721.2000000000007</v>
      </c>
      <c r="G331" s="274"/>
      <c r="H331" s="277"/>
      <c r="I331" s="150"/>
    </row>
    <row r="332" spans="1:10" s="150" customFormat="1" ht="15.95" customHeight="1" thickBot="1" x14ac:dyDescent="0.25">
      <c r="A332" s="380" t="s">
        <v>3</v>
      </c>
      <c r="B332" s="384" t="s">
        <v>291</v>
      </c>
      <c r="C332" s="339">
        <v>2</v>
      </c>
      <c r="D332" s="38">
        <f>F331</f>
        <v>9721.2000000000007</v>
      </c>
      <c r="E332" s="38">
        <f t="shared" ref="E332" si="10">C332*D332</f>
        <v>19442.400000000001</v>
      </c>
      <c r="F332" s="341"/>
      <c r="G332" s="342"/>
      <c r="H332" s="277"/>
      <c r="I332" s="4"/>
      <c r="J332" s="296"/>
    </row>
    <row r="333" spans="1:10" s="150" customFormat="1" ht="15.95" customHeight="1" thickBot="1" x14ac:dyDescent="0.25">
      <c r="A333" s="382" t="s">
        <v>260</v>
      </c>
      <c r="B333" s="385" t="s">
        <v>5</v>
      </c>
      <c r="C333" s="37">
        <v>12</v>
      </c>
      <c r="D333" s="38">
        <f>E332</f>
        <v>19442.400000000001</v>
      </c>
      <c r="E333" s="38">
        <f>(D333/C333)+F330</f>
        <v>1799.26</v>
      </c>
      <c r="F333" s="340">
        <f>E333</f>
        <v>1799.26</v>
      </c>
      <c r="G333" s="274"/>
      <c r="H333" s="277"/>
      <c r="I333" s="4"/>
      <c r="J333" s="296"/>
    </row>
    <row r="334" spans="1:10" ht="15.95" customHeight="1" thickBot="1" x14ac:dyDescent="0.25">
      <c r="A334" s="368"/>
      <c r="B334" s="368"/>
      <c r="C334" s="6"/>
      <c r="D334" s="6"/>
      <c r="E334" s="229" t="s">
        <v>88</v>
      </c>
      <c r="F334" s="225">
        <f>$C$63</f>
        <v>1</v>
      </c>
      <c r="G334" s="218">
        <f>F333*F334</f>
        <v>1799.26</v>
      </c>
      <c r="H334" s="214">
        <f>G334/G$45</f>
        <v>8.6502884615384623</v>
      </c>
    </row>
    <row r="335" spans="1:10" ht="15.95" customHeight="1" x14ac:dyDescent="0.2">
      <c r="A335" s="368"/>
      <c r="B335" s="368"/>
      <c r="C335" s="6"/>
      <c r="D335" s="6"/>
      <c r="E335" s="229"/>
      <c r="F335" s="276"/>
      <c r="G335" s="6"/>
      <c r="H335" s="6"/>
    </row>
    <row r="336" spans="1:10" ht="15.95" customHeight="1" thickBot="1" x14ac:dyDescent="0.25">
      <c r="A336" s="367" t="s">
        <v>435</v>
      </c>
      <c r="B336" s="368"/>
      <c r="C336" s="6"/>
      <c r="D336" s="6"/>
      <c r="E336" s="20"/>
      <c r="F336" s="20"/>
      <c r="G336" s="130"/>
      <c r="H336" s="43"/>
    </row>
    <row r="337" spans="1:8" ht="15.95" customHeight="1" thickBot="1" x14ac:dyDescent="0.25">
      <c r="A337" s="570" t="s">
        <v>27</v>
      </c>
      <c r="B337" s="571"/>
      <c r="C337" s="211" t="s">
        <v>28</v>
      </c>
      <c r="D337" s="211" t="s">
        <v>292</v>
      </c>
      <c r="E337" s="212" t="s">
        <v>94</v>
      </c>
      <c r="F337" s="212" t="s">
        <v>29</v>
      </c>
      <c r="G337" s="213" t="s">
        <v>30</v>
      </c>
      <c r="H337" s="213" t="s">
        <v>272</v>
      </c>
    </row>
    <row r="338" spans="1:8" ht="15.95" customHeight="1" x14ac:dyDescent="0.2">
      <c r="A338" s="576" t="s">
        <v>532</v>
      </c>
      <c r="B338" s="577"/>
      <c r="C338" s="80" t="s">
        <v>288</v>
      </c>
      <c r="D338" s="250">
        <v>4</v>
      </c>
      <c r="E338" s="245">
        <f>E317</f>
        <v>179.9</v>
      </c>
      <c r="F338" s="425">
        <f>E338*D338</f>
        <v>719.6</v>
      </c>
      <c r="G338" s="338"/>
      <c r="H338" s="27"/>
    </row>
    <row r="339" spans="1:8" ht="15.95" customHeight="1" x14ac:dyDescent="0.2">
      <c r="A339" s="576" t="s">
        <v>534</v>
      </c>
      <c r="B339" s="577"/>
      <c r="C339" s="80" t="s">
        <v>288</v>
      </c>
      <c r="D339" s="250">
        <v>10</v>
      </c>
      <c r="E339" s="245">
        <f>E318</f>
        <v>139.91999999999999</v>
      </c>
      <c r="F339" s="425">
        <f t="shared" ref="F339:F342" si="11">E339*D339</f>
        <v>1399.1999999999998</v>
      </c>
      <c r="G339" s="338"/>
      <c r="H339" s="27"/>
    </row>
    <row r="340" spans="1:8" ht="15.95" customHeight="1" x14ac:dyDescent="0.2">
      <c r="A340" s="576" t="s">
        <v>535</v>
      </c>
      <c r="B340" s="577"/>
      <c r="C340" s="80" t="s">
        <v>288</v>
      </c>
      <c r="D340" s="250">
        <v>20</v>
      </c>
      <c r="E340" s="245">
        <f>E319</f>
        <v>68</v>
      </c>
      <c r="F340" s="425">
        <f t="shared" si="11"/>
        <v>1360</v>
      </c>
      <c r="G340" s="338"/>
      <c r="H340" s="27"/>
    </row>
    <row r="341" spans="1:8" ht="15.95" customHeight="1" x14ac:dyDescent="0.2">
      <c r="A341" s="576" t="s">
        <v>533</v>
      </c>
      <c r="B341" s="577"/>
      <c r="C341" s="80" t="s">
        <v>288</v>
      </c>
      <c r="D341" s="250">
        <v>20</v>
      </c>
      <c r="E341" s="245">
        <f>E320</f>
        <v>75</v>
      </c>
      <c r="F341" s="425">
        <f t="shared" si="11"/>
        <v>1500</v>
      </c>
      <c r="G341" s="338"/>
      <c r="H341" s="27"/>
    </row>
    <row r="342" spans="1:8" ht="24.75" customHeight="1" x14ac:dyDescent="0.2">
      <c r="A342" s="582" t="s">
        <v>536</v>
      </c>
      <c r="B342" s="583"/>
      <c r="C342" s="80" t="s">
        <v>288</v>
      </c>
      <c r="D342" s="250">
        <v>8</v>
      </c>
      <c r="E342" s="245">
        <v>130</v>
      </c>
      <c r="F342" s="425">
        <f t="shared" si="11"/>
        <v>1040</v>
      </c>
      <c r="G342" s="338"/>
      <c r="H342" s="27"/>
    </row>
    <row r="343" spans="1:8" ht="15.95" customHeight="1" x14ac:dyDescent="0.2">
      <c r="A343" s="576" t="s">
        <v>451</v>
      </c>
      <c r="B343" s="577"/>
      <c r="C343" s="80" t="s">
        <v>288</v>
      </c>
      <c r="D343" s="250">
        <v>4</v>
      </c>
      <c r="E343" s="245">
        <v>273</v>
      </c>
      <c r="F343" s="11">
        <f>D343*E343</f>
        <v>1092</v>
      </c>
      <c r="G343" s="132"/>
      <c r="H343" s="122"/>
    </row>
    <row r="344" spans="1:8" ht="15.95" customHeight="1" x14ac:dyDescent="0.2">
      <c r="A344" s="576" t="s">
        <v>537</v>
      </c>
      <c r="B344" s="577"/>
      <c r="C344" s="80" t="s">
        <v>288</v>
      </c>
      <c r="D344" s="250">
        <v>24</v>
      </c>
      <c r="E344" s="245">
        <v>37</v>
      </c>
      <c r="F344" s="11">
        <f t="shared" ref="F344:F357" si="12">D344*E344</f>
        <v>888</v>
      </c>
      <c r="G344" s="132"/>
      <c r="H344" s="178"/>
    </row>
    <row r="345" spans="1:8" ht="15.95" customHeight="1" x14ac:dyDescent="0.2">
      <c r="A345" s="576" t="s">
        <v>289</v>
      </c>
      <c r="B345" s="577"/>
      <c r="C345" s="80" t="s">
        <v>288</v>
      </c>
      <c r="D345" s="250">
        <v>6</v>
      </c>
      <c r="E345" s="245">
        <v>11</v>
      </c>
      <c r="F345" s="11">
        <f t="shared" si="12"/>
        <v>66</v>
      </c>
      <c r="G345" s="338"/>
      <c r="H345" s="178"/>
    </row>
    <row r="346" spans="1:8" ht="15.95" customHeight="1" x14ac:dyDescent="0.2">
      <c r="A346" s="576" t="s">
        <v>538</v>
      </c>
      <c r="B346" s="577"/>
      <c r="C346" s="80"/>
      <c r="D346" s="250">
        <v>6</v>
      </c>
      <c r="E346" s="245">
        <v>11</v>
      </c>
      <c r="F346" s="11">
        <f t="shared" si="12"/>
        <v>66</v>
      </c>
      <c r="G346" s="338"/>
      <c r="H346" s="178"/>
    </row>
    <row r="347" spans="1:8" ht="15.95" customHeight="1" x14ac:dyDescent="0.2">
      <c r="A347" s="576" t="s">
        <v>545</v>
      </c>
      <c r="B347" s="577"/>
      <c r="C347" s="80" t="s">
        <v>288</v>
      </c>
      <c r="D347" s="250">
        <v>30</v>
      </c>
      <c r="E347" s="245">
        <v>32</v>
      </c>
      <c r="F347" s="11">
        <f t="shared" si="12"/>
        <v>960</v>
      </c>
      <c r="G347" s="338"/>
      <c r="H347" s="178"/>
    </row>
    <row r="348" spans="1:8" ht="15.95" customHeight="1" x14ac:dyDescent="0.2">
      <c r="A348" s="576" t="s">
        <v>539</v>
      </c>
      <c r="B348" s="577"/>
      <c r="C348" s="80" t="s">
        <v>288</v>
      </c>
      <c r="D348" s="250">
        <v>4</v>
      </c>
      <c r="E348" s="245">
        <v>47.5</v>
      </c>
      <c r="F348" s="11">
        <f t="shared" si="12"/>
        <v>190</v>
      </c>
      <c r="G348" s="338"/>
      <c r="H348" s="178"/>
    </row>
    <row r="349" spans="1:8" ht="15.95" customHeight="1" x14ac:dyDescent="0.2">
      <c r="A349" s="576" t="s">
        <v>342</v>
      </c>
      <c r="B349" s="577"/>
      <c r="C349" s="80" t="s">
        <v>288</v>
      </c>
      <c r="D349" s="250">
        <v>24</v>
      </c>
      <c r="E349" s="245">
        <v>13.3</v>
      </c>
      <c r="F349" s="11">
        <f t="shared" ref="F349:F356" si="13">D349*E349</f>
        <v>319.20000000000005</v>
      </c>
      <c r="G349" s="338"/>
      <c r="H349" s="178"/>
    </row>
    <row r="350" spans="1:8" ht="15.95" customHeight="1" x14ac:dyDescent="0.2">
      <c r="A350" s="538" t="s">
        <v>564</v>
      </c>
      <c r="B350" s="539"/>
      <c r="C350" s="80" t="s">
        <v>288</v>
      </c>
      <c r="D350" s="250">
        <v>2</v>
      </c>
      <c r="E350" s="245">
        <v>210.42</v>
      </c>
      <c r="F350" s="11">
        <f t="shared" si="13"/>
        <v>420.84</v>
      </c>
      <c r="G350" s="338"/>
      <c r="H350" s="178"/>
    </row>
    <row r="351" spans="1:8" ht="15.95" customHeight="1" x14ac:dyDescent="0.2">
      <c r="A351" s="538" t="s">
        <v>563</v>
      </c>
      <c r="B351" s="539"/>
      <c r="C351" s="80" t="s">
        <v>288</v>
      </c>
      <c r="D351" s="250">
        <v>4</v>
      </c>
      <c r="E351" s="245">
        <v>48.91</v>
      </c>
      <c r="F351" s="11">
        <f t="shared" si="13"/>
        <v>195.64</v>
      </c>
      <c r="G351" s="338"/>
      <c r="H351" s="178"/>
    </row>
    <row r="352" spans="1:8" ht="15.95" customHeight="1" x14ac:dyDescent="0.2">
      <c r="A352" s="538" t="s">
        <v>540</v>
      </c>
      <c r="B352" s="539"/>
      <c r="C352" s="80" t="s">
        <v>288</v>
      </c>
      <c r="D352" s="250">
        <v>2</v>
      </c>
      <c r="E352" s="245">
        <v>117.54</v>
      </c>
      <c r="F352" s="11">
        <f t="shared" si="13"/>
        <v>235.08</v>
      </c>
      <c r="G352" s="338"/>
      <c r="H352" s="178"/>
    </row>
    <row r="353" spans="1:8" ht="15.95" customHeight="1" x14ac:dyDescent="0.2">
      <c r="A353" s="538" t="s">
        <v>541</v>
      </c>
      <c r="B353" s="539"/>
      <c r="C353" s="80" t="s">
        <v>288</v>
      </c>
      <c r="D353" s="250">
        <v>2</v>
      </c>
      <c r="E353" s="245">
        <v>399.9</v>
      </c>
      <c r="F353" s="11">
        <f t="shared" si="13"/>
        <v>799.8</v>
      </c>
      <c r="G353" s="338"/>
      <c r="H353" s="178"/>
    </row>
    <row r="354" spans="1:8" ht="15.95" customHeight="1" x14ac:dyDescent="0.2">
      <c r="A354" s="538" t="s">
        <v>542</v>
      </c>
      <c r="B354" s="539"/>
      <c r="C354" s="80" t="s">
        <v>288</v>
      </c>
      <c r="D354" s="250">
        <v>4</v>
      </c>
      <c r="E354" s="245">
        <v>56</v>
      </c>
      <c r="F354" s="11">
        <f t="shared" si="13"/>
        <v>224</v>
      </c>
      <c r="G354" s="338"/>
      <c r="H354" s="178"/>
    </row>
    <row r="355" spans="1:8" ht="15.95" customHeight="1" x14ac:dyDescent="0.2">
      <c r="A355" s="538" t="s">
        <v>543</v>
      </c>
      <c r="B355" s="539"/>
      <c r="C355" s="80" t="s">
        <v>288</v>
      </c>
      <c r="D355" s="250">
        <v>4</v>
      </c>
      <c r="E355" s="245">
        <v>40.799999999999997</v>
      </c>
      <c r="F355" s="11">
        <f t="shared" si="13"/>
        <v>163.19999999999999</v>
      </c>
      <c r="G355" s="338"/>
      <c r="H355" s="178"/>
    </row>
    <row r="356" spans="1:8" ht="15.95" customHeight="1" x14ac:dyDescent="0.2">
      <c r="A356" s="538" t="s">
        <v>544</v>
      </c>
      <c r="B356" s="539"/>
      <c r="C356" s="80" t="s">
        <v>288</v>
      </c>
      <c r="D356" s="250">
        <v>12</v>
      </c>
      <c r="E356" s="245">
        <v>28</v>
      </c>
      <c r="F356" s="11">
        <f t="shared" si="13"/>
        <v>336</v>
      </c>
      <c r="G356" s="338"/>
      <c r="H356" s="178"/>
    </row>
    <row r="357" spans="1:8" ht="15.95" customHeight="1" x14ac:dyDescent="0.2">
      <c r="A357" s="576" t="s">
        <v>290</v>
      </c>
      <c r="B357" s="577"/>
      <c r="C357" s="80" t="s">
        <v>288</v>
      </c>
      <c r="D357" s="250">
        <v>60</v>
      </c>
      <c r="E357" s="245">
        <v>2.02</v>
      </c>
      <c r="F357" s="11">
        <f t="shared" si="12"/>
        <v>121.2</v>
      </c>
      <c r="G357" s="338"/>
      <c r="H357" s="178"/>
    </row>
    <row r="358" spans="1:8" ht="15.95" customHeight="1" x14ac:dyDescent="0.2">
      <c r="A358" s="538" t="s">
        <v>562</v>
      </c>
      <c r="B358" s="539"/>
      <c r="C358" s="80" t="s">
        <v>5</v>
      </c>
      <c r="D358" s="250">
        <v>1</v>
      </c>
      <c r="E358" s="245">
        <f>'lavagem de uniformes'!J7</f>
        <v>179.06</v>
      </c>
      <c r="F358" s="38">
        <f>E358</f>
        <v>179.06</v>
      </c>
      <c r="G358" s="338"/>
      <c r="H358" s="178"/>
    </row>
    <row r="359" spans="1:8" ht="15.95" customHeight="1" x14ac:dyDescent="0.2">
      <c r="A359" s="572" t="s">
        <v>274</v>
      </c>
      <c r="B359" s="573"/>
      <c r="C359" s="37"/>
      <c r="D359" s="37"/>
      <c r="E359" s="38"/>
      <c r="F359" s="38">
        <f>SUM(F338:F357)</f>
        <v>12095.76</v>
      </c>
      <c r="G359" s="274"/>
      <c r="H359" s="277"/>
    </row>
    <row r="360" spans="1:8" ht="15.95" customHeight="1" thickBot="1" x14ac:dyDescent="0.25">
      <c r="A360" s="380" t="s">
        <v>3</v>
      </c>
      <c r="B360" s="384" t="s">
        <v>291</v>
      </c>
      <c r="C360" s="339">
        <f>F36</f>
        <v>2</v>
      </c>
      <c r="D360" s="38">
        <f>F359</f>
        <v>12095.76</v>
      </c>
      <c r="E360" s="38">
        <f>C360*D360</f>
        <v>24191.52</v>
      </c>
      <c r="F360" s="341"/>
      <c r="G360" s="342"/>
      <c r="H360" s="277"/>
    </row>
    <row r="361" spans="1:8" ht="15.95" customHeight="1" thickBot="1" x14ac:dyDescent="0.25">
      <c r="A361" s="382" t="s">
        <v>260</v>
      </c>
      <c r="B361" s="385" t="s">
        <v>5</v>
      </c>
      <c r="C361" s="37">
        <v>12</v>
      </c>
      <c r="D361" s="38">
        <f>E360</f>
        <v>24191.52</v>
      </c>
      <c r="E361" s="38">
        <f>(D361/C361)+F358</f>
        <v>2195.02</v>
      </c>
      <c r="F361" s="340">
        <f>E361</f>
        <v>2195.02</v>
      </c>
      <c r="G361" s="274"/>
      <c r="H361" s="277"/>
    </row>
    <row r="362" spans="1:8" ht="15.95" customHeight="1" thickBot="1" x14ac:dyDescent="0.25">
      <c r="A362" s="368"/>
      <c r="B362" s="368"/>
      <c r="C362" s="6"/>
      <c r="D362" s="6"/>
      <c r="E362" s="229" t="s">
        <v>88</v>
      </c>
      <c r="F362" s="225">
        <f>$C$63</f>
        <v>1</v>
      </c>
      <c r="G362" s="220">
        <f>F361*F362</f>
        <v>2195.02</v>
      </c>
      <c r="H362" s="214">
        <f>G362/G$45</f>
        <v>10.55298076923077</v>
      </c>
    </row>
    <row r="363" spans="1:8" ht="15.95" customHeight="1" x14ac:dyDescent="0.2">
      <c r="A363" s="368"/>
      <c r="B363" s="368"/>
      <c r="C363" s="6"/>
      <c r="D363" s="6"/>
      <c r="E363" s="229"/>
      <c r="F363" s="276"/>
      <c r="G363" s="342"/>
      <c r="H363" s="277"/>
    </row>
    <row r="364" spans="1:8" ht="15.95" customHeight="1" thickBot="1" x14ac:dyDescent="0.25">
      <c r="A364" s="88" t="s">
        <v>547</v>
      </c>
      <c r="B364" s="150"/>
      <c r="C364" s="150"/>
      <c r="D364" s="274"/>
      <c r="E364" s="274"/>
      <c r="F364" s="274"/>
      <c r="G364" s="274"/>
      <c r="H364" s="277"/>
    </row>
    <row r="365" spans="1:8" ht="22.5" customHeight="1" thickBot="1" x14ac:dyDescent="0.25">
      <c r="A365" s="578" t="s">
        <v>27</v>
      </c>
      <c r="B365" s="579"/>
      <c r="C365" s="211" t="s">
        <v>28</v>
      </c>
      <c r="D365" s="515" t="s">
        <v>436</v>
      </c>
      <c r="E365" s="212" t="s">
        <v>94</v>
      </c>
      <c r="F365" s="212" t="s">
        <v>437</v>
      </c>
      <c r="G365" s="287" t="s">
        <v>30</v>
      </c>
      <c r="H365" s="213" t="s">
        <v>272</v>
      </c>
    </row>
    <row r="366" spans="1:8" ht="15.95" customHeight="1" x14ac:dyDescent="0.2">
      <c r="A366" s="595" t="s">
        <v>438</v>
      </c>
      <c r="B366" s="606"/>
      <c r="C366" s="147" t="s">
        <v>7</v>
      </c>
      <c r="D366" s="516">
        <v>2</v>
      </c>
      <c r="E366" s="246">
        <f>E338</f>
        <v>179.9</v>
      </c>
      <c r="F366" s="148">
        <f>D366*E366</f>
        <v>359.8</v>
      </c>
      <c r="G366" s="149"/>
      <c r="H366" s="277"/>
    </row>
    <row r="367" spans="1:8" ht="15.95" customHeight="1" x14ac:dyDescent="0.2">
      <c r="A367" s="580" t="s">
        <v>439</v>
      </c>
      <c r="B367" s="581"/>
      <c r="C367" s="80" t="s">
        <v>7</v>
      </c>
      <c r="D367" s="517">
        <v>6</v>
      </c>
      <c r="E367" s="246">
        <v>139.91999999999999</v>
      </c>
      <c r="F367" s="148">
        <f t="shared" ref="F367:F378" si="14">D367*E367</f>
        <v>839.52</v>
      </c>
      <c r="G367" s="149"/>
      <c r="H367" s="277"/>
    </row>
    <row r="368" spans="1:8" ht="15.95" customHeight="1" x14ac:dyDescent="0.2">
      <c r="A368" s="580" t="s">
        <v>440</v>
      </c>
      <c r="B368" s="581"/>
      <c r="C368" s="80" t="s">
        <v>7</v>
      </c>
      <c r="D368" s="517">
        <v>8</v>
      </c>
      <c r="E368" s="246">
        <v>75</v>
      </c>
      <c r="F368" s="148">
        <f t="shared" si="14"/>
        <v>600</v>
      </c>
      <c r="G368" s="149"/>
      <c r="H368" s="277"/>
    </row>
    <row r="369" spans="1:11" ht="15.95" customHeight="1" x14ac:dyDescent="0.2">
      <c r="A369" s="440" t="s">
        <v>441</v>
      </c>
      <c r="B369" s="439"/>
      <c r="C369" s="80" t="s">
        <v>7</v>
      </c>
      <c r="D369" s="517">
        <v>8</v>
      </c>
      <c r="E369" s="246">
        <f>E340</f>
        <v>68</v>
      </c>
      <c r="F369" s="148">
        <f t="shared" si="14"/>
        <v>544</v>
      </c>
      <c r="G369" s="149"/>
      <c r="H369" s="277"/>
    </row>
    <row r="370" spans="1:11" ht="15.95" customHeight="1" x14ac:dyDescent="0.2">
      <c r="A370" s="580" t="s">
        <v>442</v>
      </c>
      <c r="B370" s="581"/>
      <c r="C370" s="80" t="s">
        <v>7</v>
      </c>
      <c r="D370" s="517">
        <v>3</v>
      </c>
      <c r="E370" s="246">
        <v>39.9</v>
      </c>
      <c r="F370" s="148">
        <f t="shared" si="14"/>
        <v>119.69999999999999</v>
      </c>
      <c r="G370" s="149"/>
      <c r="H370" s="277"/>
    </row>
    <row r="371" spans="1:11" ht="15.95" customHeight="1" x14ac:dyDescent="0.2">
      <c r="A371" s="580" t="s">
        <v>443</v>
      </c>
      <c r="B371" s="581"/>
      <c r="C371" s="80" t="s">
        <v>444</v>
      </c>
      <c r="D371" s="517">
        <v>6</v>
      </c>
      <c r="E371" s="246">
        <v>76.900000000000006</v>
      </c>
      <c r="F371" s="148">
        <f t="shared" si="14"/>
        <v>461.40000000000003</v>
      </c>
      <c r="G371" s="149"/>
      <c r="H371" s="277"/>
    </row>
    <row r="372" spans="1:11" ht="15.95" customHeight="1" x14ac:dyDescent="0.2">
      <c r="A372" s="580" t="s">
        <v>445</v>
      </c>
      <c r="B372" s="581"/>
      <c r="C372" s="80" t="s">
        <v>7</v>
      </c>
      <c r="D372" s="517">
        <v>4</v>
      </c>
      <c r="E372" s="246">
        <v>39.97</v>
      </c>
      <c r="F372" s="148">
        <f t="shared" si="14"/>
        <v>159.88</v>
      </c>
      <c r="G372" s="149"/>
      <c r="H372" s="277"/>
    </row>
    <row r="373" spans="1:11" ht="15.95" customHeight="1" x14ac:dyDescent="0.2">
      <c r="A373" s="592" t="s">
        <v>451</v>
      </c>
      <c r="B373" s="593"/>
      <c r="C373" s="80" t="s">
        <v>7</v>
      </c>
      <c r="D373" s="517">
        <v>4</v>
      </c>
      <c r="E373" s="246">
        <f>E343</f>
        <v>273</v>
      </c>
      <c r="F373" s="148">
        <f t="shared" si="14"/>
        <v>1092</v>
      </c>
      <c r="G373" s="149"/>
      <c r="H373" s="277"/>
    </row>
    <row r="374" spans="1:11" ht="15.95" customHeight="1" x14ac:dyDescent="0.2">
      <c r="A374" s="440" t="s">
        <v>446</v>
      </c>
      <c r="B374" s="439"/>
      <c r="C374" s="80" t="s">
        <v>7</v>
      </c>
      <c r="D374" s="517">
        <v>3</v>
      </c>
      <c r="E374" s="246">
        <v>66</v>
      </c>
      <c r="F374" s="148">
        <f t="shared" si="14"/>
        <v>198</v>
      </c>
      <c r="G374" s="149"/>
      <c r="H374" s="277"/>
    </row>
    <row r="375" spans="1:11" ht="15.95" customHeight="1" x14ac:dyDescent="0.2">
      <c r="A375" s="580" t="s">
        <v>447</v>
      </c>
      <c r="B375" s="581"/>
      <c r="C375" s="80" t="s">
        <v>7</v>
      </c>
      <c r="D375" s="517">
        <v>2</v>
      </c>
      <c r="E375" s="246">
        <v>9.8000000000000007</v>
      </c>
      <c r="F375" s="148">
        <f t="shared" si="14"/>
        <v>19.600000000000001</v>
      </c>
      <c r="G375" s="149"/>
      <c r="H375" s="277"/>
    </row>
    <row r="376" spans="1:11" ht="15.95" customHeight="1" x14ac:dyDescent="0.2">
      <c r="A376" s="440" t="s">
        <v>448</v>
      </c>
      <c r="B376" s="439"/>
      <c r="C376" s="80" t="s">
        <v>7</v>
      </c>
      <c r="D376" s="517">
        <v>2</v>
      </c>
      <c r="E376" s="246">
        <v>686</v>
      </c>
      <c r="F376" s="148">
        <f t="shared" si="14"/>
        <v>1372</v>
      </c>
      <c r="G376" s="149"/>
      <c r="H376" s="277"/>
    </row>
    <row r="377" spans="1:11" ht="15.95" customHeight="1" x14ac:dyDescent="0.2">
      <c r="A377" s="440" t="s">
        <v>546</v>
      </c>
      <c r="B377" s="439"/>
      <c r="C377" s="80" t="s">
        <v>7</v>
      </c>
      <c r="D377" s="517">
        <v>4</v>
      </c>
      <c r="E377" s="246">
        <v>25</v>
      </c>
      <c r="F377" s="148">
        <f t="shared" si="14"/>
        <v>100</v>
      </c>
      <c r="G377" s="149"/>
      <c r="H377" s="277"/>
    </row>
    <row r="378" spans="1:11" ht="15.95" customHeight="1" x14ac:dyDescent="0.2">
      <c r="A378" s="580" t="s">
        <v>449</v>
      </c>
      <c r="B378" s="581"/>
      <c r="C378" s="80" t="s">
        <v>7</v>
      </c>
      <c r="D378" s="517">
        <v>4</v>
      </c>
      <c r="E378" s="246">
        <v>19.899999999999999</v>
      </c>
      <c r="F378" s="148">
        <f t="shared" si="14"/>
        <v>79.599999999999994</v>
      </c>
      <c r="G378" s="149"/>
      <c r="H378" s="277"/>
    </row>
    <row r="379" spans="1:11" ht="15.95" customHeight="1" x14ac:dyDescent="0.2">
      <c r="A379" s="538" t="s">
        <v>562</v>
      </c>
      <c r="B379" s="439"/>
      <c r="C379" s="80" t="s">
        <v>5</v>
      </c>
      <c r="D379" s="517">
        <v>1</v>
      </c>
      <c r="E379" s="246">
        <f>'lavagem de uniformes'!J7</f>
        <v>179.06</v>
      </c>
      <c r="F379" s="144">
        <f>E379</f>
        <v>179.06</v>
      </c>
      <c r="G379" s="149"/>
      <c r="H379" s="277"/>
    </row>
    <row r="380" spans="1:11" ht="15.95" customHeight="1" x14ac:dyDescent="0.2">
      <c r="A380" s="594" t="s">
        <v>450</v>
      </c>
      <c r="B380" s="581"/>
      <c r="C380" s="37"/>
      <c r="D380" s="37">
        <v>12</v>
      </c>
      <c r="E380" s="38"/>
      <c r="F380" s="38">
        <f>SUM(F366:F378)</f>
        <v>5945.5</v>
      </c>
      <c r="G380" s="342"/>
      <c r="H380" s="277"/>
    </row>
    <row r="381" spans="1:11" ht="15.95" customHeight="1" thickBot="1" x14ac:dyDescent="0.25">
      <c r="A381" s="580" t="s">
        <v>3</v>
      </c>
      <c r="B381" s="581"/>
      <c r="C381" s="80" t="s">
        <v>380</v>
      </c>
      <c r="D381" s="339">
        <v>4</v>
      </c>
      <c r="E381" s="38">
        <f>(F380/D380)+F379</f>
        <v>674.51833333333332</v>
      </c>
      <c r="F381" s="38">
        <f t="shared" ref="F381" si="15">D381*E381</f>
        <v>2698.0733333333333</v>
      </c>
      <c r="G381" s="123">
        <f>F381</f>
        <v>2698.0733333333333</v>
      </c>
      <c r="H381" s="214">
        <f>G381/G$45</f>
        <v>12.97150641025641</v>
      </c>
    </row>
    <row r="382" spans="1:11" ht="15.95" customHeight="1" thickBot="1" x14ac:dyDescent="0.25">
      <c r="A382" s="373" t="s">
        <v>281</v>
      </c>
      <c r="B382" s="374"/>
      <c r="C382" s="13"/>
      <c r="D382" s="13"/>
      <c r="E382" s="14"/>
      <c r="F382" s="15"/>
      <c r="G382" s="220">
        <f>G334+G362+G381</f>
        <v>6692.3533333333326</v>
      </c>
      <c r="H382" s="220">
        <f>G382/G$45</f>
        <v>32.17477564102564</v>
      </c>
    </row>
    <row r="383" spans="1:11" ht="15.95" customHeight="1" x14ac:dyDescent="0.2">
      <c r="A383" s="371"/>
      <c r="B383" s="372"/>
      <c r="E383" s="27"/>
      <c r="F383" s="27"/>
      <c r="G383" s="120"/>
      <c r="H383" s="120"/>
    </row>
    <row r="384" spans="1:11" ht="15.95" customHeight="1" thickBot="1" x14ac:dyDescent="0.25">
      <c r="A384" s="88" t="s">
        <v>458</v>
      </c>
      <c r="B384" s="6"/>
      <c r="C384" s="6"/>
      <c r="D384" s="6"/>
      <c r="E384" s="20"/>
      <c r="F384" s="20"/>
      <c r="G384" s="130"/>
      <c r="H384" s="43"/>
      <c r="K384" s="5"/>
    </row>
    <row r="385" spans="1:11" ht="15.95" customHeight="1" thickBot="1" x14ac:dyDescent="0.25">
      <c r="A385" s="492" t="s">
        <v>27</v>
      </c>
      <c r="B385" s="508"/>
      <c r="C385" s="493" t="s">
        <v>28</v>
      </c>
      <c r="D385" s="493" t="s">
        <v>499</v>
      </c>
      <c r="E385" s="494" t="s">
        <v>94</v>
      </c>
      <c r="F385" s="494" t="s">
        <v>29</v>
      </c>
      <c r="G385" s="495" t="s">
        <v>30</v>
      </c>
      <c r="H385" s="213" t="s">
        <v>272</v>
      </c>
      <c r="K385" s="5"/>
    </row>
    <row r="386" spans="1:11" ht="15.95" customHeight="1" x14ac:dyDescent="0.2">
      <c r="A386" s="597" t="s">
        <v>459</v>
      </c>
      <c r="B386" s="598"/>
      <c r="C386" s="147" t="s">
        <v>28</v>
      </c>
      <c r="D386" s="522">
        <f>(2/12)*4</f>
        <v>0.66666666666666663</v>
      </c>
      <c r="E386" s="246">
        <v>29</v>
      </c>
      <c r="F386" s="186">
        <f>E386*D386</f>
        <v>19.333333333333332</v>
      </c>
      <c r="G386" s="523"/>
      <c r="H386" s="43"/>
      <c r="K386" s="5"/>
    </row>
    <row r="387" spans="1:11" ht="15.95" customHeight="1" x14ac:dyDescent="0.2">
      <c r="A387" s="525" t="s">
        <v>460</v>
      </c>
      <c r="B387" s="526"/>
      <c r="C387" s="147" t="s">
        <v>7</v>
      </c>
      <c r="D387" s="522">
        <f>(2/6)*4</f>
        <v>1.3333333333333333</v>
      </c>
      <c r="E387" s="246">
        <v>50</v>
      </c>
      <c r="F387" s="186">
        <f t="shared" ref="F387:F391" si="16">E387*D387</f>
        <v>66.666666666666657</v>
      </c>
      <c r="G387" s="523"/>
      <c r="H387" s="43"/>
      <c r="K387" s="5"/>
    </row>
    <row r="388" spans="1:11" ht="15.95" customHeight="1" x14ac:dyDescent="0.2">
      <c r="A388" s="525" t="s">
        <v>461</v>
      </c>
      <c r="B388" s="526"/>
      <c r="C388" s="147" t="s">
        <v>7</v>
      </c>
      <c r="D388" s="522">
        <f>(4/6)</f>
        <v>0.66666666666666663</v>
      </c>
      <c r="E388" s="246">
        <v>5</v>
      </c>
      <c r="F388" s="186">
        <f t="shared" si="16"/>
        <v>3.333333333333333</v>
      </c>
      <c r="G388" s="523"/>
      <c r="H388" s="43"/>
      <c r="K388" s="5"/>
    </row>
    <row r="389" spans="1:11" ht="15.95" customHeight="1" x14ac:dyDescent="0.2">
      <c r="A389" s="580" t="s">
        <v>462</v>
      </c>
      <c r="B389" s="581"/>
      <c r="C389" s="80" t="s">
        <v>28</v>
      </c>
      <c r="D389" s="522">
        <f>(2/12)*4</f>
        <v>0.66666666666666663</v>
      </c>
      <c r="E389" s="246">
        <v>55.9</v>
      </c>
      <c r="F389" s="186">
        <f t="shared" si="16"/>
        <v>37.266666666666666</v>
      </c>
      <c r="G389" s="523"/>
      <c r="H389" s="43"/>
      <c r="K389" s="5"/>
    </row>
    <row r="390" spans="1:11" ht="15.95" customHeight="1" x14ac:dyDescent="0.2">
      <c r="A390" s="580" t="s">
        <v>463</v>
      </c>
      <c r="B390" s="581"/>
      <c r="C390" s="80" t="s">
        <v>28</v>
      </c>
      <c r="D390" s="522">
        <f>(2/12)*4</f>
        <v>0.66666666666666663</v>
      </c>
      <c r="E390" s="246">
        <v>23</v>
      </c>
      <c r="F390" s="186">
        <f t="shared" si="16"/>
        <v>15.333333333333332</v>
      </c>
      <c r="G390" s="523"/>
      <c r="H390" s="43"/>
      <c r="K390" s="5"/>
    </row>
    <row r="391" spans="1:11" ht="15.95" customHeight="1" x14ac:dyDescent="0.2">
      <c r="A391" s="580" t="s">
        <v>464</v>
      </c>
      <c r="B391" s="581"/>
      <c r="C391" s="80" t="s">
        <v>288</v>
      </c>
      <c r="D391" s="522">
        <f>1/12</f>
        <v>8.3333333333333329E-2</v>
      </c>
      <c r="E391" s="246">
        <v>24</v>
      </c>
      <c r="F391" s="186">
        <f t="shared" si="16"/>
        <v>2</v>
      </c>
      <c r="G391" s="523"/>
      <c r="H391" s="43"/>
      <c r="K391" s="5"/>
    </row>
    <row r="392" spans="1:11" ht="15.95" customHeight="1" x14ac:dyDescent="0.2">
      <c r="A392" s="496" t="s">
        <v>456</v>
      </c>
      <c r="B392" s="509"/>
      <c r="C392" s="80" t="s">
        <v>457</v>
      </c>
      <c r="D392" s="522">
        <f>1/12</f>
        <v>8.3333333333333329E-2</v>
      </c>
      <c r="E392" s="246">
        <v>120.87</v>
      </c>
      <c r="F392" s="186">
        <f t="shared" ref="F392:F397" si="17">D392*E392</f>
        <v>10.0725</v>
      </c>
      <c r="G392" s="523"/>
      <c r="H392" s="43"/>
      <c r="K392" s="5"/>
    </row>
    <row r="393" spans="1:11" ht="15.95" customHeight="1" x14ac:dyDescent="0.2">
      <c r="A393" s="496" t="s">
        <v>453</v>
      </c>
      <c r="B393" s="509"/>
      <c r="C393" s="80" t="s">
        <v>288</v>
      </c>
      <c r="D393" s="522">
        <f>2/12</f>
        <v>0.16666666666666666</v>
      </c>
      <c r="E393" s="246">
        <v>41</v>
      </c>
      <c r="F393" s="186">
        <f t="shared" si="17"/>
        <v>6.833333333333333</v>
      </c>
      <c r="G393" s="523"/>
      <c r="H393" s="43"/>
      <c r="K393" s="5"/>
    </row>
    <row r="394" spans="1:11" ht="15.95" customHeight="1" x14ac:dyDescent="0.2">
      <c r="A394" s="496" t="s">
        <v>454</v>
      </c>
      <c r="B394" s="509"/>
      <c r="C394" s="80" t="s">
        <v>288</v>
      </c>
      <c r="D394" s="522">
        <f>2/12</f>
        <v>0.16666666666666666</v>
      </c>
      <c r="E394" s="246">
        <v>43</v>
      </c>
      <c r="F394" s="186">
        <f t="shared" si="17"/>
        <v>7.1666666666666661</v>
      </c>
      <c r="G394" s="523"/>
      <c r="H394" s="43"/>
      <c r="K394" s="5"/>
    </row>
    <row r="395" spans="1:11" ht="15.95" customHeight="1" x14ac:dyDescent="0.2">
      <c r="A395" s="496" t="s">
        <v>455</v>
      </c>
      <c r="B395" s="509"/>
      <c r="C395" s="80" t="s">
        <v>288</v>
      </c>
      <c r="D395" s="522">
        <f>2/12</f>
        <v>0.16666666666666666</v>
      </c>
      <c r="E395" s="246">
        <v>21</v>
      </c>
      <c r="F395" s="186">
        <f t="shared" si="17"/>
        <v>3.5</v>
      </c>
      <c r="G395" s="523"/>
      <c r="H395" s="43"/>
      <c r="K395" s="5"/>
    </row>
    <row r="396" spans="1:11" ht="15.95" customHeight="1" x14ac:dyDescent="0.2">
      <c r="A396" s="496" t="s">
        <v>504</v>
      </c>
      <c r="B396" s="509"/>
      <c r="C396" s="80" t="s">
        <v>288</v>
      </c>
      <c r="D396" s="522">
        <v>0.83333333333333337</v>
      </c>
      <c r="E396" s="246">
        <v>32</v>
      </c>
      <c r="F396" s="186">
        <f t="shared" si="17"/>
        <v>26.666666666666668</v>
      </c>
      <c r="G396" s="523"/>
      <c r="H396" s="43"/>
      <c r="K396" s="5"/>
    </row>
    <row r="397" spans="1:11" ht="15.95" customHeight="1" thickBot="1" x14ac:dyDescent="0.25">
      <c r="A397" s="496" t="s">
        <v>491</v>
      </c>
      <c r="B397" s="509"/>
      <c r="C397" s="80" t="s">
        <v>492</v>
      </c>
      <c r="D397" s="522">
        <v>0.16666666666666666</v>
      </c>
      <c r="E397" s="246">
        <v>60</v>
      </c>
      <c r="F397" s="186">
        <f t="shared" si="17"/>
        <v>10</v>
      </c>
      <c r="G397" s="523"/>
      <c r="H397" s="43"/>
      <c r="K397" s="5"/>
    </row>
    <row r="398" spans="1:11" ht="15.95" customHeight="1" thickBot="1" x14ac:dyDescent="0.25">
      <c r="A398" s="88"/>
      <c r="B398" s="6"/>
      <c r="C398" s="6"/>
      <c r="D398" s="6"/>
      <c r="E398" s="6"/>
      <c r="F398" s="20"/>
      <c r="G398" s="524">
        <f>SUM(F386:F397)</f>
        <v>208.17249999999996</v>
      </c>
      <c r="H398" s="43"/>
      <c r="K398" s="5"/>
    </row>
    <row r="399" spans="1:11" ht="15.95" customHeight="1" thickBot="1" x14ac:dyDescent="0.25">
      <c r="A399" s="459"/>
      <c r="B399" s="150"/>
      <c r="C399" s="150"/>
      <c r="D399" s="150"/>
      <c r="E399" s="274"/>
      <c r="F399" s="274"/>
      <c r="G399" s="149"/>
      <c r="H399" s="43"/>
      <c r="K399" s="5"/>
    </row>
    <row r="400" spans="1:11" ht="15.95" customHeight="1" thickBot="1" x14ac:dyDescent="0.25">
      <c r="A400" s="12" t="s">
        <v>93</v>
      </c>
      <c r="B400" s="13"/>
      <c r="C400" s="13"/>
      <c r="D400" s="13"/>
      <c r="E400" s="14"/>
      <c r="F400" s="15"/>
      <c r="G400" s="524">
        <f>+G398</f>
        <v>208.17249999999996</v>
      </c>
      <c r="H400" s="214">
        <f>G400/G$45</f>
        <v>1.0008293269230768</v>
      </c>
      <c r="K400" s="5"/>
    </row>
    <row r="401" spans="1:8" ht="15.95" customHeight="1" x14ac:dyDescent="0.2">
      <c r="A401" s="371"/>
      <c r="B401" s="372"/>
      <c r="E401" s="27"/>
      <c r="F401" s="27"/>
      <c r="G401" s="43"/>
      <c r="H401" s="43"/>
    </row>
    <row r="402" spans="1:8" ht="15.95" customHeight="1" thickBot="1" x14ac:dyDescent="0.25">
      <c r="A402" s="88" t="s">
        <v>493</v>
      </c>
      <c r="B402" s="6"/>
      <c r="C402" s="6"/>
      <c r="D402" s="6"/>
      <c r="E402" s="20"/>
      <c r="F402" s="20"/>
      <c r="G402" s="130"/>
      <c r="H402" s="43"/>
    </row>
    <row r="403" spans="1:8" ht="26.25" customHeight="1" thickBot="1" x14ac:dyDescent="0.25">
      <c r="A403" s="578" t="s">
        <v>27</v>
      </c>
      <c r="B403" s="599"/>
      <c r="C403" s="211" t="s">
        <v>28</v>
      </c>
      <c r="D403" s="515" t="s">
        <v>500</v>
      </c>
      <c r="E403" s="212" t="s">
        <v>94</v>
      </c>
      <c r="F403" s="212" t="s">
        <v>466</v>
      </c>
      <c r="G403" s="213" t="s">
        <v>30</v>
      </c>
      <c r="H403" s="213" t="s">
        <v>272</v>
      </c>
    </row>
    <row r="404" spans="1:8" ht="15.95" customHeight="1" x14ac:dyDescent="0.2">
      <c r="A404" s="595" t="s">
        <v>600</v>
      </c>
      <c r="B404" s="596"/>
      <c r="C404" s="80" t="s">
        <v>467</v>
      </c>
      <c r="D404" s="517">
        <v>1</v>
      </c>
      <c r="E404" s="246">
        <v>1000</v>
      </c>
      <c r="F404" s="294">
        <f>(D404*E404)</f>
        <v>1000</v>
      </c>
      <c r="G404" s="527"/>
      <c r="H404" s="43"/>
    </row>
    <row r="405" spans="1:8" ht="15.95" customHeight="1" x14ac:dyDescent="0.2">
      <c r="A405" s="525" t="s">
        <v>494</v>
      </c>
      <c r="B405" s="526"/>
      <c r="C405" s="80" t="s">
        <v>467</v>
      </c>
      <c r="D405" s="517">
        <v>1</v>
      </c>
      <c r="E405" s="246">
        <v>200</v>
      </c>
      <c r="F405" s="294">
        <f t="shared" ref="F405:F408" si="18">(D405*E405)</f>
        <v>200</v>
      </c>
      <c r="G405" s="536"/>
      <c r="H405" s="43"/>
    </row>
    <row r="406" spans="1:8" ht="15.95" customHeight="1" x14ac:dyDescent="0.2">
      <c r="A406" s="525" t="s">
        <v>495</v>
      </c>
      <c r="B406" s="526"/>
      <c r="C406" s="80" t="s">
        <v>496</v>
      </c>
      <c r="D406" s="517">
        <v>1</v>
      </c>
      <c r="E406" s="246">
        <v>2500</v>
      </c>
      <c r="F406" s="294">
        <f t="shared" si="18"/>
        <v>2500</v>
      </c>
      <c r="G406" s="536"/>
      <c r="H406" s="43"/>
    </row>
    <row r="407" spans="1:8" ht="15.95" customHeight="1" x14ac:dyDescent="0.2">
      <c r="A407" s="525" t="s">
        <v>505</v>
      </c>
      <c r="B407" s="526"/>
      <c r="C407" s="80" t="s">
        <v>467</v>
      </c>
      <c r="D407" s="517">
        <v>1</v>
      </c>
      <c r="E407" s="246">
        <v>250</v>
      </c>
      <c r="F407" s="294">
        <f t="shared" si="18"/>
        <v>250</v>
      </c>
      <c r="G407" s="536"/>
      <c r="H407" s="43"/>
    </row>
    <row r="408" spans="1:8" ht="15.95" customHeight="1" x14ac:dyDescent="0.2">
      <c r="A408" s="525" t="s">
        <v>497</v>
      </c>
      <c r="B408" s="526"/>
      <c r="C408" s="80" t="s">
        <v>496</v>
      </c>
      <c r="D408" s="517">
        <v>1</v>
      </c>
      <c r="E408" s="246">
        <v>500</v>
      </c>
      <c r="F408" s="294">
        <f t="shared" si="18"/>
        <v>500</v>
      </c>
      <c r="G408" s="536"/>
      <c r="H408" s="43"/>
    </row>
    <row r="409" spans="1:8" ht="15.95" customHeight="1" thickBot="1" x14ac:dyDescent="0.25">
      <c r="A409" s="594" t="s">
        <v>468</v>
      </c>
      <c r="B409" s="581"/>
      <c r="C409" s="37" t="s">
        <v>5</v>
      </c>
      <c r="D409" s="37"/>
      <c r="E409" s="38"/>
      <c r="F409" s="38"/>
      <c r="G409" s="342"/>
      <c r="H409" s="43"/>
    </row>
    <row r="410" spans="1:8" ht="15.95" customHeight="1" thickBot="1" x14ac:dyDescent="0.25">
      <c r="A410" s="580" t="s">
        <v>469</v>
      </c>
      <c r="B410" s="607"/>
      <c r="C410" s="80" t="s">
        <v>470</v>
      </c>
      <c r="D410" s="518">
        <v>1</v>
      </c>
      <c r="E410" s="38">
        <f>SUM(F404:F408)</f>
        <v>4450</v>
      </c>
      <c r="F410" s="38">
        <f t="shared" ref="F410" si="19">D410*E410</f>
        <v>4450</v>
      </c>
      <c r="G410" s="524">
        <f>F410</f>
        <v>4450</v>
      </c>
      <c r="H410" s="214">
        <f>G410/G$45</f>
        <v>21.39423076923077</v>
      </c>
    </row>
    <row r="411" spans="1:8" ht="15.95" customHeight="1" x14ac:dyDescent="0.2">
      <c r="A411" s="371"/>
      <c r="B411" s="372"/>
      <c r="E411" s="27"/>
      <c r="F411" s="27"/>
      <c r="G411" s="43"/>
      <c r="H411" s="43"/>
    </row>
    <row r="412" spans="1:8" ht="15.95" customHeight="1" thickBot="1" x14ac:dyDescent="0.25">
      <c r="A412" s="371"/>
      <c r="B412" s="372"/>
      <c r="E412" s="27"/>
      <c r="F412" s="27"/>
      <c r="G412" s="366"/>
      <c r="H412" s="366"/>
    </row>
    <row r="413" spans="1:8" ht="15.95" customHeight="1" thickBot="1" x14ac:dyDescent="0.25">
      <c r="A413" s="373" t="s">
        <v>129</v>
      </c>
      <c r="B413" s="374"/>
      <c r="C413" s="16"/>
      <c r="D413" s="16"/>
      <c r="E413" s="17"/>
      <c r="F413" s="18"/>
      <c r="G413" s="217">
        <f>+G198+G312+G382+G400+G410</f>
        <v>100828.03643916432</v>
      </c>
      <c r="H413" s="217">
        <f>G413/G$45</f>
        <v>484.75017518829003</v>
      </c>
    </row>
    <row r="414" spans="1:8" ht="15.95" customHeight="1" thickBot="1" x14ac:dyDescent="0.25">
      <c r="A414" s="373" t="s">
        <v>130</v>
      </c>
      <c r="B414" s="374"/>
      <c r="C414" s="16"/>
      <c r="D414" s="16"/>
      <c r="E414" s="17"/>
      <c r="F414" s="18"/>
      <c r="G414" s="217">
        <f>+G199+G312+G382+G400+G410</f>
        <v>93786.635398486862</v>
      </c>
      <c r="H414" s="219">
        <f>G414/G$45</f>
        <v>450.89728556964837</v>
      </c>
    </row>
    <row r="415" spans="1:8" ht="15.95" customHeight="1" x14ac:dyDescent="0.2">
      <c r="A415" s="371"/>
      <c r="B415" s="372"/>
      <c r="E415" s="27"/>
      <c r="F415" s="27"/>
      <c r="G415" s="120"/>
      <c r="H415" s="120"/>
    </row>
    <row r="416" spans="1:8" ht="15.95" customHeight="1" thickBot="1" x14ac:dyDescent="0.25">
      <c r="A416" s="367" t="s">
        <v>313</v>
      </c>
      <c r="B416" s="368"/>
      <c r="E416" s="27"/>
      <c r="F416" s="27"/>
      <c r="G416" s="43"/>
      <c r="H416" s="43"/>
    </row>
    <row r="417" spans="1:9" ht="15.95" customHeight="1" thickBot="1" x14ac:dyDescent="0.25">
      <c r="A417" s="570" t="s">
        <v>27</v>
      </c>
      <c r="B417" s="600"/>
      <c r="C417" s="211" t="s">
        <v>28</v>
      </c>
      <c r="D417" s="211" t="s">
        <v>21</v>
      </c>
      <c r="E417" s="212" t="s">
        <v>94</v>
      </c>
      <c r="F417" s="212" t="s">
        <v>29</v>
      </c>
      <c r="G417" s="213" t="s">
        <v>30</v>
      </c>
      <c r="H417" s="213"/>
    </row>
    <row r="418" spans="1:9" ht="15.95" customHeight="1" x14ac:dyDescent="0.2">
      <c r="A418" s="586" t="s">
        <v>173</v>
      </c>
      <c r="B418" s="587"/>
      <c r="C418" s="8" t="s">
        <v>0</v>
      </c>
      <c r="D418" s="44">
        <f>BDI!C11*100</f>
        <v>33.25</v>
      </c>
      <c r="E418" s="9">
        <f>+G413</f>
        <v>100828.03643916432</v>
      </c>
      <c r="F418" s="9">
        <f>D418*E418/100</f>
        <v>33525.322116022136</v>
      </c>
      <c r="G418" s="290"/>
      <c r="H418" s="290"/>
    </row>
    <row r="419" spans="1:9" ht="15.95" customHeight="1" thickBot="1" x14ac:dyDescent="0.25">
      <c r="A419" s="371"/>
      <c r="B419" s="372"/>
      <c r="E419" s="27"/>
      <c r="F419" s="27"/>
      <c r="G419" s="43"/>
      <c r="H419" s="43"/>
    </row>
    <row r="420" spans="1:9" ht="15.95" customHeight="1" thickBot="1" x14ac:dyDescent="0.25">
      <c r="A420" s="373" t="s">
        <v>174</v>
      </c>
      <c r="B420" s="374"/>
      <c r="C420" s="16"/>
      <c r="D420" s="16"/>
      <c r="E420" s="17"/>
      <c r="F420" s="18"/>
      <c r="G420" s="219">
        <f>F418</f>
        <v>33525.322116022136</v>
      </c>
      <c r="H420" s="219">
        <f>G420/G$45</f>
        <v>161.17943325010643</v>
      </c>
    </row>
    <row r="421" spans="1:9" ht="15.95" customHeight="1" thickBot="1" x14ac:dyDescent="0.25">
      <c r="A421" s="367"/>
      <c r="B421" s="368"/>
      <c r="C421" s="6"/>
      <c r="D421" s="6"/>
      <c r="E421" s="20"/>
      <c r="F421" s="20"/>
      <c r="G421" s="133"/>
      <c r="H421" s="133"/>
    </row>
    <row r="422" spans="1:9" ht="15.95" customHeight="1" thickBot="1" x14ac:dyDescent="0.25">
      <c r="A422" s="373" t="s">
        <v>175</v>
      </c>
      <c r="B422" s="374"/>
      <c r="C422" s="16"/>
      <c r="D422" s="16"/>
      <c r="E422" s="17"/>
      <c r="F422" s="18"/>
      <c r="G422" s="189">
        <f>G413+G420</f>
        <v>134353.35855518645</v>
      </c>
      <c r="H422" s="219">
        <f>G422/G$45</f>
        <v>645.92960843839637</v>
      </c>
    </row>
    <row r="423" spans="1:9" ht="15.95" customHeight="1" x14ac:dyDescent="0.2">
      <c r="A423" s="386"/>
      <c r="B423" s="387"/>
      <c r="C423" s="24"/>
      <c r="D423" s="24"/>
      <c r="E423" s="25"/>
      <c r="F423" s="25"/>
      <c r="G423" s="134"/>
      <c r="H423" s="134"/>
    </row>
    <row r="424" spans="1:9" ht="15.95" customHeight="1" x14ac:dyDescent="0.2">
      <c r="A424" s="576" t="s">
        <v>314</v>
      </c>
      <c r="B424" s="601"/>
      <c r="C424" s="70"/>
      <c r="D424" s="70"/>
      <c r="E424" s="284">
        <f>G45</f>
        <v>208</v>
      </c>
      <c r="F424" s="283" t="s">
        <v>276</v>
      </c>
      <c r="G424" s="43"/>
      <c r="H424" s="43"/>
    </row>
    <row r="425" spans="1:9" ht="15.95" customHeight="1" thickBot="1" x14ac:dyDescent="0.25">
      <c r="A425" s="371"/>
      <c r="B425" s="372"/>
      <c r="E425" s="27"/>
      <c r="F425" s="27"/>
      <c r="G425" s="43"/>
      <c r="H425" s="43"/>
      <c r="I425" s="34"/>
    </row>
    <row r="426" spans="1:9" ht="15.95" customHeight="1" thickBot="1" x14ac:dyDescent="0.25">
      <c r="A426" s="373" t="s">
        <v>315</v>
      </c>
      <c r="B426" s="374"/>
      <c r="C426" s="13"/>
      <c r="D426" s="13"/>
      <c r="E426" s="14"/>
      <c r="F426" s="140" t="s">
        <v>277</v>
      </c>
      <c r="G426" s="588">
        <f>IFERROR(G422/E424,"-")</f>
        <v>645.92960843839637</v>
      </c>
      <c r="H426" s="589"/>
    </row>
    <row r="427" spans="1:9" ht="15.95" customHeight="1" x14ac:dyDescent="0.2">
      <c r="A427" s="367"/>
      <c r="B427" s="368"/>
      <c r="C427" s="6"/>
      <c r="D427" s="6"/>
      <c r="E427" s="20"/>
      <c r="F427" s="20"/>
      <c r="G427" s="135"/>
      <c r="H427" s="135"/>
    </row>
    <row r="428" spans="1:9" ht="15.95" customHeight="1" thickBot="1" x14ac:dyDescent="0.25">
      <c r="A428" s="367" t="s">
        <v>316</v>
      </c>
      <c r="B428" s="368"/>
      <c r="E428" s="27"/>
      <c r="F428" s="27"/>
      <c r="G428" s="43"/>
      <c r="H428" s="43"/>
    </row>
    <row r="429" spans="1:9" ht="15.95" customHeight="1" thickBot="1" x14ac:dyDescent="0.25">
      <c r="A429" s="388" t="s">
        <v>27</v>
      </c>
      <c r="B429" s="389"/>
      <c r="C429" s="211" t="s">
        <v>28</v>
      </c>
      <c r="D429" s="211" t="s">
        <v>21</v>
      </c>
      <c r="E429" s="212" t="s">
        <v>94</v>
      </c>
      <c r="F429" s="212" t="s">
        <v>29</v>
      </c>
      <c r="G429" s="213" t="s">
        <v>30</v>
      </c>
      <c r="H429" s="213"/>
    </row>
    <row r="430" spans="1:9" ht="15.95" customHeight="1" x14ac:dyDescent="0.2">
      <c r="A430" s="586" t="s">
        <v>155</v>
      </c>
      <c r="B430" s="587"/>
      <c r="C430" s="8" t="s">
        <v>0</v>
      </c>
      <c r="D430" s="44">
        <f>BDI!C$24*100</f>
        <v>25.259999999999998</v>
      </c>
      <c r="E430" s="9">
        <f>G413</f>
        <v>100828.03643916432</v>
      </c>
      <c r="F430" s="9">
        <f>D430*E430/100</f>
        <v>25469.162004532907</v>
      </c>
      <c r="G430" s="290"/>
      <c r="H430" s="290"/>
    </row>
    <row r="431" spans="1:9" ht="15.95" customHeight="1" thickBot="1" x14ac:dyDescent="0.25">
      <c r="A431" s="371"/>
      <c r="B431" s="372"/>
      <c r="E431" s="27"/>
      <c r="F431" s="27"/>
      <c r="G431" s="43"/>
      <c r="H431" s="43"/>
    </row>
    <row r="432" spans="1:9" ht="15.95" customHeight="1" thickBot="1" x14ac:dyDescent="0.25">
      <c r="A432" s="373" t="s">
        <v>179</v>
      </c>
      <c r="B432" s="374"/>
      <c r="C432" s="16"/>
      <c r="D432" s="16"/>
      <c r="E432" s="17"/>
      <c r="F432" s="18"/>
      <c r="G432" s="219">
        <f>F430</f>
        <v>25469.162004532907</v>
      </c>
      <c r="H432" s="219">
        <f>G432/G$45</f>
        <v>122.44789425256205</v>
      </c>
    </row>
    <row r="433" spans="1:10" ht="15.95" customHeight="1" thickBot="1" x14ac:dyDescent="0.25">
      <c r="A433" s="367"/>
      <c r="B433" s="368"/>
      <c r="C433" s="6"/>
      <c r="D433" s="6"/>
      <c r="E433" s="20"/>
      <c r="F433" s="20"/>
      <c r="G433" s="133"/>
      <c r="H433" s="133"/>
    </row>
    <row r="434" spans="1:10" ht="15.95" customHeight="1" thickBot="1" x14ac:dyDescent="0.25">
      <c r="A434" s="373" t="s">
        <v>180</v>
      </c>
      <c r="B434" s="374"/>
      <c r="C434" s="16"/>
      <c r="D434" s="16"/>
      <c r="E434" s="17"/>
      <c r="F434" s="18"/>
      <c r="G434" s="189">
        <f>G413+G432</f>
        <v>126297.19844369723</v>
      </c>
      <c r="H434" s="219">
        <f>G434/G$45</f>
        <v>607.19806944085201</v>
      </c>
    </row>
    <row r="435" spans="1:10" ht="15.95" customHeight="1" x14ac:dyDescent="0.2">
      <c r="A435" s="386"/>
      <c r="B435" s="387"/>
      <c r="C435" s="24"/>
      <c r="D435" s="24"/>
      <c r="E435" s="25"/>
      <c r="F435" s="25"/>
      <c r="G435" s="134"/>
      <c r="H435" s="134"/>
    </row>
    <row r="436" spans="1:10" ht="15.95" customHeight="1" x14ac:dyDescent="0.2">
      <c r="A436" s="390" t="s">
        <v>317</v>
      </c>
      <c r="B436" s="391"/>
      <c r="C436" s="70"/>
      <c r="D436" s="70"/>
      <c r="E436" s="284">
        <f>E$424</f>
        <v>208</v>
      </c>
      <c r="F436" s="283" t="s">
        <v>276</v>
      </c>
      <c r="G436" s="43"/>
      <c r="H436" s="43"/>
    </row>
    <row r="437" spans="1:10" ht="15.95" customHeight="1" thickBot="1" x14ac:dyDescent="0.25">
      <c r="A437" s="371"/>
      <c r="B437" s="372"/>
      <c r="E437" s="27"/>
      <c r="F437" s="27"/>
      <c r="G437" s="43"/>
      <c r="H437" s="43"/>
      <c r="I437" s="34"/>
    </row>
    <row r="438" spans="1:10" ht="15.95" customHeight="1" thickBot="1" x14ac:dyDescent="0.25">
      <c r="A438" s="373" t="s">
        <v>318</v>
      </c>
      <c r="B438" s="374"/>
      <c r="C438" s="13"/>
      <c r="D438" s="13"/>
      <c r="E438" s="14"/>
      <c r="F438" s="140" t="s">
        <v>277</v>
      </c>
      <c r="G438" s="588">
        <f>IFERROR(G434/E436,"-")</f>
        <v>607.19806944085201</v>
      </c>
      <c r="H438" s="589"/>
      <c r="I438" s="34"/>
    </row>
    <row r="439" spans="1:10" ht="15.95" customHeight="1" x14ac:dyDescent="0.2">
      <c r="A439" s="392"/>
      <c r="B439" s="393"/>
      <c r="C439" s="109"/>
      <c r="D439" s="109"/>
      <c r="E439" s="110"/>
      <c r="F439" s="110"/>
      <c r="G439" s="120"/>
      <c r="H439" s="120"/>
    </row>
    <row r="440" spans="1:10" ht="15.95" customHeight="1" thickBot="1" x14ac:dyDescent="0.25">
      <c r="A440" s="394" t="s">
        <v>326</v>
      </c>
      <c r="B440" s="395"/>
      <c r="E440" s="27"/>
      <c r="F440" s="27"/>
      <c r="G440" s="43"/>
      <c r="H440" s="43"/>
    </row>
    <row r="441" spans="1:10" ht="15.95" customHeight="1" thickBot="1" x14ac:dyDescent="0.25">
      <c r="A441" s="388" t="s">
        <v>27</v>
      </c>
      <c r="B441" s="389"/>
      <c r="C441" s="211" t="s">
        <v>28</v>
      </c>
      <c r="D441" s="211" t="s">
        <v>21</v>
      </c>
      <c r="E441" s="212" t="s">
        <v>94</v>
      </c>
      <c r="F441" s="212" t="s">
        <v>29</v>
      </c>
      <c r="G441" s="213" t="s">
        <v>30</v>
      </c>
      <c r="H441" s="213"/>
    </row>
    <row r="442" spans="1:10" ht="15.95" customHeight="1" x14ac:dyDescent="0.2">
      <c r="A442" s="396" t="s">
        <v>184</v>
      </c>
      <c r="B442" s="397"/>
      <c r="C442" s="8" t="s">
        <v>0</v>
      </c>
      <c r="D442" s="44">
        <f>BDI!C35*100</f>
        <v>16.93</v>
      </c>
      <c r="E442" s="9">
        <f>G414</f>
        <v>93786.635398486862</v>
      </c>
      <c r="F442" s="9">
        <f>D442*E442/100</f>
        <v>15878.077372963824</v>
      </c>
      <c r="G442" s="290"/>
      <c r="H442" s="290"/>
      <c r="I442" s="291"/>
    </row>
    <row r="443" spans="1:10" ht="15.95" customHeight="1" thickBot="1" x14ac:dyDescent="0.3">
      <c r="A443" s="371"/>
      <c r="B443" s="372"/>
      <c r="E443" s="27"/>
      <c r="F443" s="27"/>
      <c r="G443" s="43"/>
      <c r="H443" s="43"/>
      <c r="I443" s="430" t="s">
        <v>359</v>
      </c>
      <c r="J443" s="410"/>
    </row>
    <row r="444" spans="1:10" ht="15.95" customHeight="1" thickBot="1" x14ac:dyDescent="0.3">
      <c r="A444" s="373" t="s">
        <v>185</v>
      </c>
      <c r="B444" s="374"/>
      <c r="C444" s="16"/>
      <c r="D444" s="16"/>
      <c r="E444" s="17"/>
      <c r="F444" s="18"/>
      <c r="G444" s="219">
        <f>F442</f>
        <v>15878.077372963824</v>
      </c>
      <c r="H444" s="219">
        <f>G444/G$45</f>
        <v>76.336910446941459</v>
      </c>
      <c r="I444" s="361">
        <f>G456*12</f>
        <v>1524179.4686789534</v>
      </c>
      <c r="J444" s="411"/>
    </row>
    <row r="445" spans="1:10" ht="15.95" customHeight="1" thickBot="1" x14ac:dyDescent="0.3">
      <c r="A445" s="367"/>
      <c r="B445" s="368"/>
      <c r="C445" s="6"/>
      <c r="D445" s="6"/>
      <c r="E445" s="20"/>
      <c r="F445" s="20"/>
      <c r="G445" s="133"/>
      <c r="H445" s="133"/>
      <c r="I445" s="412">
        <v>16</v>
      </c>
      <c r="J445" s="412">
        <f>I444*I445/100</f>
        <v>243868.71498863254</v>
      </c>
    </row>
    <row r="446" spans="1:10" ht="15.95" customHeight="1" thickBot="1" x14ac:dyDescent="0.3">
      <c r="A446" s="373" t="s">
        <v>186</v>
      </c>
      <c r="B446" s="374"/>
      <c r="C446" s="16"/>
      <c r="D446" s="16"/>
      <c r="E446" s="17"/>
      <c r="F446" s="18"/>
      <c r="G446" s="219">
        <f>E442+G444</f>
        <v>109664.71277145069</v>
      </c>
      <c r="H446" s="219">
        <f>G446/G$45</f>
        <v>527.23419601658986</v>
      </c>
      <c r="I446" s="411">
        <v>35640</v>
      </c>
      <c r="J446" s="412">
        <f>J445-I446</f>
        <v>208228.71498863254</v>
      </c>
    </row>
    <row r="447" spans="1:10" ht="15.95" customHeight="1" x14ac:dyDescent="0.2">
      <c r="A447" s="386"/>
      <c r="B447" s="387"/>
      <c r="C447" s="24"/>
      <c r="D447" s="24"/>
      <c r="E447" s="25"/>
      <c r="F447" s="25"/>
      <c r="G447" s="134"/>
      <c r="H447" s="134"/>
      <c r="I447" s="27"/>
      <c r="J447" s="426">
        <f>J446/I444</f>
        <v>0.13661692685646123</v>
      </c>
    </row>
    <row r="448" spans="1:10" ht="15.95" customHeight="1" x14ac:dyDescent="0.2">
      <c r="A448" s="386" t="s">
        <v>287</v>
      </c>
      <c r="B448" s="387"/>
      <c r="C448" s="24"/>
      <c r="D448" s="24"/>
      <c r="E448" s="25"/>
      <c r="F448" s="25"/>
      <c r="G448" s="136"/>
      <c r="H448" s="136"/>
      <c r="I448" s="27"/>
    </row>
    <row r="449" spans="1:12" ht="15.95" customHeight="1" x14ac:dyDescent="0.2">
      <c r="A449" s="367" t="s">
        <v>123</v>
      </c>
      <c r="B449" s="368"/>
      <c r="E449" s="27"/>
      <c r="F449" s="27"/>
      <c r="G449" s="43"/>
      <c r="H449" s="43"/>
      <c r="I449" s="27">
        <f>G456*0.0533</f>
        <v>6769.8971400490173</v>
      </c>
      <c r="J449" s="296" t="s">
        <v>358</v>
      </c>
    </row>
    <row r="450" spans="1:12" ht="15.95" customHeight="1" x14ac:dyDescent="0.2">
      <c r="A450" s="590" t="s">
        <v>357</v>
      </c>
      <c r="B450" s="591"/>
      <c r="E450" s="27"/>
      <c r="F450" s="27"/>
      <c r="G450" s="43"/>
      <c r="H450" s="419"/>
      <c r="I450" s="27"/>
    </row>
    <row r="451" spans="1:12" ht="15.95" customHeight="1" thickBot="1" x14ac:dyDescent="0.25">
      <c r="A451" s="398"/>
      <c r="B451" s="372"/>
      <c r="E451" s="27"/>
      <c r="F451" s="27"/>
      <c r="G451" s="43"/>
      <c r="H451" s="43"/>
      <c r="I451" s="27"/>
    </row>
    <row r="452" spans="1:12" ht="15.95" customHeight="1" thickBot="1" x14ac:dyDescent="0.3">
      <c r="A452" s="388" t="s">
        <v>27</v>
      </c>
      <c r="B452" s="389"/>
      <c r="C452" s="211" t="s">
        <v>28</v>
      </c>
      <c r="D452" s="211" t="s">
        <v>21</v>
      </c>
      <c r="E452" s="212" t="s">
        <v>124</v>
      </c>
      <c r="F452" s="212" t="s">
        <v>29</v>
      </c>
      <c r="G452" s="213" t="s">
        <v>30</v>
      </c>
      <c r="H452" s="213"/>
      <c r="I452" s="150"/>
      <c r="J452" s="296"/>
      <c r="K452" s="409"/>
    </row>
    <row r="453" spans="1:12" ht="15.95" customHeight="1" thickBot="1" x14ac:dyDescent="0.3">
      <c r="A453" s="586" t="s">
        <v>187</v>
      </c>
      <c r="B453" s="587"/>
      <c r="C453" s="112" t="s">
        <v>0</v>
      </c>
      <c r="D453" s="251">
        <v>13.66</v>
      </c>
      <c r="E453" s="113">
        <f>G446</f>
        <v>109664.71277145069</v>
      </c>
      <c r="F453" s="9">
        <f>G456*(D453/100)</f>
        <v>17350.242951795419</v>
      </c>
      <c r="G453" s="121"/>
      <c r="H453" s="121"/>
      <c r="I453" s="150"/>
      <c r="J453" s="296"/>
      <c r="K453" s="411"/>
      <c r="L453" s="408"/>
    </row>
    <row r="454" spans="1:12" ht="15.95" customHeight="1" thickBot="1" x14ac:dyDescent="0.3">
      <c r="A454" s="371"/>
      <c r="B454" s="372"/>
      <c r="E454" s="27"/>
      <c r="F454" s="27"/>
      <c r="G454" s="219">
        <f>F453</f>
        <v>17350.242951795419</v>
      </c>
      <c r="H454" s="219">
        <f>G454/G$45</f>
        <v>83.414629575939514</v>
      </c>
      <c r="I454" s="150"/>
      <c r="J454" s="296"/>
      <c r="K454" s="412"/>
      <c r="L454" s="407"/>
    </row>
    <row r="455" spans="1:12" ht="15.95" customHeight="1" thickBot="1" x14ac:dyDescent="0.3">
      <c r="A455" s="399"/>
      <c r="B455" s="400"/>
      <c r="C455" s="115"/>
      <c r="D455" s="115"/>
      <c r="E455" s="116"/>
      <c r="F455" s="116"/>
      <c r="G455" s="137"/>
      <c r="H455" s="137"/>
      <c r="I455" s="150"/>
      <c r="J455" s="296"/>
      <c r="K455" s="417"/>
    </row>
    <row r="456" spans="1:12" ht="15.95" customHeight="1" thickBot="1" x14ac:dyDescent="0.25">
      <c r="A456" s="373" t="s">
        <v>188</v>
      </c>
      <c r="B456" s="374"/>
      <c r="C456" s="16"/>
      <c r="D456" s="16"/>
      <c r="E456" s="17"/>
      <c r="F456" s="18"/>
      <c r="G456" s="189">
        <f>E453/((100-D453)/100)</f>
        <v>127014.95572324611</v>
      </c>
      <c r="H456" s="219">
        <f>G456/G$45</f>
        <v>610.64882559252942</v>
      </c>
      <c r="I456" s="150"/>
      <c r="J456" s="296"/>
    </row>
    <row r="457" spans="1:12" ht="15.95" customHeight="1" x14ac:dyDescent="0.2">
      <c r="A457" s="386"/>
      <c r="B457" s="387"/>
      <c r="C457" s="24"/>
      <c r="D457" s="24"/>
      <c r="E457" s="25"/>
      <c r="F457" s="25"/>
      <c r="G457" s="134"/>
      <c r="H457" s="134"/>
      <c r="I457" s="150"/>
      <c r="J457" s="296"/>
    </row>
    <row r="458" spans="1:12" ht="15.95" customHeight="1" x14ac:dyDescent="0.2">
      <c r="A458" s="390" t="s">
        <v>319</v>
      </c>
      <c r="B458" s="391"/>
      <c r="C458" s="70"/>
      <c r="D458" s="70"/>
      <c r="E458" s="284">
        <f>E$424</f>
        <v>208</v>
      </c>
      <c r="F458" s="283" t="s">
        <v>276</v>
      </c>
      <c r="G458" s="43"/>
      <c r="H458" s="43"/>
      <c r="I458" s="150"/>
      <c r="J458" s="296"/>
    </row>
    <row r="459" spans="1:12" ht="15.95" customHeight="1" thickBot="1" x14ac:dyDescent="0.25">
      <c r="A459" s="371"/>
      <c r="B459" s="372"/>
      <c r="E459" s="27"/>
      <c r="F459" s="27"/>
      <c r="G459" s="43"/>
      <c r="H459" s="43"/>
      <c r="I459" s="150"/>
      <c r="J459" s="296"/>
    </row>
    <row r="460" spans="1:12" ht="15.95" customHeight="1" thickBot="1" x14ac:dyDescent="0.25">
      <c r="A460" s="373" t="s">
        <v>320</v>
      </c>
      <c r="B460" s="374"/>
      <c r="C460" s="13"/>
      <c r="D460" s="13"/>
      <c r="E460" s="14"/>
      <c r="F460" s="140" t="s">
        <v>277</v>
      </c>
      <c r="G460" s="588">
        <f>IFERROR(G456/E458,"-")</f>
        <v>610.64882559252942</v>
      </c>
      <c r="H460" s="589"/>
      <c r="I460" s="150"/>
      <c r="J460" s="296"/>
    </row>
    <row r="461" spans="1:12" s="150" customFormat="1" ht="15.95" customHeight="1" x14ac:dyDescent="0.2">
      <c r="A461" s="377"/>
      <c r="B461" s="377"/>
      <c r="D461" s="296"/>
      <c r="E461" s="296"/>
      <c r="F461" s="296"/>
      <c r="J461" s="296"/>
    </row>
    <row r="462" spans="1:12" s="150" customFormat="1" ht="15.95" customHeight="1" x14ac:dyDescent="0.2">
      <c r="A462" s="377"/>
      <c r="B462" s="377"/>
      <c r="D462" s="296"/>
      <c r="E462" s="296"/>
      <c r="F462" s="296"/>
      <c r="I462" s="4"/>
      <c r="J462" s="5"/>
    </row>
    <row r="463" spans="1:12" s="150" customFormat="1" ht="15.95" customHeight="1" x14ac:dyDescent="0.2">
      <c r="A463" s="377"/>
      <c r="B463" s="377"/>
      <c r="D463" s="296"/>
      <c r="E463" s="296"/>
      <c r="F463" s="296"/>
      <c r="I463" s="4"/>
      <c r="J463" s="5"/>
    </row>
    <row r="464" spans="1:12" s="150" customFormat="1" ht="15.95" customHeight="1" x14ac:dyDescent="0.2">
      <c r="A464" s="377"/>
      <c r="B464" s="377"/>
      <c r="D464" s="296"/>
      <c r="E464" s="296"/>
      <c r="F464" s="296"/>
      <c r="I464" s="4"/>
      <c r="J464" s="5"/>
    </row>
    <row r="465" spans="1:10" s="150" customFormat="1" ht="15.95" customHeight="1" x14ac:dyDescent="0.2">
      <c r="A465" s="377"/>
      <c r="B465" s="377"/>
      <c r="D465" s="296"/>
      <c r="E465" s="296"/>
      <c r="F465" s="296"/>
      <c r="I465" s="4"/>
      <c r="J465" s="5"/>
    </row>
    <row r="466" spans="1:10" s="150" customFormat="1" ht="15.95" customHeight="1" x14ac:dyDescent="0.2">
      <c r="D466" s="296"/>
      <c r="E466" s="296"/>
      <c r="F466" s="296"/>
      <c r="I466" s="4"/>
      <c r="J466" s="5"/>
    </row>
    <row r="467" spans="1:10" s="150" customFormat="1" ht="15.95" customHeight="1" x14ac:dyDescent="0.2">
      <c r="C467" s="584"/>
      <c r="D467" s="584"/>
      <c r="E467" s="584"/>
      <c r="F467" s="296"/>
      <c r="I467" s="4"/>
      <c r="J467" s="5"/>
    </row>
    <row r="468" spans="1:10" s="150" customFormat="1" ht="15.95" customHeight="1" x14ac:dyDescent="0.2">
      <c r="C468" s="584"/>
      <c r="D468" s="584"/>
      <c r="E468" s="584"/>
      <c r="F468" s="296"/>
      <c r="I468" s="4"/>
      <c r="J468" s="5"/>
    </row>
    <row r="469" spans="1:10" s="150" customFormat="1" ht="15.95" customHeight="1" x14ac:dyDescent="0.2">
      <c r="C469" s="584"/>
      <c r="D469" s="584"/>
      <c r="E469" s="584"/>
      <c r="F469" s="296"/>
      <c r="I469" s="4"/>
      <c r="J469" s="5"/>
    </row>
    <row r="470" spans="1:10" s="150" customFormat="1" x14ac:dyDescent="0.2">
      <c r="E470" s="296"/>
      <c r="F470" s="296"/>
      <c r="I470" s="4"/>
      <c r="J470" s="5"/>
    </row>
    <row r="471" spans="1:10" x14ac:dyDescent="0.2">
      <c r="A471" s="6"/>
      <c r="B471" s="6"/>
      <c r="C471" s="585"/>
      <c r="D471" s="585"/>
      <c r="E471" s="585"/>
      <c r="F471" s="273"/>
      <c r="G471" s="273"/>
      <c r="H471" s="20"/>
    </row>
    <row r="472" spans="1:10" x14ac:dyDescent="0.2">
      <c r="A472" s="6"/>
      <c r="B472" s="6"/>
      <c r="C472" s="585"/>
      <c r="D472" s="585"/>
      <c r="E472" s="585"/>
      <c r="F472" s="273"/>
      <c r="G472" s="273"/>
      <c r="H472" s="20"/>
    </row>
    <row r="473" spans="1:10" x14ac:dyDescent="0.2">
      <c r="H473" s="27"/>
    </row>
    <row r="474" spans="1:10" x14ac:dyDescent="0.2">
      <c r="H474" s="27"/>
    </row>
    <row r="475" spans="1:10" x14ac:dyDescent="0.2">
      <c r="H475" s="27"/>
    </row>
  </sheetData>
  <mergeCells count="226">
    <mergeCell ref="A247:B247"/>
    <mergeCell ref="A248:B248"/>
    <mergeCell ref="A249:B249"/>
    <mergeCell ref="A250:B250"/>
    <mergeCell ref="A251:B251"/>
    <mergeCell ref="A252:B252"/>
    <mergeCell ref="A253:B253"/>
    <mergeCell ref="A241:B241"/>
    <mergeCell ref="A242:B242"/>
    <mergeCell ref="A124:B124"/>
    <mergeCell ref="A127:B127"/>
    <mergeCell ref="A128:B128"/>
    <mergeCell ref="A129:B129"/>
    <mergeCell ref="A135:B135"/>
    <mergeCell ref="A136:B136"/>
    <mergeCell ref="A141:B141"/>
    <mergeCell ref="A146:B146"/>
    <mergeCell ref="A147:B147"/>
    <mergeCell ref="A131:B131"/>
    <mergeCell ref="A132:B132"/>
    <mergeCell ref="A133:B133"/>
    <mergeCell ref="A134:B134"/>
    <mergeCell ref="A137:B137"/>
    <mergeCell ref="A138:B138"/>
    <mergeCell ref="A139:B139"/>
    <mergeCell ref="A140:B140"/>
    <mergeCell ref="A144:B144"/>
    <mergeCell ref="A145:B145"/>
    <mergeCell ref="A113:B113"/>
    <mergeCell ref="A114:B114"/>
    <mergeCell ref="A115:B115"/>
    <mergeCell ref="A116:B116"/>
    <mergeCell ref="A117:B117"/>
    <mergeCell ref="A120:B120"/>
    <mergeCell ref="A121:B121"/>
    <mergeCell ref="A122:B122"/>
    <mergeCell ref="A123:B123"/>
    <mergeCell ref="A1:H1"/>
    <mergeCell ref="A3:H3"/>
    <mergeCell ref="D4:E4"/>
    <mergeCell ref="G4:H4"/>
    <mergeCell ref="C7:D7"/>
    <mergeCell ref="E7:F7"/>
    <mergeCell ref="G7:H7"/>
    <mergeCell ref="A18:B18"/>
    <mergeCell ref="A19:B19"/>
    <mergeCell ref="A20:B20"/>
    <mergeCell ref="A21:B21"/>
    <mergeCell ref="A22:B22"/>
    <mergeCell ref="A8:B8"/>
    <mergeCell ref="A9:B9"/>
    <mergeCell ref="A10:B10"/>
    <mergeCell ref="A11:B11"/>
    <mergeCell ref="A12:B12"/>
    <mergeCell ref="A17:B17"/>
    <mergeCell ref="A33:H33"/>
    <mergeCell ref="A34:B34"/>
    <mergeCell ref="A39:E39"/>
    <mergeCell ref="G41:G42"/>
    <mergeCell ref="A42:E42"/>
    <mergeCell ref="A23:B23"/>
    <mergeCell ref="A26:B26"/>
    <mergeCell ref="A27:B27"/>
    <mergeCell ref="A28:B28"/>
    <mergeCell ref="A29:B29"/>
    <mergeCell ref="A30:B30"/>
    <mergeCell ref="A31:B31"/>
    <mergeCell ref="A24:B24"/>
    <mergeCell ref="A65:H65"/>
    <mergeCell ref="A68:B68"/>
    <mergeCell ref="A69:B69"/>
    <mergeCell ref="A70:B70"/>
    <mergeCell ref="A75:B75"/>
    <mergeCell ref="A76:B76"/>
    <mergeCell ref="A43:F43"/>
    <mergeCell ref="A45:F45"/>
    <mergeCell ref="A47:E47"/>
    <mergeCell ref="A59:E59"/>
    <mergeCell ref="D61:G61"/>
    <mergeCell ref="A63:B63"/>
    <mergeCell ref="D63:F63"/>
    <mergeCell ref="A77:B77"/>
    <mergeCell ref="A78:B78"/>
    <mergeCell ref="A81:B81"/>
    <mergeCell ref="A82:B82"/>
    <mergeCell ref="A83:B83"/>
    <mergeCell ref="A130:B130"/>
    <mergeCell ref="A86:B86"/>
    <mergeCell ref="A87:B87"/>
    <mergeCell ref="A88:B88"/>
    <mergeCell ref="A93:B93"/>
    <mergeCell ref="A94:B94"/>
    <mergeCell ref="A95:B95"/>
    <mergeCell ref="A96:B96"/>
    <mergeCell ref="A99:B99"/>
    <mergeCell ref="A100:B100"/>
    <mergeCell ref="A101:B101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48:B148"/>
    <mergeCell ref="A151:B151"/>
    <mergeCell ref="A152:B152"/>
    <mergeCell ref="A260:B260"/>
    <mergeCell ref="A261:B261"/>
    <mergeCell ref="A262:B262"/>
    <mergeCell ref="A263:B263"/>
    <mergeCell ref="A264:B264"/>
    <mergeCell ref="A265:B265"/>
    <mergeCell ref="A254:B254"/>
    <mergeCell ref="A258:B258"/>
    <mergeCell ref="A259:B259"/>
    <mergeCell ref="A193:B193"/>
    <mergeCell ref="A205:B205"/>
    <mergeCell ref="A153:B153"/>
    <mergeCell ref="A159:B159"/>
    <mergeCell ref="A160:B160"/>
    <mergeCell ref="A161:B161"/>
    <mergeCell ref="A162:B162"/>
    <mergeCell ref="A165:B165"/>
    <mergeCell ref="A166:B166"/>
    <mergeCell ref="A167:B167"/>
    <mergeCell ref="A228:B228"/>
    <mergeCell ref="A246:B246"/>
    <mergeCell ref="A266:B266"/>
    <mergeCell ref="A206:B206"/>
    <mergeCell ref="A207:B207"/>
    <mergeCell ref="A208:B208"/>
    <mergeCell ref="A209:B209"/>
    <mergeCell ref="A210:B210"/>
    <mergeCell ref="A234:B234"/>
    <mergeCell ref="A214:B214"/>
    <mergeCell ref="A215:B215"/>
    <mergeCell ref="A216:B216"/>
    <mergeCell ref="A217:B217"/>
    <mergeCell ref="A218:B218"/>
    <mergeCell ref="A219:B219"/>
    <mergeCell ref="A223:B223"/>
    <mergeCell ref="A224:B224"/>
    <mergeCell ref="A225:B225"/>
    <mergeCell ref="A226:B226"/>
    <mergeCell ref="A227:B227"/>
    <mergeCell ref="A235:B235"/>
    <mergeCell ref="A236:B236"/>
    <mergeCell ref="A237:B237"/>
    <mergeCell ref="A238:B238"/>
    <mergeCell ref="A239:B239"/>
    <mergeCell ref="A240:B240"/>
    <mergeCell ref="G426:H426"/>
    <mergeCell ref="A294:B294"/>
    <mergeCell ref="A305:B305"/>
    <mergeCell ref="A306:B306"/>
    <mergeCell ref="A308:B308"/>
    <mergeCell ref="A317:B317"/>
    <mergeCell ref="A318:B318"/>
    <mergeCell ref="A319:B319"/>
    <mergeCell ref="A320:B320"/>
    <mergeCell ref="A321:B321"/>
    <mergeCell ref="A324:B324"/>
    <mergeCell ref="A329:B329"/>
    <mergeCell ref="A326:B326"/>
    <mergeCell ref="A327:B327"/>
    <mergeCell ref="A328:B328"/>
    <mergeCell ref="A322:B322"/>
    <mergeCell ref="A323:B323"/>
    <mergeCell ref="A307:B307"/>
    <mergeCell ref="A366:B366"/>
    <mergeCell ref="A410:B410"/>
    <mergeCell ref="A368:B368"/>
    <mergeCell ref="A370:B370"/>
    <mergeCell ref="A371:B371"/>
    <mergeCell ref="A372:B372"/>
    <mergeCell ref="A373:B373"/>
    <mergeCell ref="A375:B375"/>
    <mergeCell ref="A378:B378"/>
    <mergeCell ref="A380:B380"/>
    <mergeCell ref="A381:B381"/>
    <mergeCell ref="C468:E468"/>
    <mergeCell ref="A404:B404"/>
    <mergeCell ref="A409:B409"/>
    <mergeCell ref="A386:B386"/>
    <mergeCell ref="A389:B389"/>
    <mergeCell ref="A390:B390"/>
    <mergeCell ref="A391:B391"/>
    <mergeCell ref="A403:B403"/>
    <mergeCell ref="A417:B417"/>
    <mergeCell ref="A418:B418"/>
    <mergeCell ref="A424:B424"/>
    <mergeCell ref="C469:E469"/>
    <mergeCell ref="C471:E471"/>
    <mergeCell ref="C472:E472"/>
    <mergeCell ref="A430:B430"/>
    <mergeCell ref="G438:H438"/>
    <mergeCell ref="A450:B450"/>
    <mergeCell ref="A453:B453"/>
    <mergeCell ref="G460:H460"/>
    <mergeCell ref="C467:E467"/>
    <mergeCell ref="A357:B357"/>
    <mergeCell ref="A359:B359"/>
    <mergeCell ref="A365:B365"/>
    <mergeCell ref="A367:B367"/>
    <mergeCell ref="A325:B325"/>
    <mergeCell ref="A346:B34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16:B316"/>
    <mergeCell ref="A331:B331"/>
    <mergeCell ref="A271:B271"/>
    <mergeCell ref="A272:B272"/>
    <mergeCell ref="A275:B275"/>
    <mergeCell ref="A276:B276"/>
    <mergeCell ref="A347:B347"/>
    <mergeCell ref="A348:B348"/>
    <mergeCell ref="A349:B349"/>
  </mergeCells>
  <pageMargins left="0.39370078740157483" right="0" top="0.78740157480314965" bottom="0.59055118110236227" header="0" footer="0"/>
  <pageSetup paperSize="9" scale="70" fitToHeight="0" orientation="portrait" r:id="rId1"/>
  <headerFooter alignWithMargins="0"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workbookViewId="0">
      <selection activeCell="A25" sqref="A25"/>
    </sheetView>
  </sheetViews>
  <sheetFormatPr defaultRowHeight="12.75" x14ac:dyDescent="0.2"/>
  <cols>
    <col min="1" max="1" width="53" customWidth="1"/>
  </cols>
  <sheetData>
    <row r="1" spans="1:2" x14ac:dyDescent="0.2">
      <c r="A1" s="560" t="s">
        <v>571</v>
      </c>
      <c r="B1" s="561"/>
    </row>
    <row r="2" spans="1:2" x14ac:dyDescent="0.2">
      <c r="A2" s="562" t="s">
        <v>572</v>
      </c>
      <c r="B2" s="563">
        <f>SUM(B3:B14)</f>
        <v>12</v>
      </c>
    </row>
    <row r="3" spans="1:2" x14ac:dyDescent="0.2">
      <c r="A3" s="564" t="s">
        <v>573</v>
      </c>
      <c r="B3" s="565">
        <v>1</v>
      </c>
    </row>
    <row r="4" spans="1:2" x14ac:dyDescent="0.2">
      <c r="A4" s="564" t="s">
        <v>574</v>
      </c>
      <c r="B4" s="565">
        <v>1</v>
      </c>
    </row>
    <row r="5" spans="1:2" x14ac:dyDescent="0.2">
      <c r="A5" s="564" t="s">
        <v>575</v>
      </c>
      <c r="B5" s="565">
        <v>1</v>
      </c>
    </row>
    <row r="6" spans="1:2" x14ac:dyDescent="0.2">
      <c r="A6" s="564" t="s">
        <v>576</v>
      </c>
      <c r="B6" s="565">
        <v>1</v>
      </c>
    </row>
    <row r="7" spans="1:2" x14ac:dyDescent="0.2">
      <c r="A7" s="564" t="s">
        <v>577</v>
      </c>
      <c r="B7" s="565">
        <v>1</v>
      </c>
    </row>
    <row r="8" spans="1:2" x14ac:dyDescent="0.2">
      <c r="A8" s="564" t="s">
        <v>578</v>
      </c>
      <c r="B8" s="565">
        <v>1</v>
      </c>
    </row>
    <row r="9" spans="1:2" x14ac:dyDescent="0.2">
      <c r="A9" s="564" t="s">
        <v>579</v>
      </c>
      <c r="B9" s="565">
        <v>1</v>
      </c>
    </row>
    <row r="10" spans="1:2" x14ac:dyDescent="0.2">
      <c r="A10" s="564" t="s">
        <v>580</v>
      </c>
      <c r="B10" s="565">
        <v>1</v>
      </c>
    </row>
    <row r="11" spans="1:2" x14ac:dyDescent="0.2">
      <c r="A11" s="564" t="s">
        <v>581</v>
      </c>
      <c r="B11" s="565">
        <v>1</v>
      </c>
    </row>
    <row r="12" spans="1:2" x14ac:dyDescent="0.2">
      <c r="A12" s="564" t="s">
        <v>582</v>
      </c>
      <c r="B12" s="565">
        <v>1</v>
      </c>
    </row>
    <row r="13" spans="1:2" x14ac:dyDescent="0.2">
      <c r="A13" s="564" t="s">
        <v>583</v>
      </c>
      <c r="B13" s="565">
        <v>1</v>
      </c>
    </row>
    <row r="14" spans="1:2" x14ac:dyDescent="0.2">
      <c r="A14" s="564" t="s">
        <v>584</v>
      </c>
      <c r="B14" s="565">
        <v>1</v>
      </c>
    </row>
    <row r="15" spans="1:2" x14ac:dyDescent="0.2">
      <c r="A15" s="562" t="s">
        <v>585</v>
      </c>
      <c r="B15" s="563">
        <f>B16+B17</f>
        <v>2</v>
      </c>
    </row>
    <row r="16" spans="1:2" x14ac:dyDescent="0.2">
      <c r="A16" s="566" t="s">
        <v>586</v>
      </c>
      <c r="B16" s="565">
        <v>1</v>
      </c>
    </row>
    <row r="17" spans="1:2" x14ac:dyDescent="0.2">
      <c r="A17" s="566" t="s">
        <v>587</v>
      </c>
      <c r="B17" s="565">
        <v>1</v>
      </c>
    </row>
    <row r="18" spans="1:2" x14ac:dyDescent="0.2">
      <c r="A18" s="562" t="s">
        <v>588</v>
      </c>
      <c r="B18" s="563">
        <f>B2+B15</f>
        <v>14</v>
      </c>
    </row>
    <row r="19" spans="1:2" x14ac:dyDescent="0.2">
      <c r="A19" s="566" t="s">
        <v>589</v>
      </c>
      <c r="B19" s="567">
        <v>1</v>
      </c>
    </row>
    <row r="20" spans="1:2" x14ac:dyDescent="0.2">
      <c r="A20" s="568" t="s">
        <v>590</v>
      </c>
      <c r="B20" s="569">
        <f>B18-B19</f>
        <v>13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"/>
  <sheetViews>
    <sheetView workbookViewId="0">
      <selection activeCell="H3" sqref="H3"/>
    </sheetView>
  </sheetViews>
  <sheetFormatPr defaultRowHeight="12.75" x14ac:dyDescent="0.2"/>
  <cols>
    <col min="1" max="1" width="28" customWidth="1"/>
  </cols>
  <sheetData>
    <row r="1" spans="1:10" ht="15" x14ac:dyDescent="0.25">
      <c r="A1" s="542" t="s">
        <v>548</v>
      </c>
      <c r="B1" s="542"/>
      <c r="C1" s="542"/>
      <c r="D1" s="543"/>
      <c r="E1" s="544"/>
      <c r="F1" s="544"/>
      <c r="G1" s="544"/>
      <c r="H1" s="544"/>
      <c r="I1" s="544"/>
      <c r="J1" s="544"/>
    </row>
    <row r="2" spans="1:10" ht="75" x14ac:dyDescent="0.25">
      <c r="A2" s="545" t="s">
        <v>48</v>
      </c>
      <c r="B2" s="546" t="s">
        <v>549</v>
      </c>
      <c r="C2" s="546" t="s">
        <v>550</v>
      </c>
      <c r="D2" s="546" t="s">
        <v>551</v>
      </c>
      <c r="E2" s="546" t="s">
        <v>552</v>
      </c>
      <c r="F2" s="546" t="s">
        <v>553</v>
      </c>
      <c r="G2" s="546" t="s">
        <v>554</v>
      </c>
      <c r="H2" s="546" t="s">
        <v>555</v>
      </c>
      <c r="I2" s="546" t="s">
        <v>556</v>
      </c>
      <c r="J2" s="546" t="s">
        <v>557</v>
      </c>
    </row>
    <row r="3" spans="1:10" ht="14.25" x14ac:dyDescent="0.2">
      <c r="A3" s="547" t="s">
        <v>558</v>
      </c>
      <c r="B3" s="548">
        <v>1</v>
      </c>
      <c r="C3" s="549">
        <f>12/12</f>
        <v>1</v>
      </c>
      <c r="D3" s="550" t="s">
        <v>559</v>
      </c>
      <c r="E3" s="548">
        <v>20</v>
      </c>
      <c r="F3" s="551">
        <f>21/(E3*B3)</f>
        <v>1.05</v>
      </c>
      <c r="G3" s="551">
        <f>E3*F3*C3</f>
        <v>21</v>
      </c>
      <c r="H3" s="548">
        <v>150</v>
      </c>
      <c r="I3" s="552">
        <f>(G3*H3)/1000</f>
        <v>3.15</v>
      </c>
      <c r="J3" s="551">
        <f>I3*B$9</f>
        <v>37.799999999999997</v>
      </c>
    </row>
    <row r="4" spans="1:10" ht="14.25" x14ac:dyDescent="0.2">
      <c r="A4" s="547" t="s">
        <v>439</v>
      </c>
      <c r="B4" s="548">
        <v>1</v>
      </c>
      <c r="C4" s="549">
        <f>12/12</f>
        <v>1</v>
      </c>
      <c r="D4" s="550" t="s">
        <v>559</v>
      </c>
      <c r="E4" s="548">
        <v>10</v>
      </c>
      <c r="F4" s="551">
        <f>21/(E4*B4)</f>
        <v>2.1</v>
      </c>
      <c r="G4" s="551">
        <f>E4*F4*C4</f>
        <v>21</v>
      </c>
      <c r="H4" s="548">
        <v>500</v>
      </c>
      <c r="I4" s="552">
        <f>(G4*H4)/1000</f>
        <v>10.5</v>
      </c>
      <c r="J4" s="551">
        <f>I4*B$9</f>
        <v>126</v>
      </c>
    </row>
    <row r="5" spans="1:10" ht="14.25" x14ac:dyDescent="0.2">
      <c r="A5" s="547" t="s">
        <v>442</v>
      </c>
      <c r="B5" s="548">
        <v>6</v>
      </c>
      <c r="C5" s="549">
        <f>12/12</f>
        <v>1</v>
      </c>
      <c r="D5" s="550" t="s">
        <v>559</v>
      </c>
      <c r="E5" s="548">
        <v>4</v>
      </c>
      <c r="F5" s="551">
        <f>21/(E5*B5)</f>
        <v>0.875</v>
      </c>
      <c r="G5" s="551">
        <f>E5*F5*C5</f>
        <v>3.5</v>
      </c>
      <c r="H5" s="548">
        <v>30</v>
      </c>
      <c r="I5" s="552">
        <f>(G5*H5)/1000</f>
        <v>0.105</v>
      </c>
      <c r="J5" s="551">
        <f>I5*B$9</f>
        <v>1.26</v>
      </c>
    </row>
    <row r="6" spans="1:10" ht="14.25" x14ac:dyDescent="0.2">
      <c r="A6" s="547" t="s">
        <v>560</v>
      </c>
      <c r="B6" s="548">
        <v>3</v>
      </c>
      <c r="C6" s="549">
        <f>5/12</f>
        <v>0.41666666666666669</v>
      </c>
      <c r="D6" s="550" t="s">
        <v>559</v>
      </c>
      <c r="E6" s="548">
        <v>4</v>
      </c>
      <c r="F6" s="551">
        <f>21/(E6*B6)</f>
        <v>1.75</v>
      </c>
      <c r="G6" s="551">
        <f>E6*F6*C6</f>
        <v>2.916666666666667</v>
      </c>
      <c r="H6" s="548">
        <v>400</v>
      </c>
      <c r="I6" s="552">
        <f>(G6*H6)/1000</f>
        <v>1.1666666666666667</v>
      </c>
      <c r="J6" s="551">
        <f>I6*B$9</f>
        <v>14</v>
      </c>
    </row>
    <row r="7" spans="1:10" ht="15" x14ac:dyDescent="0.25">
      <c r="A7" s="547"/>
      <c r="B7" s="550"/>
      <c r="C7" s="550"/>
      <c r="D7" s="550"/>
      <c r="E7" s="550"/>
      <c r="F7" s="550"/>
      <c r="G7" s="550"/>
      <c r="H7" s="547"/>
      <c r="I7" s="553">
        <f>SUM(I3:I6)</f>
        <v>14.921666666666667</v>
      </c>
      <c r="J7" s="554">
        <f>SUM(J3:J6)</f>
        <v>179.06</v>
      </c>
    </row>
    <row r="8" spans="1:10" ht="14.25" x14ac:dyDescent="0.2">
      <c r="A8" s="544"/>
      <c r="B8" s="555"/>
      <c r="C8" s="555"/>
      <c r="D8" s="555"/>
      <c r="E8" s="544"/>
      <c r="F8" s="544"/>
      <c r="G8" s="544"/>
      <c r="H8" s="544"/>
      <c r="I8" s="544"/>
      <c r="J8" s="544"/>
    </row>
    <row r="9" spans="1:10" ht="15" x14ac:dyDescent="0.25">
      <c r="A9" s="545" t="s">
        <v>561</v>
      </c>
      <c r="B9" s="556">
        <v>12</v>
      </c>
      <c r="C9" s="544"/>
      <c r="D9" s="544"/>
      <c r="E9" s="544"/>
      <c r="F9" s="544"/>
      <c r="G9" s="544"/>
      <c r="H9" s="544"/>
      <c r="I9" s="544"/>
      <c r="J9" s="544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7"/>
  <sheetViews>
    <sheetView workbookViewId="0">
      <selection activeCell="D13" sqref="D13"/>
    </sheetView>
  </sheetViews>
  <sheetFormatPr defaultRowHeight="12.75" x14ac:dyDescent="0.2"/>
  <cols>
    <col min="1" max="1" width="23.140625" customWidth="1"/>
    <col min="2" max="2" width="18.7109375" customWidth="1"/>
    <col min="3" max="3" width="18" customWidth="1"/>
  </cols>
  <sheetData>
    <row r="1" spans="1:4" ht="19.149999999999999" customHeight="1" x14ac:dyDescent="0.2">
      <c r="A1" s="670" t="s">
        <v>324</v>
      </c>
      <c r="B1" s="670"/>
      <c r="C1" s="670"/>
    </row>
    <row r="2" spans="1:4" ht="19.149999999999999" customHeight="1" x14ac:dyDescent="0.2">
      <c r="A2" s="71" t="s">
        <v>321</v>
      </c>
      <c r="B2" s="187" t="s">
        <v>322</v>
      </c>
      <c r="C2" s="187" t="s">
        <v>323</v>
      </c>
    </row>
    <row r="3" spans="1:4" ht="19.149999999999999" customHeight="1" x14ac:dyDescent="0.2">
      <c r="A3" s="401">
        <v>1</v>
      </c>
      <c r="B3" s="402">
        <v>33.629999999999995</v>
      </c>
      <c r="C3" s="402">
        <f>100-B3</f>
        <v>66.37</v>
      </c>
    </row>
    <row r="4" spans="1:4" ht="19.149999999999999" customHeight="1" x14ac:dyDescent="0.2">
      <c r="A4" s="403">
        <v>2</v>
      </c>
      <c r="B4" s="404">
        <v>43.13</v>
      </c>
      <c r="C4" s="404">
        <f t="shared" ref="C4:C17" si="0">100-B4</f>
        <v>56.87</v>
      </c>
    </row>
    <row r="5" spans="1:4" ht="19.149999999999999" customHeight="1" x14ac:dyDescent="0.2">
      <c r="A5" s="403">
        <v>3</v>
      </c>
      <c r="B5" s="404">
        <v>48.68</v>
      </c>
      <c r="C5" s="404">
        <f t="shared" si="0"/>
        <v>51.32</v>
      </c>
    </row>
    <row r="6" spans="1:4" ht="19.149999999999999" customHeight="1" x14ac:dyDescent="0.2">
      <c r="A6" s="529">
        <v>4</v>
      </c>
      <c r="B6" s="530">
        <v>52.62</v>
      </c>
      <c r="C6" s="530">
        <f t="shared" si="0"/>
        <v>47.38</v>
      </c>
      <c r="D6" t="s">
        <v>567</v>
      </c>
    </row>
    <row r="7" spans="1:4" ht="19.149999999999999" customHeight="1" x14ac:dyDescent="0.2">
      <c r="A7" s="403">
        <v>5</v>
      </c>
      <c r="B7" s="404">
        <v>55.68</v>
      </c>
      <c r="C7" s="404">
        <f t="shared" si="0"/>
        <v>44.32</v>
      </c>
    </row>
    <row r="8" spans="1:4" ht="19.149999999999999" customHeight="1" x14ac:dyDescent="0.2">
      <c r="A8" s="529">
        <v>6</v>
      </c>
      <c r="B8" s="530">
        <v>58.18</v>
      </c>
      <c r="C8" s="530">
        <f t="shared" si="0"/>
        <v>41.82</v>
      </c>
      <c r="D8" t="s">
        <v>566</v>
      </c>
    </row>
    <row r="9" spans="1:4" ht="19.149999999999999" customHeight="1" x14ac:dyDescent="0.2">
      <c r="A9" s="403">
        <v>7</v>
      </c>
      <c r="B9" s="404">
        <v>60.29</v>
      </c>
      <c r="C9" s="404">
        <f t="shared" si="0"/>
        <v>39.71</v>
      </c>
    </row>
    <row r="10" spans="1:4" ht="19.149999999999999" customHeight="1" x14ac:dyDescent="0.2">
      <c r="A10" s="403">
        <v>8</v>
      </c>
      <c r="B10" s="404">
        <v>62.12</v>
      </c>
      <c r="C10" s="404">
        <f t="shared" si="0"/>
        <v>37.880000000000003</v>
      </c>
    </row>
    <row r="11" spans="1:4" ht="19.149999999999999" customHeight="1" x14ac:dyDescent="0.2">
      <c r="A11" s="403">
        <v>9</v>
      </c>
      <c r="B11" s="404">
        <v>63.73</v>
      </c>
      <c r="C11" s="404">
        <f t="shared" si="0"/>
        <v>36.270000000000003</v>
      </c>
    </row>
    <row r="12" spans="1:4" ht="19.149999999999999" customHeight="1" x14ac:dyDescent="0.2">
      <c r="A12" s="529">
        <v>10</v>
      </c>
      <c r="B12" s="530">
        <v>65.180000000000007</v>
      </c>
      <c r="C12" s="530">
        <f t="shared" si="0"/>
        <v>34.819999999999993</v>
      </c>
      <c r="D12" t="s">
        <v>568</v>
      </c>
    </row>
    <row r="13" spans="1:4" ht="19.149999999999999" customHeight="1" x14ac:dyDescent="0.2">
      <c r="A13" s="403">
        <v>11</v>
      </c>
      <c r="B13" s="404">
        <v>66.47999999999999</v>
      </c>
      <c r="C13" s="404">
        <f t="shared" si="0"/>
        <v>33.52000000000001</v>
      </c>
    </row>
    <row r="14" spans="1:4" ht="19.149999999999999" customHeight="1" x14ac:dyDescent="0.2">
      <c r="A14" s="403">
        <v>12</v>
      </c>
      <c r="B14" s="404">
        <v>67.67</v>
      </c>
      <c r="C14" s="404">
        <f t="shared" si="0"/>
        <v>32.33</v>
      </c>
    </row>
    <row r="15" spans="1:4" ht="19.149999999999999" customHeight="1" x14ac:dyDescent="0.2">
      <c r="A15" s="403">
        <v>13</v>
      </c>
      <c r="B15" s="404">
        <v>68.77</v>
      </c>
      <c r="C15" s="404">
        <f t="shared" si="0"/>
        <v>31.230000000000004</v>
      </c>
    </row>
    <row r="16" spans="1:4" ht="19.149999999999999" customHeight="1" x14ac:dyDescent="0.2">
      <c r="A16" s="403">
        <v>14</v>
      </c>
      <c r="B16" s="404">
        <v>69.789999999999992</v>
      </c>
      <c r="C16" s="404">
        <f t="shared" si="0"/>
        <v>30.210000000000008</v>
      </c>
    </row>
    <row r="17" spans="1:3" ht="19.149999999999999" customHeight="1" x14ac:dyDescent="0.2">
      <c r="A17" s="405">
        <v>15</v>
      </c>
      <c r="B17" s="406">
        <v>70.73</v>
      </c>
      <c r="C17" s="406">
        <f t="shared" si="0"/>
        <v>29.269999999999996</v>
      </c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39"/>
  <sheetViews>
    <sheetView topLeftCell="A21" zoomScaleNormal="100" zoomScaleSheetLayoutView="110" workbookViewId="0">
      <selection activeCell="E41" sqref="E41"/>
    </sheetView>
  </sheetViews>
  <sheetFormatPr defaultColWidth="9.140625" defaultRowHeight="12.75" x14ac:dyDescent="0.2"/>
  <cols>
    <col min="1" max="1" width="17.85546875" style="4" customWidth="1"/>
    <col min="2" max="2" width="26.85546875" style="4" customWidth="1"/>
    <col min="3" max="3" width="13.7109375" style="4" bestFit="1" customWidth="1"/>
    <col min="4" max="4" width="12.85546875" style="4" bestFit="1" customWidth="1"/>
    <col min="5" max="5" width="14.7109375" style="5" customWidth="1"/>
    <col min="6" max="6" width="13.140625" style="5" bestFit="1" customWidth="1"/>
    <col min="7" max="7" width="12.85546875" style="5" bestFit="1" customWidth="1"/>
    <col min="8" max="8" width="8.28515625" style="5" customWidth="1"/>
    <col min="9" max="9" width="11.5703125" style="4" bestFit="1" customWidth="1"/>
    <col min="10" max="10" width="9.5703125" style="4" bestFit="1" customWidth="1"/>
    <col min="11" max="11" width="10.5703125" style="4" bestFit="1" customWidth="1"/>
    <col min="12" max="16384" width="9.140625" style="4"/>
  </cols>
  <sheetData>
    <row r="1" spans="1:9" s="79" customFormat="1" ht="23.25" customHeight="1" thickBot="1" x14ac:dyDescent="0.25">
      <c r="A1" s="656" t="s">
        <v>209</v>
      </c>
      <c r="B1" s="657"/>
      <c r="C1" s="657"/>
      <c r="D1" s="657"/>
      <c r="E1" s="657"/>
      <c r="F1" s="657"/>
      <c r="G1" s="657"/>
      <c r="H1" s="658"/>
      <c r="I1" s="4"/>
    </row>
    <row r="2" spans="1:9" s="2" customFormat="1" ht="15.75" customHeight="1" thickBot="1" x14ac:dyDescent="0.25">
      <c r="A2" s="208" t="s">
        <v>227</v>
      </c>
      <c r="B2" s="209"/>
      <c r="C2" s="252" t="s">
        <v>247</v>
      </c>
      <c r="D2" s="227"/>
      <c r="E2" s="227"/>
      <c r="F2" s="227"/>
      <c r="G2" s="227"/>
      <c r="H2" s="228"/>
      <c r="I2" s="4"/>
    </row>
    <row r="3" spans="1:9" s="79" customFormat="1" ht="23.25" customHeight="1" thickBot="1" x14ac:dyDescent="0.25">
      <c r="A3" s="223" t="s">
        <v>100</v>
      </c>
      <c r="B3" s="231"/>
      <c r="C3" s="221" t="s">
        <v>255</v>
      </c>
      <c r="D3" s="662"/>
      <c r="E3" s="663"/>
      <c r="F3" s="221" t="s">
        <v>244</v>
      </c>
      <c r="G3" s="662"/>
      <c r="H3" s="665"/>
      <c r="I3" s="4"/>
    </row>
    <row r="4" spans="1:9" s="3" customFormat="1" ht="18.75" thickBot="1" x14ac:dyDescent="0.3">
      <c r="A4" s="224" t="s">
        <v>251</v>
      </c>
      <c r="B4" s="270">
        <v>8</v>
      </c>
      <c r="C4" s="222" t="s">
        <v>161</v>
      </c>
      <c r="D4" s="271">
        <v>2</v>
      </c>
      <c r="E4" s="199" t="s">
        <v>160</v>
      </c>
      <c r="F4" s="199"/>
      <c r="G4" s="199"/>
      <c r="H4" s="200"/>
    </row>
    <row r="5" spans="1:9" s="2" customFormat="1" ht="10.9" customHeight="1" thickBot="1" x14ac:dyDescent="0.25">
      <c r="A5" s="201"/>
      <c r="B5" s="202"/>
      <c r="C5" s="203"/>
      <c r="D5" s="203"/>
      <c r="E5" s="204"/>
      <c r="F5" s="204"/>
      <c r="G5" s="204"/>
      <c r="H5" s="205"/>
    </row>
    <row r="6" spans="1:9" s="2" customFormat="1" ht="15.75" customHeight="1" thickBot="1" x14ac:dyDescent="0.25">
      <c r="A6" s="208" t="s">
        <v>228</v>
      </c>
      <c r="B6" s="209"/>
      <c r="C6" s="209"/>
      <c r="D6" s="209"/>
      <c r="E6" s="209"/>
      <c r="F6" s="209"/>
      <c r="G6" s="209"/>
      <c r="H6" s="210"/>
    </row>
    <row r="7" spans="1:9" s="2" customFormat="1" ht="16.5" thickBot="1" x14ac:dyDescent="0.25">
      <c r="A7" s="118" t="s">
        <v>126</v>
      </c>
      <c r="B7" s="118"/>
      <c r="C7" s="666" t="s">
        <v>116</v>
      </c>
      <c r="D7" s="667"/>
      <c r="E7" s="666" t="s">
        <v>117</v>
      </c>
      <c r="F7" s="667"/>
      <c r="G7" s="666" t="s">
        <v>120</v>
      </c>
      <c r="H7" s="667"/>
      <c r="I7" s="4"/>
    </row>
    <row r="8" spans="1:9" s="2" customFormat="1" ht="28.5" customHeight="1" x14ac:dyDescent="0.2">
      <c r="A8" s="653" t="s">
        <v>89</v>
      </c>
      <c r="B8" s="654"/>
      <c r="C8" s="98" t="s">
        <v>118</v>
      </c>
      <c r="D8" s="22" t="s">
        <v>119</v>
      </c>
      <c r="E8" s="98" t="s">
        <v>118</v>
      </c>
      <c r="F8" s="22" t="s">
        <v>119</v>
      </c>
      <c r="G8" s="98" t="s">
        <v>118</v>
      </c>
      <c r="H8" s="22" t="s">
        <v>119</v>
      </c>
      <c r="I8" s="4"/>
    </row>
    <row r="9" spans="1:9" s="6" customFormat="1" ht="15.75" customHeight="1" x14ac:dyDescent="0.2">
      <c r="A9" s="643" t="str">
        <f>A49</f>
        <v>1. Mão-de-obra</v>
      </c>
      <c r="B9" s="644"/>
      <c r="C9" s="94">
        <f>+G94</f>
        <v>3097.1646999999998</v>
      </c>
      <c r="D9" s="40">
        <f t="shared" ref="D9:D22" si="0">IFERROR(C9/$C$25,0)</f>
        <v>0.36884091674701491</v>
      </c>
      <c r="E9" s="94">
        <f>G94</f>
        <v>3097.1646999999998</v>
      </c>
      <c r="F9" s="40">
        <f t="shared" ref="F9:F21" si="1">IFERROR(E9/$E$25,0)</f>
        <v>0.3923682912066081</v>
      </c>
      <c r="G9" s="94">
        <f>G95</f>
        <v>2510.3092991999997</v>
      </c>
      <c r="H9" s="40">
        <f t="shared" ref="H9:H21" si="2">IFERROR(G9/$G$25,0)</f>
        <v>0</v>
      </c>
      <c r="I9" s="4"/>
    </row>
    <row r="10" spans="1:9" s="2" customFormat="1" ht="15.75" customHeight="1" x14ac:dyDescent="0.2">
      <c r="A10" s="671" t="s">
        <v>158</v>
      </c>
      <c r="B10" s="644"/>
      <c r="C10" s="95">
        <f>G57</f>
        <v>1002.3786</v>
      </c>
      <c r="D10" s="26">
        <f t="shared" si="0"/>
        <v>0.11937312915635045</v>
      </c>
      <c r="E10" s="95">
        <f t="shared" ref="E10:E21" si="3">C10</f>
        <v>1002.3786</v>
      </c>
      <c r="F10" s="26">
        <f t="shared" si="1"/>
        <v>0.12698762142809911</v>
      </c>
      <c r="G10" s="95">
        <f>G63</f>
        <v>772.99656959999993</v>
      </c>
      <c r="H10" s="26">
        <f t="shared" si="2"/>
        <v>0</v>
      </c>
      <c r="I10" s="4"/>
    </row>
    <row r="11" spans="1:9" s="2" customFormat="1" ht="15.75" customHeight="1" x14ac:dyDescent="0.2">
      <c r="A11" s="672" t="s">
        <v>159</v>
      </c>
      <c r="B11" s="644"/>
      <c r="C11" s="95">
        <f>G72</f>
        <v>1562.1261</v>
      </c>
      <c r="D11" s="26">
        <f t="shared" si="0"/>
        <v>0.18603338169211314</v>
      </c>
      <c r="E11" s="95">
        <f t="shared" si="3"/>
        <v>1562.1261</v>
      </c>
      <c r="F11" s="26">
        <f t="shared" si="1"/>
        <v>0.19789995298159088</v>
      </c>
      <c r="G11" s="95">
        <f>G78</f>
        <v>1204.6527295999999</v>
      </c>
      <c r="H11" s="26">
        <f t="shared" si="2"/>
        <v>0</v>
      </c>
      <c r="I11" s="4"/>
    </row>
    <row r="12" spans="1:9" s="2" customFormat="1" ht="15.75" customHeight="1" x14ac:dyDescent="0.2">
      <c r="A12" s="655" t="str">
        <f>A80</f>
        <v>1.3. Vale Transporte</v>
      </c>
      <c r="B12" s="644"/>
      <c r="C12" s="95">
        <f>G86</f>
        <v>92.66</v>
      </c>
      <c r="D12" s="26">
        <f t="shared" si="0"/>
        <v>1.1034866613899611E-2</v>
      </c>
      <c r="E12" s="95">
        <f t="shared" si="3"/>
        <v>92.66</v>
      </c>
      <c r="F12" s="26">
        <f t="shared" si="1"/>
        <v>1.1738751207904543E-2</v>
      </c>
      <c r="G12" s="95">
        <f t="shared" ref="G12:G20" si="4">E12</f>
        <v>92.66</v>
      </c>
      <c r="H12" s="26">
        <f t="shared" si="2"/>
        <v>0</v>
      </c>
      <c r="I12" s="4"/>
    </row>
    <row r="13" spans="1:9" s="2" customFormat="1" ht="15.75" customHeight="1" x14ac:dyDescent="0.2">
      <c r="A13" s="655" t="str">
        <f>A88</f>
        <v>1.4. Vale-refeição (diário)</v>
      </c>
      <c r="B13" s="644"/>
      <c r="C13" s="95">
        <f>G92</f>
        <v>440</v>
      </c>
      <c r="D13" s="26">
        <f t="shared" si="0"/>
        <v>5.2399539284651728E-2</v>
      </c>
      <c r="E13" s="95">
        <f t="shared" si="3"/>
        <v>440</v>
      </c>
      <c r="F13" s="26">
        <f t="shared" si="1"/>
        <v>5.5741965589013585E-2</v>
      </c>
      <c r="G13" s="95">
        <f t="shared" si="4"/>
        <v>440</v>
      </c>
      <c r="H13" s="26">
        <f t="shared" si="2"/>
        <v>0</v>
      </c>
      <c r="I13" s="4"/>
    </row>
    <row r="14" spans="1:9" s="6" customFormat="1" ht="15.75" customHeight="1" x14ac:dyDescent="0.2">
      <c r="A14" s="643" t="str">
        <f>A97</f>
        <v>2. Veículos</v>
      </c>
      <c r="B14" s="644"/>
      <c r="C14" s="94">
        <f>+G158</f>
        <v>3117.5808269444447</v>
      </c>
      <c r="D14" s="40">
        <f t="shared" si="0"/>
        <v>0.37127227048761918</v>
      </c>
      <c r="E14" s="94">
        <f t="shared" si="3"/>
        <v>3117.5808269444447</v>
      </c>
      <c r="F14" s="40">
        <f t="shared" si="1"/>
        <v>0.39495473449205853</v>
      </c>
      <c r="G14" s="94">
        <f t="shared" si="4"/>
        <v>3117.5808269444447</v>
      </c>
      <c r="H14" s="40">
        <f t="shared" si="2"/>
        <v>0</v>
      </c>
      <c r="I14" s="4"/>
    </row>
    <row r="15" spans="1:9" s="2" customFormat="1" ht="15.75" customHeight="1" x14ac:dyDescent="0.2">
      <c r="A15" s="649" t="str">
        <f>A98</f>
        <v>2.1 Depreciação</v>
      </c>
      <c r="B15" s="644"/>
      <c r="C15" s="95">
        <f>G105</f>
        <v>990</v>
      </c>
      <c r="D15" s="46">
        <f t="shared" si="0"/>
        <v>0.11789896339046638</v>
      </c>
      <c r="E15" s="95">
        <f t="shared" si="3"/>
        <v>990</v>
      </c>
      <c r="F15" s="46">
        <f t="shared" si="1"/>
        <v>0.12541942257528058</v>
      </c>
      <c r="G15" s="95">
        <f t="shared" si="4"/>
        <v>990</v>
      </c>
      <c r="H15" s="46">
        <f t="shared" si="2"/>
        <v>0</v>
      </c>
      <c r="I15" s="4"/>
    </row>
    <row r="16" spans="1:9" s="2" customFormat="1" ht="15.75" customHeight="1" x14ac:dyDescent="0.2">
      <c r="A16" s="649" t="str">
        <f>A106</f>
        <v>2.2 Remuneração do Capital</v>
      </c>
      <c r="B16" s="644"/>
      <c r="C16" s="95">
        <f>G116</f>
        <v>125.4</v>
      </c>
      <c r="D16" s="46">
        <f t="shared" si="0"/>
        <v>1.4933868696125742E-2</v>
      </c>
      <c r="E16" s="95">
        <f t="shared" si="3"/>
        <v>125.4</v>
      </c>
      <c r="F16" s="46">
        <f t="shared" si="1"/>
        <v>1.5886460192868872E-2</v>
      </c>
      <c r="G16" s="95">
        <f t="shared" si="4"/>
        <v>125.4</v>
      </c>
      <c r="H16" s="46">
        <f t="shared" si="2"/>
        <v>0</v>
      </c>
      <c r="I16" s="4"/>
    </row>
    <row r="17" spans="1:10" s="2" customFormat="1" ht="15.75" customHeight="1" x14ac:dyDescent="0.2">
      <c r="A17" s="649" t="str">
        <f>A118</f>
        <v>2.3. Impostos e Seguros</v>
      </c>
      <c r="B17" s="644"/>
      <c r="C17" s="95">
        <f>G127</f>
        <v>219.64374999999998</v>
      </c>
      <c r="D17" s="46">
        <f t="shared" si="0"/>
        <v>2.6157343878984593E-2</v>
      </c>
      <c r="E17" s="95">
        <f t="shared" si="3"/>
        <v>219.64374999999998</v>
      </c>
      <c r="F17" s="46">
        <f t="shared" si="1"/>
        <v>2.7825850805322502E-2</v>
      </c>
      <c r="G17" s="95">
        <f t="shared" si="4"/>
        <v>219.64374999999998</v>
      </c>
      <c r="H17" s="46">
        <f t="shared" si="2"/>
        <v>0</v>
      </c>
      <c r="I17" s="4"/>
    </row>
    <row r="18" spans="1:10" s="2" customFormat="1" ht="15.75" customHeight="1" x14ac:dyDescent="0.2">
      <c r="A18" s="649" t="str">
        <f>A128</f>
        <v>2.4. Consumos</v>
      </c>
      <c r="B18" s="644"/>
      <c r="C18" s="95">
        <f>G142</f>
        <v>778.49263250000013</v>
      </c>
      <c r="D18" s="46">
        <f t="shared" si="0"/>
        <v>9.2710580180672034E-2</v>
      </c>
      <c r="E18" s="95">
        <f t="shared" si="3"/>
        <v>778.49263250000013</v>
      </c>
      <c r="F18" s="46">
        <f t="shared" si="1"/>
        <v>9.8624339845717279E-2</v>
      </c>
      <c r="G18" s="95">
        <f t="shared" si="4"/>
        <v>778.49263250000013</v>
      </c>
      <c r="H18" s="46">
        <f t="shared" si="2"/>
        <v>0</v>
      </c>
      <c r="I18" s="4"/>
    </row>
    <row r="19" spans="1:10" s="2" customFormat="1" ht="15.75" customHeight="1" x14ac:dyDescent="0.2">
      <c r="A19" s="649" t="str">
        <f>A144</f>
        <v>2.5. Manutenção</v>
      </c>
      <c r="B19" s="644"/>
      <c r="C19" s="95">
        <f>G149</f>
        <v>930</v>
      </c>
      <c r="D19" s="46">
        <f t="shared" si="0"/>
        <v>0.11075357166983206</v>
      </c>
      <c r="E19" s="95">
        <f t="shared" si="3"/>
        <v>930</v>
      </c>
      <c r="F19" s="46">
        <f t="shared" si="1"/>
        <v>0.11781824544950599</v>
      </c>
      <c r="G19" s="95">
        <f t="shared" si="4"/>
        <v>930</v>
      </c>
      <c r="H19" s="46">
        <f t="shared" si="2"/>
        <v>0</v>
      </c>
      <c r="I19" s="4"/>
    </row>
    <row r="20" spans="1:10" s="2" customFormat="1" ht="15.75" customHeight="1" x14ac:dyDescent="0.2">
      <c r="A20" s="649" t="str">
        <f>A151</f>
        <v>2.6. Pneus</v>
      </c>
      <c r="B20" s="644"/>
      <c r="C20" s="95">
        <f>G156</f>
        <v>74.044444444444451</v>
      </c>
      <c r="D20" s="46">
        <f t="shared" si="0"/>
        <v>8.8179426715383619E-3</v>
      </c>
      <c r="E20" s="95">
        <f t="shared" si="3"/>
        <v>74.044444444444451</v>
      </c>
      <c r="F20" s="46">
        <f t="shared" si="1"/>
        <v>9.3804156233632963E-3</v>
      </c>
      <c r="G20" s="95">
        <f t="shared" si="4"/>
        <v>74.044444444444451</v>
      </c>
      <c r="H20" s="46">
        <f t="shared" si="2"/>
        <v>0</v>
      </c>
      <c r="I20" s="4"/>
    </row>
    <row r="21" spans="1:10" s="6" customFormat="1" ht="15.75" customHeight="1" x14ac:dyDescent="0.2">
      <c r="A21" s="643" t="str">
        <f>A160</f>
        <v>3. Ferramentas e Materiais de Consumo</v>
      </c>
      <c r="B21" s="644"/>
      <c r="C21" s="94">
        <f>+G170</f>
        <v>86.958333333333329</v>
      </c>
      <c r="D21" s="40">
        <f t="shared" si="0"/>
        <v>1.0355855917335999E-2</v>
      </c>
      <c r="E21" s="94">
        <f t="shared" si="3"/>
        <v>86.958333333333329</v>
      </c>
      <c r="F21" s="40">
        <f t="shared" si="1"/>
        <v>1.1016428237146908E-2</v>
      </c>
      <c r="G21" s="94">
        <f>E21</f>
        <v>86.958333333333329</v>
      </c>
      <c r="H21" s="40">
        <f t="shared" si="2"/>
        <v>0</v>
      </c>
      <c r="I21" s="4"/>
    </row>
    <row r="22" spans="1:10" s="6" customFormat="1" ht="15.75" customHeight="1" x14ac:dyDescent="0.2">
      <c r="A22" s="645" t="str">
        <f>A175</f>
        <v>4. Benefícios e Desp. Ind. - BDI - LUCRO REAL</v>
      </c>
      <c r="B22" s="644"/>
      <c r="C22" s="94">
        <f>+G181</f>
        <v>2095.316533542361</v>
      </c>
      <c r="D22" s="40">
        <f t="shared" si="0"/>
        <v>0.24953095684803003</v>
      </c>
      <c r="E22" s="101"/>
      <c r="F22" s="97"/>
      <c r="G22" s="101"/>
      <c r="H22" s="100"/>
      <c r="I22" s="4"/>
    </row>
    <row r="23" spans="1:10" s="6" customFormat="1" ht="15.75" customHeight="1" x14ac:dyDescent="0.2">
      <c r="A23" s="645" t="str">
        <f>A189</f>
        <v>5. Benefícios e Desp. Ind. - BDI - LUCRO PRESUMIDO</v>
      </c>
      <c r="B23" s="644"/>
      <c r="C23" s="103"/>
      <c r="D23" s="99"/>
      <c r="E23" s="94">
        <f>G195</f>
        <v>1591.8103951061667</v>
      </c>
      <c r="F23" s="40">
        <f>IFERROR(E23/$E$25,0)</f>
        <v>0.20166054606418649</v>
      </c>
      <c r="G23" s="101"/>
      <c r="H23" s="102"/>
      <c r="I23" s="4"/>
    </row>
    <row r="24" spans="1:10" s="6" customFormat="1" ht="15.75" customHeight="1" thickBot="1" x14ac:dyDescent="0.25">
      <c r="A24" s="646" t="str">
        <f>A203</f>
        <v>6. Benef. Desp. Ind. + Impostos - SIMPLES NACIONAL</v>
      </c>
      <c r="B24" s="647"/>
      <c r="C24" s="104"/>
      <c r="D24" s="105"/>
      <c r="E24" s="106"/>
      <c r="F24" s="97"/>
      <c r="G24" s="107" t="e">
        <f>G207+G220</f>
        <v>#REF!</v>
      </c>
      <c r="H24" s="96">
        <f>IFERROR(G24/$G$25,0)</f>
        <v>0</v>
      </c>
      <c r="I24" s="4"/>
    </row>
    <row r="25" spans="1:10" s="2" customFormat="1" ht="15.75" customHeight="1" thickBot="1" x14ac:dyDescent="0.25">
      <c r="A25" s="630" t="s">
        <v>210</v>
      </c>
      <c r="B25" s="648"/>
      <c r="C25" s="117">
        <f>C9+C14+C21+C22</f>
        <v>8397.0203938201375</v>
      </c>
      <c r="D25" s="45">
        <f>D9+D14+D21+D22</f>
        <v>1</v>
      </c>
      <c r="E25" s="117">
        <f>E9+E14+E21+E23</f>
        <v>7893.5142553839441</v>
      </c>
      <c r="F25" s="45">
        <f>F9+F14+F21+F23</f>
        <v>1</v>
      </c>
      <c r="G25" s="117" t="e">
        <f>G9+G14+G21+G24</f>
        <v>#REF!</v>
      </c>
      <c r="H25" s="45">
        <f>H9+H14+H21+H24</f>
        <v>0</v>
      </c>
      <c r="I25" s="4"/>
    </row>
    <row r="26" spans="1:10" s="2" customFormat="1" ht="15.75" customHeight="1" thickBot="1" x14ac:dyDescent="0.25">
      <c r="A26" s="630" t="s">
        <v>211</v>
      </c>
      <c r="B26" s="648"/>
      <c r="C26" s="117">
        <f>G187</f>
        <v>6.1742797013383361</v>
      </c>
      <c r="D26" s="45"/>
      <c r="E26" s="117">
        <f>G201</f>
        <v>5.8040545995470181</v>
      </c>
      <c r="F26" s="45"/>
      <c r="G26" s="117" t="str">
        <f>G226</f>
        <v>-</v>
      </c>
      <c r="H26" s="45"/>
      <c r="I26" s="4"/>
    </row>
    <row r="27" spans="1:10" ht="13.5" thickBot="1" x14ac:dyDescent="0.25">
      <c r="A27" s="108"/>
      <c r="B27" s="109"/>
      <c r="C27" s="109"/>
      <c r="D27" s="109"/>
      <c r="E27" s="110"/>
      <c r="F27" s="110"/>
      <c r="G27" s="120"/>
      <c r="H27" s="176"/>
      <c r="J27" s="2"/>
    </row>
    <row r="28" spans="1:10" s="2" customFormat="1" ht="15" customHeight="1" thickBot="1" x14ac:dyDescent="0.25">
      <c r="A28" s="624" t="s">
        <v>245</v>
      </c>
      <c r="B28" s="625"/>
      <c r="C28" s="625"/>
      <c r="D28" s="625"/>
      <c r="E28" s="625"/>
      <c r="F28" s="625"/>
      <c r="G28" s="626"/>
      <c r="H28" s="177"/>
      <c r="I28" s="4"/>
    </row>
    <row r="29" spans="1:10" s="2" customFormat="1" ht="15" customHeight="1" thickBot="1" x14ac:dyDescent="0.25">
      <c r="A29" s="630" t="s">
        <v>229</v>
      </c>
      <c r="B29" s="673"/>
      <c r="C29" s="14"/>
      <c r="D29" s="14"/>
      <c r="E29" s="161"/>
      <c r="F29" s="155" t="s">
        <v>21</v>
      </c>
      <c r="G29" s="155" t="s">
        <v>162</v>
      </c>
      <c r="H29" s="177"/>
      <c r="I29" s="4"/>
    </row>
    <row r="30" spans="1:10" s="2" customFormat="1" ht="15" customHeight="1" x14ac:dyDescent="0.2">
      <c r="A30" s="674" t="s">
        <v>102</v>
      </c>
      <c r="B30" s="675"/>
      <c r="C30" s="153"/>
      <c r="D30" s="153"/>
      <c r="E30" s="154"/>
      <c r="F30" s="232">
        <v>1</v>
      </c>
      <c r="G30" s="233">
        <v>1814</v>
      </c>
      <c r="H30" s="178"/>
      <c r="I30" s="4"/>
    </row>
    <row r="31" spans="1:10" s="2" customFormat="1" ht="15" customHeight="1" x14ac:dyDescent="0.2">
      <c r="A31" s="649" t="s">
        <v>139</v>
      </c>
      <c r="B31" s="623"/>
      <c r="C31" s="28"/>
      <c r="D31" s="28"/>
      <c r="E31" s="28"/>
      <c r="F31" s="235">
        <v>1</v>
      </c>
      <c r="G31" s="234">
        <v>1164</v>
      </c>
      <c r="H31" s="178"/>
      <c r="I31" s="4"/>
    </row>
    <row r="32" spans="1:10" s="2" customFormat="1" ht="15" customHeight="1" thickBot="1" x14ac:dyDescent="0.25">
      <c r="A32" s="676" t="s">
        <v>26</v>
      </c>
      <c r="B32" s="677"/>
      <c r="C32" s="30"/>
      <c r="D32" s="30"/>
      <c r="E32" s="31"/>
      <c r="F32" s="32">
        <f>SUM(F30:F31)</f>
        <v>2</v>
      </c>
      <c r="G32" s="152">
        <f>SUM(G30:G31)</f>
        <v>2978</v>
      </c>
      <c r="H32" s="178"/>
      <c r="I32" s="4"/>
    </row>
    <row r="33" spans="1:9" s="2" customFormat="1" ht="15" customHeight="1" thickBot="1" x14ac:dyDescent="0.25">
      <c r="A33" s="41"/>
      <c r="B33" s="20"/>
      <c r="C33" s="42"/>
      <c r="D33" s="27"/>
      <c r="E33" s="17"/>
      <c r="F33" s="17"/>
      <c r="G33" s="18"/>
      <c r="H33" s="178"/>
      <c r="I33" s="4"/>
    </row>
    <row r="34" spans="1:9" s="2" customFormat="1" ht="33" customHeight="1" x14ac:dyDescent="0.2">
      <c r="A34" s="686" t="s">
        <v>230</v>
      </c>
      <c r="B34" s="687"/>
      <c r="C34" s="163" t="s">
        <v>208</v>
      </c>
      <c r="D34" s="163" t="s">
        <v>224</v>
      </c>
      <c r="E34" s="163" t="s">
        <v>163</v>
      </c>
      <c r="F34" s="174" t="s">
        <v>21</v>
      </c>
      <c r="G34" s="158" t="s">
        <v>164</v>
      </c>
      <c r="H34" s="178"/>
      <c r="I34" s="4"/>
    </row>
    <row r="35" spans="1:9" s="2" customFormat="1" ht="15" customHeight="1" x14ac:dyDescent="0.2">
      <c r="A35" s="651" t="s">
        <v>198</v>
      </c>
      <c r="B35" s="581"/>
      <c r="C35" s="236">
        <v>5</v>
      </c>
      <c r="D35" s="168">
        <f>1/C35</f>
        <v>0.2</v>
      </c>
      <c r="E35" s="236">
        <v>15</v>
      </c>
      <c r="F35" s="237">
        <v>1</v>
      </c>
      <c r="G35" s="234">
        <v>198000</v>
      </c>
      <c r="H35" s="178"/>
      <c r="I35" s="4"/>
    </row>
    <row r="36" spans="1:9" s="2" customFormat="1" ht="15" customHeight="1" x14ac:dyDescent="0.2">
      <c r="A36" s="651" t="s">
        <v>199</v>
      </c>
      <c r="B36" s="581"/>
      <c r="C36" s="164"/>
      <c r="D36" s="184"/>
      <c r="E36" s="164"/>
      <c r="F36" s="238">
        <v>8.5</v>
      </c>
      <c r="G36" s="240">
        <v>3.7</v>
      </c>
      <c r="H36" s="178"/>
      <c r="I36" s="4"/>
    </row>
    <row r="37" spans="1:9" s="2" customFormat="1" ht="15" customHeight="1" thickBot="1" x14ac:dyDescent="0.25">
      <c r="A37" s="678" t="s">
        <v>200</v>
      </c>
      <c r="B37" s="679"/>
      <c r="C37" s="165"/>
      <c r="D37" s="166"/>
      <c r="E37" s="166"/>
      <c r="F37" s="239">
        <v>20</v>
      </c>
      <c r="G37" s="162"/>
      <c r="H37" s="178"/>
      <c r="I37" s="4"/>
    </row>
    <row r="38" spans="1:9" s="2" customFormat="1" ht="15" customHeight="1" thickBot="1" x14ac:dyDescent="0.25">
      <c r="A38" s="156"/>
      <c r="B38" s="194"/>
      <c r="C38" s="81"/>
      <c r="D38" s="81"/>
      <c r="E38" s="17"/>
      <c r="F38" s="159"/>
      <c r="G38" s="160"/>
      <c r="H38" s="178"/>
      <c r="I38" s="4"/>
    </row>
    <row r="39" spans="1:9" s="2" customFormat="1" x14ac:dyDescent="0.2">
      <c r="A39" s="686" t="s">
        <v>231</v>
      </c>
      <c r="B39" s="596"/>
      <c r="C39" s="174" t="s">
        <v>28</v>
      </c>
      <c r="D39" s="163"/>
      <c r="E39" s="174" t="s">
        <v>168</v>
      </c>
      <c r="F39" s="174" t="s">
        <v>170</v>
      </c>
      <c r="G39" s="157" t="s">
        <v>169</v>
      </c>
      <c r="H39" s="190"/>
      <c r="I39" s="4"/>
    </row>
    <row r="40" spans="1:9" s="2" customFormat="1" ht="15" customHeight="1" x14ac:dyDescent="0.2">
      <c r="A40" s="651" t="s">
        <v>165</v>
      </c>
      <c r="B40" s="581"/>
      <c r="C40" s="167" t="s">
        <v>156</v>
      </c>
      <c r="D40" s="168"/>
      <c r="E40" s="237">
        <v>68</v>
      </c>
      <c r="F40" s="146">
        <f>(E40/F37)+C46</f>
        <v>4.4000000000000004</v>
      </c>
      <c r="G40" s="171">
        <f>E40*E41</f>
        <v>1360</v>
      </c>
      <c r="H40" s="178"/>
      <c r="I40" s="4"/>
    </row>
    <row r="41" spans="1:9" s="2" customFormat="1" ht="15" customHeight="1" thickBot="1" x14ac:dyDescent="0.25">
      <c r="A41" s="678" t="s">
        <v>166</v>
      </c>
      <c r="B41" s="679"/>
      <c r="C41" s="165" t="s">
        <v>167</v>
      </c>
      <c r="D41" s="166"/>
      <c r="E41" s="239">
        <v>20</v>
      </c>
      <c r="F41" s="169"/>
      <c r="G41" s="162"/>
      <c r="H41" s="178"/>
      <c r="I41" s="4"/>
    </row>
    <row r="42" spans="1:9" s="2" customFormat="1" ht="15" customHeight="1" thickBot="1" x14ac:dyDescent="0.25">
      <c r="A42" s="156"/>
      <c r="B42" s="194"/>
      <c r="C42" s="81"/>
      <c r="D42" s="81"/>
      <c r="E42" s="17"/>
      <c r="F42" s="159"/>
      <c r="G42" s="160"/>
      <c r="H42" s="178"/>
      <c r="I42" s="4"/>
    </row>
    <row r="43" spans="1:9" s="2" customFormat="1" ht="15" customHeight="1" thickBot="1" x14ac:dyDescent="0.25">
      <c r="A43" s="29" t="s">
        <v>232</v>
      </c>
      <c r="B43" s="194"/>
      <c r="C43" s="174" t="s">
        <v>0</v>
      </c>
      <c r="D43" s="680" t="s">
        <v>233</v>
      </c>
      <c r="E43" s="681"/>
      <c r="F43" s="681"/>
      <c r="G43" s="682"/>
      <c r="H43" s="178"/>
      <c r="I43" s="4"/>
    </row>
    <row r="44" spans="1:9" s="6" customFormat="1" ht="15.75" customHeight="1" thickBot="1" x14ac:dyDescent="0.25">
      <c r="A44" s="683" t="s">
        <v>101</v>
      </c>
      <c r="B44" s="673"/>
      <c r="C44" s="207">
        <f>F40/8.8</f>
        <v>0.5</v>
      </c>
      <c r="D44" s="630" t="s">
        <v>146</v>
      </c>
      <c r="E44" s="631"/>
      <c r="F44" s="631"/>
      <c r="G44" s="170"/>
      <c r="H44" s="178"/>
      <c r="I44" s="4"/>
    </row>
    <row r="45" spans="1:9" s="6" customFormat="1" ht="15.75" customHeight="1" thickBot="1" x14ac:dyDescent="0.25">
      <c r="A45" s="683" t="s">
        <v>147</v>
      </c>
      <c r="B45" s="673"/>
      <c r="C45" s="241">
        <v>0.25</v>
      </c>
      <c r="D45" s="683" t="s">
        <v>246</v>
      </c>
      <c r="E45" s="684"/>
      <c r="F45" s="684"/>
      <c r="G45" s="685"/>
      <c r="H45" s="178"/>
      <c r="I45" s="4"/>
    </row>
    <row r="46" spans="1:9" s="6" customFormat="1" ht="15.75" customHeight="1" thickBot="1" x14ac:dyDescent="0.25">
      <c r="A46" s="683" t="s">
        <v>226</v>
      </c>
      <c r="B46" s="673"/>
      <c r="C46" s="256">
        <v>1</v>
      </c>
      <c r="D46" s="683" t="s">
        <v>248</v>
      </c>
      <c r="E46" s="684"/>
      <c r="F46" s="684"/>
      <c r="G46" s="685"/>
      <c r="H46" s="178"/>
      <c r="I46" s="4"/>
    </row>
    <row r="47" spans="1:9" ht="13.15" customHeight="1" thickBot="1" x14ac:dyDescent="0.25">
      <c r="A47" s="88"/>
      <c r="B47" s="6"/>
      <c r="E47" s="27"/>
      <c r="F47" s="27"/>
      <c r="G47" s="43"/>
      <c r="H47" s="178"/>
    </row>
    <row r="48" spans="1:9" s="2" customFormat="1" ht="15" customHeight="1" thickBot="1" x14ac:dyDescent="0.25">
      <c r="A48" s="624" t="s">
        <v>234</v>
      </c>
      <c r="B48" s="625"/>
      <c r="C48" s="625"/>
      <c r="D48" s="625"/>
      <c r="E48" s="625"/>
      <c r="F48" s="625"/>
      <c r="G48" s="626"/>
      <c r="H48" s="177"/>
      <c r="I48" s="4"/>
    </row>
    <row r="49" spans="1:8" ht="11.25" customHeight="1" x14ac:dyDescent="0.2">
      <c r="A49" s="88" t="s">
        <v>24</v>
      </c>
      <c r="B49" s="6"/>
      <c r="E49" s="27"/>
      <c r="F49" s="27"/>
      <c r="G49" s="43"/>
      <c r="H49" s="178"/>
    </row>
    <row r="50" spans="1:8" ht="13.9" customHeight="1" thickBot="1" x14ac:dyDescent="0.25">
      <c r="A50" s="88" t="s">
        <v>134</v>
      </c>
      <c r="B50" s="6"/>
      <c r="E50" s="27"/>
      <c r="F50" s="27"/>
      <c r="G50" s="43"/>
      <c r="H50" s="179"/>
    </row>
    <row r="51" spans="1:8" ht="13.9" customHeight="1" thickBot="1" x14ac:dyDescent="0.25">
      <c r="A51" s="578" t="s">
        <v>27</v>
      </c>
      <c r="B51" s="579"/>
      <c r="C51" s="211" t="s">
        <v>28</v>
      </c>
      <c r="D51" s="211" t="s">
        <v>21</v>
      </c>
      <c r="E51" s="212" t="s">
        <v>94</v>
      </c>
      <c r="F51" s="212" t="s">
        <v>29</v>
      </c>
      <c r="G51" s="213" t="s">
        <v>30</v>
      </c>
      <c r="H51" s="213" t="s">
        <v>157</v>
      </c>
    </row>
    <row r="52" spans="1:8" ht="13.15" customHeight="1" x14ac:dyDescent="0.2">
      <c r="A52" s="595" t="s">
        <v>133</v>
      </c>
      <c r="B52" s="596"/>
      <c r="C52" s="8" t="s">
        <v>5</v>
      </c>
      <c r="D52" s="8">
        <v>1</v>
      </c>
      <c r="E52" s="172">
        <f>G31</f>
        <v>1164</v>
      </c>
      <c r="F52" s="9">
        <f>D52*E52</f>
        <v>1164</v>
      </c>
      <c r="G52" s="121"/>
      <c r="H52" s="180"/>
    </row>
    <row r="53" spans="1:8" x14ac:dyDescent="0.2">
      <c r="A53" s="594" t="s">
        <v>1</v>
      </c>
      <c r="B53" s="693"/>
      <c r="C53" s="82"/>
      <c r="D53" s="82"/>
      <c r="E53" s="19"/>
      <c r="F53" s="39">
        <f>SUM(F52:F52)</f>
        <v>1164</v>
      </c>
      <c r="G53" s="122"/>
      <c r="H53" s="178"/>
    </row>
    <row r="54" spans="1:8" x14ac:dyDescent="0.2">
      <c r="A54" s="688" t="s">
        <v>2</v>
      </c>
      <c r="B54" s="581"/>
      <c r="C54" s="10" t="s">
        <v>0</v>
      </c>
      <c r="D54" s="44">
        <f>'Enc. Soc. - LR-LP e SN'!C$32*100</f>
        <v>72.22999999999999</v>
      </c>
      <c r="E54" s="11">
        <f>F53</f>
        <v>1164</v>
      </c>
      <c r="F54" s="11">
        <f>E54*D54/100</f>
        <v>840.7571999999999</v>
      </c>
      <c r="G54" s="122"/>
      <c r="H54" s="178"/>
    </row>
    <row r="55" spans="1:8" x14ac:dyDescent="0.2">
      <c r="A55" s="594" t="s">
        <v>31</v>
      </c>
      <c r="B55" s="623"/>
      <c r="C55" s="82"/>
      <c r="D55" s="82"/>
      <c r="E55" s="19"/>
      <c r="F55" s="39">
        <f>F53+F54</f>
        <v>2004.7572</v>
      </c>
      <c r="G55" s="122"/>
      <c r="H55" s="178"/>
    </row>
    <row r="56" spans="1:8" x14ac:dyDescent="0.2">
      <c r="A56" s="688" t="s">
        <v>3</v>
      </c>
      <c r="B56" s="581"/>
      <c r="C56" s="10" t="s">
        <v>4</v>
      </c>
      <c r="D56" s="173">
        <f>F31</f>
        <v>1</v>
      </c>
      <c r="E56" s="11">
        <f>F55</f>
        <v>2004.7572</v>
      </c>
      <c r="F56" s="11">
        <f>D56*E56</f>
        <v>2004.7572</v>
      </c>
      <c r="G56" s="122"/>
      <c r="H56" s="178"/>
    </row>
    <row r="57" spans="1:8" ht="13.9" customHeight="1" thickBot="1" x14ac:dyDescent="0.25">
      <c r="A57" s="87"/>
      <c r="E57" s="229" t="s">
        <v>88</v>
      </c>
      <c r="F57" s="182">
        <f>$C$44</f>
        <v>0.5</v>
      </c>
      <c r="G57" s="214">
        <f>F56*F57</f>
        <v>1002.3786</v>
      </c>
      <c r="H57" s="214">
        <f>G57/G$40</f>
        <v>0.73704308823529407</v>
      </c>
    </row>
    <row r="58" spans="1:8" ht="11.25" customHeight="1" x14ac:dyDescent="0.2">
      <c r="A58" s="87"/>
      <c r="E58" s="27"/>
      <c r="F58" s="27"/>
      <c r="G58" s="120"/>
      <c r="H58" s="178"/>
    </row>
    <row r="59" spans="1:8" ht="11.25" customHeight="1" x14ac:dyDescent="0.2">
      <c r="A59" s="88" t="s">
        <v>135</v>
      </c>
      <c r="B59" s="6"/>
      <c r="E59" s="27"/>
      <c r="F59" s="27"/>
      <c r="G59" s="43"/>
      <c r="H59" s="178"/>
    </row>
    <row r="60" spans="1:8" ht="11.25" customHeight="1" x14ac:dyDescent="0.2">
      <c r="A60" s="689" t="s">
        <v>2</v>
      </c>
      <c r="B60" s="690"/>
      <c r="C60" s="93" t="s">
        <v>0</v>
      </c>
      <c r="D60" s="44">
        <f>'Enc. Soc. - LR-LP e SN'!C$42*100</f>
        <v>32.817279999999997</v>
      </c>
      <c r="E60" s="11">
        <f>F53</f>
        <v>1164</v>
      </c>
      <c r="F60" s="11">
        <f>E60*D60/100</f>
        <v>381.99313919999992</v>
      </c>
      <c r="G60" s="43"/>
      <c r="H60" s="178"/>
    </row>
    <row r="61" spans="1:8" x14ac:dyDescent="0.2">
      <c r="A61" s="691" t="s">
        <v>31</v>
      </c>
      <c r="B61" s="692"/>
      <c r="C61" s="82"/>
      <c r="D61" s="82"/>
      <c r="E61" s="19"/>
      <c r="F61" s="39">
        <f>E60+F60</f>
        <v>1545.9931391999999</v>
      </c>
      <c r="G61" s="43"/>
      <c r="H61" s="178"/>
    </row>
    <row r="62" spans="1:8" x14ac:dyDescent="0.2">
      <c r="A62" s="688" t="s">
        <v>3</v>
      </c>
      <c r="B62" s="581"/>
      <c r="C62" s="10" t="s">
        <v>4</v>
      </c>
      <c r="D62" s="10">
        <f>D56</f>
        <v>1</v>
      </c>
      <c r="E62" s="33">
        <f>F61</f>
        <v>1545.9931391999999</v>
      </c>
      <c r="F62" s="11">
        <f>D62*E62</f>
        <v>1545.9931391999999</v>
      </c>
      <c r="G62" s="43"/>
      <c r="H62" s="178"/>
    </row>
    <row r="63" spans="1:8" ht="13.9" customHeight="1" thickBot="1" x14ac:dyDescent="0.25">
      <c r="A63" s="87"/>
      <c r="E63" s="229" t="s">
        <v>88</v>
      </c>
      <c r="F63" s="182">
        <f>$C$44</f>
        <v>0.5</v>
      </c>
      <c r="G63" s="214">
        <f>F62*F63</f>
        <v>772.99656959999993</v>
      </c>
      <c r="H63" s="214">
        <f>G63/G$40</f>
        <v>0.56837983058823527</v>
      </c>
    </row>
    <row r="64" spans="1:8" ht="11.25" customHeight="1" x14ac:dyDescent="0.2">
      <c r="A64" s="87"/>
      <c r="E64" s="27"/>
      <c r="F64" s="27"/>
      <c r="G64" s="120"/>
      <c r="H64" s="178"/>
    </row>
    <row r="65" spans="1:10" ht="13.5" thickBot="1" x14ac:dyDescent="0.25">
      <c r="A65" s="88" t="s">
        <v>136</v>
      </c>
      <c r="B65" s="6"/>
      <c r="E65" s="27"/>
      <c r="F65" s="27"/>
      <c r="G65" s="43"/>
      <c r="H65" s="178"/>
    </row>
    <row r="66" spans="1:10" s="7" customFormat="1" ht="13.15" customHeight="1" thickBot="1" x14ac:dyDescent="0.25">
      <c r="A66" s="578" t="s">
        <v>27</v>
      </c>
      <c r="B66" s="599"/>
      <c r="C66" s="211" t="s">
        <v>28</v>
      </c>
      <c r="D66" s="211" t="s">
        <v>21</v>
      </c>
      <c r="E66" s="212" t="s">
        <v>94</v>
      </c>
      <c r="F66" s="212" t="s">
        <v>29</v>
      </c>
      <c r="G66" s="213" t="s">
        <v>30</v>
      </c>
      <c r="H66" s="213" t="s">
        <v>157</v>
      </c>
      <c r="I66" s="4"/>
      <c r="J66" s="4"/>
    </row>
    <row r="67" spans="1:10" x14ac:dyDescent="0.2">
      <c r="A67" s="595" t="s">
        <v>133</v>
      </c>
      <c r="B67" s="596"/>
      <c r="C67" s="8" t="s">
        <v>5</v>
      </c>
      <c r="D67" s="8">
        <v>1</v>
      </c>
      <c r="E67" s="172">
        <f>G30</f>
        <v>1814</v>
      </c>
      <c r="F67" s="9">
        <f>D67*E67</f>
        <v>1814</v>
      </c>
      <c r="G67" s="121"/>
      <c r="H67" s="121"/>
    </row>
    <row r="68" spans="1:10" s="6" customFormat="1" x14ac:dyDescent="0.2">
      <c r="A68" s="594" t="s">
        <v>1</v>
      </c>
      <c r="B68" s="623"/>
      <c r="C68" s="82"/>
      <c r="D68" s="82"/>
      <c r="E68" s="19"/>
      <c r="F68" s="38">
        <f>SUM(F67:F67)</f>
        <v>1814</v>
      </c>
      <c r="G68" s="123"/>
      <c r="H68" s="178"/>
      <c r="I68" s="4"/>
    </row>
    <row r="69" spans="1:10" x14ac:dyDescent="0.2">
      <c r="A69" s="688" t="s">
        <v>2</v>
      </c>
      <c r="B69" s="581"/>
      <c r="C69" s="10" t="s">
        <v>0</v>
      </c>
      <c r="D69" s="44">
        <f>'Enc. Soc. - LR-LP e SN'!C$32*100</f>
        <v>72.22999999999999</v>
      </c>
      <c r="E69" s="11">
        <f>F68</f>
        <v>1814</v>
      </c>
      <c r="F69" s="11">
        <f>E69*D69/100</f>
        <v>1310.2521999999999</v>
      </c>
      <c r="G69" s="122"/>
      <c r="H69" s="178"/>
    </row>
    <row r="70" spans="1:10" s="6" customFormat="1" x14ac:dyDescent="0.2">
      <c r="A70" s="594" t="s">
        <v>95</v>
      </c>
      <c r="B70" s="623"/>
      <c r="C70" s="72"/>
      <c r="D70" s="72"/>
      <c r="E70" s="73"/>
      <c r="F70" s="38">
        <f>F68+F69</f>
        <v>3124.2521999999999</v>
      </c>
      <c r="G70" s="123"/>
      <c r="H70" s="178"/>
      <c r="I70" s="4"/>
    </row>
    <row r="71" spans="1:10" x14ac:dyDescent="0.2">
      <c r="A71" s="688" t="s">
        <v>3</v>
      </c>
      <c r="B71" s="581"/>
      <c r="C71" s="10" t="s">
        <v>4</v>
      </c>
      <c r="D71" s="10">
        <v>1</v>
      </c>
      <c r="E71" s="11">
        <f>F70</f>
        <v>3124.2521999999999</v>
      </c>
      <c r="F71" s="11">
        <f>D71*E71</f>
        <v>3124.2521999999999</v>
      </c>
      <c r="G71" s="122"/>
      <c r="H71" s="178"/>
    </row>
    <row r="72" spans="1:10" ht="13.5" thickBot="1" x14ac:dyDescent="0.25">
      <c r="A72" s="87"/>
      <c r="E72" s="229" t="s">
        <v>88</v>
      </c>
      <c r="F72" s="182">
        <f>$C$44</f>
        <v>0.5</v>
      </c>
      <c r="G72" s="214">
        <f>F71*F72</f>
        <v>1562.1261</v>
      </c>
      <c r="H72" s="214">
        <f>G72/G$40</f>
        <v>1.1486221323529411</v>
      </c>
    </row>
    <row r="73" spans="1:10" ht="11.25" customHeight="1" x14ac:dyDescent="0.2">
      <c r="A73" s="87"/>
      <c r="E73" s="27"/>
      <c r="F73" s="27"/>
      <c r="G73" s="120"/>
      <c r="H73" s="178"/>
    </row>
    <row r="74" spans="1:10" ht="11.25" customHeight="1" x14ac:dyDescent="0.2">
      <c r="A74" s="88" t="s">
        <v>137</v>
      </c>
      <c r="B74" s="6"/>
      <c r="E74" s="27"/>
      <c r="F74" s="27"/>
      <c r="G74" s="43"/>
      <c r="H74" s="178"/>
    </row>
    <row r="75" spans="1:10" ht="11.25" customHeight="1" x14ac:dyDescent="0.2">
      <c r="A75" s="669" t="s">
        <v>2</v>
      </c>
      <c r="B75" s="581"/>
      <c r="C75" s="80" t="s">
        <v>0</v>
      </c>
      <c r="D75" s="44">
        <f>'Enc. Soc. - LR-LP e SN'!C$42*100</f>
        <v>32.817279999999997</v>
      </c>
      <c r="E75" s="11">
        <f>F68</f>
        <v>1814</v>
      </c>
      <c r="F75" s="11">
        <f>E75*D75/100</f>
        <v>595.30545919999997</v>
      </c>
      <c r="G75" s="43"/>
      <c r="H75" s="178"/>
    </row>
    <row r="76" spans="1:10" x14ac:dyDescent="0.2">
      <c r="A76" s="594" t="s">
        <v>95</v>
      </c>
      <c r="B76" s="623"/>
      <c r="C76" s="82"/>
      <c r="D76" s="82"/>
      <c r="E76" s="19"/>
      <c r="F76" s="39">
        <f>E75+F75</f>
        <v>2409.3054591999999</v>
      </c>
      <c r="G76" s="43"/>
      <c r="H76" s="178"/>
    </row>
    <row r="77" spans="1:10" x14ac:dyDescent="0.2">
      <c r="A77" s="688" t="s">
        <v>3</v>
      </c>
      <c r="B77" s="581"/>
      <c r="C77" s="10" t="s">
        <v>4</v>
      </c>
      <c r="D77" s="10">
        <f>D71</f>
        <v>1</v>
      </c>
      <c r="E77" s="11">
        <f>F76</f>
        <v>2409.3054591999999</v>
      </c>
      <c r="F77" s="11">
        <f>D77*E77</f>
        <v>2409.3054591999999</v>
      </c>
      <c r="G77" s="43"/>
      <c r="H77" s="178"/>
    </row>
    <row r="78" spans="1:10" ht="13.9" customHeight="1" thickBot="1" x14ac:dyDescent="0.25">
      <c r="A78" s="87"/>
      <c r="E78" s="229" t="s">
        <v>88</v>
      </c>
      <c r="F78" s="182">
        <f>$C$44</f>
        <v>0.5</v>
      </c>
      <c r="G78" s="214">
        <f>F77*F78</f>
        <v>1204.6527295999999</v>
      </c>
      <c r="H78" s="214">
        <f>G78/G$40</f>
        <v>0.88577406588235286</v>
      </c>
    </row>
    <row r="79" spans="1:10" ht="11.25" customHeight="1" x14ac:dyDescent="0.2">
      <c r="A79" s="87"/>
      <c r="E79" s="27"/>
      <c r="F79" s="27"/>
      <c r="G79" s="120"/>
      <c r="H79" s="178"/>
    </row>
    <row r="80" spans="1:10" ht="13.5" thickBot="1" x14ac:dyDescent="0.25">
      <c r="A80" s="88" t="s">
        <v>104</v>
      </c>
      <c r="B80" s="6"/>
      <c r="C80" s="84"/>
      <c r="E80" s="4"/>
      <c r="F80" s="4"/>
      <c r="G80" s="43"/>
      <c r="H80" s="178"/>
    </row>
    <row r="81" spans="1:8" ht="13.5" thickBot="1" x14ac:dyDescent="0.25">
      <c r="A81" s="578" t="s">
        <v>27</v>
      </c>
      <c r="B81" s="599"/>
      <c r="C81" s="211" t="s">
        <v>28</v>
      </c>
      <c r="D81" s="211" t="s">
        <v>21</v>
      </c>
      <c r="E81" s="212" t="s">
        <v>94</v>
      </c>
      <c r="F81" s="212" t="s">
        <v>29</v>
      </c>
      <c r="G81" s="213" t="s">
        <v>30</v>
      </c>
      <c r="H81" s="213" t="s">
        <v>157</v>
      </c>
    </row>
    <row r="82" spans="1:8" x14ac:dyDescent="0.2">
      <c r="A82" s="694" t="s">
        <v>42</v>
      </c>
      <c r="B82" s="596"/>
      <c r="C82" s="10" t="s">
        <v>20</v>
      </c>
      <c r="D82" s="35">
        <v>1</v>
      </c>
      <c r="E82" s="242">
        <v>4.55</v>
      </c>
      <c r="F82" s="11"/>
      <c r="G82" s="121"/>
      <c r="H82" s="121"/>
    </row>
    <row r="83" spans="1:8" x14ac:dyDescent="0.2">
      <c r="A83" s="688" t="s">
        <v>43</v>
      </c>
      <c r="B83" s="581"/>
      <c r="C83" s="10" t="s">
        <v>44</v>
      </c>
      <c r="D83" s="21">
        <f>E41</f>
        <v>20</v>
      </c>
      <c r="E83" s="11"/>
      <c r="F83" s="11"/>
      <c r="G83" s="122"/>
      <c r="H83" s="178"/>
    </row>
    <row r="84" spans="1:8" x14ac:dyDescent="0.2">
      <c r="A84" s="580" t="s">
        <v>138</v>
      </c>
      <c r="B84" s="581"/>
      <c r="C84" s="10" t="s">
        <v>6</v>
      </c>
      <c r="D84" s="21">
        <f>$D$83*2*(F31)</f>
        <v>40</v>
      </c>
      <c r="E84" s="9">
        <f>IF(E82=0,"",IFERROR((($D$83*2*$E$82)-(F52*0.06*D83/20))/($D$83*2),"-"))</f>
        <v>2.8039999999999998</v>
      </c>
      <c r="F84" s="11">
        <f>IFERROR(D84*E84,"-")</f>
        <v>112.16</v>
      </c>
      <c r="G84" s="122"/>
      <c r="H84" s="178"/>
    </row>
    <row r="85" spans="1:8" x14ac:dyDescent="0.2">
      <c r="A85" s="580" t="s">
        <v>103</v>
      </c>
      <c r="B85" s="581"/>
      <c r="C85" s="8" t="s">
        <v>6</v>
      </c>
      <c r="D85" s="21">
        <f>$D$83*2*(F30)</f>
        <v>40</v>
      </c>
      <c r="E85" s="9">
        <f>IF(E82=0,"",IFERROR((($D$83*2*$E$82)-(F67*0.06*D83/20))/($D$83*2),"-"))</f>
        <v>1.8290000000000002</v>
      </c>
      <c r="F85" s="9">
        <f>IFERROR(D85*E85,"-")</f>
        <v>73.160000000000011</v>
      </c>
      <c r="G85" s="122"/>
      <c r="H85" s="178"/>
    </row>
    <row r="86" spans="1:8" ht="13.5" thickBot="1" x14ac:dyDescent="0.25">
      <c r="A86" s="87"/>
      <c r="E86" s="83" t="s">
        <v>88</v>
      </c>
      <c r="F86" s="225">
        <f>$C$44</f>
        <v>0.5</v>
      </c>
      <c r="G86" s="214">
        <f>SUM(F82:F85)*F86</f>
        <v>92.66</v>
      </c>
      <c r="H86" s="214">
        <f>G86/G$40</f>
        <v>6.8132352941176463E-2</v>
      </c>
    </row>
    <row r="87" spans="1:8" ht="11.25" customHeight="1" x14ac:dyDescent="0.2">
      <c r="A87" s="87"/>
      <c r="E87" s="27"/>
      <c r="F87" s="27"/>
      <c r="G87" s="120"/>
      <c r="H87" s="178"/>
    </row>
    <row r="88" spans="1:8" ht="13.5" thickBot="1" x14ac:dyDescent="0.25">
      <c r="A88" s="88" t="s">
        <v>105</v>
      </c>
      <c r="B88" s="6"/>
      <c r="E88" s="27"/>
      <c r="F88" s="27"/>
      <c r="G88" s="124"/>
      <c r="H88" s="178"/>
    </row>
    <row r="89" spans="1:8" ht="13.5" thickBot="1" x14ac:dyDescent="0.25">
      <c r="A89" s="215" t="s">
        <v>27</v>
      </c>
      <c r="B89" s="216"/>
      <c r="C89" s="211" t="s">
        <v>28</v>
      </c>
      <c r="D89" s="211" t="s">
        <v>21</v>
      </c>
      <c r="E89" s="212" t="s">
        <v>94</v>
      </c>
      <c r="F89" s="212" t="s">
        <v>29</v>
      </c>
      <c r="G89" s="213" t="s">
        <v>30</v>
      </c>
      <c r="H89" s="213" t="s">
        <v>157</v>
      </c>
    </row>
    <row r="90" spans="1:8" x14ac:dyDescent="0.2">
      <c r="A90" s="595" t="s">
        <v>139</v>
      </c>
      <c r="B90" s="596"/>
      <c r="C90" s="80" t="s">
        <v>7</v>
      </c>
      <c r="D90" s="36">
        <f>D83*(F31)</f>
        <v>20</v>
      </c>
      <c r="E90" s="237">
        <v>22</v>
      </c>
      <c r="F90" s="23">
        <f>D90*E90</f>
        <v>440</v>
      </c>
      <c r="G90" s="125"/>
      <c r="H90" s="121"/>
    </row>
    <row r="91" spans="1:8" x14ac:dyDescent="0.2">
      <c r="A91" s="580" t="s">
        <v>102</v>
      </c>
      <c r="B91" s="581"/>
      <c r="C91" s="80" t="s">
        <v>7</v>
      </c>
      <c r="D91" s="36">
        <f>D83*(F30)</f>
        <v>20</v>
      </c>
      <c r="E91" s="237">
        <v>22</v>
      </c>
      <c r="F91" s="23">
        <f>D91*E91</f>
        <v>440</v>
      </c>
      <c r="G91" s="126"/>
      <c r="H91" s="178"/>
    </row>
    <row r="92" spans="1:8" ht="13.5" thickBot="1" x14ac:dyDescent="0.25">
      <c r="A92" s="87"/>
      <c r="E92" s="83" t="s">
        <v>88</v>
      </c>
      <c r="F92" s="225">
        <f>$C$44</f>
        <v>0.5</v>
      </c>
      <c r="G92" s="214">
        <f>SUM(F90:F91)*F92</f>
        <v>440</v>
      </c>
      <c r="H92" s="214">
        <f>G92/G$40</f>
        <v>0.3235294117647059</v>
      </c>
    </row>
    <row r="93" spans="1:8" ht="13.5" thickBot="1" x14ac:dyDescent="0.25">
      <c r="A93" s="87"/>
      <c r="E93" s="27"/>
      <c r="F93" s="27"/>
      <c r="G93" s="120"/>
      <c r="H93" s="183"/>
    </row>
    <row r="94" spans="1:8" ht="13.5" thickBot="1" x14ac:dyDescent="0.25">
      <c r="A94" s="12" t="s">
        <v>109</v>
      </c>
      <c r="B94" s="13"/>
      <c r="C94" s="13"/>
      <c r="D94" s="13"/>
      <c r="E94" s="14"/>
      <c r="F94" s="15"/>
      <c r="G94" s="217">
        <f>SUM(G52:G93)-G63-G78</f>
        <v>3097.1646999999998</v>
      </c>
      <c r="H94" s="218">
        <f>G94/G$40</f>
        <v>2.2773269852941174</v>
      </c>
    </row>
    <row r="95" spans="1:8" ht="13.5" thickBot="1" x14ac:dyDescent="0.25">
      <c r="A95" s="12" t="s">
        <v>110</v>
      </c>
      <c r="B95" s="13"/>
      <c r="C95" s="13"/>
      <c r="D95" s="13"/>
      <c r="E95" s="14"/>
      <c r="F95" s="15"/>
      <c r="G95" s="219">
        <f>SUM(G52:G93)-G57-G72</f>
        <v>2510.3092991999997</v>
      </c>
      <c r="H95" s="214">
        <f>G95/G$40</f>
        <v>1.8458156611764704</v>
      </c>
    </row>
    <row r="96" spans="1:8" x14ac:dyDescent="0.2">
      <c r="A96" s="87"/>
      <c r="E96" s="27"/>
      <c r="F96" s="27"/>
      <c r="G96" s="120"/>
      <c r="H96" s="178"/>
    </row>
    <row r="97" spans="1:10" x14ac:dyDescent="0.2">
      <c r="A97" s="88" t="s">
        <v>215</v>
      </c>
      <c r="B97" s="6"/>
      <c r="E97" s="27"/>
      <c r="F97" s="27"/>
      <c r="G97" s="43"/>
      <c r="H97" s="178"/>
    </row>
    <row r="98" spans="1:10" ht="13.5" thickBot="1" x14ac:dyDescent="0.25">
      <c r="A98" s="88" t="s">
        <v>216</v>
      </c>
      <c r="B98" s="6"/>
      <c r="E98" s="27"/>
      <c r="F98" s="27"/>
      <c r="G98" s="43"/>
      <c r="H98" s="178"/>
    </row>
    <row r="99" spans="1:10" ht="13.5" thickBot="1" x14ac:dyDescent="0.25">
      <c r="A99" s="215" t="s">
        <v>27</v>
      </c>
      <c r="B99" s="216"/>
      <c r="C99" s="211" t="s">
        <v>28</v>
      </c>
      <c r="D99" s="211" t="s">
        <v>21</v>
      </c>
      <c r="E99" s="212" t="s">
        <v>94</v>
      </c>
      <c r="F99" s="212" t="s">
        <v>29</v>
      </c>
      <c r="G99" s="213" t="s">
        <v>30</v>
      </c>
      <c r="H99" s="213" t="s">
        <v>157</v>
      </c>
    </row>
    <row r="100" spans="1:10" x14ac:dyDescent="0.2">
      <c r="A100" s="595" t="s">
        <v>131</v>
      </c>
      <c r="B100" s="596"/>
      <c r="C100" s="8" t="s">
        <v>7</v>
      </c>
      <c r="D100" s="8">
        <v>1</v>
      </c>
      <c r="E100" s="172">
        <f>G35</f>
        <v>198000</v>
      </c>
      <c r="F100" s="9">
        <f>D100*E100</f>
        <v>198000</v>
      </c>
      <c r="G100" s="121"/>
      <c r="H100" s="121"/>
    </row>
    <row r="101" spans="1:10" x14ac:dyDescent="0.2">
      <c r="A101" s="580" t="s">
        <v>148</v>
      </c>
      <c r="B101" s="581"/>
      <c r="C101" s="10" t="s">
        <v>45</v>
      </c>
      <c r="D101" s="173">
        <f>C35</f>
        <v>5</v>
      </c>
      <c r="E101" s="33"/>
      <c r="F101" s="11"/>
      <c r="G101" s="122"/>
      <c r="H101" s="178"/>
    </row>
    <row r="102" spans="1:10" x14ac:dyDescent="0.2">
      <c r="A102" s="580" t="s">
        <v>140</v>
      </c>
      <c r="B102" s="581"/>
      <c r="C102" s="10" t="s">
        <v>0</v>
      </c>
      <c r="D102" s="237">
        <v>60</v>
      </c>
      <c r="E102" s="186">
        <f>F100</f>
        <v>198000</v>
      </c>
      <c r="F102" s="186">
        <f>D102*E102/100</f>
        <v>118800</v>
      </c>
      <c r="G102" s="122"/>
      <c r="H102" s="178"/>
    </row>
    <row r="103" spans="1:10" x14ac:dyDescent="0.2">
      <c r="A103" s="594" t="s">
        <v>149</v>
      </c>
      <c r="B103" s="581"/>
      <c r="C103" s="37" t="s">
        <v>5</v>
      </c>
      <c r="D103" s="37">
        <f>D101*12</f>
        <v>60</v>
      </c>
      <c r="E103" s="38">
        <f>F102</f>
        <v>118800</v>
      </c>
      <c r="F103" s="38">
        <f>IFERROR(E103/D103,0)</f>
        <v>1980</v>
      </c>
      <c r="G103" s="122"/>
      <c r="H103" s="178"/>
    </row>
    <row r="104" spans="1:10" x14ac:dyDescent="0.2">
      <c r="A104" s="594" t="s">
        <v>98</v>
      </c>
      <c r="B104" s="581"/>
      <c r="C104" s="143" t="s">
        <v>7</v>
      </c>
      <c r="D104" s="185">
        <f>F35</f>
        <v>1</v>
      </c>
      <c r="E104" s="144">
        <f>F103</f>
        <v>1980</v>
      </c>
      <c r="F104" s="145">
        <f>D104*E104</f>
        <v>1980</v>
      </c>
      <c r="G104" s="122"/>
      <c r="H104" s="178"/>
    </row>
    <row r="105" spans="1:10" ht="13.5" thickBot="1" x14ac:dyDescent="0.25">
      <c r="A105" s="91"/>
      <c r="B105" s="78"/>
      <c r="C105" s="78"/>
      <c r="D105" s="78"/>
      <c r="E105" s="83" t="s">
        <v>88</v>
      </c>
      <c r="F105" s="225">
        <f>$C$44</f>
        <v>0.5</v>
      </c>
      <c r="G105" s="214">
        <f>F104*F105</f>
        <v>990</v>
      </c>
      <c r="H105" s="214">
        <f>G105/G$40</f>
        <v>0.7279411764705882</v>
      </c>
    </row>
    <row r="106" spans="1:10" ht="13.5" thickBot="1" x14ac:dyDescent="0.25">
      <c r="A106" s="88" t="s">
        <v>217</v>
      </c>
      <c r="B106" s="6"/>
      <c r="E106" s="27"/>
      <c r="F106" s="253"/>
      <c r="G106" s="120"/>
      <c r="H106" s="178"/>
    </row>
    <row r="107" spans="1:10" ht="13.5" thickBot="1" x14ac:dyDescent="0.25">
      <c r="A107" s="578" t="s">
        <v>27</v>
      </c>
      <c r="B107" s="599"/>
      <c r="C107" s="211" t="s">
        <v>28</v>
      </c>
      <c r="D107" s="211" t="s">
        <v>21</v>
      </c>
      <c r="E107" s="212" t="s">
        <v>94</v>
      </c>
      <c r="F107" s="212" t="s">
        <v>29</v>
      </c>
      <c r="G107" s="213" t="s">
        <v>30</v>
      </c>
      <c r="H107" s="213" t="s">
        <v>157</v>
      </c>
      <c r="J107" s="34"/>
    </row>
    <row r="108" spans="1:10" x14ac:dyDescent="0.2">
      <c r="A108" s="595" t="s">
        <v>150</v>
      </c>
      <c r="B108" s="596"/>
      <c r="C108" s="8" t="s">
        <v>7</v>
      </c>
      <c r="D108" s="8">
        <v>1</v>
      </c>
      <c r="E108" s="9">
        <f>E100</f>
        <v>198000</v>
      </c>
      <c r="F108" s="9">
        <f>D108*E108</f>
        <v>198000</v>
      </c>
      <c r="G108" s="128"/>
      <c r="H108" s="121"/>
      <c r="I108" s="2"/>
      <c r="J108" s="34"/>
    </row>
    <row r="109" spans="1:10" x14ac:dyDescent="0.2">
      <c r="A109" s="688" t="s">
        <v>90</v>
      </c>
      <c r="B109" s="581"/>
      <c r="C109" s="10" t="s">
        <v>0</v>
      </c>
      <c r="D109" s="243">
        <v>2</v>
      </c>
      <c r="E109" s="11"/>
      <c r="F109" s="11"/>
      <c r="G109" s="127"/>
      <c r="H109" s="178"/>
      <c r="I109" s="2"/>
      <c r="J109" s="34"/>
    </row>
    <row r="110" spans="1:10" x14ac:dyDescent="0.2">
      <c r="A110" s="580" t="s">
        <v>223</v>
      </c>
      <c r="B110" s="581"/>
      <c r="C110" s="10" t="s">
        <v>20</v>
      </c>
      <c r="D110" s="48">
        <f>F108</f>
        <v>198000</v>
      </c>
      <c r="E110" s="11"/>
      <c r="F110" s="11"/>
      <c r="G110" s="127"/>
      <c r="H110" s="178"/>
      <c r="I110" s="2"/>
      <c r="J110" s="34"/>
    </row>
    <row r="111" spans="1:10" x14ac:dyDescent="0.2">
      <c r="A111" s="580" t="s">
        <v>222</v>
      </c>
      <c r="B111" s="581"/>
      <c r="C111" s="10"/>
      <c r="D111" s="48">
        <f>F100-F102</f>
        <v>79200</v>
      </c>
      <c r="E111" s="11"/>
      <c r="F111" s="11"/>
      <c r="G111" s="127"/>
      <c r="H111" s="178"/>
      <c r="I111" s="2"/>
      <c r="J111" s="34"/>
    </row>
    <row r="112" spans="1:10" x14ac:dyDescent="0.2">
      <c r="A112" s="580" t="s">
        <v>214</v>
      </c>
      <c r="B112" s="581"/>
      <c r="C112" s="10" t="s">
        <v>20</v>
      </c>
      <c r="D112" s="33">
        <f>(D110-D111)*((D101+1)/(2*D101))+D111</f>
        <v>150480</v>
      </c>
      <c r="E112" s="11"/>
      <c r="F112" s="11"/>
      <c r="G112" s="127"/>
      <c r="H112" s="178"/>
      <c r="I112" s="2"/>
      <c r="J112" s="34"/>
    </row>
    <row r="113" spans="1:10" x14ac:dyDescent="0.2">
      <c r="A113" s="594" t="s">
        <v>151</v>
      </c>
      <c r="B113" s="581"/>
      <c r="C113" s="37" t="s">
        <v>20</v>
      </c>
      <c r="D113" s="37"/>
      <c r="E113" s="146">
        <f>D109*D112/12/100</f>
        <v>250.8</v>
      </c>
      <c r="F113" s="38">
        <f>E113</f>
        <v>250.8</v>
      </c>
      <c r="G113" s="127"/>
      <c r="H113" s="178"/>
      <c r="J113" s="34"/>
    </row>
    <row r="114" spans="1:10" x14ac:dyDescent="0.2">
      <c r="A114" s="594" t="s">
        <v>152</v>
      </c>
      <c r="B114" s="623"/>
      <c r="C114" s="82"/>
      <c r="D114" s="82"/>
      <c r="E114" s="19"/>
      <c r="F114" s="145">
        <f>F113</f>
        <v>250.8</v>
      </c>
      <c r="G114" s="127"/>
      <c r="H114" s="178"/>
      <c r="I114" s="34"/>
      <c r="J114" s="34"/>
    </row>
    <row r="115" spans="1:10" x14ac:dyDescent="0.2">
      <c r="A115" s="594" t="s">
        <v>98</v>
      </c>
      <c r="B115" s="581"/>
      <c r="C115" s="37" t="s">
        <v>7</v>
      </c>
      <c r="D115" s="10">
        <f>D104</f>
        <v>1</v>
      </c>
      <c r="E115" s="38">
        <f>F114</f>
        <v>250.8</v>
      </c>
      <c r="F115" s="39">
        <f>D115*E115</f>
        <v>250.8</v>
      </c>
      <c r="G115" s="127"/>
      <c r="H115" s="178"/>
      <c r="I115" s="34">
        <f>(I114*2)/12/100</f>
        <v>0</v>
      </c>
      <c r="J115" s="34"/>
    </row>
    <row r="116" spans="1:10" ht="13.5" thickBot="1" x14ac:dyDescent="0.25">
      <c r="A116" s="87"/>
      <c r="D116" s="85"/>
      <c r="E116" s="83" t="s">
        <v>88</v>
      </c>
      <c r="F116" s="225">
        <f>$C$44</f>
        <v>0.5</v>
      </c>
      <c r="G116" s="214">
        <f>F115*F116</f>
        <v>125.4</v>
      </c>
      <c r="H116" s="214">
        <f>G116/G$40</f>
        <v>9.2205882352941179E-2</v>
      </c>
      <c r="J116" s="34"/>
    </row>
    <row r="117" spans="1:10" ht="11.25" customHeight="1" x14ac:dyDescent="0.2">
      <c r="A117" s="87"/>
      <c r="E117" s="27"/>
      <c r="F117" s="27"/>
      <c r="G117" s="120"/>
      <c r="H117" s="178"/>
      <c r="I117" s="191"/>
      <c r="J117" s="34"/>
    </row>
    <row r="118" spans="1:10" ht="13.5" thickBot="1" x14ac:dyDescent="0.25">
      <c r="A118" s="88" t="s">
        <v>218</v>
      </c>
      <c r="B118" s="6"/>
      <c r="E118" s="27"/>
      <c r="F118" s="27"/>
      <c r="G118" s="43"/>
      <c r="H118" s="178"/>
      <c r="J118" s="34"/>
    </row>
    <row r="119" spans="1:10" ht="13.5" thickBot="1" x14ac:dyDescent="0.25">
      <c r="A119" s="578" t="s">
        <v>27</v>
      </c>
      <c r="B119" s="599"/>
      <c r="C119" s="211" t="s">
        <v>28</v>
      </c>
      <c r="D119" s="211" t="s">
        <v>21</v>
      </c>
      <c r="E119" s="212" t="s">
        <v>94</v>
      </c>
      <c r="F119" s="212" t="s">
        <v>29</v>
      </c>
      <c r="G119" s="213" t="s">
        <v>30</v>
      </c>
      <c r="H119" s="213" t="s">
        <v>157</v>
      </c>
      <c r="J119" s="34"/>
    </row>
    <row r="120" spans="1:10" x14ac:dyDescent="0.2">
      <c r="A120" s="694" t="s">
        <v>8</v>
      </c>
      <c r="B120" s="596"/>
      <c r="C120" s="8" t="s">
        <v>7</v>
      </c>
      <c r="D120" s="9">
        <f>D104</f>
        <v>1</v>
      </c>
      <c r="E120" s="9">
        <f>0.01*($F$100)</f>
        <v>1980</v>
      </c>
      <c r="F120" s="9">
        <f t="shared" ref="F120:F125" si="5">D120*E120</f>
        <v>1980</v>
      </c>
      <c r="G120" s="121"/>
      <c r="H120" s="121"/>
      <c r="J120" s="34"/>
    </row>
    <row r="121" spans="1:10" x14ac:dyDescent="0.2">
      <c r="A121" s="688" t="s">
        <v>87</v>
      </c>
      <c r="B121" s="581"/>
      <c r="C121" s="10" t="s">
        <v>7</v>
      </c>
      <c r="D121" s="9">
        <f>D104</f>
        <v>1</v>
      </c>
      <c r="E121" s="237">
        <v>536</v>
      </c>
      <c r="F121" s="11">
        <f t="shared" si="5"/>
        <v>536</v>
      </c>
      <c r="G121" s="122"/>
      <c r="H121" s="178"/>
      <c r="J121" s="34"/>
    </row>
    <row r="122" spans="1:10" x14ac:dyDescent="0.2">
      <c r="A122" s="688" t="s">
        <v>9</v>
      </c>
      <c r="B122" s="581"/>
      <c r="C122" s="10" t="s">
        <v>7</v>
      </c>
      <c r="D122" s="9">
        <f>D104</f>
        <v>1</v>
      </c>
      <c r="E122" s="237">
        <v>1250</v>
      </c>
      <c r="F122" s="11">
        <f t="shared" si="5"/>
        <v>1250</v>
      </c>
      <c r="G122" s="129"/>
      <c r="H122" s="178"/>
      <c r="J122" s="34"/>
    </row>
    <row r="123" spans="1:10" x14ac:dyDescent="0.2">
      <c r="A123" s="580" t="s">
        <v>201</v>
      </c>
      <c r="B123" s="581"/>
      <c r="C123" s="10" t="s">
        <v>7</v>
      </c>
      <c r="D123" s="9">
        <v>1</v>
      </c>
      <c r="E123" s="237">
        <v>1075</v>
      </c>
      <c r="F123" s="11">
        <f t="shared" si="5"/>
        <v>1075</v>
      </c>
      <c r="G123" s="129"/>
      <c r="H123" s="178"/>
      <c r="J123" s="34"/>
    </row>
    <row r="124" spans="1:10" x14ac:dyDescent="0.2">
      <c r="A124" s="580" t="s">
        <v>212</v>
      </c>
      <c r="B124" s="581"/>
      <c r="C124" s="10" t="s">
        <v>7</v>
      </c>
      <c r="D124" s="9">
        <v>1</v>
      </c>
      <c r="E124" s="237">
        <v>400</v>
      </c>
      <c r="F124" s="11">
        <f t="shared" si="5"/>
        <v>400</v>
      </c>
      <c r="G124" s="129"/>
      <c r="H124" s="178"/>
      <c r="J124" s="34"/>
    </row>
    <row r="125" spans="1:10" x14ac:dyDescent="0.2">
      <c r="A125" s="580" t="s">
        <v>202</v>
      </c>
      <c r="B125" s="581"/>
      <c r="C125" s="10" t="s">
        <v>7</v>
      </c>
      <c r="D125" s="9">
        <v>1</v>
      </c>
      <c r="E125" s="237">
        <v>30.45</v>
      </c>
      <c r="F125" s="11">
        <f t="shared" si="5"/>
        <v>30.45</v>
      </c>
      <c r="G125" s="129"/>
      <c r="H125" s="178"/>
      <c r="J125" s="34"/>
    </row>
    <row r="126" spans="1:10" x14ac:dyDescent="0.2">
      <c r="A126" s="594" t="s">
        <v>10</v>
      </c>
      <c r="B126" s="581"/>
      <c r="C126" s="37" t="s">
        <v>5</v>
      </c>
      <c r="D126" s="37">
        <v>12</v>
      </c>
      <c r="E126" s="38">
        <f>SUM(F120:F125)</f>
        <v>5271.45</v>
      </c>
      <c r="F126" s="38">
        <f>E126/D126</f>
        <v>439.28749999999997</v>
      </c>
      <c r="G126" s="122"/>
      <c r="H126" s="178"/>
      <c r="J126" s="34"/>
    </row>
    <row r="127" spans="1:10" ht="13.5" thickBot="1" x14ac:dyDescent="0.25">
      <c r="A127" s="254"/>
      <c r="B127" s="70"/>
      <c r="C127" s="70"/>
      <c r="D127" s="70"/>
      <c r="E127" s="255" t="s">
        <v>88</v>
      </c>
      <c r="F127" s="225">
        <f>$C$44</f>
        <v>0.5</v>
      </c>
      <c r="G127" s="214">
        <f>F126*F127</f>
        <v>219.64374999999998</v>
      </c>
      <c r="H127" s="214">
        <f>G127/G$40</f>
        <v>0.16150275735294117</v>
      </c>
      <c r="J127" s="34"/>
    </row>
    <row r="128" spans="1:10" x14ac:dyDescent="0.2">
      <c r="A128" s="88" t="s">
        <v>219</v>
      </c>
      <c r="B128" s="6"/>
      <c r="C128" s="86"/>
      <c r="E128" s="27"/>
      <c r="F128" s="27"/>
      <c r="G128" s="43"/>
      <c r="H128" s="178"/>
      <c r="J128" s="34"/>
    </row>
    <row r="129" spans="1:11" ht="13.5" thickBot="1" x14ac:dyDescent="0.25">
      <c r="A129" s="90" t="s">
        <v>153</v>
      </c>
      <c r="B129" s="196"/>
      <c r="C129" s="175">
        <f>G40</f>
        <v>1360</v>
      </c>
      <c r="E129" s="27"/>
      <c r="F129" s="27"/>
      <c r="G129" s="43"/>
      <c r="H129" s="178"/>
      <c r="J129" s="34"/>
    </row>
    <row r="130" spans="1:11" ht="13.5" thickBot="1" x14ac:dyDescent="0.25">
      <c r="A130" s="578" t="s">
        <v>27</v>
      </c>
      <c r="B130" s="599"/>
      <c r="C130" s="211" t="s">
        <v>28</v>
      </c>
      <c r="D130" s="211" t="s">
        <v>97</v>
      </c>
      <c r="E130" s="212" t="s">
        <v>94</v>
      </c>
      <c r="F130" s="212" t="s">
        <v>29</v>
      </c>
      <c r="G130" s="213" t="s">
        <v>30</v>
      </c>
      <c r="H130" s="213" t="s">
        <v>157</v>
      </c>
      <c r="J130" s="34"/>
      <c r="K130" s="34"/>
    </row>
    <row r="131" spans="1:11" x14ac:dyDescent="0.2">
      <c r="A131" s="694" t="s">
        <v>11</v>
      </c>
      <c r="B131" s="596"/>
      <c r="C131" s="8" t="s">
        <v>12</v>
      </c>
      <c r="D131" s="172">
        <f>F36</f>
        <v>8.5</v>
      </c>
      <c r="E131" s="172">
        <f>G36</f>
        <v>3.7</v>
      </c>
      <c r="F131" s="9"/>
      <c r="G131" s="121"/>
      <c r="H131" s="121"/>
      <c r="J131" s="34"/>
      <c r="K131" s="34"/>
    </row>
    <row r="132" spans="1:11" x14ac:dyDescent="0.2">
      <c r="A132" s="688" t="s">
        <v>13</v>
      </c>
      <c r="B132" s="581"/>
      <c r="C132" s="10" t="s">
        <v>14</v>
      </c>
      <c r="D132" s="35">
        <f>C129</f>
        <v>1360</v>
      </c>
      <c r="E132" s="77">
        <f>IFERROR(+E131/D131,"-")</f>
        <v>0.43529411764705883</v>
      </c>
      <c r="F132" s="11">
        <f>IFERROR(D132*E132,"-")</f>
        <v>592</v>
      </c>
      <c r="G132" s="122"/>
      <c r="H132" s="178"/>
      <c r="J132" s="34"/>
      <c r="K132" s="34"/>
    </row>
    <row r="133" spans="1:11" x14ac:dyDescent="0.2">
      <c r="A133" s="580" t="s">
        <v>236</v>
      </c>
      <c r="B133" s="581"/>
      <c r="C133" s="80" t="s">
        <v>237</v>
      </c>
      <c r="D133" s="244">
        <v>10.5</v>
      </c>
      <c r="E133" s="237">
        <v>18.3</v>
      </c>
      <c r="F133" s="11"/>
      <c r="G133" s="122"/>
      <c r="H133" s="178"/>
      <c r="J133" s="34"/>
      <c r="K133" s="34"/>
    </row>
    <row r="134" spans="1:11" x14ac:dyDescent="0.2">
      <c r="A134" s="688" t="s">
        <v>15</v>
      </c>
      <c r="B134" s="581"/>
      <c r="C134" s="10" t="s">
        <v>14</v>
      </c>
      <c r="D134" s="35">
        <f>D132</f>
        <v>1360</v>
      </c>
      <c r="E134" s="74">
        <f>+D133*E133/10000</f>
        <v>1.9214999999999999E-2</v>
      </c>
      <c r="F134" s="11">
        <f>D134*E134</f>
        <v>26.132400000000001</v>
      </c>
      <c r="G134" s="122"/>
      <c r="H134" s="178"/>
      <c r="J134" s="34"/>
      <c r="K134" s="34"/>
    </row>
    <row r="135" spans="1:11" x14ac:dyDescent="0.2">
      <c r="A135" s="580" t="s">
        <v>238</v>
      </c>
      <c r="B135" s="581"/>
      <c r="C135" s="80" t="s">
        <v>239</v>
      </c>
      <c r="D135" s="244">
        <v>4.5999999999999996</v>
      </c>
      <c r="E135" s="237">
        <v>21.6</v>
      </c>
      <c r="F135" s="11"/>
      <c r="G135" s="122"/>
      <c r="H135" s="178"/>
      <c r="J135" s="34"/>
      <c r="K135" s="34"/>
    </row>
    <row r="136" spans="1:11" x14ac:dyDescent="0.2">
      <c r="A136" s="688" t="s">
        <v>16</v>
      </c>
      <c r="B136" s="581"/>
      <c r="C136" s="10" t="s">
        <v>14</v>
      </c>
      <c r="D136" s="35">
        <f>D132</f>
        <v>1360</v>
      </c>
      <c r="E136" s="206">
        <f>+D135*E135/100000</f>
        <v>9.9360000000000008E-4</v>
      </c>
      <c r="F136" s="11">
        <f>D136*E136</f>
        <v>1.3512960000000001</v>
      </c>
      <c r="G136" s="122"/>
      <c r="H136" s="178"/>
      <c r="J136" s="34"/>
      <c r="K136" s="34"/>
    </row>
    <row r="137" spans="1:11" x14ac:dyDescent="0.2">
      <c r="A137" s="580" t="s">
        <v>241</v>
      </c>
      <c r="B137" s="581"/>
      <c r="C137" s="80" t="s">
        <v>240</v>
      </c>
      <c r="D137" s="244">
        <v>1.7</v>
      </c>
      <c r="E137" s="237">
        <v>20.9</v>
      </c>
      <c r="F137" s="11"/>
      <c r="G137" s="122"/>
      <c r="H137" s="178"/>
      <c r="J137" s="34"/>
      <c r="K137" s="34"/>
    </row>
    <row r="138" spans="1:11" x14ac:dyDescent="0.2">
      <c r="A138" s="688" t="s">
        <v>17</v>
      </c>
      <c r="B138" s="581"/>
      <c r="C138" s="10" t="s">
        <v>14</v>
      </c>
      <c r="D138" s="35">
        <f>D132</f>
        <v>1360</v>
      </c>
      <c r="E138" s="206">
        <f>+D137*E137/80000</f>
        <v>4.4412499999999991E-4</v>
      </c>
      <c r="F138" s="11">
        <f>D138*E138</f>
        <v>0.60400999999999994</v>
      </c>
      <c r="G138" s="122"/>
      <c r="H138" s="178"/>
      <c r="J138" s="34"/>
      <c r="K138" s="34"/>
    </row>
    <row r="139" spans="1:11" x14ac:dyDescent="0.2">
      <c r="A139" s="580" t="s">
        <v>243</v>
      </c>
      <c r="B139" s="581"/>
      <c r="C139" s="80" t="s">
        <v>242</v>
      </c>
      <c r="D139" s="244">
        <v>1</v>
      </c>
      <c r="E139" s="237">
        <v>19.899999999999999</v>
      </c>
      <c r="F139" s="11"/>
      <c r="G139" s="122"/>
      <c r="H139" s="178"/>
      <c r="J139" s="34"/>
      <c r="K139" s="34"/>
    </row>
    <row r="140" spans="1:11" x14ac:dyDescent="0.2">
      <c r="A140" s="688" t="s">
        <v>18</v>
      </c>
      <c r="B140" s="581"/>
      <c r="C140" s="10" t="s">
        <v>14</v>
      </c>
      <c r="D140" s="35">
        <f>D132</f>
        <v>1360</v>
      </c>
      <c r="E140" s="74">
        <f>+D139*E139/10000</f>
        <v>1.99E-3</v>
      </c>
      <c r="F140" s="11">
        <f>D140*E140</f>
        <v>2.7063999999999999</v>
      </c>
      <c r="G140" s="122"/>
      <c r="H140" s="178"/>
      <c r="J140" s="34"/>
      <c r="K140" s="34"/>
    </row>
    <row r="141" spans="1:11" x14ac:dyDescent="0.2">
      <c r="A141" s="594" t="s">
        <v>96</v>
      </c>
      <c r="B141" s="581"/>
      <c r="C141" s="37" t="s">
        <v>46</v>
      </c>
      <c r="D141" s="75"/>
      <c r="E141" s="76">
        <f>IFERROR(E132+E134+E136+E138+E140,0)</f>
        <v>0.45793684264705881</v>
      </c>
      <c r="F141" s="38">
        <f>SUM(F131:F140)</f>
        <v>622.79410600000006</v>
      </c>
      <c r="G141" s="122"/>
      <c r="H141" s="178"/>
      <c r="J141" s="34"/>
      <c r="K141" s="34"/>
    </row>
    <row r="142" spans="1:11" ht="13.5" thickBot="1" x14ac:dyDescent="0.25">
      <c r="A142" s="87"/>
      <c r="E142" s="230" t="s">
        <v>141</v>
      </c>
      <c r="F142" s="23">
        <f>$C$45+1</f>
        <v>1.25</v>
      </c>
      <c r="G142" s="214">
        <f>F141*F142</f>
        <v>778.49263250000013</v>
      </c>
      <c r="H142" s="214">
        <f>G142/G$40</f>
        <v>0.57242105330882365</v>
      </c>
      <c r="J142" s="34"/>
      <c r="K142" s="34"/>
    </row>
    <row r="143" spans="1:11" ht="11.25" customHeight="1" x14ac:dyDescent="0.2">
      <c r="A143" s="87"/>
      <c r="E143" s="27"/>
      <c r="F143" s="27"/>
      <c r="G143" s="120"/>
      <c r="H143" s="178"/>
      <c r="J143" s="34"/>
      <c r="K143" s="34"/>
    </row>
    <row r="144" spans="1:11" ht="13.5" thickBot="1" x14ac:dyDescent="0.25">
      <c r="A144" s="88" t="s">
        <v>220</v>
      </c>
      <c r="B144" s="6"/>
      <c r="E144" s="27"/>
      <c r="F144" s="27"/>
      <c r="G144" s="43"/>
      <c r="H144" s="178"/>
      <c r="J144" s="34"/>
      <c r="K144" s="34"/>
    </row>
    <row r="145" spans="1:11" ht="13.5" thickBot="1" x14ac:dyDescent="0.25">
      <c r="A145" s="578" t="s">
        <v>27</v>
      </c>
      <c r="B145" s="599"/>
      <c r="C145" s="211" t="s">
        <v>28</v>
      </c>
      <c r="D145" s="211" t="s">
        <v>21</v>
      </c>
      <c r="E145" s="212" t="s">
        <v>94</v>
      </c>
      <c r="F145" s="212" t="s">
        <v>29</v>
      </c>
      <c r="G145" s="213" t="s">
        <v>30</v>
      </c>
      <c r="H145" s="213" t="s">
        <v>157</v>
      </c>
      <c r="J145" s="34"/>
      <c r="K145" s="34"/>
    </row>
    <row r="146" spans="1:11" x14ac:dyDescent="0.2">
      <c r="A146" s="595" t="s">
        <v>191</v>
      </c>
      <c r="B146" s="596"/>
      <c r="C146" s="8" t="s">
        <v>46</v>
      </c>
      <c r="D146" s="35">
        <f>D132</f>
        <v>1360</v>
      </c>
      <c r="E146" s="245">
        <v>0.4</v>
      </c>
      <c r="F146" s="9">
        <f>D146*E146</f>
        <v>544</v>
      </c>
      <c r="G146" s="121"/>
      <c r="H146" s="121"/>
      <c r="J146" s="34"/>
      <c r="K146" s="34"/>
    </row>
    <row r="147" spans="1:11" s="150" customFormat="1" x14ac:dyDescent="0.2">
      <c r="A147" s="580" t="s">
        <v>142</v>
      </c>
      <c r="B147" s="581"/>
      <c r="C147" s="147" t="s">
        <v>143</v>
      </c>
      <c r="D147" s="247">
        <v>4</v>
      </c>
      <c r="E147" s="246">
        <v>50</v>
      </c>
      <c r="F147" s="148">
        <f>D147*E147</f>
        <v>200</v>
      </c>
      <c r="G147" s="149"/>
      <c r="H147" s="181"/>
      <c r="I147" s="4"/>
    </row>
    <row r="148" spans="1:11" s="150" customFormat="1" x14ac:dyDescent="0.2">
      <c r="A148" s="594" t="s">
        <v>144</v>
      </c>
      <c r="B148" s="581"/>
      <c r="C148" s="80" t="s">
        <v>145</v>
      </c>
      <c r="D148" s="151"/>
      <c r="E148" s="23"/>
      <c r="F148" s="144">
        <f>SUM(F146:F147)</f>
        <v>744</v>
      </c>
      <c r="G148" s="149"/>
      <c r="H148" s="181"/>
      <c r="I148" s="4"/>
    </row>
    <row r="149" spans="1:11" ht="13.5" thickBot="1" x14ac:dyDescent="0.25">
      <c r="A149" s="87"/>
      <c r="E149" s="230" t="s">
        <v>141</v>
      </c>
      <c r="F149" s="23">
        <f>$C$45+1</f>
        <v>1.25</v>
      </c>
      <c r="G149" s="214">
        <f>F148*F149</f>
        <v>930</v>
      </c>
      <c r="H149" s="214">
        <f>G149/G$40</f>
        <v>0.68382352941176472</v>
      </c>
      <c r="J149" s="34"/>
      <c r="K149" s="34"/>
    </row>
    <row r="150" spans="1:11" ht="11.25" customHeight="1" x14ac:dyDescent="0.2">
      <c r="A150" s="87"/>
      <c r="E150" s="27"/>
      <c r="F150" s="27"/>
      <c r="G150" s="120"/>
      <c r="H150" s="178"/>
      <c r="J150" s="34"/>
      <c r="K150" s="34"/>
    </row>
    <row r="151" spans="1:11" ht="13.5" thickBot="1" x14ac:dyDescent="0.25">
      <c r="A151" s="88" t="s">
        <v>221</v>
      </c>
      <c r="B151" s="6"/>
      <c r="E151" s="27"/>
      <c r="F151" s="27"/>
      <c r="G151" s="43"/>
      <c r="H151" s="178"/>
      <c r="J151" s="34"/>
      <c r="K151" s="34"/>
    </row>
    <row r="152" spans="1:11" ht="13.5" thickBot="1" x14ac:dyDescent="0.25">
      <c r="A152" s="578" t="s">
        <v>27</v>
      </c>
      <c r="B152" s="599"/>
      <c r="C152" s="211" t="s">
        <v>28</v>
      </c>
      <c r="D152" s="211" t="s">
        <v>21</v>
      </c>
      <c r="E152" s="212" t="s">
        <v>94</v>
      </c>
      <c r="F152" s="212" t="s">
        <v>29</v>
      </c>
      <c r="G152" s="213" t="s">
        <v>30</v>
      </c>
      <c r="H152" s="213" t="s">
        <v>157</v>
      </c>
      <c r="J152" s="34"/>
      <c r="K152" s="34"/>
    </row>
    <row r="153" spans="1:11" x14ac:dyDescent="0.2">
      <c r="A153" s="595" t="s">
        <v>249</v>
      </c>
      <c r="B153" s="596"/>
      <c r="C153" s="8" t="s">
        <v>7</v>
      </c>
      <c r="D153" s="248">
        <v>4</v>
      </c>
      <c r="E153" s="246">
        <v>490</v>
      </c>
      <c r="F153" s="9">
        <f>D153*E153</f>
        <v>1960</v>
      </c>
      <c r="G153" s="121"/>
      <c r="H153" s="121"/>
      <c r="J153" s="34"/>
      <c r="K153" s="34"/>
    </row>
    <row r="154" spans="1:11" x14ac:dyDescent="0.2">
      <c r="A154" s="580" t="s">
        <v>132</v>
      </c>
      <c r="B154" s="581"/>
      <c r="C154" s="10" t="s">
        <v>19</v>
      </c>
      <c r="D154" s="249">
        <v>45000</v>
      </c>
      <c r="E154" s="11">
        <f>F153</f>
        <v>1960</v>
      </c>
      <c r="F154" s="11">
        <f>IFERROR(E154/D154,"-")</f>
        <v>4.3555555555555556E-2</v>
      </c>
      <c r="G154" s="122"/>
      <c r="H154" s="178"/>
      <c r="J154" s="34"/>
      <c r="K154" s="34"/>
    </row>
    <row r="155" spans="1:11" x14ac:dyDescent="0.2">
      <c r="A155" s="594" t="s">
        <v>25</v>
      </c>
      <c r="B155" s="581"/>
      <c r="C155" s="10" t="s">
        <v>14</v>
      </c>
      <c r="D155" s="35">
        <f>C129</f>
        <v>1360</v>
      </c>
      <c r="E155" s="11">
        <f>F154</f>
        <v>4.3555555555555556E-2</v>
      </c>
      <c r="F155" s="38">
        <f>IFERROR(D155*E155,0)</f>
        <v>59.235555555555557</v>
      </c>
      <c r="G155" s="122"/>
      <c r="H155" s="178"/>
      <c r="J155" s="34"/>
      <c r="K155" s="34"/>
    </row>
    <row r="156" spans="1:11" ht="13.5" thickBot="1" x14ac:dyDescent="0.25">
      <c r="A156" s="87"/>
      <c r="E156" s="230" t="s">
        <v>141</v>
      </c>
      <c r="F156" s="23">
        <f>$C$45+1</f>
        <v>1.25</v>
      </c>
      <c r="G156" s="214">
        <f>F155*F156</f>
        <v>74.044444444444451</v>
      </c>
      <c r="H156" s="214">
        <f>G156/G$40</f>
        <v>5.4444444444444448E-2</v>
      </c>
      <c r="J156" s="34"/>
      <c r="K156" s="34"/>
    </row>
    <row r="157" spans="1:11" ht="11.25" customHeight="1" thickBot="1" x14ac:dyDescent="0.25">
      <c r="A157" s="87"/>
      <c r="E157" s="27"/>
      <c r="F157" s="27"/>
      <c r="G157" s="120"/>
      <c r="H157" s="178"/>
      <c r="J157" s="34"/>
      <c r="K157" s="34"/>
    </row>
    <row r="158" spans="1:11" ht="13.5" thickBot="1" x14ac:dyDescent="0.25">
      <c r="A158" s="12" t="s">
        <v>154</v>
      </c>
      <c r="B158" s="13"/>
      <c r="C158" s="13"/>
      <c r="D158" s="13"/>
      <c r="E158" s="14"/>
      <c r="F158" s="15"/>
      <c r="G158" s="220">
        <f>+SUM(G100:G157)</f>
        <v>3117.5808269444447</v>
      </c>
      <c r="H158" s="214">
        <f>G158/G$40</f>
        <v>2.2923388433415033</v>
      </c>
    </row>
    <row r="159" spans="1:11" ht="11.25" customHeight="1" x14ac:dyDescent="0.2">
      <c r="A159" s="87"/>
      <c r="E159" s="27"/>
      <c r="F159" s="27"/>
      <c r="G159" s="120"/>
      <c r="H159" s="178"/>
    </row>
    <row r="160" spans="1:11" x14ac:dyDescent="0.2">
      <c r="A160" s="88" t="s">
        <v>171</v>
      </c>
      <c r="B160" s="6"/>
      <c r="C160" s="6"/>
      <c r="D160" s="6"/>
      <c r="E160" s="20"/>
      <c r="F160" s="20"/>
      <c r="G160" s="130"/>
      <c r="H160" s="178"/>
    </row>
    <row r="161" spans="1:8" ht="11.25" customHeight="1" thickBot="1" x14ac:dyDescent="0.25">
      <c r="A161" s="87"/>
      <c r="E161" s="27"/>
      <c r="F161" s="27"/>
      <c r="G161" s="43"/>
      <c r="H161" s="178"/>
    </row>
    <row r="162" spans="1:8" ht="13.5" thickBot="1" x14ac:dyDescent="0.25">
      <c r="A162" s="578" t="s">
        <v>27</v>
      </c>
      <c r="B162" s="599"/>
      <c r="C162" s="211" t="s">
        <v>28</v>
      </c>
      <c r="D162" s="211" t="s">
        <v>21</v>
      </c>
      <c r="E162" s="212" t="s">
        <v>94</v>
      </c>
      <c r="F162" s="212" t="s">
        <v>29</v>
      </c>
      <c r="G162" s="213" t="s">
        <v>30</v>
      </c>
      <c r="H162" s="213" t="s">
        <v>157</v>
      </c>
    </row>
    <row r="163" spans="1:8" x14ac:dyDescent="0.2">
      <c r="A163" s="595" t="s">
        <v>193</v>
      </c>
      <c r="B163" s="596"/>
      <c r="C163" s="80" t="s">
        <v>192</v>
      </c>
      <c r="D163" s="250">
        <f>1/12</f>
        <v>8.3333333333333329E-2</v>
      </c>
      <c r="E163" s="245">
        <v>21.9</v>
      </c>
      <c r="F163" s="11">
        <f>D163*E163</f>
        <v>1.8249999999999997</v>
      </c>
      <c r="G163" s="131"/>
      <c r="H163" s="121"/>
    </row>
    <row r="164" spans="1:8" x14ac:dyDescent="0.2">
      <c r="A164" s="580" t="s">
        <v>194</v>
      </c>
      <c r="B164" s="581"/>
      <c r="C164" s="80" t="s">
        <v>192</v>
      </c>
      <c r="D164" s="250">
        <f>3/12</f>
        <v>0.25</v>
      </c>
      <c r="E164" s="245">
        <v>21</v>
      </c>
      <c r="F164" s="11">
        <f>D164*E164</f>
        <v>5.25</v>
      </c>
      <c r="G164" s="132"/>
      <c r="H164" s="178"/>
    </row>
    <row r="165" spans="1:8" x14ac:dyDescent="0.2">
      <c r="A165" s="580" t="s">
        <v>195</v>
      </c>
      <c r="B165" s="581"/>
      <c r="C165" s="80" t="s">
        <v>192</v>
      </c>
      <c r="D165" s="250">
        <f>2/12</f>
        <v>0.16666666666666666</v>
      </c>
      <c r="E165" s="245">
        <v>11.3</v>
      </c>
      <c r="F165" s="11">
        <f>D165*E165</f>
        <v>1.8833333333333333</v>
      </c>
      <c r="G165" s="132"/>
      <c r="H165" s="178"/>
    </row>
    <row r="166" spans="1:8" x14ac:dyDescent="0.2">
      <c r="A166" s="580" t="s">
        <v>196</v>
      </c>
      <c r="B166" s="581"/>
      <c r="C166" s="80" t="s">
        <v>213</v>
      </c>
      <c r="D166" s="250">
        <f>4</f>
        <v>4</v>
      </c>
      <c r="E166" s="245">
        <v>15</v>
      </c>
      <c r="F166" s="11">
        <f>D166*E166</f>
        <v>60</v>
      </c>
      <c r="G166" s="132"/>
      <c r="H166" s="178"/>
    </row>
    <row r="167" spans="1:8" ht="13.5" thickBot="1" x14ac:dyDescent="0.25">
      <c r="A167" s="580" t="s">
        <v>197</v>
      </c>
      <c r="B167" s="581"/>
      <c r="C167" s="80" t="s">
        <v>192</v>
      </c>
      <c r="D167" s="250">
        <v>4</v>
      </c>
      <c r="E167" s="245">
        <v>4.5</v>
      </c>
      <c r="F167" s="11">
        <f t="shared" ref="F167" si="6">D167*E167</f>
        <v>18</v>
      </c>
      <c r="G167" s="132"/>
      <c r="H167" s="178"/>
    </row>
    <row r="168" spans="1:8" ht="13.5" thickBot="1" x14ac:dyDescent="0.25">
      <c r="A168" s="88"/>
      <c r="B168" s="6"/>
      <c r="C168" s="6"/>
      <c r="D168" s="6"/>
      <c r="E168" s="229" t="s">
        <v>88</v>
      </c>
      <c r="F168" s="225">
        <v>1</v>
      </c>
      <c r="G168" s="220">
        <f>SUM(F163:F167)*F168</f>
        <v>86.958333333333329</v>
      </c>
      <c r="H168" s="220">
        <f>G168/G$40</f>
        <v>6.3939950980392152E-2</v>
      </c>
    </row>
    <row r="169" spans="1:8" ht="11.25" customHeight="1" thickBot="1" x14ac:dyDescent="0.25">
      <c r="A169" s="87"/>
      <c r="E169" s="27"/>
      <c r="F169" s="27"/>
      <c r="G169" s="120"/>
      <c r="H169" s="120"/>
    </row>
    <row r="170" spans="1:8" ht="13.5" thickBot="1" x14ac:dyDescent="0.25">
      <c r="A170" s="12" t="s">
        <v>93</v>
      </c>
      <c r="B170" s="13"/>
      <c r="C170" s="13"/>
      <c r="D170" s="13"/>
      <c r="E170" s="14"/>
      <c r="F170" s="15"/>
      <c r="G170" s="220">
        <f>+G168</f>
        <v>86.958333333333329</v>
      </c>
      <c r="H170" s="220">
        <f>G170/G$40</f>
        <v>6.3939950980392152E-2</v>
      </c>
    </row>
    <row r="171" spans="1:8" ht="11.25" customHeight="1" thickBot="1" x14ac:dyDescent="0.25">
      <c r="A171" s="87"/>
      <c r="E171" s="27"/>
      <c r="F171" s="27"/>
      <c r="G171" s="120"/>
      <c r="H171" s="120"/>
    </row>
    <row r="172" spans="1:8" ht="17.25" customHeight="1" thickBot="1" x14ac:dyDescent="0.25">
      <c r="A172" s="12" t="s">
        <v>129</v>
      </c>
      <c r="B172" s="13"/>
      <c r="C172" s="16"/>
      <c r="D172" s="16"/>
      <c r="E172" s="17"/>
      <c r="F172" s="18"/>
      <c r="G172" s="217">
        <f>+G94+G158+G170</f>
        <v>6301.7038602777775</v>
      </c>
      <c r="H172" s="217">
        <f>G172/G$40</f>
        <v>4.6336057796160128</v>
      </c>
    </row>
    <row r="173" spans="1:8" ht="17.25" customHeight="1" thickBot="1" x14ac:dyDescent="0.25">
      <c r="A173" s="12" t="s">
        <v>130</v>
      </c>
      <c r="B173" s="13"/>
      <c r="C173" s="16"/>
      <c r="D173" s="16"/>
      <c r="E173" s="17"/>
      <c r="F173" s="18"/>
      <c r="G173" s="219">
        <f>+G95+G158+G170</f>
        <v>5714.8484594777774</v>
      </c>
      <c r="H173" s="219">
        <f>G173/G$40</f>
        <v>4.2020944554983659</v>
      </c>
    </row>
    <row r="174" spans="1:8" ht="11.25" customHeight="1" x14ac:dyDescent="0.2">
      <c r="A174" s="87"/>
      <c r="E174" s="27"/>
      <c r="F174" s="27"/>
      <c r="G174" s="120"/>
      <c r="H174" s="120"/>
    </row>
    <row r="175" spans="1:8" x14ac:dyDescent="0.2">
      <c r="A175" s="88" t="s">
        <v>172</v>
      </c>
      <c r="B175" s="6"/>
      <c r="E175" s="27"/>
      <c r="F175" s="27"/>
      <c r="G175" s="43"/>
      <c r="H175" s="43"/>
    </row>
    <row r="176" spans="1:8" ht="11.25" customHeight="1" thickBot="1" x14ac:dyDescent="0.25">
      <c r="A176" s="87"/>
      <c r="E176" s="27"/>
      <c r="F176" s="27"/>
      <c r="G176" s="43"/>
      <c r="H176" s="43"/>
    </row>
    <row r="177" spans="1:8" ht="13.5" thickBot="1" x14ac:dyDescent="0.25">
      <c r="A177" s="578" t="s">
        <v>27</v>
      </c>
      <c r="B177" s="599"/>
      <c r="C177" s="211" t="s">
        <v>28</v>
      </c>
      <c r="D177" s="211" t="s">
        <v>21</v>
      </c>
      <c r="E177" s="212" t="s">
        <v>94</v>
      </c>
      <c r="F177" s="212" t="s">
        <v>29</v>
      </c>
      <c r="G177" s="213" t="s">
        <v>30</v>
      </c>
      <c r="H177" s="213" t="s">
        <v>157</v>
      </c>
    </row>
    <row r="178" spans="1:8" ht="13.5" thickBot="1" x14ac:dyDescent="0.25">
      <c r="A178" s="595" t="s">
        <v>173</v>
      </c>
      <c r="B178" s="596"/>
      <c r="C178" s="8" t="s">
        <v>0</v>
      </c>
      <c r="D178" s="44">
        <f>BDI!C11*100</f>
        <v>33.25</v>
      </c>
      <c r="E178" s="9">
        <f>+G172</f>
        <v>6301.7038602777775</v>
      </c>
      <c r="F178" s="9">
        <f>D178*E178/100</f>
        <v>2095.316533542361</v>
      </c>
      <c r="G178" s="121"/>
      <c r="H178" s="121"/>
    </row>
    <row r="179" spans="1:8" ht="13.5" thickBot="1" x14ac:dyDescent="0.25">
      <c r="A179" s="87"/>
      <c r="E179" s="27"/>
      <c r="F179" s="27"/>
      <c r="G179" s="220">
        <f>+F178</f>
        <v>2095.316533542361</v>
      </c>
      <c r="H179" s="220">
        <f>G179/G$40</f>
        <v>1.5406739217223242</v>
      </c>
    </row>
    <row r="180" spans="1:8" ht="11.25" customHeight="1" thickBot="1" x14ac:dyDescent="0.25">
      <c r="A180" s="87"/>
      <c r="E180" s="27"/>
      <c r="F180" s="27"/>
      <c r="G180" s="120"/>
      <c r="H180" s="120"/>
    </row>
    <row r="181" spans="1:8" ht="13.5" thickBot="1" x14ac:dyDescent="0.25">
      <c r="A181" s="12" t="s">
        <v>174</v>
      </c>
      <c r="B181" s="13"/>
      <c r="C181" s="16"/>
      <c r="D181" s="16"/>
      <c r="E181" s="17"/>
      <c r="F181" s="18"/>
      <c r="G181" s="219">
        <f>G179</f>
        <v>2095.316533542361</v>
      </c>
      <c r="H181" s="219">
        <f>G181/G$40</f>
        <v>1.5406739217223242</v>
      </c>
    </row>
    <row r="182" spans="1:8" ht="13.5" thickBot="1" x14ac:dyDescent="0.25">
      <c r="A182" s="88"/>
      <c r="B182" s="6"/>
      <c r="C182" s="6"/>
      <c r="D182" s="6"/>
      <c r="E182" s="20"/>
      <c r="F182" s="20"/>
      <c r="G182" s="133"/>
      <c r="H182" s="133"/>
    </row>
    <row r="183" spans="1:8" ht="24.75" customHeight="1" thickBot="1" x14ac:dyDescent="0.25">
      <c r="A183" s="12" t="s">
        <v>175</v>
      </c>
      <c r="B183" s="13"/>
      <c r="C183" s="16"/>
      <c r="D183" s="16"/>
      <c r="E183" s="17"/>
      <c r="F183" s="18"/>
      <c r="G183" s="189">
        <f>G172+G181</f>
        <v>8397.0203938201375</v>
      </c>
      <c r="H183" s="219">
        <f>G183/G$40</f>
        <v>6.1742797013383361</v>
      </c>
    </row>
    <row r="184" spans="1:8" ht="12.6" customHeight="1" x14ac:dyDescent="0.2">
      <c r="A184" s="92"/>
      <c r="B184" s="24"/>
      <c r="C184" s="24"/>
      <c r="D184" s="24"/>
      <c r="E184" s="25"/>
      <c r="F184" s="25"/>
      <c r="G184" s="134"/>
      <c r="H184" s="134"/>
    </row>
    <row r="185" spans="1:8" ht="16.149999999999999" customHeight="1" x14ac:dyDescent="0.2">
      <c r="A185" s="580" t="s">
        <v>176</v>
      </c>
      <c r="B185" s="623"/>
      <c r="C185" s="70"/>
      <c r="D185" s="70"/>
      <c r="E185" s="142">
        <f>C129</f>
        <v>1360</v>
      </c>
      <c r="F185" s="141" t="s">
        <v>156</v>
      </c>
      <c r="G185" s="43"/>
      <c r="H185" s="43"/>
    </row>
    <row r="186" spans="1:8" ht="13.5" thickBot="1" x14ac:dyDescent="0.25">
      <c r="A186" s="87"/>
      <c r="E186" s="27"/>
      <c r="F186" s="27"/>
      <c r="G186" s="43"/>
      <c r="H186" s="43"/>
    </row>
    <row r="187" spans="1:8" ht="25.5" customHeight="1" thickBot="1" x14ac:dyDescent="0.25">
      <c r="A187" s="12" t="s">
        <v>177</v>
      </c>
      <c r="B187" s="13"/>
      <c r="C187" s="13"/>
      <c r="D187" s="13"/>
      <c r="E187" s="14"/>
      <c r="F187" s="140" t="s">
        <v>157</v>
      </c>
      <c r="G187" s="588">
        <f>IFERROR(G183/E185,"-")</f>
        <v>6.1742797013383361</v>
      </c>
      <c r="H187" s="589"/>
    </row>
    <row r="188" spans="1:8" ht="12.6" customHeight="1" x14ac:dyDescent="0.2">
      <c r="A188" s="88"/>
      <c r="B188" s="6"/>
      <c r="C188" s="6"/>
      <c r="D188" s="6"/>
      <c r="E188" s="20"/>
      <c r="F188" s="20"/>
      <c r="G188" s="135"/>
      <c r="H188" s="135"/>
    </row>
    <row r="189" spans="1:8" x14ac:dyDescent="0.2">
      <c r="A189" s="88" t="s">
        <v>178</v>
      </c>
      <c r="B189" s="6"/>
      <c r="E189" s="27"/>
      <c r="F189" s="27"/>
      <c r="G189" s="43"/>
      <c r="H189" s="43"/>
    </row>
    <row r="190" spans="1:8" ht="11.25" customHeight="1" thickBot="1" x14ac:dyDescent="0.25">
      <c r="A190" s="87"/>
      <c r="E190" s="27"/>
      <c r="F190" s="27"/>
      <c r="G190" s="43"/>
      <c r="H190" s="43"/>
    </row>
    <row r="191" spans="1:8" ht="13.5" thickBot="1" x14ac:dyDescent="0.25">
      <c r="A191" s="215" t="s">
        <v>27</v>
      </c>
      <c r="B191" s="216"/>
      <c r="C191" s="211" t="s">
        <v>28</v>
      </c>
      <c r="D191" s="211" t="s">
        <v>21</v>
      </c>
      <c r="E191" s="212" t="s">
        <v>94</v>
      </c>
      <c r="F191" s="212" t="s">
        <v>29</v>
      </c>
      <c r="G191" s="213" t="s">
        <v>30</v>
      </c>
      <c r="H191" s="213" t="s">
        <v>157</v>
      </c>
    </row>
    <row r="192" spans="1:8" ht="13.5" thickBot="1" x14ac:dyDescent="0.25">
      <c r="A192" s="595" t="s">
        <v>155</v>
      </c>
      <c r="B192" s="596"/>
      <c r="C192" s="8" t="s">
        <v>0</v>
      </c>
      <c r="D192" s="44">
        <f>BDI!C$24*100</f>
        <v>25.259999999999998</v>
      </c>
      <c r="E192" s="9">
        <f>G172</f>
        <v>6301.7038602777775</v>
      </c>
      <c r="F192" s="9">
        <f>D192*E192/100</f>
        <v>1591.8103951061667</v>
      </c>
      <c r="G192" s="121"/>
      <c r="H192" s="121"/>
    </row>
    <row r="193" spans="1:9" ht="13.5" thickBot="1" x14ac:dyDescent="0.25">
      <c r="A193" s="87"/>
      <c r="E193" s="27"/>
      <c r="F193" s="27"/>
      <c r="G193" s="220">
        <f>+F192</f>
        <v>1591.8103951061667</v>
      </c>
      <c r="H193" s="220">
        <f>G193/G$40</f>
        <v>1.1704488199310048</v>
      </c>
    </row>
    <row r="194" spans="1:9" ht="11.25" customHeight="1" thickBot="1" x14ac:dyDescent="0.25">
      <c r="A194" s="87"/>
      <c r="E194" s="27"/>
      <c r="F194" s="27"/>
      <c r="G194" s="120"/>
      <c r="H194" s="120"/>
    </row>
    <row r="195" spans="1:9" ht="13.5" thickBot="1" x14ac:dyDescent="0.25">
      <c r="A195" s="12" t="s">
        <v>179</v>
      </c>
      <c r="B195" s="13"/>
      <c r="C195" s="16"/>
      <c r="D195" s="16"/>
      <c r="E195" s="17"/>
      <c r="F195" s="18"/>
      <c r="G195" s="219">
        <f>G193</f>
        <v>1591.8103951061667</v>
      </c>
      <c r="H195" s="219">
        <f>G195/G$40</f>
        <v>1.1704488199310048</v>
      </c>
    </row>
    <row r="196" spans="1:9" ht="13.5" thickBot="1" x14ac:dyDescent="0.25">
      <c r="A196" s="88"/>
      <c r="B196" s="6"/>
      <c r="C196" s="6"/>
      <c r="D196" s="6"/>
      <c r="E196" s="20"/>
      <c r="F196" s="20"/>
      <c r="G196" s="133"/>
      <c r="H196" s="133"/>
    </row>
    <row r="197" spans="1:9" ht="24.75" customHeight="1" thickBot="1" x14ac:dyDescent="0.25">
      <c r="A197" s="12" t="s">
        <v>180</v>
      </c>
      <c r="B197" s="13"/>
      <c r="C197" s="16"/>
      <c r="D197" s="16"/>
      <c r="E197" s="17"/>
      <c r="F197" s="18"/>
      <c r="G197" s="189">
        <f>G172+G195</f>
        <v>7893.5142553839441</v>
      </c>
      <c r="H197" s="219">
        <f>G197/G$40</f>
        <v>5.8040545995470181</v>
      </c>
      <c r="I197" s="34"/>
    </row>
    <row r="198" spans="1:9" ht="12.6" customHeight="1" x14ac:dyDescent="0.2">
      <c r="A198" s="92"/>
      <c r="B198" s="24"/>
      <c r="C198" s="24"/>
      <c r="D198" s="24"/>
      <c r="E198" s="25"/>
      <c r="F198" s="25"/>
      <c r="G198" s="134"/>
      <c r="H198" s="134"/>
    </row>
    <row r="199" spans="1:9" ht="16.149999999999999" customHeight="1" x14ac:dyDescent="0.2">
      <c r="A199" s="139" t="s">
        <v>181</v>
      </c>
      <c r="B199" s="197"/>
      <c r="C199" s="70"/>
      <c r="D199" s="70"/>
      <c r="E199" s="142">
        <f>E$185</f>
        <v>1360</v>
      </c>
      <c r="F199" s="141" t="s">
        <v>156</v>
      </c>
      <c r="G199" s="43"/>
      <c r="H199" s="43"/>
    </row>
    <row r="200" spans="1:9" ht="13.5" thickBot="1" x14ac:dyDescent="0.25">
      <c r="A200" s="87"/>
      <c r="E200" s="27"/>
      <c r="F200" s="27"/>
      <c r="G200" s="43"/>
      <c r="H200" s="43"/>
    </row>
    <row r="201" spans="1:9" ht="25.5" customHeight="1" thickBot="1" x14ac:dyDescent="0.25">
      <c r="A201" s="12" t="s">
        <v>182</v>
      </c>
      <c r="B201" s="13"/>
      <c r="C201" s="13"/>
      <c r="D201" s="13"/>
      <c r="E201" s="14"/>
      <c r="F201" s="140" t="s">
        <v>157</v>
      </c>
      <c r="G201" s="588">
        <f>IFERROR(G197/E199,"-")</f>
        <v>5.8040545995470181</v>
      </c>
      <c r="H201" s="589"/>
    </row>
    <row r="202" spans="1:9" x14ac:dyDescent="0.2">
      <c r="A202" s="108"/>
      <c r="B202" s="109"/>
      <c r="C202" s="109"/>
      <c r="D202" s="109"/>
      <c r="E202" s="110"/>
      <c r="F202" s="110"/>
      <c r="G202" s="120"/>
      <c r="H202" s="120"/>
    </row>
    <row r="203" spans="1:9" x14ac:dyDescent="0.2">
      <c r="A203" s="119" t="s">
        <v>183</v>
      </c>
      <c r="B203" s="198"/>
      <c r="E203" s="27"/>
      <c r="F203" s="27"/>
      <c r="G203" s="43"/>
      <c r="H203" s="43"/>
    </row>
    <row r="204" spans="1:9" ht="11.25" customHeight="1" thickBot="1" x14ac:dyDescent="0.25">
      <c r="A204" s="87"/>
      <c r="E204" s="27"/>
      <c r="F204" s="27"/>
      <c r="G204" s="43"/>
      <c r="H204" s="43"/>
    </row>
    <row r="205" spans="1:9" ht="13.5" thickBot="1" x14ac:dyDescent="0.25">
      <c r="A205" s="215" t="s">
        <v>27</v>
      </c>
      <c r="B205" s="216"/>
      <c r="C205" s="211" t="s">
        <v>28</v>
      </c>
      <c r="D205" s="211" t="s">
        <v>21</v>
      </c>
      <c r="E205" s="212" t="s">
        <v>94</v>
      </c>
      <c r="F205" s="212" t="s">
        <v>29</v>
      </c>
      <c r="G205" s="213" t="s">
        <v>30</v>
      </c>
      <c r="H205" s="213" t="s">
        <v>157</v>
      </c>
    </row>
    <row r="206" spans="1:9" ht="13.5" thickBot="1" x14ac:dyDescent="0.25">
      <c r="A206" s="89" t="s">
        <v>184</v>
      </c>
      <c r="B206" s="195"/>
      <c r="C206" s="8" t="s">
        <v>0</v>
      </c>
      <c r="D206" s="44">
        <f>BDI!C35*100</f>
        <v>16.93</v>
      </c>
      <c r="E206" s="9">
        <f>G173</f>
        <v>5714.8484594777774</v>
      </c>
      <c r="F206" s="9">
        <f>D206*E206/100</f>
        <v>967.52384418958763</v>
      </c>
      <c r="G206" s="121"/>
      <c r="H206" s="121"/>
    </row>
    <row r="207" spans="1:9" ht="13.5" thickBot="1" x14ac:dyDescent="0.25">
      <c r="A207" s="87"/>
      <c r="E207" s="27"/>
      <c r="F207" s="27"/>
      <c r="G207" s="220">
        <f>+F206</f>
        <v>967.52384418958763</v>
      </c>
      <c r="H207" s="220">
        <f>G207/G$40</f>
        <v>0.71141459131587326</v>
      </c>
    </row>
    <row r="208" spans="1:9" ht="11.25" customHeight="1" thickBot="1" x14ac:dyDescent="0.25">
      <c r="A208" s="87"/>
      <c r="E208" s="27"/>
      <c r="F208" s="27"/>
      <c r="G208" s="120"/>
      <c r="H208" s="120"/>
    </row>
    <row r="209" spans="1:9" ht="13.5" thickBot="1" x14ac:dyDescent="0.25">
      <c r="A209" s="12" t="s">
        <v>185</v>
      </c>
      <c r="B209" s="13"/>
      <c r="C209" s="16"/>
      <c r="D209" s="16"/>
      <c r="E209" s="17"/>
      <c r="F209" s="18"/>
      <c r="G209" s="219">
        <f>G207</f>
        <v>967.52384418958763</v>
      </c>
      <c r="H209" s="219">
        <f>G209/G$40</f>
        <v>0.71141459131587326</v>
      </c>
    </row>
    <row r="210" spans="1:9" ht="13.5" thickBot="1" x14ac:dyDescent="0.25">
      <c r="A210" s="88"/>
      <c r="B210" s="6"/>
      <c r="C210" s="6"/>
      <c r="D210" s="6"/>
      <c r="E210" s="20"/>
      <c r="F210" s="20"/>
      <c r="G210" s="133"/>
      <c r="H210" s="133"/>
    </row>
    <row r="211" spans="1:9" ht="24.75" customHeight="1" thickBot="1" x14ac:dyDescent="0.25">
      <c r="A211" s="12" t="s">
        <v>186</v>
      </c>
      <c r="B211" s="13"/>
      <c r="C211" s="16"/>
      <c r="D211" s="16"/>
      <c r="E211" s="17"/>
      <c r="F211" s="18"/>
      <c r="G211" s="219">
        <f>E206+G209</f>
        <v>6682.3723036673655</v>
      </c>
      <c r="H211" s="219">
        <f>G211/G$40</f>
        <v>4.9135090468142391</v>
      </c>
      <c r="I211" s="34"/>
    </row>
    <row r="212" spans="1:9" ht="12.6" customHeight="1" x14ac:dyDescent="0.2">
      <c r="A212" s="92"/>
      <c r="B212" s="24"/>
      <c r="C212" s="24"/>
      <c r="D212" s="24"/>
      <c r="E212" s="25"/>
      <c r="F212" s="25"/>
      <c r="G212" s="134"/>
      <c r="H212" s="134"/>
      <c r="I212" s="34"/>
    </row>
    <row r="213" spans="1:9" ht="12.6" customHeight="1" x14ac:dyDescent="0.2">
      <c r="A213" s="92" t="s">
        <v>128</v>
      </c>
      <c r="B213" s="24"/>
      <c r="C213" s="24"/>
      <c r="D213" s="24"/>
      <c r="E213" s="25"/>
      <c r="F213" s="25"/>
      <c r="G213" s="136"/>
      <c r="H213" s="136"/>
    </row>
    <row r="214" spans="1:9" x14ac:dyDescent="0.2">
      <c r="A214" s="138" t="s">
        <v>125</v>
      </c>
      <c r="B214" s="6"/>
      <c r="E214" s="27"/>
      <c r="F214" s="27"/>
      <c r="G214" s="43"/>
      <c r="H214" s="43"/>
    </row>
    <row r="215" spans="1:9" x14ac:dyDescent="0.2">
      <c r="A215" s="88" t="s">
        <v>123</v>
      </c>
      <c r="B215" s="6"/>
      <c r="E215" s="27"/>
      <c r="F215" s="27"/>
      <c r="G215" s="43"/>
      <c r="H215" s="43"/>
    </row>
    <row r="216" spans="1:9" x14ac:dyDescent="0.2">
      <c r="A216" s="695" t="e">
        <f>#REF!</f>
        <v>#REF!</v>
      </c>
      <c r="B216" s="690"/>
      <c r="E216" s="27"/>
      <c r="F216" s="27"/>
      <c r="G216" s="43"/>
      <c r="H216" s="43"/>
    </row>
    <row r="217" spans="1:9" ht="11.25" customHeight="1" thickBot="1" x14ac:dyDescent="0.25">
      <c r="A217" s="111"/>
      <c r="E217" s="27"/>
      <c r="F217" s="27"/>
      <c r="G217" s="43"/>
      <c r="H217" s="43"/>
    </row>
    <row r="218" spans="1:9" ht="13.5" thickBot="1" x14ac:dyDescent="0.25">
      <c r="A218" s="215" t="s">
        <v>27</v>
      </c>
      <c r="B218" s="216"/>
      <c r="C218" s="211" t="s">
        <v>28</v>
      </c>
      <c r="D218" s="211" t="s">
        <v>21</v>
      </c>
      <c r="E218" s="212" t="s">
        <v>124</v>
      </c>
      <c r="F218" s="212" t="s">
        <v>29</v>
      </c>
      <c r="G218" s="213" t="s">
        <v>30</v>
      </c>
      <c r="H218" s="213" t="s">
        <v>157</v>
      </c>
    </row>
    <row r="219" spans="1:9" ht="13.5" thickBot="1" x14ac:dyDescent="0.25">
      <c r="A219" s="595" t="s">
        <v>187</v>
      </c>
      <c r="B219" s="596"/>
      <c r="C219" s="112" t="s">
        <v>0</v>
      </c>
      <c r="D219" s="272" t="e">
        <f>#REF!</f>
        <v>#REF!</v>
      </c>
      <c r="E219" s="113">
        <f>G211</f>
        <v>6682.3723036673655</v>
      </c>
      <c r="F219" s="9" t="e">
        <f>G222*(D219/100)</f>
        <v>#REF!</v>
      </c>
      <c r="G219" s="121"/>
      <c r="H219" s="121"/>
    </row>
    <row r="220" spans="1:9" ht="13.5" thickBot="1" x14ac:dyDescent="0.25">
      <c r="A220" s="87"/>
      <c r="E220" s="27"/>
      <c r="F220" s="27"/>
      <c r="G220" s="219" t="e">
        <f>F219</f>
        <v>#REF!</v>
      </c>
      <c r="H220" s="219" t="e">
        <f>G220/G$40</f>
        <v>#REF!</v>
      </c>
    </row>
    <row r="221" spans="1:9" ht="13.5" thickBot="1" x14ac:dyDescent="0.25">
      <c r="A221" s="114"/>
      <c r="B221" s="115"/>
      <c r="C221" s="115"/>
      <c r="D221" s="115"/>
      <c r="E221" s="116"/>
      <c r="F221" s="116"/>
      <c r="G221" s="137"/>
      <c r="H221" s="137"/>
    </row>
    <row r="222" spans="1:9" ht="24.75" customHeight="1" thickBot="1" x14ac:dyDescent="0.25">
      <c r="A222" s="12" t="s">
        <v>188</v>
      </c>
      <c r="B222" s="13"/>
      <c r="C222" s="16"/>
      <c r="D222" s="16"/>
      <c r="E222" s="17"/>
      <c r="F222" s="18"/>
      <c r="G222" s="189" t="e">
        <f>E219/((100-D219)/100)</f>
        <v>#REF!</v>
      </c>
      <c r="H222" s="219" t="e">
        <f>G222/G$40</f>
        <v>#REF!</v>
      </c>
    </row>
    <row r="223" spans="1:9" ht="12.6" customHeight="1" x14ac:dyDescent="0.2">
      <c r="A223" s="92"/>
      <c r="B223" s="24"/>
      <c r="C223" s="24"/>
      <c r="D223" s="24"/>
      <c r="E223" s="25"/>
      <c r="F223" s="25"/>
      <c r="G223" s="134"/>
      <c r="H223" s="134"/>
    </row>
    <row r="224" spans="1:9" ht="16.149999999999999" customHeight="1" x14ac:dyDescent="0.2">
      <c r="A224" s="139" t="s">
        <v>189</v>
      </c>
      <c r="B224" s="197"/>
      <c r="C224" s="70"/>
      <c r="D224" s="70"/>
      <c r="E224" s="142">
        <f>E$185</f>
        <v>1360</v>
      </c>
      <c r="F224" s="141" t="s">
        <v>156</v>
      </c>
      <c r="G224" s="43"/>
      <c r="H224" s="43"/>
    </row>
    <row r="225" spans="1:8" ht="13.5" thickBot="1" x14ac:dyDescent="0.25">
      <c r="A225" s="87"/>
      <c r="E225" s="27"/>
      <c r="F225" s="27"/>
      <c r="G225" s="43"/>
      <c r="H225" s="43"/>
    </row>
    <row r="226" spans="1:8" ht="25.5" customHeight="1" thickBot="1" x14ac:dyDescent="0.25">
      <c r="A226" s="12" t="s">
        <v>190</v>
      </c>
      <c r="B226" s="13"/>
      <c r="C226" s="13"/>
      <c r="D226" s="13"/>
      <c r="E226" s="14"/>
      <c r="F226" s="140" t="s">
        <v>157</v>
      </c>
      <c r="G226" s="588" t="str">
        <f>IFERROR(G222/E224,"-")</f>
        <v>-</v>
      </c>
      <c r="H226" s="589"/>
    </row>
    <row r="227" spans="1:8" ht="9" customHeight="1" x14ac:dyDescent="0.2">
      <c r="E227" s="4"/>
      <c r="F227" s="4"/>
      <c r="G227" s="4"/>
      <c r="H227" s="27"/>
    </row>
    <row r="228" spans="1:8" x14ac:dyDescent="0.2">
      <c r="H228" s="27"/>
    </row>
    <row r="229" spans="1:8" x14ac:dyDescent="0.2">
      <c r="H229" s="27"/>
    </row>
    <row r="230" spans="1:8" x14ac:dyDescent="0.2">
      <c r="A230" s="6" t="s">
        <v>259</v>
      </c>
      <c r="B230" s="6"/>
      <c r="C230" s="6"/>
      <c r="D230" s="6"/>
      <c r="E230" s="273"/>
      <c r="F230" s="273"/>
      <c r="G230" s="273"/>
      <c r="H230" s="20"/>
    </row>
    <row r="231" spans="1:8" x14ac:dyDescent="0.2">
      <c r="A231" s="6"/>
      <c r="B231" s="6"/>
      <c r="C231" s="6"/>
      <c r="D231" s="6"/>
      <c r="E231" s="273"/>
      <c r="F231" s="273"/>
      <c r="G231" s="273"/>
      <c r="H231" s="20"/>
    </row>
    <row r="232" spans="1:8" x14ac:dyDescent="0.2">
      <c r="A232" s="6"/>
      <c r="B232" s="6"/>
      <c r="C232" s="6"/>
      <c r="D232" s="6"/>
      <c r="E232" s="273"/>
      <c r="F232" s="273"/>
      <c r="G232" s="273"/>
      <c r="H232" s="20"/>
    </row>
    <row r="233" spans="1:8" x14ac:dyDescent="0.2">
      <c r="A233" s="6"/>
      <c r="B233" s="6"/>
      <c r="C233" s="6"/>
      <c r="D233" s="6"/>
      <c r="E233" s="273"/>
      <c r="F233" s="273"/>
      <c r="G233" s="273"/>
      <c r="H233" s="20"/>
    </row>
    <row r="234" spans="1:8" x14ac:dyDescent="0.2">
      <c r="A234" s="6"/>
      <c r="B234" s="6"/>
      <c r="C234" s="585" t="s">
        <v>256</v>
      </c>
      <c r="D234" s="585"/>
      <c r="E234" s="585"/>
      <c r="F234" s="273"/>
      <c r="G234" s="273"/>
      <c r="H234" s="20"/>
    </row>
    <row r="235" spans="1:8" x14ac:dyDescent="0.2">
      <c r="A235" s="6"/>
      <c r="B235" s="6"/>
      <c r="C235" s="585" t="s">
        <v>257</v>
      </c>
      <c r="D235" s="585"/>
      <c r="E235" s="585"/>
      <c r="F235" s="273"/>
      <c r="G235" s="273"/>
      <c r="H235" s="20"/>
    </row>
    <row r="236" spans="1:8" x14ac:dyDescent="0.2">
      <c r="A236" s="6"/>
      <c r="B236" s="6"/>
      <c r="C236" s="585" t="s">
        <v>258</v>
      </c>
      <c r="D236" s="585"/>
      <c r="E236" s="585"/>
      <c r="F236" s="273"/>
      <c r="G236" s="273"/>
      <c r="H236" s="20"/>
    </row>
    <row r="237" spans="1:8" x14ac:dyDescent="0.2">
      <c r="H237" s="27"/>
    </row>
    <row r="238" spans="1:8" x14ac:dyDescent="0.2">
      <c r="H238" s="27"/>
    </row>
    <row r="239" spans="1:8" x14ac:dyDescent="0.2">
      <c r="H239" s="27"/>
    </row>
  </sheetData>
  <mergeCells count="130">
    <mergeCell ref="G226:H226"/>
    <mergeCell ref="A185:B185"/>
    <mergeCell ref="G187:H187"/>
    <mergeCell ref="A192:B192"/>
    <mergeCell ref="G201:H201"/>
    <mergeCell ref="A216:B216"/>
    <mergeCell ref="A219:B219"/>
    <mergeCell ref="A164:B164"/>
    <mergeCell ref="A165:B165"/>
    <mergeCell ref="A166:B166"/>
    <mergeCell ref="A167:B167"/>
    <mergeCell ref="A177:B177"/>
    <mergeCell ref="A178:B178"/>
    <mergeCell ref="A152:B152"/>
    <mergeCell ref="A153:B153"/>
    <mergeCell ref="A154:B154"/>
    <mergeCell ref="A155:B155"/>
    <mergeCell ref="A162:B162"/>
    <mergeCell ref="A163:B163"/>
    <mergeCell ref="A140:B140"/>
    <mergeCell ref="A141:B141"/>
    <mergeCell ref="A145:B145"/>
    <mergeCell ref="A146:B146"/>
    <mergeCell ref="A147:B147"/>
    <mergeCell ref="A148:B148"/>
    <mergeCell ref="A134:B134"/>
    <mergeCell ref="A135:B135"/>
    <mergeCell ref="A136:B136"/>
    <mergeCell ref="A137:B137"/>
    <mergeCell ref="A138:B138"/>
    <mergeCell ref="A139:B139"/>
    <mergeCell ref="A125:B125"/>
    <mergeCell ref="A126:B126"/>
    <mergeCell ref="A130:B130"/>
    <mergeCell ref="A131:B131"/>
    <mergeCell ref="A132:B132"/>
    <mergeCell ref="A133:B133"/>
    <mergeCell ref="A119:B119"/>
    <mergeCell ref="A120:B120"/>
    <mergeCell ref="A121:B121"/>
    <mergeCell ref="A122:B122"/>
    <mergeCell ref="A123:B123"/>
    <mergeCell ref="A124:B124"/>
    <mergeCell ref="A110:B110"/>
    <mergeCell ref="A111:B111"/>
    <mergeCell ref="A112:B112"/>
    <mergeCell ref="A113:B113"/>
    <mergeCell ref="A114:B114"/>
    <mergeCell ref="A115:B115"/>
    <mergeCell ref="A102:B102"/>
    <mergeCell ref="A103:B103"/>
    <mergeCell ref="A104:B104"/>
    <mergeCell ref="A107:B107"/>
    <mergeCell ref="A108:B108"/>
    <mergeCell ref="A109:B109"/>
    <mergeCell ref="A84:B84"/>
    <mergeCell ref="A85:B85"/>
    <mergeCell ref="A90:B90"/>
    <mergeCell ref="A91:B91"/>
    <mergeCell ref="A100:B100"/>
    <mergeCell ref="A101:B101"/>
    <mergeCell ref="A75:B75"/>
    <mergeCell ref="A76:B76"/>
    <mergeCell ref="A77:B77"/>
    <mergeCell ref="A81:B81"/>
    <mergeCell ref="A82:B82"/>
    <mergeCell ref="A83:B83"/>
    <mergeCell ref="A66:B66"/>
    <mergeCell ref="A67:B67"/>
    <mergeCell ref="A68:B68"/>
    <mergeCell ref="A69:B69"/>
    <mergeCell ref="A70:B70"/>
    <mergeCell ref="A71:B71"/>
    <mergeCell ref="A54:B54"/>
    <mergeCell ref="A55:B55"/>
    <mergeCell ref="A56:B56"/>
    <mergeCell ref="A60:B60"/>
    <mergeCell ref="A61:B61"/>
    <mergeCell ref="A62:B62"/>
    <mergeCell ref="A46:B46"/>
    <mergeCell ref="D46:G46"/>
    <mergeCell ref="A48:G48"/>
    <mergeCell ref="A51:B51"/>
    <mergeCell ref="A52:B52"/>
    <mergeCell ref="A53:B53"/>
    <mergeCell ref="A41:B41"/>
    <mergeCell ref="D43:G43"/>
    <mergeCell ref="A44:B44"/>
    <mergeCell ref="D44:F44"/>
    <mergeCell ref="A45:B45"/>
    <mergeCell ref="D45:G45"/>
    <mergeCell ref="A34:B34"/>
    <mergeCell ref="A35:B35"/>
    <mergeCell ref="A36:B36"/>
    <mergeCell ref="A37:B37"/>
    <mergeCell ref="A39:B39"/>
    <mergeCell ref="A40:B40"/>
    <mergeCell ref="A30:B30"/>
    <mergeCell ref="A31:B31"/>
    <mergeCell ref="A32:B32"/>
    <mergeCell ref="A20:B20"/>
    <mergeCell ref="A21:B21"/>
    <mergeCell ref="A22:B22"/>
    <mergeCell ref="A23:B23"/>
    <mergeCell ref="A24:B24"/>
    <mergeCell ref="A25:B25"/>
    <mergeCell ref="C234:E234"/>
    <mergeCell ref="C235:E235"/>
    <mergeCell ref="C236:E236"/>
    <mergeCell ref="A1:H1"/>
    <mergeCell ref="D3:E3"/>
    <mergeCell ref="G3:H3"/>
    <mergeCell ref="C7:D7"/>
    <mergeCell ref="E7:F7"/>
    <mergeCell ref="G7:H7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26:B26"/>
    <mergeCell ref="A28:G28"/>
    <mergeCell ref="A29:B29"/>
  </mergeCells>
  <pageMargins left="0.39370078740157483" right="0" top="0.59055118110236227" bottom="0.39370078740157483" header="0" footer="0"/>
  <pageSetup paperSize="9" scale="83" fitToHeight="0" orientation="portrait" r:id="rId1"/>
  <headerFooter alignWithMargins="0">
    <oddFooter>&amp;R&amp;P de &amp;N</oddFooter>
  </headerFooter>
  <rowBreaks count="3" manualBreakCount="3">
    <brk id="57" max="16383" man="1"/>
    <brk id="127" max="16383" man="1"/>
    <brk id="187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4"/>
  <sheetViews>
    <sheetView topLeftCell="A28" zoomScale="130" zoomScaleNormal="130" workbookViewId="0">
      <selection activeCell="C42" sqref="C42"/>
    </sheetView>
  </sheetViews>
  <sheetFormatPr defaultColWidth="9.140625" defaultRowHeight="12.75" x14ac:dyDescent="0.2"/>
  <cols>
    <col min="1" max="1" width="13.5703125" style="1" customWidth="1"/>
    <col min="2" max="2" width="42.85546875" style="1" customWidth="1"/>
    <col min="3" max="3" width="14.5703125" style="1" customWidth="1"/>
    <col min="4" max="4" width="50.42578125" style="1" customWidth="1"/>
    <col min="5" max="10" width="9.140625" style="1"/>
    <col min="11" max="11" width="11" style="1" bestFit="1" customWidth="1"/>
    <col min="12" max="16384" width="9.140625" style="1"/>
  </cols>
  <sheetData>
    <row r="1" spans="1:6" ht="18" x14ac:dyDescent="0.2">
      <c r="A1" s="696" t="s">
        <v>206</v>
      </c>
      <c r="B1" s="697"/>
      <c r="C1" s="698"/>
      <c r="D1" s="49"/>
      <c r="E1" s="49"/>
      <c r="F1" s="49"/>
    </row>
    <row r="2" spans="1:6" ht="18" x14ac:dyDescent="0.2">
      <c r="A2" s="699" t="s">
        <v>207</v>
      </c>
      <c r="B2" s="700"/>
      <c r="C2" s="701"/>
      <c r="D2" s="49"/>
      <c r="E2" s="49"/>
      <c r="F2" s="49"/>
    </row>
    <row r="3" spans="1:6" ht="54" x14ac:dyDescent="0.2">
      <c r="A3" s="71" t="s">
        <v>47</v>
      </c>
      <c r="B3" s="187" t="s">
        <v>48</v>
      </c>
      <c r="C3" s="188" t="s">
        <v>112</v>
      </c>
      <c r="D3" s="427" t="s">
        <v>355</v>
      </c>
    </row>
    <row r="4" spans="1:6" ht="15" x14ac:dyDescent="0.2">
      <c r="A4" s="315" t="s">
        <v>49</v>
      </c>
      <c r="B4" s="316" t="s">
        <v>22</v>
      </c>
      <c r="C4" s="317">
        <v>0.2</v>
      </c>
      <c r="D4" s="428" t="s">
        <v>343</v>
      </c>
    </row>
    <row r="5" spans="1:6" ht="30" x14ac:dyDescent="0.2">
      <c r="A5" s="318" t="s">
        <v>50</v>
      </c>
      <c r="B5" s="319" t="s">
        <v>51</v>
      </c>
      <c r="C5" s="311">
        <v>1.4999999999999999E-2</v>
      </c>
      <c r="D5" s="429" t="s">
        <v>344</v>
      </c>
    </row>
    <row r="6" spans="1:6" ht="45" x14ac:dyDescent="0.2">
      <c r="A6" s="318" t="s">
        <v>52</v>
      </c>
      <c r="B6" s="319" t="s">
        <v>53</v>
      </c>
      <c r="C6" s="311">
        <v>0.01</v>
      </c>
      <c r="D6" s="429" t="s">
        <v>345</v>
      </c>
    </row>
    <row r="7" spans="1:6" ht="30" x14ac:dyDescent="0.2">
      <c r="A7" s="318" t="s">
        <v>54</v>
      </c>
      <c r="B7" s="319" t="s">
        <v>55</v>
      </c>
      <c r="C7" s="311">
        <v>2E-3</v>
      </c>
      <c r="D7" s="429" t="s">
        <v>346</v>
      </c>
    </row>
    <row r="8" spans="1:6" ht="30" x14ac:dyDescent="0.2">
      <c r="A8" s="318" t="s">
        <v>56</v>
      </c>
      <c r="B8" s="319" t="s">
        <v>57</v>
      </c>
      <c r="C8" s="311">
        <v>6.0000000000000001E-3</v>
      </c>
      <c r="D8" s="429" t="s">
        <v>347</v>
      </c>
    </row>
    <row r="9" spans="1:6" ht="15" x14ac:dyDescent="0.2">
      <c r="A9" s="318" t="s">
        <v>58</v>
      </c>
      <c r="B9" s="319" t="s">
        <v>59</v>
      </c>
      <c r="C9" s="311">
        <v>2.5000000000000001E-2</v>
      </c>
      <c r="D9" s="428" t="s">
        <v>348</v>
      </c>
    </row>
    <row r="10" spans="1:6" ht="15" x14ac:dyDescent="0.2">
      <c r="A10" s="318" t="s">
        <v>60</v>
      </c>
      <c r="B10" s="319" t="s">
        <v>61</v>
      </c>
      <c r="C10" s="311">
        <v>0.03</v>
      </c>
      <c r="D10" s="428" t="s">
        <v>349</v>
      </c>
    </row>
    <row r="11" spans="1:6" ht="30" x14ac:dyDescent="0.2">
      <c r="A11" s="318" t="s">
        <v>62</v>
      </c>
      <c r="B11" s="319" t="s">
        <v>23</v>
      </c>
      <c r="C11" s="311">
        <v>0.08</v>
      </c>
      <c r="D11" s="429" t="s">
        <v>350</v>
      </c>
    </row>
    <row r="12" spans="1:6" ht="15" x14ac:dyDescent="0.2">
      <c r="A12" s="318" t="s">
        <v>63</v>
      </c>
      <c r="B12" s="320" t="s">
        <v>64</v>
      </c>
      <c r="C12" s="321">
        <f>SUM(C4:C11)</f>
        <v>0.36800000000000005</v>
      </c>
      <c r="D12" s="428"/>
    </row>
    <row r="13" spans="1:6" ht="15" x14ac:dyDescent="0.2">
      <c r="A13" s="322"/>
      <c r="B13" s="323"/>
      <c r="C13" s="324"/>
      <c r="D13" s="50"/>
    </row>
    <row r="14" spans="1:6" ht="15" x14ac:dyDescent="0.2">
      <c r="A14" s="318" t="s">
        <v>65</v>
      </c>
      <c r="B14" s="325" t="s">
        <v>66</v>
      </c>
      <c r="C14" s="311">
        <v>6.5699999999999995E-2</v>
      </c>
      <c r="D14" s="428" t="s">
        <v>506</v>
      </c>
    </row>
    <row r="15" spans="1:6" ht="15" x14ac:dyDescent="0.2">
      <c r="A15" s="318" t="s">
        <v>67</v>
      </c>
      <c r="B15" s="325" t="s">
        <v>68</v>
      </c>
      <c r="C15" s="311">
        <v>8.3299999999999999E-2</v>
      </c>
      <c r="D15" s="428" t="s">
        <v>351</v>
      </c>
    </row>
    <row r="16" spans="1:6" ht="30" x14ac:dyDescent="0.2">
      <c r="A16" s="318" t="s">
        <v>92</v>
      </c>
      <c r="B16" s="325" t="s">
        <v>70</v>
      </c>
      <c r="C16" s="311">
        <v>5.9999999999999995E-4</v>
      </c>
      <c r="D16" s="429" t="s">
        <v>352</v>
      </c>
    </row>
    <row r="17" spans="1:7" ht="30" x14ac:dyDescent="0.2">
      <c r="A17" s="318" t="s">
        <v>69</v>
      </c>
      <c r="B17" s="325" t="s">
        <v>72</v>
      </c>
      <c r="C17" s="311">
        <v>8.2000000000000007E-3</v>
      </c>
      <c r="D17" s="429" t="s">
        <v>352</v>
      </c>
    </row>
    <row r="18" spans="1:7" ht="30" x14ac:dyDescent="0.2">
      <c r="A18" s="318" t="s">
        <v>71</v>
      </c>
      <c r="B18" s="325" t="s">
        <v>73</v>
      </c>
      <c r="C18" s="311">
        <v>3.0999999999999999E-3</v>
      </c>
      <c r="D18" s="429" t="s">
        <v>352</v>
      </c>
    </row>
    <row r="19" spans="1:7" ht="30" x14ac:dyDescent="0.2">
      <c r="A19" s="318" t="s">
        <v>507</v>
      </c>
      <c r="B19" s="325" t="s">
        <v>508</v>
      </c>
      <c r="C19" s="311">
        <v>1.66E-2</v>
      </c>
      <c r="D19" s="429" t="s">
        <v>352</v>
      </c>
    </row>
    <row r="20" spans="1:7" ht="15" x14ac:dyDescent="0.2">
      <c r="A20" s="318" t="s">
        <v>74</v>
      </c>
      <c r="B20" s="320" t="s">
        <v>75</v>
      </c>
      <c r="C20" s="321">
        <f>SUM(C14:C19)</f>
        <v>0.17749999999999999</v>
      </c>
      <c r="D20" s="51"/>
    </row>
    <row r="21" spans="1:7" ht="15" x14ac:dyDescent="0.2">
      <c r="A21" s="322"/>
      <c r="B21" s="323"/>
      <c r="C21" s="324"/>
      <c r="D21" s="51"/>
    </row>
    <row r="22" spans="1:7" ht="15" x14ac:dyDescent="0.2">
      <c r="A22" s="318" t="s">
        <v>76</v>
      </c>
      <c r="B22" s="319" t="s">
        <v>77</v>
      </c>
      <c r="C22" s="311">
        <v>2.9000000000000001E-2</v>
      </c>
      <c r="D22" s="428" t="s">
        <v>353</v>
      </c>
      <c r="E22" s="52"/>
    </row>
    <row r="23" spans="1:7" ht="15" x14ac:dyDescent="0.2">
      <c r="A23" s="318" t="s">
        <v>91</v>
      </c>
      <c r="B23" s="319" t="s">
        <v>78</v>
      </c>
      <c r="C23" s="311">
        <v>3.15E-2</v>
      </c>
      <c r="D23" s="428" t="s">
        <v>356</v>
      </c>
      <c r="G23" s="52"/>
    </row>
    <row r="24" spans="1:7" ht="15" x14ac:dyDescent="0.2">
      <c r="A24" s="318" t="s">
        <v>406</v>
      </c>
      <c r="B24" s="319" t="s">
        <v>511</v>
      </c>
      <c r="C24" s="311">
        <v>4.5400000000000003E-2</v>
      </c>
      <c r="D24" s="53" t="s">
        <v>512</v>
      </c>
      <c r="G24" s="52"/>
    </row>
    <row r="25" spans="1:7" ht="15" x14ac:dyDescent="0.2">
      <c r="A25" s="318" t="s">
        <v>509</v>
      </c>
      <c r="B25" s="319" t="s">
        <v>513</v>
      </c>
      <c r="C25" s="311">
        <v>1.2999999999999999E-3</v>
      </c>
      <c r="D25" s="53"/>
      <c r="G25" s="52"/>
    </row>
    <row r="26" spans="1:7" ht="15" x14ac:dyDescent="0.2">
      <c r="A26" s="318" t="s">
        <v>510</v>
      </c>
      <c r="B26" s="319" t="s">
        <v>514</v>
      </c>
      <c r="C26" s="311">
        <v>2E-3</v>
      </c>
      <c r="D26" s="53"/>
      <c r="G26" s="52"/>
    </row>
    <row r="27" spans="1:7" ht="15" x14ac:dyDescent="0.2">
      <c r="A27" s="318" t="s">
        <v>79</v>
      </c>
      <c r="B27" s="320" t="s">
        <v>80</v>
      </c>
      <c r="C27" s="321">
        <f>SUM(C22:C26)</f>
        <v>0.10919999999999999</v>
      </c>
      <c r="D27" s="53"/>
    </row>
    <row r="28" spans="1:7" ht="15" x14ac:dyDescent="0.2">
      <c r="A28" s="322"/>
      <c r="B28" s="323"/>
      <c r="C28" s="324"/>
      <c r="D28" s="50"/>
    </row>
    <row r="29" spans="1:7" ht="15" x14ac:dyDescent="0.2">
      <c r="A29" s="318" t="s">
        <v>81</v>
      </c>
      <c r="B29" s="319" t="s">
        <v>82</v>
      </c>
      <c r="C29" s="326">
        <f>ROUND(C12*C20,4)</f>
        <v>6.5299999999999997E-2</v>
      </c>
      <c r="D29" s="53" t="s">
        <v>354</v>
      </c>
    </row>
    <row r="30" spans="1:7" ht="28.5" x14ac:dyDescent="0.2">
      <c r="A30" s="318" t="s">
        <v>83</v>
      </c>
      <c r="B30" s="327" t="s">
        <v>99</v>
      </c>
      <c r="C30" s="326">
        <f>ROUND((C22*C11),4)</f>
        <v>2.3E-3</v>
      </c>
      <c r="D30" s="51"/>
    </row>
    <row r="31" spans="1:7" ht="15" x14ac:dyDescent="0.2">
      <c r="A31" s="328" t="s">
        <v>84</v>
      </c>
      <c r="B31" s="329" t="s">
        <v>85</v>
      </c>
      <c r="C31" s="330">
        <f>SUM(C29:C30)</f>
        <v>6.7599999999999993E-2</v>
      </c>
      <c r="D31" s="51"/>
    </row>
    <row r="32" spans="1:7" ht="15.75" thickBot="1" x14ac:dyDescent="0.25">
      <c r="A32" s="192"/>
      <c r="B32" s="193" t="s">
        <v>86</v>
      </c>
      <c r="C32" s="303">
        <f>C31+C27+C20+C12</f>
        <v>0.72229999999999994</v>
      </c>
      <c r="D32" s="51"/>
    </row>
    <row r="33" spans="1:5" ht="15.75" thickBot="1" x14ac:dyDescent="0.25">
      <c r="A33" s="50"/>
      <c r="B33" s="53"/>
      <c r="C33" s="54"/>
      <c r="D33" s="51"/>
    </row>
    <row r="34" spans="1:5" ht="18.75" thickBot="1" x14ac:dyDescent="0.25">
      <c r="A34" s="702" t="s">
        <v>206</v>
      </c>
      <c r="B34" s="703"/>
      <c r="C34" s="704"/>
      <c r="D34" s="51"/>
      <c r="E34" s="49"/>
    </row>
    <row r="35" spans="1:5" customFormat="1" ht="18" x14ac:dyDescent="0.2">
      <c r="A35" s="705" t="s">
        <v>225</v>
      </c>
      <c r="B35" s="706"/>
      <c r="C35" s="707"/>
      <c r="D35" s="51"/>
    </row>
    <row r="36" spans="1:5" s="79" customFormat="1" ht="15" x14ac:dyDescent="0.2">
      <c r="A36" s="334" t="s">
        <v>235</v>
      </c>
      <c r="B36" s="335" t="s">
        <v>48</v>
      </c>
      <c r="C36" s="336" t="s">
        <v>112</v>
      </c>
      <c r="D36" s="51"/>
    </row>
    <row r="37" spans="1:5" s="79" customFormat="1" ht="14.25" x14ac:dyDescent="0.2">
      <c r="A37" s="331">
        <v>1</v>
      </c>
      <c r="B37" s="332" t="s">
        <v>23</v>
      </c>
      <c r="C37" s="333">
        <v>0.08</v>
      </c>
    </row>
    <row r="38" spans="1:5" s="79" customFormat="1" ht="14.25" x14ac:dyDescent="0.2">
      <c r="A38" s="310">
        <v>2</v>
      </c>
      <c r="B38" s="299" t="s">
        <v>106</v>
      </c>
      <c r="C38" s="312">
        <v>0.1111</v>
      </c>
    </row>
    <row r="39" spans="1:5" s="79" customFormat="1" ht="14.25" x14ac:dyDescent="0.2">
      <c r="A39" s="310">
        <v>3</v>
      </c>
      <c r="B39" s="299" t="s">
        <v>107</v>
      </c>
      <c r="C39" s="312">
        <v>8.3299999999999999E-2</v>
      </c>
    </row>
    <row r="40" spans="1:5" s="79" customFormat="1" ht="14.25" x14ac:dyDescent="0.2">
      <c r="A40" s="310">
        <v>4</v>
      </c>
      <c r="B40" s="299" t="s">
        <v>250</v>
      </c>
      <c r="C40" s="312">
        <v>3.2000000000000001E-2</v>
      </c>
    </row>
    <row r="41" spans="1:5" s="79" customFormat="1" ht="14.25" x14ac:dyDescent="0.2">
      <c r="A41" s="313">
        <v>5</v>
      </c>
      <c r="B41" s="300" t="s">
        <v>108</v>
      </c>
      <c r="C41" s="314">
        <f>(C38+C39)*(C37+C40)</f>
        <v>2.1772800000000002E-2</v>
      </c>
    </row>
    <row r="42" spans="1:5" s="79" customFormat="1" ht="15.75" thickBot="1" x14ac:dyDescent="0.3">
      <c r="A42" s="298" t="s">
        <v>113</v>
      </c>
      <c r="B42" s="301"/>
      <c r="C42" s="302">
        <f>SUM(C37:C41)</f>
        <v>0.32817279999999999</v>
      </c>
    </row>
    <row r="43" spans="1:5" customFormat="1" x14ac:dyDescent="0.2"/>
    <row r="44" spans="1:5" ht="14.25" x14ac:dyDescent="0.2">
      <c r="A44" s="50"/>
      <c r="B44" s="55"/>
      <c r="C44" s="57"/>
    </row>
    <row r="45" spans="1:5" ht="14.25" x14ac:dyDescent="0.2">
      <c r="A45" s="50"/>
      <c r="B45" s="58"/>
      <c r="C45" s="50"/>
    </row>
    <row r="46" spans="1:5" ht="14.25" x14ac:dyDescent="0.2">
      <c r="A46" s="50"/>
      <c r="B46" s="55"/>
      <c r="C46" s="57"/>
    </row>
    <row r="47" spans="1:5" ht="14.25" x14ac:dyDescent="0.2">
      <c r="A47" s="50"/>
      <c r="B47" s="58"/>
      <c r="C47" s="50"/>
    </row>
    <row r="48" spans="1:5" ht="14.25" x14ac:dyDescent="0.2">
      <c r="A48" s="50"/>
      <c r="B48" s="55"/>
      <c r="C48" s="57"/>
    </row>
    <row r="49" spans="1:3" ht="14.25" x14ac:dyDescent="0.2">
      <c r="A49" s="50"/>
      <c r="B49" s="58"/>
      <c r="C49" s="50"/>
    </row>
    <row r="50" spans="1:3" ht="14.25" x14ac:dyDescent="0.2">
      <c r="A50" s="50"/>
      <c r="B50" s="55"/>
      <c r="C50" s="57"/>
    </row>
    <row r="51" spans="1:3" ht="16.5" x14ac:dyDescent="0.2">
      <c r="A51" s="56"/>
    </row>
    <row r="54" spans="1:3" x14ac:dyDescent="0.2">
      <c r="A54" s="59"/>
    </row>
  </sheetData>
  <mergeCells count="4">
    <mergeCell ref="A1:C1"/>
    <mergeCell ref="A2:C2"/>
    <mergeCell ref="A34:C34"/>
    <mergeCell ref="A35:C35"/>
  </mergeCells>
  <pageMargins left="0.78740157480314965" right="0" top="0.78740157480314965" bottom="0.39370078740157483" header="0" footer="0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8"/>
  <sheetViews>
    <sheetView topLeftCell="A34" workbookViewId="0">
      <selection activeCell="D42" sqref="D42"/>
    </sheetView>
  </sheetViews>
  <sheetFormatPr defaultRowHeight="12.75" x14ac:dyDescent="0.2"/>
  <cols>
    <col min="1" max="1" width="37.85546875" customWidth="1"/>
    <col min="2" max="2" width="26" customWidth="1"/>
    <col min="3" max="3" width="14.140625" customWidth="1"/>
    <col min="4" max="4" width="60.7109375" customWidth="1"/>
  </cols>
  <sheetData>
    <row r="1" spans="1:4" ht="18" x14ac:dyDescent="0.2">
      <c r="A1" s="696" t="s">
        <v>206</v>
      </c>
      <c r="B1" s="697"/>
      <c r="C1" s="698"/>
      <c r="D1" s="49"/>
    </row>
    <row r="2" spans="1:4" ht="18" x14ac:dyDescent="0.2">
      <c r="A2" s="699" t="s">
        <v>207</v>
      </c>
      <c r="B2" s="700"/>
      <c r="C2" s="701"/>
      <c r="D2" s="49"/>
    </row>
    <row r="3" spans="1:4" ht="18" x14ac:dyDescent="0.2">
      <c r="A3" s="71" t="s">
        <v>47</v>
      </c>
      <c r="B3" s="187" t="s">
        <v>48</v>
      </c>
      <c r="C3" s="188" t="s">
        <v>112</v>
      </c>
      <c r="D3" s="49" t="s">
        <v>389</v>
      </c>
    </row>
    <row r="4" spans="1:4" ht="15" x14ac:dyDescent="0.2">
      <c r="A4" s="463" t="s">
        <v>49</v>
      </c>
      <c r="B4" s="464" t="s">
        <v>22</v>
      </c>
      <c r="C4" s="465">
        <v>0.2</v>
      </c>
      <c r="D4" s="428" t="s">
        <v>390</v>
      </c>
    </row>
    <row r="5" spans="1:4" ht="15" x14ac:dyDescent="0.2">
      <c r="A5" s="463" t="s">
        <v>50</v>
      </c>
      <c r="B5" s="464" t="s">
        <v>391</v>
      </c>
      <c r="C5" s="465">
        <v>1.4999999999999999E-2</v>
      </c>
      <c r="D5" s="428" t="s">
        <v>392</v>
      </c>
    </row>
    <row r="6" spans="1:4" ht="24.75" customHeight="1" x14ac:dyDescent="0.2">
      <c r="A6" s="463" t="s">
        <v>52</v>
      </c>
      <c r="B6" s="464" t="s">
        <v>393</v>
      </c>
      <c r="C6" s="465">
        <v>0.01</v>
      </c>
      <c r="D6" s="429" t="s">
        <v>394</v>
      </c>
    </row>
    <row r="7" spans="1:4" ht="45" customHeight="1" x14ac:dyDescent="0.2">
      <c r="A7" s="463" t="s">
        <v>54</v>
      </c>
      <c r="B7" s="464" t="s">
        <v>55</v>
      </c>
      <c r="C7" s="465">
        <v>2E-3</v>
      </c>
      <c r="D7" s="429" t="s">
        <v>346</v>
      </c>
    </row>
    <row r="8" spans="1:4" ht="15" x14ac:dyDescent="0.2">
      <c r="A8" s="463" t="s">
        <v>56</v>
      </c>
      <c r="B8" s="464" t="s">
        <v>57</v>
      </c>
      <c r="C8" s="465">
        <v>6.0000000000000001E-3</v>
      </c>
      <c r="D8" s="428" t="s">
        <v>395</v>
      </c>
    </row>
    <row r="9" spans="1:4" ht="15" x14ac:dyDescent="0.2">
      <c r="A9" s="463" t="s">
        <v>58</v>
      </c>
      <c r="B9" s="464" t="s">
        <v>59</v>
      </c>
      <c r="C9" s="465">
        <v>2.5000000000000001E-2</v>
      </c>
      <c r="D9" s="428" t="s">
        <v>348</v>
      </c>
    </row>
    <row r="10" spans="1:4" ht="15" x14ac:dyDescent="0.2">
      <c r="A10" s="463" t="s">
        <v>60</v>
      </c>
      <c r="B10" s="464" t="s">
        <v>430</v>
      </c>
      <c r="C10" s="465">
        <v>0.03</v>
      </c>
      <c r="D10" s="428" t="s">
        <v>396</v>
      </c>
    </row>
    <row r="11" spans="1:4" ht="50.25" customHeight="1" x14ac:dyDescent="0.2">
      <c r="A11" s="463" t="s">
        <v>62</v>
      </c>
      <c r="B11" s="464" t="s">
        <v>397</v>
      </c>
      <c r="C11" s="465">
        <v>1.7999999999999999E-2</v>
      </c>
      <c r="D11" s="428" t="s">
        <v>396</v>
      </c>
    </row>
    <row r="12" spans="1:4" ht="15" x14ac:dyDescent="0.2">
      <c r="A12" s="463" t="s">
        <v>398</v>
      </c>
      <c r="B12" s="464" t="s">
        <v>23</v>
      </c>
      <c r="C12" s="465">
        <v>0.08</v>
      </c>
      <c r="D12" s="428" t="s">
        <v>399</v>
      </c>
    </row>
    <row r="13" spans="1:4" ht="15" x14ac:dyDescent="0.2">
      <c r="A13" s="463" t="s">
        <v>63</v>
      </c>
      <c r="B13" s="428" t="s">
        <v>64</v>
      </c>
      <c r="C13" s="466">
        <f>SUM(C4:C12)</f>
        <v>0.38600000000000007</v>
      </c>
      <c r="D13" s="50"/>
    </row>
    <row r="14" spans="1:4" ht="15" x14ac:dyDescent="0.2">
      <c r="A14" s="467"/>
      <c r="B14" s="468"/>
      <c r="C14" s="469"/>
      <c r="D14" s="50"/>
    </row>
    <row r="15" spans="1:4" ht="15" x14ac:dyDescent="0.2">
      <c r="A15" s="463" t="s">
        <v>65</v>
      </c>
      <c r="B15" s="470" t="s">
        <v>400</v>
      </c>
      <c r="C15" s="465">
        <v>0.1111</v>
      </c>
      <c r="D15" s="428" t="s">
        <v>401</v>
      </c>
    </row>
    <row r="16" spans="1:4" ht="15" x14ac:dyDescent="0.2">
      <c r="A16" s="463" t="s">
        <v>67</v>
      </c>
      <c r="B16" s="470" t="s">
        <v>68</v>
      </c>
      <c r="C16" s="465">
        <v>8.3299999999999999E-2</v>
      </c>
      <c r="D16" s="428" t="s">
        <v>351</v>
      </c>
    </row>
    <row r="17" spans="1:4" ht="48.75" customHeight="1" x14ac:dyDescent="0.2">
      <c r="A17" s="471" t="s">
        <v>92</v>
      </c>
      <c r="B17" s="470" t="s">
        <v>402</v>
      </c>
      <c r="C17" s="465">
        <v>2.41E-2</v>
      </c>
      <c r="D17" s="429" t="s">
        <v>352</v>
      </c>
    </row>
    <row r="18" spans="1:4" ht="49.5" customHeight="1" x14ac:dyDescent="0.2">
      <c r="A18" s="471" t="s">
        <v>69</v>
      </c>
      <c r="B18" s="470" t="s">
        <v>72</v>
      </c>
      <c r="C18" s="465">
        <v>1.2800000000000001E-2</v>
      </c>
      <c r="D18" s="429" t="s">
        <v>352</v>
      </c>
    </row>
    <row r="19" spans="1:4" ht="60.75" customHeight="1" x14ac:dyDescent="0.2">
      <c r="A19" s="471" t="s">
        <v>71</v>
      </c>
      <c r="B19" s="472" t="s">
        <v>403</v>
      </c>
      <c r="C19" s="465">
        <v>3.5999999999999997E-2</v>
      </c>
      <c r="D19" s="429" t="s">
        <v>352</v>
      </c>
    </row>
    <row r="20" spans="1:4" ht="15" x14ac:dyDescent="0.2">
      <c r="A20" s="463" t="s">
        <v>74</v>
      </c>
      <c r="B20" s="428" t="s">
        <v>75</v>
      </c>
      <c r="C20" s="466">
        <f>SUM(C15:C19)</f>
        <v>0.26730000000000004</v>
      </c>
      <c r="D20" s="51"/>
    </row>
    <row r="21" spans="1:4" ht="15" x14ac:dyDescent="0.2">
      <c r="A21" s="467"/>
      <c r="B21" s="468"/>
      <c r="C21" s="469"/>
      <c r="D21" s="51"/>
    </row>
    <row r="22" spans="1:4" ht="14.25" x14ac:dyDescent="0.2">
      <c r="A22" s="471" t="s">
        <v>76</v>
      </c>
      <c r="B22" s="464" t="s">
        <v>77</v>
      </c>
      <c r="C22" s="465">
        <v>2.64E-2</v>
      </c>
      <c r="D22" s="50"/>
    </row>
    <row r="23" spans="1:4" ht="15" x14ac:dyDescent="0.2">
      <c r="A23" s="471" t="s">
        <v>91</v>
      </c>
      <c r="B23" s="464" t="s">
        <v>404</v>
      </c>
      <c r="C23" s="465">
        <v>3.1899999999999998E-2</v>
      </c>
      <c r="D23" s="428" t="s">
        <v>405</v>
      </c>
    </row>
    <row r="24" spans="1:4" ht="15" x14ac:dyDescent="0.2">
      <c r="A24" s="471" t="s">
        <v>406</v>
      </c>
      <c r="B24" s="464" t="s">
        <v>78</v>
      </c>
      <c r="C24" s="465">
        <v>0.04</v>
      </c>
      <c r="D24" s="53" t="s">
        <v>354</v>
      </c>
    </row>
    <row r="25" spans="1:4" ht="15" x14ac:dyDescent="0.2">
      <c r="A25" s="463" t="s">
        <v>79</v>
      </c>
      <c r="B25" s="428" t="s">
        <v>80</v>
      </c>
      <c r="C25" s="466">
        <f>SUM(C22:C24)</f>
        <v>9.8299999999999998E-2</v>
      </c>
      <c r="D25" s="51"/>
    </row>
    <row r="26" spans="1:4" ht="15" x14ac:dyDescent="0.2">
      <c r="A26" s="467"/>
      <c r="B26" s="468"/>
      <c r="C26" s="469"/>
      <c r="D26" s="51"/>
    </row>
    <row r="27" spans="1:4" ht="14.25" x14ac:dyDescent="0.2">
      <c r="A27" s="471" t="s">
        <v>81</v>
      </c>
      <c r="B27" s="464" t="s">
        <v>82</v>
      </c>
      <c r="C27" s="473">
        <f>ROUND(C13*C20,4)</f>
        <v>0.1032</v>
      </c>
      <c r="D27" s="474"/>
    </row>
    <row r="28" spans="1:4" ht="53.25" customHeight="1" x14ac:dyDescent="0.2">
      <c r="A28" s="471" t="s">
        <v>83</v>
      </c>
      <c r="B28" s="475" t="s">
        <v>407</v>
      </c>
      <c r="C28" s="473">
        <f>C23*C20</f>
        <v>8.5268700000000006E-3</v>
      </c>
      <c r="D28" s="474"/>
    </row>
    <row r="29" spans="1:4" ht="66" customHeight="1" x14ac:dyDescent="0.2">
      <c r="A29" s="471" t="s">
        <v>408</v>
      </c>
      <c r="B29" s="475" t="s">
        <v>99</v>
      </c>
      <c r="C29" s="473">
        <f>ROUND(((C22+C23)*C12),4)</f>
        <v>4.7000000000000002E-3</v>
      </c>
      <c r="D29" s="50"/>
    </row>
    <row r="30" spans="1:4" ht="15" x14ac:dyDescent="0.2">
      <c r="A30" s="463" t="s">
        <v>84</v>
      </c>
      <c r="B30" s="428" t="s">
        <v>85</v>
      </c>
      <c r="C30" s="466">
        <f>SUM(C27:C29)</f>
        <v>0.11642687</v>
      </c>
      <c r="D30" s="51"/>
    </row>
    <row r="31" spans="1:4" ht="15.75" thickBot="1" x14ac:dyDescent="0.25">
      <c r="A31" s="192"/>
      <c r="B31" s="193" t="s">
        <v>86</v>
      </c>
      <c r="C31" s="476">
        <f>C30+C25+C20+C13</f>
        <v>0.86802687000000012</v>
      </c>
      <c r="D31" s="51"/>
    </row>
    <row r="32" spans="1:4" ht="15.75" thickBot="1" x14ac:dyDescent="0.25">
      <c r="A32" s="50"/>
      <c r="B32" s="53"/>
      <c r="C32" s="54"/>
      <c r="D32" s="51"/>
    </row>
    <row r="33" spans="1:4" ht="18.75" thickBot="1" x14ac:dyDescent="0.25">
      <c r="A33" s="702" t="s">
        <v>206</v>
      </c>
      <c r="B33" s="703"/>
      <c r="C33" s="704"/>
      <c r="D33" s="51"/>
    </row>
    <row r="34" spans="1:4" ht="18.75" thickBot="1" x14ac:dyDescent="0.25">
      <c r="A34" s="702" t="s">
        <v>225</v>
      </c>
      <c r="B34" s="703"/>
      <c r="C34" s="704"/>
      <c r="D34" s="51"/>
    </row>
    <row r="35" spans="1:4" ht="15" x14ac:dyDescent="0.2">
      <c r="A35" s="477" t="s">
        <v>235</v>
      </c>
      <c r="B35" s="477" t="s">
        <v>48</v>
      </c>
      <c r="C35" s="478" t="s">
        <v>112</v>
      </c>
      <c r="D35" s="51"/>
    </row>
    <row r="36" spans="1:4" ht="14.25" x14ac:dyDescent="0.2">
      <c r="A36" s="479">
        <v>1</v>
      </c>
      <c r="B36" s="480" t="s">
        <v>22</v>
      </c>
      <c r="C36" s="481">
        <v>0.2</v>
      </c>
      <c r="D36" s="79"/>
    </row>
    <row r="37" spans="1:4" ht="14.25" x14ac:dyDescent="0.2">
      <c r="A37" s="479">
        <v>2</v>
      </c>
      <c r="B37" s="482" t="s">
        <v>23</v>
      </c>
      <c r="C37" s="483">
        <v>0.08</v>
      </c>
      <c r="D37" s="79"/>
    </row>
    <row r="38" spans="1:4" ht="14.25" x14ac:dyDescent="0.2">
      <c r="A38" s="479">
        <v>3</v>
      </c>
      <c r="B38" s="484" t="s">
        <v>106</v>
      </c>
      <c r="C38" s="485">
        <v>0.1111</v>
      </c>
      <c r="D38" s="79"/>
    </row>
    <row r="39" spans="1:4" ht="14.25" x14ac:dyDescent="0.2">
      <c r="A39" s="479">
        <v>4</v>
      </c>
      <c r="B39" s="484" t="s">
        <v>107</v>
      </c>
      <c r="C39" s="485">
        <v>8.3299999999999999E-2</v>
      </c>
      <c r="D39" s="79"/>
    </row>
    <row r="40" spans="1:4" ht="14.25" x14ac:dyDescent="0.2">
      <c r="A40" s="479">
        <v>5</v>
      </c>
      <c r="B40" s="470" t="s">
        <v>402</v>
      </c>
      <c r="C40" s="485">
        <v>2.41E-2</v>
      </c>
      <c r="D40" s="79"/>
    </row>
    <row r="41" spans="1:4" ht="14.25" x14ac:dyDescent="0.2">
      <c r="A41" s="479">
        <v>6</v>
      </c>
      <c r="B41" s="470" t="s">
        <v>72</v>
      </c>
      <c r="C41" s="485">
        <v>1.2800000000000001E-2</v>
      </c>
      <c r="D41" s="79"/>
    </row>
    <row r="42" spans="1:4" ht="63" customHeight="1" x14ac:dyDescent="0.2">
      <c r="A42" s="479">
        <v>7</v>
      </c>
      <c r="B42" s="472" t="s">
        <v>403</v>
      </c>
      <c r="C42" s="485">
        <v>3.5999999999999997E-2</v>
      </c>
      <c r="D42" s="79"/>
    </row>
    <row r="43" spans="1:4" ht="14.25" x14ac:dyDescent="0.2">
      <c r="A43" s="479">
        <v>8</v>
      </c>
      <c r="B43" s="464" t="s">
        <v>77</v>
      </c>
      <c r="C43" s="485">
        <v>2.64E-2</v>
      </c>
      <c r="D43" s="79"/>
    </row>
    <row r="44" spans="1:4" ht="14.25" x14ac:dyDescent="0.2">
      <c r="A44" s="479">
        <v>9</v>
      </c>
      <c r="B44" s="464" t="s">
        <v>404</v>
      </c>
      <c r="C44" s="485">
        <v>3.1899999999999998E-2</v>
      </c>
      <c r="D44" s="79"/>
    </row>
    <row r="45" spans="1:4" ht="14.25" x14ac:dyDescent="0.2">
      <c r="A45" s="479">
        <v>10</v>
      </c>
      <c r="B45" s="484" t="s">
        <v>250</v>
      </c>
      <c r="C45" s="485">
        <v>0.04</v>
      </c>
      <c r="D45" s="79"/>
    </row>
    <row r="46" spans="1:4" ht="14.25" x14ac:dyDescent="0.2">
      <c r="A46" s="479">
        <v>11</v>
      </c>
      <c r="B46" s="484" t="s">
        <v>409</v>
      </c>
      <c r="C46" s="486">
        <v>1.7999999999999999E-2</v>
      </c>
      <c r="D46" s="79"/>
    </row>
    <row r="47" spans="1:4" ht="52.5" customHeight="1" thickBot="1" x14ac:dyDescent="0.25">
      <c r="A47" s="479">
        <v>12</v>
      </c>
      <c r="B47" s="487" t="s">
        <v>410</v>
      </c>
      <c r="C47" s="486">
        <f>(C38+C39+C40+C41+C42)*(C36+C37+C46)</f>
        <v>7.9655400000000029E-2</v>
      </c>
      <c r="D47" s="79"/>
    </row>
    <row r="48" spans="1:4" ht="15.75" thickBot="1" x14ac:dyDescent="0.3">
      <c r="A48" s="488" t="s">
        <v>113</v>
      </c>
      <c r="B48" s="489"/>
      <c r="C48" s="490">
        <f>SUM(C36:C47)</f>
        <v>0.74325540000000012</v>
      </c>
      <c r="D48" s="79"/>
    </row>
  </sheetData>
  <mergeCells count="4">
    <mergeCell ref="A1:C1"/>
    <mergeCell ref="A2:C2"/>
    <mergeCell ref="A33:C33"/>
    <mergeCell ref="A34:C34"/>
  </mergeCells>
  <pageMargins left="0.511811024" right="0.511811024" top="0.78740157499999996" bottom="0.78740157499999996" header="0.31496062000000002" footer="0.31496062000000002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35"/>
  <sheetViews>
    <sheetView zoomScale="130" zoomScaleNormal="130" workbookViewId="0">
      <selection sqref="A1:C1"/>
    </sheetView>
  </sheetViews>
  <sheetFormatPr defaultRowHeight="12.75" x14ac:dyDescent="0.2"/>
  <cols>
    <col min="1" max="1" width="43.85546875" customWidth="1"/>
    <col min="2" max="3" width="12" customWidth="1"/>
    <col min="4" max="4" width="1.5703125" customWidth="1"/>
    <col min="5" max="5" width="23.85546875" bestFit="1" customWidth="1"/>
  </cols>
  <sheetData>
    <row r="1" spans="1:3" s="2" customFormat="1" ht="15.6" customHeight="1" thickBot="1" x14ac:dyDescent="0.25">
      <c r="A1" s="708" t="s">
        <v>115</v>
      </c>
      <c r="B1" s="709"/>
      <c r="C1" s="710"/>
    </row>
    <row r="2" spans="1:3" ht="16.5" thickBot="1" x14ac:dyDescent="0.25">
      <c r="A2" s="711" t="s">
        <v>127</v>
      </c>
      <c r="B2" s="712"/>
      <c r="C2" s="713"/>
    </row>
    <row r="3" spans="1:3" ht="30" x14ac:dyDescent="0.2">
      <c r="A3" s="267" t="s">
        <v>48</v>
      </c>
      <c r="B3" s="268" t="s">
        <v>252</v>
      </c>
      <c r="C3" s="269" t="s">
        <v>253</v>
      </c>
    </row>
    <row r="4" spans="1:3" ht="14.25" x14ac:dyDescent="0.2">
      <c r="A4" s="261" t="s">
        <v>32</v>
      </c>
      <c r="B4" s="262" t="s">
        <v>33</v>
      </c>
      <c r="C4" s="263">
        <v>0.05</v>
      </c>
    </row>
    <row r="5" spans="1:3" ht="14.25" x14ac:dyDescent="0.2">
      <c r="A5" s="62" t="s">
        <v>34</v>
      </c>
      <c r="B5" s="226" t="s">
        <v>35</v>
      </c>
      <c r="C5" s="258">
        <v>1.2999999999999999E-2</v>
      </c>
    </row>
    <row r="6" spans="1:3" ht="15" x14ac:dyDescent="0.2">
      <c r="A6" s="62" t="s">
        <v>36</v>
      </c>
      <c r="B6" s="226" t="s">
        <v>37</v>
      </c>
      <c r="C6" s="259">
        <v>0.1</v>
      </c>
    </row>
    <row r="7" spans="1:3" ht="14.25" x14ac:dyDescent="0.2">
      <c r="A7" s="62" t="s">
        <v>293</v>
      </c>
      <c r="B7" s="716" t="s">
        <v>38</v>
      </c>
      <c r="C7" s="258">
        <v>0.03</v>
      </c>
    </row>
    <row r="8" spans="1:3" ht="15" thickBot="1" x14ac:dyDescent="0.25">
      <c r="A8" s="63" t="s">
        <v>39</v>
      </c>
      <c r="B8" s="717"/>
      <c r="C8" s="260">
        <v>9.2499999999999999E-2</v>
      </c>
    </row>
    <row r="9" spans="1:3" ht="14.25" x14ac:dyDescent="0.2">
      <c r="A9" s="64" t="s">
        <v>40</v>
      </c>
      <c r="B9" s="65"/>
      <c r="C9" s="66"/>
    </row>
    <row r="10" spans="1:3" ht="15" thickBot="1" x14ac:dyDescent="0.25">
      <c r="A10" s="264" t="s">
        <v>203</v>
      </c>
      <c r="B10" s="265"/>
      <c r="C10" s="266"/>
    </row>
    <row r="11" spans="1:3" ht="27" customHeight="1" thickBot="1" x14ac:dyDescent="0.25">
      <c r="A11" s="304" t="s">
        <v>41</v>
      </c>
      <c r="B11" s="305"/>
      <c r="C11" s="309">
        <f>ROUND((((1+C4+C5)*(1+C6))/(1-(C7+C8))-1),4)</f>
        <v>0.33250000000000002</v>
      </c>
    </row>
    <row r="12" spans="1:3" ht="14.25" x14ac:dyDescent="0.2">
      <c r="A12" s="47"/>
      <c r="B12" s="47"/>
      <c r="C12" s="47"/>
    </row>
    <row r="13" spans="1:3" ht="15" thickBot="1" x14ac:dyDescent="0.25">
      <c r="A13" s="47"/>
      <c r="B13" s="47"/>
      <c r="C13" s="47"/>
    </row>
    <row r="14" spans="1:3" s="2" customFormat="1" ht="15.6" customHeight="1" thickBot="1" x14ac:dyDescent="0.25">
      <c r="A14" s="708" t="s">
        <v>114</v>
      </c>
      <c r="B14" s="709"/>
      <c r="C14" s="710"/>
    </row>
    <row r="15" spans="1:3" ht="16.5" thickBot="1" x14ac:dyDescent="0.25">
      <c r="A15" s="711" t="s">
        <v>127</v>
      </c>
      <c r="B15" s="712"/>
      <c r="C15" s="713"/>
    </row>
    <row r="16" spans="1:3" ht="30" x14ac:dyDescent="0.2">
      <c r="A16" s="267" t="s">
        <v>48</v>
      </c>
      <c r="B16" s="268" t="s">
        <v>252</v>
      </c>
      <c r="C16" s="269" t="s">
        <v>253</v>
      </c>
    </row>
    <row r="17" spans="1:3" ht="14.25" x14ac:dyDescent="0.2">
      <c r="A17" s="261" t="s">
        <v>32</v>
      </c>
      <c r="B17" s="262" t="s">
        <v>33</v>
      </c>
      <c r="C17" s="263">
        <v>0.05</v>
      </c>
    </row>
    <row r="18" spans="1:3" ht="14.25" x14ac:dyDescent="0.2">
      <c r="A18" s="62" t="s">
        <v>34</v>
      </c>
      <c r="B18" s="226" t="s">
        <v>35</v>
      </c>
      <c r="C18" s="258">
        <v>1.2999999999999999E-2</v>
      </c>
    </row>
    <row r="19" spans="1:3" ht="15" x14ac:dyDescent="0.2">
      <c r="A19" s="62" t="s">
        <v>36</v>
      </c>
      <c r="B19" s="226" t="s">
        <v>37</v>
      </c>
      <c r="C19" s="259">
        <v>0.1</v>
      </c>
    </row>
    <row r="20" spans="1:3" ht="14.25" x14ac:dyDescent="0.2">
      <c r="A20" s="62" t="s">
        <v>254</v>
      </c>
      <c r="B20" s="716" t="s">
        <v>38</v>
      </c>
      <c r="C20" s="258">
        <v>0.03</v>
      </c>
    </row>
    <row r="21" spans="1:3" ht="15" thickBot="1" x14ac:dyDescent="0.25">
      <c r="A21" s="63" t="s">
        <v>39</v>
      </c>
      <c r="B21" s="717"/>
      <c r="C21" s="260">
        <v>3.6499999999999998E-2</v>
      </c>
    </row>
    <row r="22" spans="1:3" ht="14.25" x14ac:dyDescent="0.2">
      <c r="A22" s="64" t="s">
        <v>40</v>
      </c>
      <c r="B22" s="65"/>
      <c r="C22" s="66"/>
    </row>
    <row r="23" spans="1:3" ht="15" thickBot="1" x14ac:dyDescent="0.25">
      <c r="A23" s="67" t="s">
        <v>203</v>
      </c>
      <c r="B23" s="68"/>
      <c r="C23" s="69"/>
    </row>
    <row r="24" spans="1:3" ht="27" customHeight="1" thickBot="1" x14ac:dyDescent="0.25">
      <c r="A24" s="306" t="s">
        <v>41</v>
      </c>
      <c r="B24" s="307"/>
      <c r="C24" s="308">
        <f>ROUND((((1+C17+C18)*(1+C19))/(1-(C20+C21))-1),4)</f>
        <v>0.25259999999999999</v>
      </c>
    </row>
    <row r="26" spans="1:3" ht="13.5" thickBot="1" x14ac:dyDescent="0.25"/>
    <row r="27" spans="1:3" s="2" customFormat="1" ht="15.6" customHeight="1" thickBot="1" x14ac:dyDescent="0.25">
      <c r="A27" s="708" t="s">
        <v>111</v>
      </c>
      <c r="B27" s="709"/>
      <c r="C27" s="710"/>
    </row>
    <row r="28" spans="1:3" ht="16.5" thickBot="1" x14ac:dyDescent="0.25">
      <c r="A28" s="711" t="s">
        <v>205</v>
      </c>
      <c r="B28" s="712"/>
      <c r="C28" s="713"/>
    </row>
    <row r="29" spans="1:3" ht="30.75" thickBot="1" x14ac:dyDescent="0.25">
      <c r="A29" s="267" t="s">
        <v>48</v>
      </c>
      <c r="B29" s="268" t="s">
        <v>252</v>
      </c>
      <c r="C29" s="269" t="s">
        <v>253</v>
      </c>
    </row>
    <row r="30" spans="1:3" ht="14.25" x14ac:dyDescent="0.2">
      <c r="A30" s="60" t="s">
        <v>32</v>
      </c>
      <c r="B30" s="61" t="s">
        <v>33</v>
      </c>
      <c r="C30" s="257">
        <v>0.05</v>
      </c>
    </row>
    <row r="31" spans="1:3" ht="14.25" x14ac:dyDescent="0.2">
      <c r="A31" s="62" t="s">
        <v>34</v>
      </c>
      <c r="B31" s="226" t="s">
        <v>35</v>
      </c>
      <c r="C31" s="258">
        <v>1.2999999999999999E-2</v>
      </c>
    </row>
    <row r="32" spans="1:3" ht="15.75" thickBot="1" x14ac:dyDescent="0.25">
      <c r="A32" s="62" t="s">
        <v>36</v>
      </c>
      <c r="B32" s="226" t="s">
        <v>37</v>
      </c>
      <c r="C32" s="259">
        <v>0.1</v>
      </c>
    </row>
    <row r="33" spans="1:3" ht="14.25" x14ac:dyDescent="0.2">
      <c r="A33" s="64" t="s">
        <v>121</v>
      </c>
      <c r="B33" s="65"/>
      <c r="C33" s="66"/>
    </row>
    <row r="34" spans="1:3" ht="15" thickBot="1" x14ac:dyDescent="0.25">
      <c r="A34" s="67" t="s">
        <v>204</v>
      </c>
      <c r="B34" s="68"/>
      <c r="C34" s="69"/>
    </row>
    <row r="35" spans="1:3" ht="27" customHeight="1" thickBot="1" x14ac:dyDescent="0.25">
      <c r="A35" s="714" t="s">
        <v>122</v>
      </c>
      <c r="B35" s="715"/>
      <c r="C35" s="308">
        <f>ROUND((((1+C30+C31)*(1+C32))-1),4)</f>
        <v>0.16930000000000001</v>
      </c>
    </row>
  </sheetData>
  <mergeCells count="9">
    <mergeCell ref="A1:C1"/>
    <mergeCell ref="A2:C2"/>
    <mergeCell ref="A14:C14"/>
    <mergeCell ref="A15:C15"/>
    <mergeCell ref="A35:B35"/>
    <mergeCell ref="B20:B21"/>
    <mergeCell ref="B7:B8"/>
    <mergeCell ref="A27:C27"/>
    <mergeCell ref="A28:C28"/>
  </mergeCells>
  <pageMargins left="0.78740157480314965" right="0" top="0.78740157480314965" bottom="0.39370078740157483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transbordo</vt:lpstr>
      <vt:lpstr>Feriados</vt:lpstr>
      <vt:lpstr>lavagem de uniformes</vt:lpstr>
      <vt:lpstr>Depreciação</vt:lpstr>
      <vt:lpstr>L8.2</vt:lpstr>
      <vt:lpstr>Enc. Soc. - LR-LP e SN</vt:lpstr>
      <vt:lpstr>Encargos sociais vigilante</vt:lpstr>
      <vt:lpstr>BDI</vt:lpstr>
      <vt:lpstr>'Enc. Soc. - LR-LP e SN'!Area_de_impressao</vt:lpstr>
      <vt:lpstr>L8.2!Area_de_impressao</vt:lpstr>
      <vt:lpstr>transbordo!Area_de_impressao</vt:lpstr>
      <vt:lpstr>transbordo!OLE_LINK1</vt:lpstr>
      <vt:lpstr>L8.2!Titulos_de_impressao</vt:lpstr>
      <vt:lpstr>transbordo!Titulos_de_impressao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Estruturar Apoio Adm Ltda;estruturar_adm@hotmail.com</dc:creator>
  <cp:lastModifiedBy>Beatris Regina Vogel</cp:lastModifiedBy>
  <cp:lastPrinted>2026-02-06T12:54:38Z</cp:lastPrinted>
  <dcterms:created xsi:type="dcterms:W3CDTF">2000-12-13T10:02:50Z</dcterms:created>
  <dcterms:modified xsi:type="dcterms:W3CDTF">2026-04-06T11:35:33Z</dcterms:modified>
</cp:coreProperties>
</file>