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Concorrência Eletrônica\Concorrência Eletrônica 2026\Conc Eletr 01-2026 - Serviços de manejo de RSU\"/>
    </mc:Choice>
  </mc:AlternateContent>
  <xr:revisionPtr revIDLastSave="0" documentId="8_{C73552A1-48B4-49FC-AF17-00271D363DAF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Triagem RSU - Rejeito" sheetId="2" r:id="rId1"/>
    <sheet name="Lavagem unif." sheetId="11" r:id="rId2"/>
    <sheet name="Feriados" sheetId="10" r:id="rId3"/>
    <sheet name="Encargos Simples" sheetId="12" r:id="rId4"/>
    <sheet name="2.Encargos Sociais" sheetId="8" r:id="rId5"/>
    <sheet name="4.BDI" sheetId="4" r:id="rId6"/>
    <sheet name="5. Depreciação" sheetId="6" r:id="rId7"/>
    <sheet name="6.Remuneração de capital" sheetId="7" r:id="rId8"/>
  </sheets>
  <definedNames>
    <definedName name="AbaDeprec">'5. Depreciação'!$A$1</definedName>
    <definedName name="AbaRemun">'6.Remuneração de capital'!$A$1</definedName>
    <definedName name="_xlnm.Print_Area" localSheetId="4">'2.Encargos Sociais'!$A$1:$C$33</definedName>
    <definedName name="_xlnm.Print_Area" localSheetId="0">'Triagem RSU - Rejeito'!$A$1:$G$345</definedName>
    <definedName name="número">#REF!</definedName>
    <definedName name="x">#REF!</definedName>
  </definedNames>
  <calcPr calcId="191029"/>
</workbook>
</file>

<file path=xl/calcChain.xml><?xml version="1.0" encoding="utf-8"?>
<calcChain xmlns="http://schemas.openxmlformats.org/spreadsheetml/2006/main">
  <c r="E225" i="2" l="1"/>
  <c r="E274" i="2" l="1"/>
  <c r="C275" i="2"/>
  <c r="C272" i="2"/>
  <c r="E273" i="2" l="1"/>
  <c r="D152" i="2" l="1"/>
  <c r="D22" i="8"/>
  <c r="E188" i="2" l="1"/>
  <c r="E190" i="2" l="1"/>
  <c r="E191" i="2"/>
  <c r="G46" i="2"/>
  <c r="D203" i="2" s="1"/>
  <c r="E234" i="2" l="1"/>
  <c r="B230" i="2" l="1"/>
  <c r="C255" i="2" s="1"/>
  <c r="A212" i="2" l="1"/>
  <c r="D236" i="2" l="1"/>
  <c r="D234" i="2"/>
  <c r="D240" i="2" s="1"/>
  <c r="D242" i="2" s="1"/>
  <c r="E250" i="2"/>
  <c r="E248" i="2"/>
  <c r="E246" i="2"/>
  <c r="E244" i="2"/>
  <c r="E242" i="2"/>
  <c r="E240" i="2"/>
  <c r="E238" i="2"/>
  <c r="E236" i="2"/>
  <c r="E255" i="2"/>
  <c r="E256" i="2"/>
  <c r="E257" i="2"/>
  <c r="F236" i="2" l="1"/>
  <c r="D238" i="2"/>
  <c r="F258" i="2"/>
  <c r="F238" i="2"/>
  <c r="D246" i="2"/>
  <c r="F242" i="2"/>
  <c r="D244" i="2"/>
  <c r="F240" i="2"/>
  <c r="F234" i="2"/>
  <c r="D248" i="2" l="1"/>
  <c r="F244" i="2"/>
  <c r="D250" i="2"/>
  <c r="F250" i="2" s="1"/>
  <c r="F246" i="2"/>
  <c r="F248" i="2" l="1"/>
  <c r="F252" i="2" s="1"/>
  <c r="D251" i="2"/>
  <c r="C169" i="2" l="1"/>
  <c r="E169" i="2" s="1"/>
  <c r="F170" i="2" s="1"/>
  <c r="B16" i="2" s="1"/>
  <c r="D16" i="2" s="1"/>
  <c r="F16" i="2" s="1"/>
  <c r="C151" i="2"/>
  <c r="C147" i="2"/>
  <c r="C149" i="2"/>
  <c r="D150" i="2"/>
  <c r="C145" i="2"/>
  <c r="D140" i="2"/>
  <c r="D139" i="2"/>
  <c r="D138" i="2"/>
  <c r="D137" i="2"/>
  <c r="E152" i="2" l="1"/>
  <c r="E150" i="2"/>
  <c r="E149" i="2"/>
  <c r="E151" i="2"/>
  <c r="C101" i="2"/>
  <c r="C139" i="2" s="1"/>
  <c r="E139" i="2" s="1"/>
  <c r="D91" i="2"/>
  <c r="E91" i="2" s="1"/>
  <c r="E108" i="2"/>
  <c r="B107" i="2"/>
  <c r="E102" i="2"/>
  <c r="C80" i="2"/>
  <c r="C138" i="2" s="1"/>
  <c r="E138" i="2" s="1"/>
  <c r="D70" i="2"/>
  <c r="E87" i="2"/>
  <c r="B86" i="2"/>
  <c r="E81" i="2"/>
  <c r="E70" i="2"/>
  <c r="A12" i="2"/>
  <c r="D73" i="2" l="1"/>
  <c r="E73" i="2" s="1"/>
  <c r="C86" i="2"/>
  <c r="C107" i="2"/>
  <c r="D93" i="2"/>
  <c r="E93" i="2" s="1"/>
  <c r="D95" i="2" s="1"/>
  <c r="D94" i="2"/>
  <c r="E94" i="2" s="1"/>
  <c r="D72" i="2"/>
  <c r="E72" i="2" s="1"/>
  <c r="D74" i="2" l="1"/>
  <c r="E74" i="2" s="1"/>
  <c r="E95" i="2"/>
  <c r="D97" i="2" s="1"/>
  <c r="D76" i="2" l="1"/>
  <c r="E76" i="2" s="1"/>
  <c r="E77" i="2" s="1"/>
  <c r="E97" i="2"/>
  <c r="E98" i="2" s="1"/>
  <c r="E271" i="2"/>
  <c r="D78" i="2" l="1"/>
  <c r="E78" i="2" s="1"/>
  <c r="E79" i="2" s="1"/>
  <c r="D80" i="2" s="1"/>
  <c r="E80" i="2" s="1"/>
  <c r="F81" i="2" s="1"/>
  <c r="B9" i="2" s="1"/>
  <c r="D84" i="2"/>
  <c r="E84" i="2" s="1"/>
  <c r="E85" i="2" s="1"/>
  <c r="D86" i="2" s="1"/>
  <c r="E86" i="2" s="1"/>
  <c r="F87" i="2" s="1"/>
  <c r="F9" i="2" s="1"/>
  <c r="D99" i="2"/>
  <c r="E99" i="2" s="1"/>
  <c r="E100" i="2" s="1"/>
  <c r="D101" i="2" s="1"/>
  <c r="E101" i="2" s="1"/>
  <c r="F102" i="2" s="1"/>
  <c r="B10" i="2" s="1"/>
  <c r="D10" i="2" s="1"/>
  <c r="D105" i="2"/>
  <c r="E105" i="2" s="1"/>
  <c r="E106" i="2" s="1"/>
  <c r="D107" i="2" s="1"/>
  <c r="E107" i="2" s="1"/>
  <c r="F108" i="2" s="1"/>
  <c r="F10" i="2" s="1"/>
  <c r="C270" i="2" l="1"/>
  <c r="E181" i="2" l="1"/>
  <c r="D222" i="2" l="1"/>
  <c r="E222" i="2" s="1"/>
  <c r="E223" i="2"/>
  <c r="E217" i="2"/>
  <c r="E208" i="2" l="1"/>
  <c r="F3" i="11"/>
  <c r="E189" i="2"/>
  <c r="E187" i="2"/>
  <c r="E185" i="2"/>
  <c r="D148" i="2" l="1"/>
  <c r="D146" i="2"/>
  <c r="E148" i="2"/>
  <c r="C140" i="2"/>
  <c r="D112" i="2"/>
  <c r="C60" i="2"/>
  <c r="C137" i="2" s="1"/>
  <c r="E130" i="2"/>
  <c r="C129" i="2"/>
  <c r="B129" i="2"/>
  <c r="E124" i="2"/>
  <c r="D40" i="2"/>
  <c r="E112" i="2" l="1"/>
  <c r="C194" i="2"/>
  <c r="C164" i="2"/>
  <c r="E140" i="2"/>
  <c r="E147" i="2"/>
  <c r="D114" i="2"/>
  <c r="E114" i="2" s="1"/>
  <c r="D115" i="2"/>
  <c r="E115" i="2" s="1"/>
  <c r="D116" i="2" l="1"/>
  <c r="E116" i="2"/>
  <c r="E179" i="2"/>
  <c r="E180" i="2"/>
  <c r="E182" i="2"/>
  <c r="E183" i="2"/>
  <c r="E184" i="2"/>
  <c r="E186" i="2"/>
  <c r="E178" i="2"/>
  <c r="D193" i="2" l="1"/>
  <c r="E193" i="2" s="1"/>
  <c r="D118" i="2"/>
  <c r="E118" i="2" s="1"/>
  <c r="E120" i="2" s="1"/>
  <c r="B26" i="7"/>
  <c r="B25" i="7"/>
  <c r="D121" i="2" l="1"/>
  <c r="E121" i="2" s="1"/>
  <c r="E122" i="2" s="1"/>
  <c r="D123" i="2" s="1"/>
  <c r="E123" i="2" s="1"/>
  <c r="F124" i="2" s="1"/>
  <c r="B11" i="2" s="1"/>
  <c r="D11" i="2" s="1"/>
  <c r="D127" i="2"/>
  <c r="E127" i="2" s="1"/>
  <c r="E128" i="2" s="1"/>
  <c r="D129" i="2" s="1"/>
  <c r="E129" i="2" s="1"/>
  <c r="F130" i="2" s="1"/>
  <c r="F11" i="2" s="1"/>
  <c r="D9" i="2"/>
  <c r="B24" i="7"/>
  <c r="B28" i="7" s="1"/>
  <c r="B27" i="7" l="1"/>
  <c r="A15" i="2" l="1"/>
  <c r="B66" i="2"/>
  <c r="B194" i="2" s="1"/>
  <c r="C29" i="8" l="1"/>
  <c r="C23" i="8"/>
  <c r="C26" i="8" s="1"/>
  <c r="C19" i="8"/>
  <c r="C11" i="8"/>
  <c r="C28" i="8" s="1"/>
  <c r="C30" i="8" s="1"/>
  <c r="C31" i="8" s="1"/>
  <c r="D50" i="2" l="1"/>
  <c r="F6" i="11" l="1"/>
  <c r="F5" i="11"/>
  <c r="F4" i="11"/>
  <c r="A27" i="2" l="1"/>
  <c r="A28" i="2"/>
  <c r="D306" i="2" l="1"/>
  <c r="D333" i="2" s="1"/>
  <c r="C38" i="4"/>
  <c r="C313" i="2" s="1"/>
  <c r="C27" i="4"/>
  <c r="C299" i="2" s="1"/>
  <c r="E67" i="2"/>
  <c r="B7" i="12"/>
  <c r="B8" i="12" s="1"/>
  <c r="C64" i="2" s="1"/>
  <c r="C66" i="2"/>
  <c r="C6" i="11" l="1"/>
  <c r="G6" i="11" s="1"/>
  <c r="I6" i="11" s="1"/>
  <c r="J6" i="11" s="1"/>
  <c r="C5" i="11"/>
  <c r="C4" i="11"/>
  <c r="G4" i="11" s="1"/>
  <c r="I4" i="11" s="1"/>
  <c r="J4" i="11" s="1"/>
  <c r="C3" i="11"/>
  <c r="G3" i="11" s="1"/>
  <c r="I3" i="11" s="1"/>
  <c r="J3" i="11" s="1"/>
  <c r="G5" i="11" l="1"/>
  <c r="I5" i="11" s="1"/>
  <c r="J5" i="11" s="1"/>
  <c r="J7" i="11" l="1"/>
  <c r="E192" i="2" s="1"/>
  <c r="D194" i="2" s="1"/>
  <c r="I7" i="11"/>
  <c r="D52" i="2" l="1"/>
  <c r="E275" i="2" l="1"/>
  <c r="D158" i="2"/>
  <c r="A158" i="2"/>
  <c r="C264" i="2" l="1"/>
  <c r="A19" i="2" l="1"/>
  <c r="B15" i="10" l="1"/>
  <c r="B2" i="10"/>
  <c r="B18" i="10" s="1"/>
  <c r="B20" i="10" s="1"/>
  <c r="A26" i="2" l="1"/>
  <c r="A25" i="2"/>
  <c r="A18" i="2"/>
  <c r="A17" i="2"/>
  <c r="A7" i="2"/>
  <c r="C206" i="2" l="1"/>
  <c r="E146" i="2" l="1"/>
  <c r="E158" i="2"/>
  <c r="E164" i="2" l="1"/>
  <c r="F165" i="2" s="1"/>
  <c r="B15" i="2" s="1"/>
  <c r="D15" i="2" s="1"/>
  <c r="F15" i="2" s="1"/>
  <c r="E52" i="2" l="1"/>
  <c r="D53" i="2" l="1"/>
  <c r="E53" i="2" s="1"/>
  <c r="D54" i="2" l="1"/>
  <c r="E54" i="2" s="1"/>
  <c r="D56" i="2" s="1"/>
  <c r="A24" i="2"/>
  <c r="A23" i="2"/>
  <c r="A22" i="2"/>
  <c r="A21" i="2"/>
  <c r="A20" i="2"/>
  <c r="A14" i="2"/>
  <c r="A13" i="2"/>
  <c r="E227" i="2"/>
  <c r="E195" i="2"/>
  <c r="E159" i="2"/>
  <c r="E61" i="2"/>
  <c r="D212" i="2"/>
  <c r="B21" i="7" s="1"/>
  <c r="C9" i="4"/>
  <c r="C14" i="4" s="1"/>
  <c r="C285" i="2" s="1"/>
  <c r="F7" i="4"/>
  <c r="E7" i="4"/>
  <c r="D7" i="4"/>
  <c r="E50" i="2"/>
  <c r="E203" i="2"/>
  <c r="C207" i="2"/>
  <c r="E262" i="2"/>
  <c r="E263" i="2" s="1"/>
  <c r="E224" i="2"/>
  <c r="D226" i="2" s="1"/>
  <c r="E270" i="2"/>
  <c r="E272" i="2"/>
  <c r="C214" i="2" l="1"/>
  <c r="E194" i="2"/>
  <c r="E56" i="2"/>
  <c r="E57" i="2" s="1"/>
  <c r="D64" i="2" s="1"/>
  <c r="E64" i="2" s="1"/>
  <c r="E65" i="2" s="1"/>
  <c r="D66" i="2" s="1"/>
  <c r="E66" i="2" s="1"/>
  <c r="F67" i="2" s="1"/>
  <c r="D206" i="2"/>
  <c r="E206" i="2" s="1"/>
  <c r="B22" i="7" s="1"/>
  <c r="F276" i="2"/>
  <c r="F278" i="2" s="1"/>
  <c r="B25" i="2" s="1"/>
  <c r="D25" i="2" s="1"/>
  <c r="F25" i="2" s="1"/>
  <c r="E145" i="2"/>
  <c r="F153" i="2" s="1"/>
  <c r="E157" i="2"/>
  <c r="E212" i="2"/>
  <c r="E137" i="2"/>
  <c r="F141" i="2" s="1"/>
  <c r="C215" i="2" l="1"/>
  <c r="E226" i="2"/>
  <c r="F227" i="2" s="1"/>
  <c r="B22" i="2"/>
  <c r="F8" i="2"/>
  <c r="F159" i="2"/>
  <c r="B14" i="2" s="1"/>
  <c r="D14" i="2" s="1"/>
  <c r="F14" i="2" s="1"/>
  <c r="B23" i="2"/>
  <c r="D23" i="2" s="1"/>
  <c r="F23" i="2" s="1"/>
  <c r="D264" i="2"/>
  <c r="E264" i="2" s="1"/>
  <c r="F264" i="2" s="1"/>
  <c r="B24" i="2" s="1"/>
  <c r="D24" i="2" s="1"/>
  <c r="F24" i="2" s="1"/>
  <c r="D207" i="2"/>
  <c r="B13" i="2"/>
  <c r="D13" i="2" s="1"/>
  <c r="F13" i="2" s="1"/>
  <c r="F195" i="2"/>
  <c r="F197" i="2" s="1"/>
  <c r="B12" i="2"/>
  <c r="D12" i="2" s="1"/>
  <c r="F12" i="2" s="1"/>
  <c r="D58" i="2"/>
  <c r="B21" i="2" l="1"/>
  <c r="D21" i="2" s="1"/>
  <c r="F21" i="2" s="1"/>
  <c r="D22" i="2"/>
  <c r="F22" i="2" s="1"/>
  <c r="E207" i="2"/>
  <c r="F208" i="2" s="1"/>
  <c r="B23" i="7"/>
  <c r="D216" i="2"/>
  <c r="E216" i="2" s="1"/>
  <c r="B17" i="2"/>
  <c r="D17" i="2" s="1"/>
  <c r="F17" i="2" s="1"/>
  <c r="F217" i="2" l="1"/>
  <c r="F266" i="2" s="1"/>
  <c r="B29" i="7"/>
  <c r="B31" i="7" s="1"/>
  <c r="E58" i="2"/>
  <c r="E59" i="2" s="1"/>
  <c r="D60" i="2" s="1"/>
  <c r="E60" i="2" s="1"/>
  <c r="F61" i="2" s="1"/>
  <c r="B20" i="2" l="1"/>
  <c r="F173" i="2"/>
  <c r="F281" i="2" s="1"/>
  <c r="F172" i="2"/>
  <c r="F280" i="2" s="1"/>
  <c r="B8" i="2"/>
  <c r="D8" i="2" s="1"/>
  <c r="D20" i="2"/>
  <c r="F20" i="2" s="1"/>
  <c r="F7" i="2" l="1"/>
  <c r="B19" i="2"/>
  <c r="D19" i="2" s="1"/>
  <c r="F19" i="2" s="1"/>
  <c r="D299" i="2"/>
  <c r="E299" i="2" s="1"/>
  <c r="F300" i="2" s="1"/>
  <c r="F302" i="2" s="1"/>
  <c r="D27" i="2" s="1"/>
  <c r="B7" i="2"/>
  <c r="D7" i="2" s="1"/>
  <c r="F304" i="2" l="1"/>
  <c r="F308" i="2" s="1"/>
  <c r="D285" i="2"/>
  <c r="E285" i="2" s="1"/>
  <c r="F286" i="2" s="1"/>
  <c r="F288" i="2" s="1"/>
  <c r="B26" i="2" s="1"/>
  <c r="B18" i="2"/>
  <c r="D18" i="2" l="1"/>
  <c r="D29" i="2" s="1"/>
  <c r="B29" i="2"/>
  <c r="F290" i="2"/>
  <c r="F294" i="2" s="1"/>
  <c r="E16" i="2" l="1"/>
  <c r="D30" i="2"/>
  <c r="D31" i="2" s="1"/>
  <c r="D32" i="2" s="1"/>
  <c r="C16" i="2"/>
  <c r="B30" i="2"/>
  <c r="B31" i="2" s="1"/>
  <c r="B32" i="2" s="1"/>
  <c r="C11" i="2"/>
  <c r="C10" i="2"/>
  <c r="E9" i="2"/>
  <c r="E11" i="2"/>
  <c r="E10" i="2"/>
  <c r="C15" i="2"/>
  <c r="C9" i="2"/>
  <c r="F18" i="2"/>
  <c r="C18" i="2"/>
  <c r="E18" i="2"/>
  <c r="E27" i="2"/>
  <c r="E15" i="2"/>
  <c r="E8" i="2"/>
  <c r="E12" i="2"/>
  <c r="E22" i="2"/>
  <c r="E19" i="2"/>
  <c r="E14" i="2"/>
  <c r="E24" i="2"/>
  <c r="E17" i="2"/>
  <c r="E21" i="2"/>
  <c r="E25" i="2"/>
  <c r="E20" i="2"/>
  <c r="E23" i="2"/>
  <c r="E13" i="2"/>
  <c r="C23" i="2"/>
  <c r="C25" i="2"/>
  <c r="C12" i="2"/>
  <c r="C13" i="2"/>
  <c r="C26" i="2"/>
  <c r="C22" i="2"/>
  <c r="C21" i="2"/>
  <c r="C20" i="2"/>
  <c r="C24" i="2"/>
  <c r="C8" i="2"/>
  <c r="C19" i="2"/>
  <c r="C14" i="2"/>
  <c r="C17" i="2"/>
  <c r="E7" i="2" l="1"/>
  <c r="E29" i="2" s="1"/>
  <c r="C7" i="2"/>
  <c r="C29" i="2" s="1"/>
  <c r="D313" i="2"/>
  <c r="E313" i="2" l="1"/>
  <c r="F314" i="2" s="1"/>
  <c r="F316" i="2" s="1"/>
  <c r="F318" i="2" s="1"/>
  <c r="D326" i="2" s="1"/>
  <c r="D325" i="2" l="1"/>
  <c r="F331" i="2" s="1"/>
  <c r="F335" i="2" s="1"/>
  <c r="D327" i="2"/>
  <c r="D328" i="2" s="1"/>
  <c r="D329" i="2" s="1"/>
  <c r="E325" i="2" l="1"/>
  <c r="F326" i="2" s="1"/>
  <c r="F28" i="2" s="1"/>
  <c r="F29" i="2" s="1"/>
  <c r="G16" i="2" l="1"/>
  <c r="F30" i="2"/>
  <c r="F31" i="2" s="1"/>
  <c r="F32" i="2" s="1"/>
  <c r="G9" i="2"/>
  <c r="G11" i="2"/>
  <c r="G10" i="2"/>
  <c r="G13" i="2"/>
  <c r="G18" i="2"/>
  <c r="G24" i="2"/>
  <c r="G22" i="2"/>
  <c r="G8" i="2"/>
  <c r="G14" i="2"/>
  <c r="G25" i="2"/>
  <c r="G21" i="2"/>
  <c r="G19" i="2"/>
  <c r="G23" i="2"/>
  <c r="G17" i="2"/>
  <c r="G12" i="2"/>
  <c r="G20" i="2"/>
  <c r="G15" i="2"/>
  <c r="G28" i="2"/>
  <c r="G7" i="2" l="1"/>
  <c r="G2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User</author>
    <author>Win 11</author>
  </authors>
  <commentList>
    <comment ref="D36" authorId="0" shapeId="0" xr:uid="{00000000-0006-0000-0000-000001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E36" authorId="0" shapeId="0" xr:uid="{00000000-0006-0000-0000-000002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E43" authorId="1" shapeId="0" xr:uid="{00000000-0006-0000-0000-000003000000}">
      <text>
        <r>
          <rPr>
            <b/>
            <sz val="9"/>
            <color indexed="81"/>
            <rFont val="Segoe UI"/>
            <family val="2"/>
          </rPr>
          <t>Inserir a quantidade de veículos e equipamentos.</t>
        </r>
      </text>
    </comment>
    <comment ref="B4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00000000-0006-0000-0000-000005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52" authorId="0" shapeId="0" xr:uid="{00000000-0006-0000-0000-000006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5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4" authorId="0" shapeId="0" xr:uid="{00000000-0006-0000-0000-000008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5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56" authorId="0" shapeId="0" xr:uid="{00000000-0006-0000-0000-00000A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58" authorId="0" shapeId="0" xr:uid="{00000000-0006-0000-0000-00000B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60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64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71" authorId="0" shapeId="0" xr:uid="{00000000-0006-0000-0000-00000E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72" authorId="0" shapeId="0" xr:uid="{00000000-0006-0000-0000-00000F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3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74" authorId="0" shapeId="0" xr:uid="{00000000-0006-0000-0000-000011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6" authorId="0" shapeId="0" xr:uid="{00000000-0006-0000-0000-000013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78" authorId="0" shapeId="0" xr:uid="{00000000-0006-0000-0000-000014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80" authorId="0" shapeId="0" xr:uid="{00000000-0006-0000-0000-000015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84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92" authorId="0" shapeId="0" xr:uid="{00000000-0006-0000-0000-000017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3" authorId="0" shapeId="0" xr:uid="{00000000-0006-0000-0000-000018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4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5" authorId="0" shapeId="0" xr:uid="{00000000-0006-0000-0000-00001A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6" authorId="0" shapeId="0" xr:uid="{00000000-0006-0000-0000-00001B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7" authorId="0" shapeId="0" xr:uid="{00000000-0006-0000-0000-00001C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99" authorId="0" shapeId="0" xr:uid="{00000000-0006-0000-0000-00001D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101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105" authorId="0" shapeId="0" xr:uid="{00000000-0006-0000-0000-00001F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113" authorId="0" shapeId="0" xr:uid="{00000000-0006-0000-0000-000020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114" authorId="0" shapeId="0" xr:uid="{00000000-0006-0000-0000-000021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115" authorId="0" shapeId="0" xr:uid="{00000000-0006-0000-0000-000022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116" authorId="0" shapeId="0" xr:uid="{00000000-0006-0000-0000-000023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7" authorId="0" shapeId="0" xr:uid="{00000000-0006-0000-0000-000024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8" authorId="0" shapeId="0" xr:uid="{00000000-0006-0000-0000-000025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121" authorId="0" shapeId="0" xr:uid="{00000000-0006-0000-0000-000026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123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127" authorId="0" shapeId="0" xr:uid="{00000000-0006-0000-0000-000028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135" authorId="0" shapeId="0" xr:uid="{00000000-0006-0000-0000-000029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C136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37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8" authorId="0" shapeId="0" xr:uid="{00000000-0006-0000-0000-00002C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9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40" authorId="0" shapeId="0" xr:uid="{00000000-0006-0000-0000-00002E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45" authorId="0" shapeId="0" xr:uid="{00000000-0006-0000-0000-00002F000000}">
      <text>
        <r>
          <rPr>
            <sz val="9"/>
            <color indexed="81"/>
            <rFont val="Tahoma"/>
            <family val="2"/>
          </rPr>
          <t>Informar o valor unitário diário do vale refeição, conforme CCT da categoria.</t>
        </r>
      </text>
    </comment>
    <comment ref="C146" authorId="1" shapeId="0" xr:uid="{00000000-0006-0000-0000-000030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D157" authorId="0" shapeId="0" xr:uid="{00000000-0006-0000-0000-000031000000}">
      <text>
        <r>
          <rPr>
            <sz val="9"/>
            <color indexed="81"/>
            <rFont val="Tahoma"/>
            <family val="2"/>
          </rPr>
          <t>Informar o valor unitário mensal do auxílio alimentação, conforme CCT da categoria,</t>
        </r>
      </text>
    </comment>
    <comment ref="C158" authorId="1" shapeId="0" xr:uid="{00000000-0006-0000-0000-000032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D164" authorId="0" shapeId="0" xr:uid="{00000000-0006-0000-0000-000033000000}">
      <text>
        <r>
          <rPr>
            <sz val="9"/>
            <color indexed="81"/>
            <rFont val="Tahoma"/>
            <family val="2"/>
          </rPr>
          <t>Informar o valor unitário do seguro de vida.</t>
        </r>
      </text>
    </comment>
    <comment ref="D169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do seguro de vida.</t>
        </r>
      </text>
    </comment>
    <comment ref="C178" authorId="0" shapeId="0" xr:uid="{00000000-0006-0000-0000-000035000000}">
      <text>
        <r>
          <rPr>
            <sz val="9"/>
            <color indexed="81"/>
            <rFont val="Tahoma"/>
            <family val="2"/>
          </rPr>
          <t>Informar a quantidade de cada EPI.
Fórmula: 12 meses (12), dividido pela quantidade mínima fornecida em cada ano.</t>
        </r>
      </text>
    </comment>
    <comment ref="D178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9" authorId="0" shapeId="0" xr:uid="{00000000-0006-0000-0000-000037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79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0" authorId="0" shapeId="0" xr:uid="{00000000-0006-0000-0000-000039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80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2" authorId="0" shapeId="0" xr:uid="{00000000-0006-0000-0000-00003B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82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3" authorId="0" shapeId="0" xr:uid="{00000000-0006-0000-0000-00003D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83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4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84" authorId="0" shapeId="0" xr:uid="{00000000-0006-0000-0000-00004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6" authorId="0" shapeId="0" xr:uid="{00000000-0006-0000-0000-000041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86" authorId="0" shapeId="0" xr:uid="{00000000-0006-0000-0000-00004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92" authorId="0" shapeId="0" xr:uid="{00000000-0006-0000-0000-000043000000}">
      <text>
        <r>
          <rPr>
            <sz val="9"/>
            <color indexed="81"/>
            <rFont val="Tahoma"/>
            <family val="2"/>
          </rPr>
          <t>Informar o valor mensal de higienização dos uniformes de 1 funcionário.</t>
        </r>
      </text>
    </comment>
    <comment ref="D203" authorId="0" shapeId="0" xr:uid="{00000000-0006-0000-0000-000044000000}">
      <text>
        <r>
          <rPr>
            <sz val="9"/>
            <color indexed="81"/>
            <rFont val="Tahoma"/>
            <family val="2"/>
          </rPr>
          <t>Informar o preço unitário do chassis do veículo.</t>
        </r>
      </text>
    </comment>
    <comment ref="C204" authorId="0" shapeId="0" xr:uid="{00000000-0006-0000-0000-000045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205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a idade do veículo, conforme exigido ou permitido no projeto básico.</t>
        </r>
      </text>
    </comment>
    <comment ref="C206" authorId="0" shapeId="0" xr:uid="{00000000-0006-0000-0000-000047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3" authorId="0" shapeId="0" xr:uid="{00000000-0006-0000-0000-000048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30" authorId="0" shapeId="0" xr:uid="{00000000-0006-0000-0000-000049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D233" authorId="0" shapeId="0" xr:uid="{00000000-0006-0000-0000-00004A000000}">
      <text>
        <r>
          <rPr>
            <sz val="9"/>
            <color indexed="81"/>
            <rFont val="Tahoma"/>
            <family val="2"/>
          </rPr>
          <t>Informar o consumo estimado litros por hora</t>
        </r>
      </text>
    </comment>
    <comment ref="E233" authorId="2" shapeId="0" xr:uid="{00000000-0006-0000-0000-00004B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35" authorId="2" shapeId="0" xr:uid="{00000000-0006-0000-0000-00004C000000}">
      <text>
        <r>
          <rPr>
            <sz val="9"/>
            <color indexed="81"/>
            <rFont val="Segoe UI"/>
            <family val="2"/>
          </rPr>
          <t xml:space="preserve">
Informar o consumo estimado litros por hora</t>
        </r>
      </text>
    </comment>
    <comment ref="E235" authorId="2" shapeId="0" xr:uid="{00000000-0006-0000-0000-00004D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37" authorId="0" shapeId="0" xr:uid="{00000000-0006-0000-0000-00004E000000}">
      <text>
        <r>
          <rPr>
            <sz val="9"/>
            <color indexed="81"/>
            <rFont val="Tahoma"/>
            <family val="2"/>
          </rPr>
          <t>Informar o consumo de óleo a cada 200 horas tralhadas</t>
        </r>
      </text>
    </comment>
    <comment ref="E237" authorId="0" shapeId="0" xr:uid="{00000000-0006-0000-0000-00004F000000}">
      <text>
        <r>
          <rPr>
            <sz val="9"/>
            <color indexed="81"/>
            <rFont val="Tahoma"/>
            <family val="2"/>
          </rPr>
          <t xml:space="preserve">Informar o preço unitário 
</t>
        </r>
      </text>
    </comment>
    <comment ref="D239" authorId="0" shapeId="0" xr:uid="{00000000-0006-0000-0000-000050000000}">
      <text>
        <r>
          <rPr>
            <sz val="9"/>
            <color indexed="81"/>
            <rFont val="Tahoma"/>
            <family val="2"/>
          </rPr>
          <t>Informar o consumo de óleo a cada 200 horas tralhadas</t>
        </r>
      </text>
    </comment>
    <comment ref="E239" authorId="2" shapeId="0" xr:uid="{00000000-0006-0000-0000-000051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41" authorId="0" shapeId="0" xr:uid="{00000000-0006-0000-0000-000052000000}">
      <text>
        <r>
          <rPr>
            <sz val="9"/>
            <color indexed="81"/>
            <rFont val="Tahoma"/>
            <family val="2"/>
          </rPr>
          <t>Informar o consumo de filtro(s) a cada 200 horas trabalhadas</t>
        </r>
      </text>
    </comment>
    <comment ref="E241" authorId="2" shapeId="0" xr:uid="{00000000-0006-0000-0000-000053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43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de filtro(s) a cada 200 horas trabalhadas</t>
        </r>
      </text>
    </comment>
    <comment ref="E243" authorId="2" shapeId="0" xr:uid="{00000000-0006-0000-0000-000055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45" authorId="2" shapeId="0" xr:uid="{00000000-0006-0000-0000-000056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45" authorId="2" shapeId="0" xr:uid="{00000000-0006-0000-0000-000057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47" authorId="2" shapeId="0" xr:uid="{00000000-0006-0000-0000-000058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47" authorId="2" shapeId="0" xr:uid="{00000000-0006-0000-0000-000059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49" authorId="2" shapeId="0" xr:uid="{00000000-0006-0000-0000-00005A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49" authorId="2" shapeId="0" xr:uid="{00000000-0006-0000-0000-00005B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55" authorId="0" shapeId="0" xr:uid="{00000000-0006-0000-0000-00005C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56" authorId="1" shapeId="0" xr:uid="{00000000-0006-0000-0000-00005D000000}">
      <text>
        <r>
          <rPr>
            <b/>
            <sz val="9"/>
            <color indexed="81"/>
            <rFont val="Segoe UI"/>
            <family val="2"/>
          </rPr>
          <t xml:space="preserve">Informar o número médio de lavagens por mês para os equipamento.
</t>
        </r>
      </text>
    </comment>
    <comment ref="D256" authorId="0" shapeId="0" xr:uid="{00000000-0006-0000-0000-00005E000000}">
      <text>
        <r>
          <rPr>
            <sz val="9"/>
            <color indexed="81"/>
            <rFont val="Tahoma"/>
            <family val="2"/>
          </rPr>
          <t>Informar o custo de uma lavagem do equipamento.</t>
        </r>
      </text>
    </comment>
    <comment ref="C262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novos.</t>
        </r>
      </text>
    </comment>
    <comment ref="D262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63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a durabilidade média em Km, do conjunto de pneus considerando as recapagens.
No cálculo foi considerado que:
- 14 pneus duram 70.000 km, por rodarem apoiados na pista de rodagem, tanto na ida como na na volta.
- 8 pneus tem durabilidade maior, por rodarem "teoricamente" apoiados na pista de rodagem, somente na ida, pois no retorno deveriam ser suspensos. Consideramos que sta situação aumenta a vida útil do conjunto de pneus em 12.727 km.</t>
        </r>
      </text>
    </comment>
    <comment ref="C270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0" authorId="0" shapeId="0" xr:uid="{00000000-0006-0000-0000-000063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2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2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5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5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85" authorId="0" shapeId="0" xr:uid="{00000000-0006-0000-0000-000068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92" authorId="0" shapeId="0" xr:uid="{00000000-0006-0000-0000-000069000000}">
      <text>
        <r>
          <rPr>
            <sz val="9"/>
            <color indexed="81"/>
            <rFont val="Tahoma"/>
            <family val="2"/>
          </rPr>
          <t xml:space="preserve">Informar a quantidade mensal de RSU coletado nesta modalidade de coeta.
</t>
        </r>
      </text>
    </comment>
    <comment ref="C299" authorId="0" shapeId="0" xr:uid="{00000000-0006-0000-0000-00006A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C313" authorId="0" shapeId="0" xr:uid="{00000000-0006-0000-0000-00006B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0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19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500-000009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500-00000B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32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500-00000F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500-000010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<sst xmlns="http://schemas.openxmlformats.org/spreadsheetml/2006/main" count="701" uniqueCount="391">
  <si>
    <t>hora</t>
  </si>
  <si>
    <t>Adicional de Insalubridade</t>
  </si>
  <si>
    <t>%</t>
  </si>
  <si>
    <t>Soma</t>
  </si>
  <si>
    <t>Encargos Sociais</t>
  </si>
  <si>
    <t>Total do Efetivo</t>
  </si>
  <si>
    <t>mês</t>
  </si>
  <si>
    <t>vale</t>
  </si>
  <si>
    <t>unidade</t>
  </si>
  <si>
    <t>Impostos e seguros mensais</t>
  </si>
  <si>
    <t>Custo mensal com óleo do motor</t>
  </si>
  <si>
    <t>Custo mensal com óleo hidráulico</t>
  </si>
  <si>
    <t>R$</t>
  </si>
  <si>
    <t>Horas Extras (100%)</t>
  </si>
  <si>
    <t>Horas Extras (50%)</t>
  </si>
  <si>
    <t>Benefícios e despesas indiretas</t>
  </si>
  <si>
    <t>Mão-de-obra</t>
  </si>
  <si>
    <t>Quantidade</t>
  </si>
  <si>
    <t>INSS</t>
  </si>
  <si>
    <t>FGTS</t>
  </si>
  <si>
    <t>1. Mão-de-obra</t>
  </si>
  <si>
    <t>par</t>
  </si>
  <si>
    <t>3. Veículos e Equipamentos</t>
  </si>
  <si>
    <t>Custo mensal com pneus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</si>
  <si>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</si>
  <si>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</si>
  <si>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</si>
  <si>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</si>
  <si>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</si>
  <si>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4. Ferramentas e Materiais de Consumo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</si>
  <si>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</si>
  <si>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</si>
  <si>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</si>
  <si>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</si>
  <si>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</si>
  <si>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</si>
  <si>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</si>
  <si>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</si>
  <si>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</si>
  <si>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</si>
  <si>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</si>
  <si>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</si>
  <si>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</si>
  <si>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</si>
  <si>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Vale Transporte</t>
  </si>
  <si>
    <t>Dias Trabalhados por mês</t>
  </si>
  <si>
    <t>dia</t>
  </si>
  <si>
    <t>Quantitativos</t>
  </si>
  <si>
    <t>Vida útil do chassis</t>
  </si>
  <si>
    <t>anos</t>
  </si>
  <si>
    <t>Depreciação do chassis</t>
  </si>
  <si>
    <t>i = taxa de juros do mercado (sugere-se adotar a taxa SELIC)</t>
  </si>
  <si>
    <t>n = vida útil do bem em anos</t>
  </si>
  <si>
    <t>Im = investimento médio</t>
  </si>
  <si>
    <t>Investimento médio total do chassis</t>
  </si>
  <si>
    <t>Remuneração mensal de capital do chassis</t>
  </si>
  <si>
    <t>R$/km rodado</t>
  </si>
  <si>
    <t>R$ mensal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</si>
  <si>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</si>
  <si>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</si>
  <si>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</si>
  <si>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</si>
  <si>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</si>
  <si>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</si>
  <si>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</si>
  <si>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</si>
  <si>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</si>
  <si>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</si>
  <si>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</si>
  <si>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</si>
  <si>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</si>
  <si>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</si>
  <si>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</si>
  <si>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</si>
  <si>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</si>
  <si>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</si>
  <si>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</si>
  <si>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</si>
  <si>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</si>
  <si>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</si>
  <si>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</si>
  <si>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</si>
  <si>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</si>
  <si>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</si>
  <si>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</si>
  <si>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</si>
  <si>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</si>
  <si>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</si>
  <si>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</si>
  <si>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</si>
  <si>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</si>
  <si>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</si>
  <si>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</si>
  <si>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</si>
  <si>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</si>
  <si>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</si>
  <si>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</si>
  <si>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</si>
  <si>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</si>
  <si>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</si>
  <si>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</si>
  <si>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</si>
  <si>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</si>
  <si>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</si>
  <si>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</si>
  <si>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</si>
  <si>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</si>
  <si>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</si>
  <si>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</si>
  <si>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</si>
  <si>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</si>
  <si>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Fator de utilização</t>
  </si>
  <si>
    <t>Higienização de uniformes e EPIs</t>
  </si>
  <si>
    <t>Custo Mensal com Uniformes e EPIs (R$/mês)</t>
  </si>
  <si>
    <t>Orçamento Sintético</t>
  </si>
  <si>
    <t>Idade do veículo (ano)</t>
  </si>
  <si>
    <t>Idade do veículo</t>
  </si>
  <si>
    <t>Valor do veículo proposto (V0)</t>
  </si>
  <si>
    <t>Taxa de juros anual nominal</t>
  </si>
  <si>
    <t>Base de cálculo da Insalubridade</t>
  </si>
  <si>
    <t>Descanso Semanal Remunerado (DSR) - hora extra</t>
  </si>
  <si>
    <t>C2</t>
  </si>
  <si>
    <t>B3</t>
  </si>
  <si>
    <t>Custo Mensal com Veículos e Equipamentos (R$/mês)</t>
  </si>
  <si>
    <t>Custo Mensal com Ferramentas e Materiais de Consumo (R$/mês)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</si>
  <si>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</si>
  <si>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</si>
  <si>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</si>
  <si>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</si>
  <si>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</si>
  <si>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</si>
  <si>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</si>
  <si>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Referência estudo TCE</t>
  </si>
  <si>
    <t>Fórmula de cálculo da remuneração de capital:</t>
  </si>
  <si>
    <t>Custo com consumos/km rodado</t>
  </si>
  <si>
    <t>i</t>
  </si>
  <si>
    <t>Depreciação Média</t>
  </si>
  <si>
    <t>Reincidência de FGTS sobre aviso prévio indenizado</t>
  </si>
  <si>
    <t>Piso da categoria (2)</t>
  </si>
  <si>
    <t>Salário mínimo nacional (1)</t>
  </si>
  <si>
    <t>01/01 - Confraternização Universal</t>
  </si>
  <si>
    <t>21/04 - Tiradentes</t>
  </si>
  <si>
    <t>01/05 - Dia do Trabalho</t>
  </si>
  <si>
    <t>07/09 - Independência do Brasil</t>
  </si>
  <si>
    <t>20/09 - Revolução Farroupilha</t>
  </si>
  <si>
    <t>02/11 - Finados</t>
  </si>
  <si>
    <t>15/11 - Proclamação da República</t>
  </si>
  <si>
    <t>25/12 - Natal</t>
  </si>
  <si>
    <t>Municipais</t>
  </si>
  <si>
    <t>Sub-Total</t>
  </si>
  <si>
    <t>20/01 - São Sebastião Mártir</t>
  </si>
  <si>
    <t>Nº do processo:</t>
  </si>
  <si>
    <t>Licitação nº:</t>
  </si>
  <si>
    <t xml:space="preserve">Dia: </t>
  </si>
  <si>
    <r>
      <t xml:space="preserve">PLANILHA DE COMPOSIÇÃO DE CUSTOS E FORMAÇÃO DE PREÇO </t>
    </r>
    <r>
      <rPr>
        <b/>
        <sz val="16"/>
        <color indexed="20"/>
        <rFont val="Arial"/>
        <family val="2"/>
      </rPr>
      <t xml:space="preserve"> </t>
    </r>
  </si>
  <si>
    <t>25/07 - Dia do Colono e Motorista</t>
  </si>
  <si>
    <t>12/10 - Nossa Senhora Aparecida</t>
  </si>
  <si>
    <t>FERIADOS NACIONAIS, ESTADUAIS E MUNICIPAIS</t>
  </si>
  <si>
    <t>Nacionais / Estaduais</t>
  </si>
  <si>
    <t>Coincidências com domingos (média)</t>
  </si>
  <si>
    <t>Desconto previsto na CCT</t>
  </si>
  <si>
    <t>Variável - Corpus Cristhi</t>
  </si>
  <si>
    <t>Total feriados a considerar</t>
  </si>
  <si>
    <t>pçs / ano</t>
  </si>
  <si>
    <t xml:space="preserve">Fator de utilização (FU) </t>
  </si>
  <si>
    <t>Dias uso
s/lavar
(dias)</t>
  </si>
  <si>
    <t>Fator de utilização
(% ano)</t>
  </si>
  <si>
    <t>Unid.</t>
  </si>
  <si>
    <t>Qtde.
p/Func.</t>
  </si>
  <si>
    <t>Qtde. Lavagens mês</t>
  </si>
  <si>
    <t>Total pçs.
Lavadas
mês</t>
  </si>
  <si>
    <t>Peso
Gramas
p/pç</t>
  </si>
  <si>
    <t>Peso mensal
Kg</t>
  </si>
  <si>
    <t>Custo
Mensal</t>
  </si>
  <si>
    <t>Camisetas</t>
  </si>
  <si>
    <t>pç</t>
  </si>
  <si>
    <t>Calça</t>
  </si>
  <si>
    <t>Boné</t>
  </si>
  <si>
    <t>Jaqueta (usa cinco meses)</t>
  </si>
  <si>
    <t>Preço da lavagem por Kg</t>
  </si>
  <si>
    <t>2. Uniformes e Equiptos. Proteção Individual</t>
  </si>
  <si>
    <t>Formas de Tributação</t>
  </si>
  <si>
    <t>LUCRO REAL</t>
  </si>
  <si>
    <t>LUCRO PRESUMIDO</t>
  </si>
  <si>
    <t>SIMPLES NAC.</t>
  </si>
  <si>
    <t>Encargos Sociais - Simples Nacional</t>
  </si>
  <si>
    <t>Valor %</t>
  </si>
  <si>
    <t>Férias (com adicional de férias)</t>
  </si>
  <si>
    <t>13º Salário</t>
  </si>
  <si>
    <t>Previdenciários s/Férias e 13º</t>
  </si>
  <si>
    <t>Total</t>
  </si>
  <si>
    <t>CUSTO TOTAL MENSAL COM CUSTOS E DESPESAS OPERACIONAIS - SIMPLES NACIONAL (R$/mês)</t>
  </si>
  <si>
    <t>Custo Mensal com Mão-de-obra (R$/mês) - SIMPLES NACIONAL</t>
  </si>
  <si>
    <t>Custo Mensal com Mão-de-obra (R$/mês) - LUCRO REAL E PRESUMIDO</t>
  </si>
  <si>
    <t>CUSTO MENSAL COM BDI (R$/mês) - LUCRO PRESUMIDO</t>
  </si>
  <si>
    <t>PREÇO MENSAL TOTAL (R$/mês)  - LUCRO PRESUMIDO  =  "AA"</t>
  </si>
  <si>
    <t>Benefícios e despesas indiretas (sem impostos)</t>
  </si>
  <si>
    <t>CUSTO MENSAL COM BDI - Sem Impostos (R$/mês) - SIMPLES NACIONAL</t>
  </si>
  <si>
    <t>Enquadramento no Anexo III da lei do Simples Nacional</t>
  </si>
  <si>
    <t>Receita Bruta Total em 12 (doze) meses</t>
  </si>
  <si>
    <t>Base = SN1</t>
  </si>
  <si>
    <t>CUSTO MENSAL COM BDI (R$/mês) - LUCRO REAL</t>
  </si>
  <si>
    <t>6. Benefícios e Desp. Ind. - BDI - LUCRO PRESUMIDO</t>
  </si>
  <si>
    <t>B.D.I. PARA EMPRESAS DO LUCRO REAL</t>
  </si>
  <si>
    <t>Composição BDI - Benefícios e Desp. Indiretas</t>
  </si>
  <si>
    <t>B.D.I. PARA EMPRESAS DO LUCRO PRESUMIDO</t>
  </si>
  <si>
    <t/>
  </si>
  <si>
    <t>B.D.I. PARA EMPRESAS DO SIMPLES NACIONAL</t>
  </si>
  <si>
    <t>Composição do BDI - Benefícios e Desp. Indiretas - Sem Impostos</t>
  </si>
  <si>
    <t>Fórmula para o cálculo do BDI - Sem impostos</t>
  </si>
  <si>
    <t>{[(1+AC+SRG) x (1+L) x (1+DF)]} -1</t>
  </si>
  <si>
    <t>Resultado cálculo do BDI - Sem impostos</t>
  </si>
  <si>
    <t>Toneladas</t>
  </si>
  <si>
    <t>R$/Tonelada</t>
  </si>
  <si>
    <t>5. Benefícios e Desp. Ind. - BDI - LUCRO REAL</t>
  </si>
  <si>
    <t>7. Benef. Desp. Ind. + Impostos - SIMPLES NACIONAL</t>
  </si>
  <si>
    <t>CUSTO MENSAL TOTAL - Sem Imposots (R$/mês)  - SIMPLES NACIONAL  =  "SN1"</t>
  </si>
  <si>
    <r>
      <t>Quantidade de resíduos transportados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</si>
  <si>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PREÇO POR TONELADA DE RESÍDUO TRANSPORTADO - SIMPLES NACIONAL = [SN2/BB]</t>
  </si>
  <si>
    <t>Impostos alíquota única</t>
  </si>
  <si>
    <t>PREÇO POR TONELADA DE RESÍDUO TRANSPORTADO - LUCRO PRESUMIDO = [AA/BB]</t>
  </si>
  <si>
    <t>PREÇO MENSAL TOTAL (R$/mês) - LUCRO REAL   =  "A"</t>
  </si>
  <si>
    <r>
      <t>Quantidade de resíduos transportados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</si>
  <si>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PREÇO POR TONELADA DE RESÍDUO TRANSPORTADO - LUCRO REAL:  [A/B]</t>
  </si>
  <si>
    <t>Tributos</t>
  </si>
  <si>
    <t>PREÇO MENSAL TOTAL (R$/mês)  - SIMPLES NACIONAL  =  "SN2"</t>
  </si>
  <si>
    <t>Depreciação mensal veículos</t>
  </si>
  <si>
    <t>CUSTO TOTAL MENSAL COM CUSTOS E DESPESAS OPERACIONAIS - LUCRO REAL E PRESUM (R$/mês)</t>
  </si>
  <si>
    <t>Salário</t>
  </si>
  <si>
    <t>Custo jogo completo</t>
  </si>
  <si>
    <t xml:space="preserve">Total </t>
  </si>
  <si>
    <t>Funcionário</t>
  </si>
  <si>
    <t>Custo com lavagens</t>
  </si>
  <si>
    <t>Mês</t>
  </si>
  <si>
    <t>PREÇO UNITÁRIO POR TONELADA</t>
  </si>
  <si>
    <t>artigo primeiro inciso I e artigo terceiro do decreto lei 1.146-1970</t>
  </si>
  <si>
    <t>artigo terceiro indico I do decreto 87.043-1982</t>
  </si>
  <si>
    <t xml:space="preserve">cálculo 1/12 </t>
  </si>
  <si>
    <t>definido pela incidência nessa atividade - Ministério do Trabalho</t>
  </si>
  <si>
    <t>corresponde a multa do FGTS de 40%</t>
  </si>
  <si>
    <t>página 71 da orientação técnica TCE-RS</t>
  </si>
  <si>
    <t>página 89 da orientação técnica do TCE-RS</t>
  </si>
  <si>
    <t>artigo 22 inciso I da lei 8.212-1991</t>
  </si>
  <si>
    <t>artigo 30 da lei 8.036-1990 e artigo primeiro da lei 8.154-1990</t>
  </si>
  <si>
    <t>artigo primeiro decreto lei 6.246-1944 (SENAC) e artigo 4o. Decreto lei 8.621-1946 (SENAI) - decreto lei 2.318-1986</t>
  </si>
  <si>
    <t>artigo 8o. Da lei 8.029 de 1990, alterado pela lei 8.154-1990</t>
  </si>
  <si>
    <t>artigo 19 a 23 da lei 8.212-1991</t>
  </si>
  <si>
    <t>de acordo com a atividade preponderante da empresa-artigo 15 da lei 8.036-1990</t>
  </si>
  <si>
    <t>cálculo (1/12)acrescido de 1/3</t>
  </si>
  <si>
    <t xml:space="preserve">cálculo 7 dias para 30 dias  </t>
  </si>
  <si>
    <t>teste da fórmula</t>
  </si>
  <si>
    <t>valor do veículo - Vo</t>
  </si>
  <si>
    <t>valor residual ( valor do veículo - depreciação) Vr</t>
  </si>
  <si>
    <t>(Vo-Vr)</t>
  </si>
  <si>
    <t>vida util - n</t>
  </si>
  <si>
    <t>idade máxima</t>
  </si>
  <si>
    <t>idade atual</t>
  </si>
  <si>
    <t>(n+1)</t>
  </si>
  <si>
    <t>(2n)</t>
  </si>
  <si>
    <t xml:space="preserve">Investimento médio </t>
  </si>
  <si>
    <t>taxa</t>
  </si>
  <si>
    <t>Remuneração do capital  ( Imx1/12 meses)</t>
  </si>
  <si>
    <t>faturamento anual</t>
  </si>
  <si>
    <t>alíquota</t>
  </si>
  <si>
    <t>dedução</t>
  </si>
  <si>
    <t>alíquota final</t>
  </si>
  <si>
    <t>Total mensal de EPIS e uniformes</t>
  </si>
  <si>
    <t>3.1. Depreciação</t>
  </si>
  <si>
    <t>3.2. Remuneração do Capital</t>
  </si>
  <si>
    <t>3.4. Consumos</t>
  </si>
  <si>
    <t>Variável - Sexta feira Santa</t>
  </si>
  <si>
    <t>20/11 - Dia da consciência negra</t>
  </si>
  <si>
    <t>3.3. Impostos e Seguros e outros</t>
  </si>
  <si>
    <t>Meias</t>
  </si>
  <si>
    <t>quantidade necessária anual</t>
  </si>
  <si>
    <t>150 por mês por veículo</t>
  </si>
  <si>
    <t>3.6. Manutenção</t>
  </si>
  <si>
    <t>3.7. Pneus</t>
  </si>
  <si>
    <t>Recipiente térmico para água (5L) - 2 pçs</t>
  </si>
  <si>
    <t>1.4. Vale-refeição (diário)</t>
  </si>
  <si>
    <t>1.5. Auxílio Alimentação (mensal)</t>
  </si>
  <si>
    <t>1.6. Seguro de vida</t>
  </si>
  <si>
    <t>Adicional de sobreaviso e coordenação</t>
  </si>
  <si>
    <t>Encarregado de operações - (Vlr líq. desc. 6,% s/piso sal.)cfe. Lei Federal 7.418-1985</t>
  </si>
  <si>
    <t xml:space="preserve">Caixa de materias de primeiros socorros </t>
  </si>
  <si>
    <t xml:space="preserve">Total Geral </t>
  </si>
  <si>
    <t>Total Geral</t>
  </si>
  <si>
    <t>verba</t>
  </si>
  <si>
    <t>Bases legais em 2025 e metodologia TCE-RS orientação técnica resíduos sólidos 2019</t>
  </si>
  <si>
    <t>Quantidade- Ano</t>
  </si>
  <si>
    <t>Consumo - Mensal</t>
  </si>
  <si>
    <t>Quantidade - mensal</t>
  </si>
  <si>
    <t>2. Triagem de Resíduos Sólidos Urbanos (Rejeito)</t>
  </si>
  <si>
    <t>Sindiasseio</t>
  </si>
  <si>
    <t>Sindicato</t>
  </si>
  <si>
    <t>CBO</t>
  </si>
  <si>
    <t>1.2 Operador de empilhadeira</t>
  </si>
  <si>
    <t>Sindirodoviários</t>
  </si>
  <si>
    <t xml:space="preserve">1.4 Encarregado de operações de triagem </t>
  </si>
  <si>
    <t>1.2. Operador de empilhadeira - EMPRESA DO LUCRO REAL E PRESUMIDO</t>
  </si>
  <si>
    <t>1.2.1- Operador de empilhadeira - EMPRESA SIMPLES NACIONAL</t>
  </si>
  <si>
    <t>1.3. Operador de prensa hidraúlica - EMPRESA DO LUCRO REAL E PRESUMIDO</t>
  </si>
  <si>
    <t>1.3.1- Operador de prensa hidraúlica - EMPRESA SIMPLES NACIONAL</t>
  </si>
  <si>
    <t>1.4. Encaregado de Operações de transporte - EMPRESA DO LUCRO REAL E PRESUMIDO</t>
  </si>
  <si>
    <t>1.4.1- Operador de máquina escavadeira Turno Dia - EMPRESA SIMPLES NACIONAL</t>
  </si>
  <si>
    <t>1.3 Operador de Prensa Hidraúlica</t>
  </si>
  <si>
    <t>1.5. Vale Transporte</t>
  </si>
  <si>
    <t>Agentes de triagem (Vlr líq. desc. 6,% s/piso sal.)cfe. Lei Federal 7.418-1985</t>
  </si>
  <si>
    <t>Operador de empilhadeira (Vlr líq. desc. 6,% s/piso sal.)cfe. Lei Federal 7.418-1985</t>
  </si>
  <si>
    <t>Operador de prensa hidraulica(Vlr líq. desc. 6,% s/piso sal.)cfe. Lei Federal 7.418-1985</t>
  </si>
  <si>
    <t>Operador de empilhadeira</t>
  </si>
  <si>
    <t>Operador de prensa hidraulica</t>
  </si>
  <si>
    <t>Encarregado de operações</t>
  </si>
  <si>
    <t xml:space="preserve">Agentes de Triagem </t>
  </si>
  <si>
    <t>Todos os funicionários</t>
  </si>
  <si>
    <t>1.7. Plano de Benefício Familiar</t>
  </si>
  <si>
    <t xml:space="preserve">Agenstes de Triagem </t>
  </si>
  <si>
    <t>1.7 Plano de Benefício Familiar</t>
  </si>
  <si>
    <t>Instalações e Equipamentos</t>
  </si>
  <si>
    <t>Curso de capacitação sobre equipamentos</t>
  </si>
  <si>
    <t>Seguro contra roubos e danos</t>
  </si>
  <si>
    <t>Sistema de ratreamento empilhadeira  - GPS</t>
  </si>
  <si>
    <t>l/h</t>
  </si>
  <si>
    <t xml:space="preserve">Custo ARLA </t>
  </si>
  <si>
    <t xml:space="preserve">Custo mensal ARLA </t>
  </si>
  <si>
    <t xml:space="preserve">Custo de óleo do motor /200 horas </t>
  </si>
  <si>
    <t>l/200 horas</t>
  </si>
  <si>
    <t>Custo de óleo hidráulico / 200 horas</t>
  </si>
  <si>
    <t xml:space="preserve">Custo filtro do motor /200 horas </t>
  </si>
  <si>
    <t>u/200 horas</t>
  </si>
  <si>
    <t>Custo mensal com filtro motor</t>
  </si>
  <si>
    <t xml:space="preserve">Custo filtro do diesel /200 horas </t>
  </si>
  <si>
    <t xml:space="preserve">Custo filtro hidraulico/200 horas </t>
  </si>
  <si>
    <t>Custo mensal com filtro hidraulico</t>
  </si>
  <si>
    <t xml:space="preserve">Custo filtro transmissão/200 horas </t>
  </si>
  <si>
    <t xml:space="preserve">Custo filtro do ar /200 horas </t>
  </si>
  <si>
    <t>Custo mensal com filtro ar</t>
  </si>
  <si>
    <t>Horas mensais da empilhadeira</t>
  </si>
  <si>
    <t>Custo mensal com gás</t>
  </si>
  <si>
    <t>Custo de gás / quilos horas</t>
  </si>
  <si>
    <t>kg/h</t>
  </si>
  <si>
    <t>Custo de manutenção dos equipamentos diversos</t>
  </si>
  <si>
    <t>horas</t>
  </si>
  <si>
    <t>1 lavagem por semana para empilhadeira</t>
  </si>
  <si>
    <t>Custos com energia elétrica para equipamentos</t>
  </si>
  <si>
    <t>Custo do jogo de pneus superelásticos 200* 50x10</t>
  </si>
  <si>
    <t>horas-jogo</t>
  </si>
  <si>
    <t>PREÇO TOTAL MENSAL COM A TRIAGEM</t>
  </si>
  <si>
    <t>PERCENTUAL DE VENDAS RECICLAVÉIS (10%)</t>
  </si>
  <si>
    <t>VALOR DO CUSTO MENSAL MUNICÍPIO</t>
  </si>
  <si>
    <t>Provisão Multas FGTS (40% s/FGTS)</t>
  </si>
  <si>
    <t xml:space="preserve">CUSTO COM LAVAGEM UNIFORMES  </t>
  </si>
  <si>
    <t xml:space="preserve">Jaqueta com faixa refletiva (NBR 15.292) </t>
  </si>
  <si>
    <t xml:space="preserve">Camisetas de manga longa com faixa reflexiva </t>
  </si>
  <si>
    <t>Bonés arabes de segurança</t>
  </si>
  <si>
    <t>Oculos de proteção  incolor</t>
  </si>
  <si>
    <t>Luvas de segurança CUT longa resistente anticorte (48460)</t>
  </si>
  <si>
    <t xml:space="preserve">Protetor auditivo de inserção </t>
  </si>
  <si>
    <t>Camiseta de manga curta com faixa refletiva</t>
  </si>
  <si>
    <t>Protetor solar com repelente FPS 60</t>
  </si>
  <si>
    <t>Avental impermeável  PVC</t>
  </si>
  <si>
    <t>De R$ 1.800.000,00 a R$ 3.600.000,00</t>
  </si>
  <si>
    <t>1.1. Agentes e auxiliares de triagem de resíduos sólidos - EMPRESA DO LUCRO REAL E PRESUMIDO</t>
  </si>
  <si>
    <t>1.1.1- Agentes e auxiliares de triagem de resíduos sólidos - EMPRESA SIMPLES NACIONAL</t>
  </si>
  <si>
    <t>1.1. Agentes e auxiliares de triagem de resíduos sólidos</t>
  </si>
  <si>
    <t>Embalagens bags de plástico 200 kg</t>
  </si>
  <si>
    <t>Quantidade - Ano - Mês</t>
  </si>
  <si>
    <t xml:space="preserve">Calça com faixa refletiva </t>
  </si>
  <si>
    <t>Calçado de segurança com solado e palmilha antiperfurante e biqueira composite</t>
  </si>
  <si>
    <t>Capa de chuva amarela com reflexivo</t>
  </si>
  <si>
    <t>Oculos de proteção escuro</t>
  </si>
  <si>
    <t>Valores totais</t>
  </si>
  <si>
    <t>26 dias dois vales 10 funcionários</t>
  </si>
  <si>
    <t xml:space="preserve">Operador de empinhadeira e prensa hidraulica </t>
  </si>
  <si>
    <t>equipamentos</t>
  </si>
  <si>
    <t>demais imóveis</t>
  </si>
  <si>
    <t>80 unidades ano</t>
  </si>
  <si>
    <t>Vassourão - 4 pçs</t>
  </si>
  <si>
    <t>Enxadas - 4 pçs por ano</t>
  </si>
  <si>
    <t>Pá de Concha - 4pçs</t>
  </si>
  <si>
    <t xml:space="preserve">Projeto de engenharia para linha triagem </t>
  </si>
  <si>
    <t>2.1. Uniformes e EPIs para agentes de triagem , operador de empilhadeira, operador de prensa  e encarregado de operação de triagem</t>
  </si>
  <si>
    <t>valor apropriado em 60 meses</t>
  </si>
  <si>
    <t>3.2 Empilhadeira motor a gás, capacidade 2000 kg, altura de elevação 3000 mm</t>
  </si>
  <si>
    <t xml:space="preserve">3.3 Prensa hidraúlica vertical enfardadeira capacidade 20 toneladas, caixa de 700 x 1600x 100 metros </t>
  </si>
  <si>
    <t xml:space="preserve">Custo de aquisição de equipamentos - item 3.1 até 3.3 do quadro  instalações e equipamentos </t>
  </si>
  <si>
    <t>1.1. Agentes e auxiliar de triagem de resíduos sólidos - 44 horas</t>
  </si>
  <si>
    <t>1.2 Operador de empilhadeira - 44 horas</t>
  </si>
  <si>
    <t>1.3 Operador de prensa hidraúlica  - 44 horas</t>
  </si>
  <si>
    <t>1.4 Encarregado de operações de triagem  - 44 horas</t>
  </si>
  <si>
    <t>3.1 Estação de triagem - com telhado e dimenões e  com material especificado NO PROJETO DE ENGENHARIA - capacidade de 48 toneladas 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</si>
</sst>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-* #,##0.000_-;\-* #,##0.000_-;_-* &quot;-&quot;???_-;_-@_-"/>
    <numFmt numFmtId="170" formatCode="&quot;R$&quot;\ #,##0.00"/>
    <numFmt numFmtId="171" formatCode="_(* #,##0.0000_);_(* \(#,##0.0000\);_(* &quot;-&quot;??_);_(@_)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6"/>
      <color indexed="20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b/>
      <u/>
      <sz val="10"/>
      <color indexed="12"/>
      <name val="Arial"/>
      <family val="2"/>
    </font>
    <font>
      <sz val="9"/>
      <color indexed="81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399">
    <xf numFmtId="0" fontId="0" fillId="0" borderId="0" xfId="0"/>
    <xf numFmtId="0" fontId="9" fillId="0" borderId="0" xfId="0" applyFont="1"/>
    <xf numFmtId="0" fontId="0" fillId="0" borderId="0" xfId="0" applyAlignment="1">
      <alignment vertical="center"/>
    </xf>
    <xf numFmtId="165" fontId="0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165" fontId="9" fillId="0" borderId="2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9" fillId="0" borderId="1" xfId="3" applyFont="1" applyBorder="1" applyAlignment="1">
      <alignment horizontal="center" vertical="center"/>
    </xf>
    <xf numFmtId="165" fontId="6" fillId="2" borderId="4" xfId="3" applyFont="1" applyFill="1" applyBorder="1" applyAlignment="1">
      <alignment horizontal="center" vertical="center"/>
    </xf>
    <xf numFmtId="165" fontId="6" fillId="2" borderId="4" xfId="3" applyFont="1" applyFill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0" fontId="9" fillId="0" borderId="6" xfId="0" applyFont="1" applyBorder="1" applyAlignment="1">
      <alignment vertical="center"/>
    </xf>
    <xf numFmtId="165" fontId="9" fillId="0" borderId="6" xfId="3" applyFont="1" applyBorder="1" applyAlignment="1">
      <alignment vertical="center"/>
    </xf>
    <xf numFmtId="165" fontId="9" fillId="0" borderId="7" xfId="3" applyFont="1" applyBorder="1" applyAlignment="1">
      <alignment vertical="center"/>
    </xf>
    <xf numFmtId="165" fontId="6" fillId="0" borderId="0" xfId="3" applyFont="1" applyBorder="1" applyAlignment="1">
      <alignment horizontal="center" vertical="center"/>
    </xf>
    <xf numFmtId="165" fontId="6" fillId="0" borderId="0" xfId="3" applyFont="1" applyBorder="1" applyAlignment="1">
      <alignment vertical="center"/>
    </xf>
    <xf numFmtId="166" fontId="9" fillId="0" borderId="1" xfId="3" applyNumberFormat="1" applyFont="1" applyBorder="1" applyAlignment="1">
      <alignment vertical="center"/>
    </xf>
    <xf numFmtId="165" fontId="6" fillId="0" borderId="5" xfId="3" applyFont="1" applyBorder="1" applyAlignment="1">
      <alignment horizontal="left" vertical="center"/>
    </xf>
    <xf numFmtId="165" fontId="0" fillId="0" borderId="11" xfId="3" applyFont="1" applyBorder="1" applyAlignment="1">
      <alignment vertical="center"/>
    </xf>
    <xf numFmtId="165" fontId="9" fillId="0" borderId="1" xfId="3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3" applyFont="1" applyBorder="1" applyAlignment="1">
      <alignment vertical="center"/>
    </xf>
    <xf numFmtId="165" fontId="9" fillId="0" borderId="0" xfId="3" applyFont="1" applyBorder="1" applyAlignment="1">
      <alignment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165" fontId="14" fillId="2" borderId="14" xfId="3" applyFont="1" applyFill="1" applyBorder="1" applyAlignment="1">
      <alignment horizontal="center" vertical="center"/>
    </xf>
    <xf numFmtId="165" fontId="14" fillId="2" borderId="15" xfId="3" applyFont="1" applyFill="1" applyBorder="1" applyAlignment="1">
      <alignment horizontal="center" vertical="center"/>
    </xf>
    <xf numFmtId="165" fontId="4" fillId="0" borderId="11" xfId="3" applyFont="1" applyBorder="1" applyAlignment="1">
      <alignment horizontal="left" vertical="center"/>
    </xf>
    <xf numFmtId="165" fontId="9" fillId="0" borderId="8" xfId="3" applyFont="1" applyBorder="1" applyAlignment="1">
      <alignment vertical="center"/>
    </xf>
    <xf numFmtId="4" fontId="6" fillId="0" borderId="25" xfId="0" applyNumberFormat="1" applyFont="1" applyBorder="1" applyAlignment="1">
      <alignment vertical="center"/>
    </xf>
    <xf numFmtId="1" fontId="6" fillId="0" borderId="27" xfId="3" applyNumberFormat="1" applyFont="1" applyBorder="1" applyAlignment="1">
      <alignment horizontal="center" vertical="center"/>
    </xf>
    <xf numFmtId="165" fontId="9" fillId="0" borderId="1" xfId="3" applyFont="1" applyFill="1" applyBorder="1" applyAlignment="1">
      <alignment horizontal="center" vertical="center"/>
    </xf>
    <xf numFmtId="43" fontId="9" fillId="0" borderId="0" xfId="0" applyNumberFormat="1" applyFont="1" applyAlignment="1">
      <alignment vertical="center"/>
    </xf>
    <xf numFmtId="166" fontId="9" fillId="0" borderId="1" xfId="3" applyNumberFormat="1" applyFont="1" applyBorder="1" applyAlignment="1">
      <alignment horizontal="center" vertical="center"/>
    </xf>
    <xf numFmtId="166" fontId="9" fillId="0" borderId="1" xfId="3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/>
    <xf numFmtId="165" fontId="6" fillId="0" borderId="3" xfId="3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2" borderId="7" xfId="3" applyFont="1" applyFill="1" applyBorder="1" applyAlignment="1">
      <alignment horizontal="center" vertical="center"/>
    </xf>
    <xf numFmtId="165" fontId="6" fillId="0" borderId="11" xfId="3" applyFont="1" applyBorder="1" applyAlignment="1">
      <alignment vertical="center"/>
    </xf>
    <xf numFmtId="165" fontId="6" fillId="0" borderId="31" xfId="3" applyFont="1" applyBorder="1" applyAlignment="1">
      <alignment vertical="center"/>
    </xf>
    <xf numFmtId="4" fontId="6" fillId="0" borderId="0" xfId="0" applyNumberFormat="1" applyFont="1" applyAlignment="1">
      <alignment vertical="center"/>
    </xf>
    <xf numFmtId="165" fontId="9" fillId="0" borderId="32" xfId="3" applyFont="1" applyBorder="1" applyAlignment="1">
      <alignment vertical="center"/>
    </xf>
    <xf numFmtId="4" fontId="0" fillId="0" borderId="0" xfId="0" applyNumberFormat="1" applyAlignment="1">
      <alignment vertical="center"/>
    </xf>
    <xf numFmtId="165" fontId="9" fillId="6" borderId="1" xfId="3" applyFont="1" applyFill="1" applyBorder="1" applyAlignment="1">
      <alignment horizontal="center" vertical="center"/>
    </xf>
    <xf numFmtId="9" fontId="6" fillId="0" borderId="15" xfId="2" applyFont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31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2" xfId="3" applyFont="1" applyFill="1" applyBorder="1" applyAlignment="1">
      <alignment vertical="center"/>
    </xf>
    <xf numFmtId="2" fontId="20" fillId="7" borderId="1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20" fillId="0" borderId="16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10" fontId="24" fillId="0" borderId="16" xfId="0" applyNumberFormat="1" applyFont="1" applyBorder="1" applyAlignment="1">
      <alignment horizontal="right" vertical="center"/>
    </xf>
    <xf numFmtId="0" fontId="20" fillId="5" borderId="19" xfId="0" applyFont="1" applyFill="1" applyBorder="1" applyAlignment="1">
      <alignment horizontal="left" vertical="center"/>
    </xf>
    <xf numFmtId="0" fontId="24" fillId="5" borderId="1" xfId="0" applyFont="1" applyFill="1" applyBorder="1" applyAlignment="1">
      <alignment horizontal="left" vertical="center"/>
    </xf>
    <xf numFmtId="10" fontId="24" fillId="5" borderId="16" xfId="0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10" fontId="9" fillId="0" borderId="0" xfId="0" applyNumberFormat="1" applyFont="1"/>
    <xf numFmtId="9" fontId="20" fillId="0" borderId="0" xfId="2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9" borderId="20" xfId="0" applyFont="1" applyFill="1" applyBorder="1" applyAlignment="1">
      <alignment horizontal="left" vertical="center"/>
    </xf>
    <xf numFmtId="0" fontId="24" fillId="9" borderId="29" xfId="0" applyFont="1" applyFill="1" applyBorder="1" applyAlignment="1">
      <alignment horizontal="left" vertical="center"/>
    </xf>
    <xf numFmtId="10" fontId="24" fillId="9" borderId="30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vertical="center"/>
    </xf>
    <xf numFmtId="10" fontId="24" fillId="0" borderId="0" xfId="0" applyNumberFormat="1" applyFont="1" applyAlignment="1">
      <alignment horizontal="right" vertical="center"/>
    </xf>
    <xf numFmtId="0" fontId="26" fillId="4" borderId="0" xfId="0" applyFont="1" applyFill="1" applyAlignment="1">
      <alignment horizontal="left" vertical="center"/>
    </xf>
    <xf numFmtId="10" fontId="20" fillId="0" borderId="0" xfId="0" applyNumberFormat="1" applyFont="1" applyAlignment="1">
      <alignment horizontal="right" vertical="center"/>
    </xf>
    <xf numFmtId="0" fontId="20" fillId="4" borderId="0" xfId="0" applyFont="1" applyFill="1" applyAlignment="1">
      <alignment horizontal="left" vertical="center"/>
    </xf>
    <xf numFmtId="0" fontId="27" fillId="0" borderId="0" xfId="0" applyFont="1" applyAlignment="1">
      <alignment horizontal="justify" vertical="center"/>
    </xf>
    <xf numFmtId="0" fontId="11" fillId="0" borderId="0" xfId="1" applyBorder="1" applyAlignment="1" applyProtection="1">
      <alignment horizontal="left" vertical="center"/>
    </xf>
    <xf numFmtId="0" fontId="28" fillId="0" borderId="0" xfId="0" applyFont="1"/>
    <xf numFmtId="0" fontId="20" fillId="0" borderId="0" xfId="0" applyFont="1" applyAlignment="1">
      <alignment horizontal="right" vertical="center"/>
    </xf>
    <xf numFmtId="0" fontId="11" fillId="0" borderId="0" xfId="1" applyBorder="1" applyAlignment="1" applyProtection="1">
      <alignment vertical="center"/>
    </xf>
    <xf numFmtId="0" fontId="8" fillId="0" borderId="19" xfId="0" applyFont="1" applyBorder="1"/>
    <xf numFmtId="0" fontId="8" fillId="0" borderId="31" xfId="0" applyFont="1" applyBorder="1"/>
    <xf numFmtId="0" fontId="10" fillId="0" borderId="31" xfId="0" applyFont="1" applyBorder="1" applyAlignment="1">
      <alignment horizontal="left" vertical="center"/>
    </xf>
    <xf numFmtId="9" fontId="8" fillId="0" borderId="19" xfId="2" applyFont="1" applyBorder="1"/>
    <xf numFmtId="9" fontId="8" fillId="0" borderId="1" xfId="2" applyFont="1" applyBorder="1" applyAlignment="1">
      <alignment horizontal="center"/>
    </xf>
    <xf numFmtId="9" fontId="8" fillId="0" borderId="16" xfId="2" applyFont="1" applyBorder="1"/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10" fontId="8" fillId="3" borderId="10" xfId="0" applyNumberFormat="1" applyFont="1" applyFill="1" applyBorder="1" applyAlignment="1">
      <alignment horizontal="center" vertical="center"/>
    </xf>
    <xf numFmtId="10" fontId="8" fillId="0" borderId="16" xfId="2" applyNumberFormat="1" applyFont="1" applyBorder="1"/>
    <xf numFmtId="0" fontId="8" fillId="0" borderId="19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0" fontId="8" fillId="3" borderId="16" xfId="0" applyNumberFormat="1" applyFont="1" applyFill="1" applyBorder="1" applyAlignment="1">
      <alignment horizontal="center" vertical="center"/>
    </xf>
    <xf numFmtId="10" fontId="8" fillId="0" borderId="16" xfId="0" applyNumberFormat="1" applyFont="1" applyBorder="1" applyAlignment="1">
      <alignment horizontal="center" vertical="center"/>
    </xf>
    <xf numFmtId="10" fontId="8" fillId="3" borderId="1" xfId="2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16" xfId="0" applyFont="1" applyBorder="1"/>
    <xf numFmtId="0" fontId="8" fillId="0" borderId="20" xfId="0" applyFont="1" applyBorder="1" applyAlignment="1">
      <alignment horizontal="left" vertical="center"/>
    </xf>
    <xf numFmtId="10" fontId="8" fillId="3" borderId="30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10" fontId="8" fillId="0" borderId="23" xfId="0" applyNumberFormat="1" applyFont="1" applyBorder="1" applyAlignment="1">
      <alignment vertical="center"/>
    </xf>
    <xf numFmtId="0" fontId="8" fillId="0" borderId="24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vertical="center"/>
    </xf>
    <xf numFmtId="0" fontId="10" fillId="5" borderId="5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/>
    </xf>
    <xf numFmtId="10" fontId="10" fillId="5" borderId="7" xfId="0" applyNumberFormat="1" applyFont="1" applyFill="1" applyBorder="1" applyAlignment="1">
      <alignment horizontal="center" vertical="center" wrapText="1"/>
    </xf>
    <xf numFmtId="10" fontId="8" fillId="0" borderId="19" xfId="2" applyNumberFormat="1" applyFont="1" applyBorder="1" applyAlignment="1">
      <alignment horizontal="right"/>
    </xf>
    <xf numFmtId="10" fontId="8" fillId="0" borderId="1" xfId="2" applyNumberFormat="1" applyFont="1" applyBorder="1" applyAlignment="1">
      <alignment horizontal="right"/>
    </xf>
    <xf numFmtId="10" fontId="8" fillId="0" borderId="16" xfId="2" applyNumberFormat="1" applyFont="1" applyBorder="1" applyAlignment="1">
      <alignment horizontal="right"/>
    </xf>
    <xf numFmtId="10" fontId="8" fillId="0" borderId="20" xfId="2" applyNumberFormat="1" applyFont="1" applyBorder="1" applyAlignment="1">
      <alignment horizontal="right"/>
    </xf>
    <xf numFmtId="10" fontId="8" fillId="0" borderId="29" xfId="2" applyNumberFormat="1" applyFont="1" applyBorder="1" applyAlignment="1">
      <alignment horizontal="right"/>
    </xf>
    <xf numFmtId="10" fontId="8" fillId="0" borderId="30" xfId="2" applyNumberFormat="1" applyFont="1" applyBorder="1" applyAlignment="1">
      <alignment horizontal="right"/>
    </xf>
    <xf numFmtId="0" fontId="9" fillId="0" borderId="37" xfId="0" applyFont="1" applyBorder="1"/>
    <xf numFmtId="0" fontId="21" fillId="0" borderId="37" xfId="0" applyFont="1" applyBorder="1" applyAlignment="1">
      <alignment horizontal="justify"/>
    </xf>
    <xf numFmtId="0" fontId="21" fillId="0" borderId="38" xfId="0" applyFont="1" applyBorder="1" applyAlignment="1">
      <alignment horizontal="justify"/>
    </xf>
    <xf numFmtId="0" fontId="18" fillId="10" borderId="36" xfId="0" applyFont="1" applyFill="1" applyBorder="1" applyAlignment="1">
      <alignment horizontal="center"/>
    </xf>
    <xf numFmtId="0" fontId="9" fillId="0" borderId="8" xfId="0" applyFont="1" applyBorder="1" applyAlignment="1">
      <alignment vertical="center"/>
    </xf>
    <xf numFmtId="165" fontId="6" fillId="0" borderId="7" xfId="3" applyFont="1" applyBorder="1" applyAlignment="1">
      <alignment horizontal="right" vertical="center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6" fillId="0" borderId="8" xfId="3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166" fontId="6" fillId="0" borderId="1" xfId="3" applyNumberFormat="1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/>
    <xf numFmtId="0" fontId="6" fillId="0" borderId="39" xfId="0" applyFont="1" applyBorder="1" applyAlignment="1">
      <alignment horizontal="center" vertical="center"/>
    </xf>
    <xf numFmtId="165" fontId="6" fillId="0" borderId="39" xfId="3" applyFont="1" applyBorder="1" applyAlignment="1">
      <alignment horizontal="center" vertical="center"/>
    </xf>
    <xf numFmtId="165" fontId="6" fillId="0" borderId="39" xfId="3" applyFont="1" applyFill="1" applyBorder="1" applyAlignment="1">
      <alignment horizontal="center" vertical="center"/>
    </xf>
    <xf numFmtId="0" fontId="8" fillId="0" borderId="19" xfId="0" applyFont="1" applyBorder="1" applyAlignment="1">
      <alignment horizontal="right"/>
    </xf>
    <xf numFmtId="4" fontId="29" fillId="0" borderId="0" xfId="0" applyNumberFormat="1" applyFont="1" applyAlignment="1">
      <alignment vertical="center"/>
    </xf>
    <xf numFmtId="0" fontId="4" fillId="0" borderId="0" xfId="4"/>
    <xf numFmtId="0" fontId="6" fillId="0" borderId="40" xfId="4" applyFont="1" applyBorder="1"/>
    <xf numFmtId="166" fontId="4" fillId="0" borderId="41" xfId="5" applyNumberFormat="1" applyFont="1" applyBorder="1"/>
    <xf numFmtId="0" fontId="6" fillId="0" borderId="44" xfId="4" applyFont="1" applyBorder="1"/>
    <xf numFmtId="166" fontId="6" fillId="0" borderId="45" xfId="5" applyNumberFormat="1" applyFont="1" applyBorder="1"/>
    <xf numFmtId="166" fontId="6" fillId="0" borderId="41" xfId="5" applyNumberFormat="1" applyFont="1" applyBorder="1"/>
    <xf numFmtId="16" fontId="4" fillId="0" borderId="40" xfId="4" applyNumberFormat="1" applyBorder="1"/>
    <xf numFmtId="0" fontId="4" fillId="0" borderId="40" xfId="4" applyBorder="1"/>
    <xf numFmtId="166" fontId="4" fillId="0" borderId="41" xfId="5" applyNumberFormat="1" applyFont="1" applyFill="1" applyBorder="1"/>
    <xf numFmtId="0" fontId="6" fillId="0" borderId="42" xfId="4" applyFont="1" applyBorder="1"/>
    <xf numFmtId="165" fontId="6" fillId="0" borderId="43" xfId="5" applyFont="1" applyBorder="1"/>
    <xf numFmtId="166" fontId="4" fillId="0" borderId="0" xfId="5" applyNumberFormat="1" applyFont="1"/>
    <xf numFmtId="0" fontId="13" fillId="0" borderId="0" xfId="4" applyFont="1"/>
    <xf numFmtId="0" fontId="4" fillId="0" borderId="1" xfId="0" applyFont="1" applyBorder="1" applyAlignment="1">
      <alignment horizontal="center" vertical="center"/>
    </xf>
    <xf numFmtId="165" fontId="4" fillId="0" borderId="9" xfId="3" applyFont="1" applyBorder="1" applyAlignment="1">
      <alignment vertical="center"/>
    </xf>
    <xf numFmtId="2" fontId="24" fillId="7" borderId="1" xfId="0" applyNumberFormat="1" applyFont="1" applyFill="1" applyBorder="1" applyAlignment="1">
      <alignment horizontal="right" vertical="center"/>
    </xf>
    <xf numFmtId="165" fontId="6" fillId="0" borderId="11" xfId="3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5" fontId="9" fillId="0" borderId="0" xfId="3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165" fontId="6" fillId="0" borderId="32" xfId="3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65" fontId="6" fillId="0" borderId="32" xfId="3" applyFont="1" applyFill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34" fillId="0" borderId="31" xfId="1" applyFont="1" applyBorder="1" applyAlignment="1" applyProtection="1">
      <alignment vertical="center"/>
    </xf>
    <xf numFmtId="165" fontId="9" fillId="0" borderId="32" xfId="3" applyFont="1" applyBorder="1" applyAlignment="1">
      <alignment horizontal="center" vertical="center"/>
    </xf>
    <xf numFmtId="0" fontId="6" fillId="0" borderId="46" xfId="0" applyFont="1" applyBorder="1" applyAlignment="1">
      <alignment vertical="center"/>
    </xf>
    <xf numFmtId="0" fontId="5" fillId="0" borderId="31" xfId="0" applyFont="1" applyBorder="1" applyAlignment="1">
      <alignment horizontal="left" vertical="center" wrapText="1"/>
    </xf>
    <xf numFmtId="165" fontId="6" fillId="0" borderId="32" xfId="3" applyFont="1" applyBorder="1" applyAlignment="1">
      <alignment horizontal="center" vertical="center"/>
    </xf>
    <xf numFmtId="165" fontId="6" fillId="0" borderId="32" xfId="3" applyFont="1" applyFill="1" applyBorder="1" applyAlignment="1">
      <alignment horizontal="center" vertical="center"/>
    </xf>
    <xf numFmtId="165" fontId="9" fillId="0" borderId="32" xfId="3" applyFont="1" applyFill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165" fontId="7" fillId="0" borderId="32" xfId="3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9" fillId="0" borderId="0" xfId="10" applyFont="1"/>
    <xf numFmtId="0" fontId="19" fillId="0" borderId="0" xfId="10" applyFont="1" applyAlignment="1">
      <alignment horizontal="center"/>
    </xf>
    <xf numFmtId="0" fontId="25" fillId="0" borderId="0" xfId="10" applyFont="1"/>
    <xf numFmtId="0" fontId="19" fillId="0" borderId="1" xfId="10" applyFont="1" applyBorder="1"/>
    <xf numFmtId="0" fontId="19" fillId="0" borderId="1" xfId="10" applyFont="1" applyBorder="1" applyAlignment="1">
      <alignment horizontal="center" wrapText="1"/>
    </xf>
    <xf numFmtId="0" fontId="25" fillId="0" borderId="1" xfId="10" applyFont="1" applyBorder="1"/>
    <xf numFmtId="0" fontId="25" fillId="3" borderId="1" xfId="10" applyFont="1" applyFill="1" applyBorder="1" applyAlignment="1">
      <alignment horizontal="center"/>
    </xf>
    <xf numFmtId="9" fontId="25" fillId="3" borderId="1" xfId="2" applyFont="1" applyFill="1" applyBorder="1" applyAlignment="1">
      <alignment horizontal="center"/>
    </xf>
    <xf numFmtId="0" fontId="25" fillId="0" borderId="1" xfId="10" applyFont="1" applyBorder="1" applyAlignment="1">
      <alignment horizontal="center"/>
    </xf>
    <xf numFmtId="165" fontId="25" fillId="0" borderId="1" xfId="3" applyFont="1" applyFill="1" applyBorder="1" applyAlignment="1">
      <alignment horizontal="center"/>
    </xf>
    <xf numFmtId="167" fontId="25" fillId="0" borderId="1" xfId="3" applyNumberFormat="1" applyFont="1" applyFill="1" applyBorder="1" applyAlignment="1">
      <alignment horizontal="center"/>
    </xf>
    <xf numFmtId="167" fontId="19" fillId="0" borderId="1" xfId="3" applyNumberFormat="1" applyFont="1" applyFill="1" applyBorder="1" applyAlignment="1">
      <alignment horizontal="center"/>
    </xf>
    <xf numFmtId="165" fontId="19" fillId="11" borderId="1" xfId="3" applyFont="1" applyFill="1" applyBorder="1" applyAlignment="1">
      <alignment horizontal="center"/>
    </xf>
    <xf numFmtId="0" fontId="25" fillId="0" borderId="0" xfId="10" applyFont="1" applyAlignment="1">
      <alignment horizontal="center"/>
    </xf>
    <xf numFmtId="165" fontId="25" fillId="3" borderId="1" xfId="3" applyFont="1" applyFill="1" applyBorder="1" applyAlignment="1">
      <alignment horizontal="center"/>
    </xf>
    <xf numFmtId="165" fontId="6" fillId="11" borderId="4" xfId="3" applyFont="1" applyFill="1" applyBorder="1" applyAlignment="1">
      <alignment horizontal="right" vertical="center"/>
    </xf>
    <xf numFmtId="165" fontId="6" fillId="0" borderId="31" xfId="3" applyFont="1" applyBorder="1" applyAlignment="1">
      <alignment horizontal="left" vertical="center"/>
    </xf>
    <xf numFmtId="10" fontId="6" fillId="0" borderId="32" xfId="2" applyNumberFormat="1" applyFont="1" applyBorder="1" applyAlignment="1">
      <alignment vertical="center"/>
    </xf>
    <xf numFmtId="165" fontId="7" fillId="0" borderId="21" xfId="3" applyFont="1" applyFill="1" applyBorder="1" applyAlignment="1">
      <alignment horizontal="left" vertical="center"/>
    </xf>
    <xf numFmtId="168" fontId="6" fillId="0" borderId="17" xfId="0" applyNumberFormat="1" applyFont="1" applyBorder="1" applyAlignment="1">
      <alignment vertical="center"/>
    </xf>
    <xf numFmtId="168" fontId="0" fillId="0" borderId="19" xfId="0" applyNumberFormat="1" applyBorder="1" applyAlignment="1">
      <alignment vertical="center"/>
    </xf>
    <xf numFmtId="168" fontId="6" fillId="0" borderId="19" xfId="0" applyNumberFormat="1" applyFont="1" applyBorder="1" applyAlignment="1">
      <alignment vertical="center"/>
    </xf>
    <xf numFmtId="10" fontId="6" fillId="0" borderId="10" xfId="2" applyNumberFormat="1" applyFont="1" applyBorder="1" applyAlignment="1">
      <alignment vertical="center"/>
    </xf>
    <xf numFmtId="10" fontId="0" fillId="0" borderId="16" xfId="2" applyNumberFormat="1" applyFont="1" applyBorder="1" applyAlignment="1">
      <alignment vertical="center"/>
    </xf>
    <xf numFmtId="10" fontId="6" fillId="0" borderId="16" xfId="2" applyNumberFormat="1" applyFont="1" applyBorder="1" applyAlignment="1">
      <alignment vertical="center"/>
    </xf>
    <xf numFmtId="10" fontId="9" fillId="0" borderId="16" xfId="2" applyNumberFormat="1" applyFont="1" applyBorder="1" applyAlignment="1">
      <alignment vertical="center"/>
    </xf>
    <xf numFmtId="165" fontId="14" fillId="0" borderId="11" xfId="3" applyFont="1" applyBorder="1" applyAlignment="1">
      <alignment horizontal="left" vertical="center"/>
    </xf>
    <xf numFmtId="168" fontId="6" fillId="12" borderId="19" xfId="0" applyNumberFormat="1" applyFont="1" applyFill="1" applyBorder="1" applyAlignment="1">
      <alignment vertical="center"/>
    </xf>
    <xf numFmtId="10" fontId="6" fillId="12" borderId="12" xfId="2" applyNumberFormat="1" applyFont="1" applyFill="1" applyBorder="1" applyAlignment="1">
      <alignment vertical="center"/>
    </xf>
    <xf numFmtId="0" fontId="6" fillId="12" borderId="19" xfId="0" applyFont="1" applyFill="1" applyBorder="1" applyAlignment="1">
      <alignment vertical="center"/>
    </xf>
    <xf numFmtId="0" fontId="6" fillId="12" borderId="16" xfId="0" applyFont="1" applyFill="1" applyBorder="1" applyAlignment="1">
      <alignment vertical="center"/>
    </xf>
    <xf numFmtId="168" fontId="6" fillId="12" borderId="33" xfId="0" applyNumberFormat="1" applyFont="1" applyFill="1" applyBorder="1" applyAlignment="1">
      <alignment vertical="center"/>
    </xf>
    <xf numFmtId="10" fontId="6" fillId="12" borderId="32" xfId="2" applyNumberFormat="1" applyFont="1" applyFill="1" applyBorder="1" applyAlignment="1">
      <alignment vertical="center"/>
    </xf>
    <xf numFmtId="0" fontId="6" fillId="12" borderId="33" xfId="0" applyFont="1" applyFill="1" applyBorder="1" applyAlignment="1">
      <alignment vertical="center"/>
    </xf>
    <xf numFmtId="0" fontId="6" fillId="12" borderId="32" xfId="0" applyFont="1" applyFill="1" applyBorder="1" applyAlignment="1">
      <alignment vertical="center"/>
    </xf>
    <xf numFmtId="168" fontId="6" fillId="0" borderId="47" xfId="0" applyNumberFormat="1" applyFont="1" applyBorder="1" applyAlignment="1">
      <alignment vertical="center"/>
    </xf>
    <xf numFmtId="0" fontId="6" fillId="0" borderId="48" xfId="4" applyFont="1" applyBorder="1" applyAlignment="1">
      <alignment horizontal="left"/>
    </xf>
    <xf numFmtId="0" fontId="4" fillId="0" borderId="31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65" fontId="4" fillId="0" borderId="32" xfId="3" applyFont="1" applyBorder="1" applyAlignment="1">
      <alignment vertical="center"/>
    </xf>
    <xf numFmtId="165" fontId="4" fillId="0" borderId="0" xfId="3" applyFont="1" applyAlignment="1">
      <alignment vertical="center"/>
    </xf>
    <xf numFmtId="165" fontId="4" fillId="6" borderId="1" xfId="3" applyFont="1" applyFill="1" applyBorder="1" applyAlignment="1">
      <alignment horizontal="center" vertical="center"/>
    </xf>
    <xf numFmtId="165" fontId="4" fillId="0" borderId="1" xfId="3" applyFont="1" applyBorder="1" applyAlignment="1">
      <alignment horizontal="center" vertical="center"/>
    </xf>
    <xf numFmtId="165" fontId="4" fillId="0" borderId="0" xfId="3" applyFont="1" applyBorder="1" applyAlignment="1">
      <alignment horizontal="right" vertical="center"/>
    </xf>
    <xf numFmtId="0" fontId="10" fillId="0" borderId="1" xfId="4" applyFont="1" applyBorder="1" applyAlignment="1">
      <alignment horizontal="left" vertical="center"/>
    </xf>
    <xf numFmtId="0" fontId="10" fillId="0" borderId="1" xfId="4" applyFont="1" applyBorder="1" applyAlignment="1">
      <alignment horizontal="center" vertical="center" wrapText="1"/>
    </xf>
    <xf numFmtId="0" fontId="8" fillId="0" borderId="50" xfId="4" applyFont="1" applyBorder="1"/>
    <xf numFmtId="10" fontId="8" fillId="0" borderId="50" xfId="4" applyNumberFormat="1" applyFont="1" applyBorder="1" applyAlignment="1">
      <alignment horizontal="right"/>
    </xf>
    <xf numFmtId="0" fontId="8" fillId="0" borderId="51" xfId="4" applyFont="1" applyBorder="1"/>
    <xf numFmtId="10" fontId="8" fillId="0" borderId="51" xfId="4" applyNumberFormat="1" applyFont="1" applyBorder="1" applyAlignment="1">
      <alignment horizontal="right"/>
    </xf>
    <xf numFmtId="0" fontId="8" fillId="0" borderId="52" xfId="4" applyFont="1" applyBorder="1"/>
    <xf numFmtId="10" fontId="8" fillId="0" borderId="52" xfId="11" applyNumberFormat="1" applyFont="1" applyFill="1" applyBorder="1"/>
    <xf numFmtId="0" fontId="10" fillId="0" borderId="8" xfId="4" applyFont="1" applyBorder="1"/>
    <xf numFmtId="10" fontId="10" fillId="0" borderId="1" xfId="4" applyNumberFormat="1" applyFont="1" applyBorder="1" applyAlignment="1">
      <alignment horizontal="right"/>
    </xf>
    <xf numFmtId="0" fontId="6" fillId="0" borderId="4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5" fontId="4" fillId="0" borderId="6" xfId="3" applyFont="1" applyBorder="1" applyAlignment="1">
      <alignment vertical="center"/>
    </xf>
    <xf numFmtId="165" fontId="4" fillId="0" borderId="7" xfId="3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5" fontId="4" fillId="0" borderId="2" xfId="3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165" fontId="6" fillId="0" borderId="8" xfId="3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165" fontId="4" fillId="0" borderId="22" xfId="3" applyFont="1" applyBorder="1" applyAlignment="1">
      <alignment vertical="center"/>
    </xf>
    <xf numFmtId="165" fontId="4" fillId="0" borderId="23" xfId="3" applyFont="1" applyBorder="1" applyAlignment="1">
      <alignment vertical="center"/>
    </xf>
    <xf numFmtId="0" fontId="4" fillId="0" borderId="5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65" fontId="4" fillId="0" borderId="18" xfId="3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65" fontId="6" fillId="0" borderId="25" xfId="3" applyFont="1" applyBorder="1" applyAlignment="1">
      <alignment vertical="center"/>
    </xf>
    <xf numFmtId="165" fontId="6" fillId="0" borderId="26" xfId="3" applyFont="1" applyFill="1" applyBorder="1" applyAlignment="1">
      <alignment horizontal="center" vertical="center"/>
    </xf>
    <xf numFmtId="10" fontId="8" fillId="0" borderId="1" xfId="2" quotePrefix="1" applyNumberFormat="1" applyFont="1" applyBorder="1" applyAlignment="1">
      <alignment horizontal="right"/>
    </xf>
    <xf numFmtId="164" fontId="6" fillId="11" borderId="28" xfId="0" applyNumberFormat="1" applyFont="1" applyFill="1" applyBorder="1" applyAlignment="1">
      <alignment vertical="center"/>
    </xf>
    <xf numFmtId="0" fontId="6" fillId="0" borderId="21" xfId="4" applyFont="1" applyBorder="1"/>
    <xf numFmtId="10" fontId="6" fillId="12" borderId="16" xfId="2" applyNumberFormat="1" applyFont="1" applyFill="1" applyBorder="1" applyAlignment="1">
      <alignment vertical="center"/>
    </xf>
    <xf numFmtId="0" fontId="6" fillId="0" borderId="48" xfId="4" applyFont="1" applyBorder="1" applyAlignment="1">
      <alignment horizontal="right"/>
    </xf>
    <xf numFmtId="165" fontId="9" fillId="0" borderId="0" xfId="3" applyFont="1" applyFill="1" applyBorder="1" applyAlignment="1">
      <alignment vertical="center"/>
    </xf>
    <xf numFmtId="165" fontId="9" fillId="0" borderId="32" xfId="3" applyFont="1" applyFill="1" applyBorder="1" applyAlignment="1">
      <alignment vertical="center"/>
    </xf>
    <xf numFmtId="165" fontId="6" fillId="0" borderId="54" xfId="3" applyFont="1" applyBorder="1" applyAlignment="1">
      <alignment vertical="center"/>
    </xf>
    <xf numFmtId="165" fontId="6" fillId="0" borderId="15" xfId="3" applyFont="1" applyBorder="1" applyAlignment="1">
      <alignment horizontal="right" vertical="center"/>
    </xf>
    <xf numFmtId="0" fontId="32" fillId="13" borderId="22" xfId="4" applyFont="1" applyFill="1" applyBorder="1" applyAlignment="1">
      <alignment vertical="center"/>
    </xf>
    <xf numFmtId="0" fontId="6" fillId="13" borderId="49" xfId="4" applyFont="1" applyFill="1" applyBorder="1" applyAlignment="1">
      <alignment horizontal="right"/>
    </xf>
    <xf numFmtId="165" fontId="9" fillId="13" borderId="2" xfId="3" applyFont="1" applyFill="1" applyBorder="1" applyAlignment="1">
      <alignment horizontal="center" vertical="center"/>
    </xf>
    <xf numFmtId="2" fontId="9" fillId="13" borderId="1" xfId="0" applyNumberFormat="1" applyFont="1" applyFill="1" applyBorder="1" applyAlignment="1">
      <alignment horizontal="center" vertical="center"/>
    </xf>
    <xf numFmtId="1" fontId="9" fillId="13" borderId="1" xfId="0" applyNumberFormat="1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165" fontId="9" fillId="13" borderId="0" xfId="3" applyFont="1" applyFill="1" applyBorder="1" applyAlignment="1">
      <alignment vertical="center"/>
    </xf>
    <xf numFmtId="0" fontId="9" fillId="13" borderId="0" xfId="0" applyFont="1" applyFill="1" applyAlignment="1">
      <alignment vertical="center"/>
    </xf>
    <xf numFmtId="4" fontId="9" fillId="13" borderId="1" xfId="0" applyNumberFormat="1" applyFont="1" applyFill="1" applyBorder="1" applyAlignment="1">
      <alignment horizontal="center" vertical="center"/>
    </xf>
    <xf numFmtId="4" fontId="9" fillId="13" borderId="1" xfId="3" applyNumberFormat="1" applyFont="1" applyFill="1" applyBorder="1" applyAlignment="1">
      <alignment horizontal="center" vertical="center"/>
    </xf>
    <xf numFmtId="165" fontId="9" fillId="13" borderId="1" xfId="3" applyFont="1" applyFill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/>
    </xf>
    <xf numFmtId="3" fontId="9" fillId="13" borderId="1" xfId="0" applyNumberFormat="1" applyFont="1" applyFill="1" applyBorder="1" applyAlignment="1">
      <alignment horizontal="center" vertical="center"/>
    </xf>
    <xf numFmtId="13" fontId="9" fillId="13" borderId="1" xfId="0" applyNumberFormat="1" applyFont="1" applyFill="1" applyBorder="1" applyAlignment="1">
      <alignment horizontal="center" vertical="center"/>
    </xf>
    <xf numFmtId="165" fontId="6" fillId="13" borderId="8" xfId="3" applyFont="1" applyFill="1" applyBorder="1" applyAlignment="1">
      <alignment vertical="center"/>
    </xf>
    <xf numFmtId="165" fontId="4" fillId="13" borderId="18" xfId="3" applyFont="1" applyFill="1" applyBorder="1" applyAlignment="1">
      <alignment horizontal="center" vertical="center"/>
    </xf>
    <xf numFmtId="0" fontId="6" fillId="13" borderId="31" xfId="0" applyFont="1" applyFill="1" applyBorder="1" applyAlignment="1">
      <alignment vertical="center"/>
    </xf>
    <xf numFmtId="10" fontId="20" fillId="13" borderId="16" xfId="0" applyNumberFormat="1" applyFont="1" applyFill="1" applyBorder="1" applyAlignment="1">
      <alignment horizontal="right" vertical="center"/>
    </xf>
    <xf numFmtId="165" fontId="9" fillId="0" borderId="0" xfId="3" applyFont="1" applyFill="1" applyAlignment="1">
      <alignment vertical="center"/>
    </xf>
    <xf numFmtId="43" fontId="4" fillId="0" borderId="0" xfId="0" applyNumberFormat="1" applyFont="1" applyAlignment="1">
      <alignment vertical="center"/>
    </xf>
    <xf numFmtId="165" fontId="4" fillId="0" borderId="1" xfId="3" applyFont="1" applyFill="1" applyBorder="1" applyAlignment="1">
      <alignment vertical="center"/>
    </xf>
    <xf numFmtId="165" fontId="4" fillId="0" borderId="1" xfId="3" applyFont="1" applyBorder="1" applyAlignment="1">
      <alignment vertical="center"/>
    </xf>
    <xf numFmtId="0" fontId="0" fillId="0" borderId="55" xfId="0" applyBorder="1" applyAlignment="1">
      <alignment vertical="center"/>
    </xf>
    <xf numFmtId="1" fontId="9" fillId="13" borderId="35" xfId="3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165" fontId="4" fillId="13" borderId="1" xfId="3" applyFont="1" applyFill="1" applyBorder="1" applyAlignment="1">
      <alignment horizontal="center" vertical="center"/>
    </xf>
    <xf numFmtId="9" fontId="4" fillId="13" borderId="1" xfId="2" applyFont="1" applyFill="1" applyBorder="1" applyAlignment="1">
      <alignment vertical="center"/>
    </xf>
    <xf numFmtId="166" fontId="4" fillId="13" borderId="1" xfId="3" applyNumberFormat="1" applyFont="1" applyFill="1" applyBorder="1" applyAlignment="1">
      <alignment horizontal="center" vertical="center"/>
    </xf>
    <xf numFmtId="165" fontId="4" fillId="13" borderId="2" xfId="3" applyFont="1" applyFill="1" applyBorder="1" applyAlignment="1">
      <alignment horizontal="center" vertical="center"/>
    </xf>
    <xf numFmtId="169" fontId="9" fillId="0" borderId="0" xfId="0" applyNumberFormat="1" applyFont="1" applyAlignment="1">
      <alignment vertical="center"/>
    </xf>
    <xf numFmtId="165" fontId="6" fillId="0" borderId="27" xfId="3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21" fillId="0" borderId="1" xfId="0" applyFont="1" applyBorder="1" applyAlignment="1">
      <alignment horizontal="justify"/>
    </xf>
    <xf numFmtId="0" fontId="4" fillId="0" borderId="1" xfId="0" applyFont="1" applyBorder="1"/>
    <xf numFmtId="170" fontId="6" fillId="3" borderId="1" xfId="0" applyNumberFormat="1" applyFont="1" applyFill="1" applyBorder="1"/>
    <xf numFmtId="170" fontId="6" fillId="0" borderId="1" xfId="0" applyNumberFormat="1" applyFont="1" applyBorder="1"/>
    <xf numFmtId="170" fontId="9" fillId="0" borderId="0" xfId="0" applyNumberFormat="1" applyFont="1"/>
    <xf numFmtId="171" fontId="4" fillId="0" borderId="0" xfId="3" applyNumberFormat="1" applyFont="1" applyBorder="1" applyAlignment="1">
      <alignment vertical="center"/>
    </xf>
    <xf numFmtId="0" fontId="4" fillId="0" borderId="34" xfId="0" applyFont="1" applyBorder="1" applyAlignment="1">
      <alignment vertical="center" wrapText="1"/>
    </xf>
    <xf numFmtId="165" fontId="4" fillId="3" borderId="53" xfId="3" applyFont="1" applyFill="1" applyBorder="1" applyAlignment="1">
      <alignment vertical="center"/>
    </xf>
    <xf numFmtId="0" fontId="6" fillId="3" borderId="34" xfId="0" applyFont="1" applyFill="1" applyBorder="1" applyAlignment="1">
      <alignment vertical="center" wrapText="1"/>
    </xf>
    <xf numFmtId="165" fontId="9" fillId="3" borderId="2" xfId="3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170" fontId="4" fillId="0" borderId="1" xfId="0" applyNumberFormat="1" applyFont="1" applyBorder="1"/>
    <xf numFmtId="49" fontId="6" fillId="3" borderId="1" xfId="0" applyNumberFormat="1" applyFont="1" applyFill="1" applyBorder="1"/>
    <xf numFmtId="49" fontId="4" fillId="0" borderId="1" xfId="0" applyNumberFormat="1" applyFont="1" applyBorder="1"/>
    <xf numFmtId="49" fontId="4" fillId="0" borderId="0" xfId="0" applyNumberFormat="1" applyFont="1"/>
    <xf numFmtId="10" fontId="4" fillId="0" borderId="1" xfId="0" applyNumberFormat="1" applyFont="1" applyBorder="1"/>
    <xf numFmtId="3" fontId="6" fillId="13" borderId="1" xfId="0" applyNumberFormat="1" applyFont="1" applyFill="1" applyBorder="1" applyAlignment="1">
      <alignment vertical="center"/>
    </xf>
    <xf numFmtId="1" fontId="6" fillId="0" borderId="1" xfId="0" applyNumberFormat="1" applyFont="1" applyBorder="1" applyAlignment="1">
      <alignment horizontal="center" vertical="center"/>
    </xf>
    <xf numFmtId="165" fontId="4" fillId="0" borderId="11" xfId="3" applyFont="1" applyBorder="1" applyAlignment="1">
      <alignment vertical="center"/>
    </xf>
    <xf numFmtId="0" fontId="4" fillId="13" borderId="0" xfId="0" applyFont="1" applyFill="1" applyAlignment="1">
      <alignment horizontal="center" vertical="center"/>
    </xf>
    <xf numFmtId="165" fontId="9" fillId="0" borderId="0" xfId="3" applyFont="1" applyFill="1" applyBorder="1" applyAlignment="1">
      <alignment horizontal="center" vertical="center"/>
    </xf>
    <xf numFmtId="0" fontId="4" fillId="0" borderId="56" xfId="0" applyFont="1" applyBorder="1" applyAlignment="1">
      <alignment vertical="center"/>
    </xf>
    <xf numFmtId="165" fontId="4" fillId="0" borderId="8" xfId="3" applyFont="1" applyBorder="1" applyAlignment="1">
      <alignment vertical="center"/>
    </xf>
    <xf numFmtId="49" fontId="9" fillId="0" borderId="8" xfId="3" applyNumberFormat="1" applyFont="1" applyBorder="1" applyAlignment="1">
      <alignment vertical="center"/>
    </xf>
    <xf numFmtId="0" fontId="4" fillId="0" borderId="19" xfId="0" applyFont="1" applyBorder="1" applyAlignment="1">
      <alignment vertical="center" wrapText="1"/>
    </xf>
    <xf numFmtId="170" fontId="0" fillId="3" borderId="0" xfId="0" applyNumberFormat="1" applyFill="1" applyAlignment="1">
      <alignment vertical="center"/>
    </xf>
    <xf numFmtId="170" fontId="6" fillId="0" borderId="0" xfId="0" applyNumberFormat="1" applyFont="1" applyAlignment="1">
      <alignment vertical="center"/>
    </xf>
    <xf numFmtId="41" fontId="4" fillId="0" borderId="17" xfId="0" applyNumberFormat="1" applyFont="1" applyBorder="1" applyAlignment="1">
      <alignment vertical="center"/>
    </xf>
    <xf numFmtId="41" fontId="4" fillId="0" borderId="57" xfId="0" applyNumberFormat="1" applyFont="1" applyBorder="1" applyAlignment="1">
      <alignment vertical="center"/>
    </xf>
    <xf numFmtId="41" fontId="4" fillId="0" borderId="19" xfId="0" applyNumberFormat="1" applyFont="1" applyBorder="1" applyAlignment="1">
      <alignment vertical="center"/>
    </xf>
    <xf numFmtId="41" fontId="4" fillId="0" borderId="9" xfId="0" applyNumberFormat="1" applyFont="1" applyBorder="1" applyAlignment="1">
      <alignment vertical="center"/>
    </xf>
    <xf numFmtId="0" fontId="6" fillId="0" borderId="58" xfId="0" applyFont="1" applyBorder="1" applyAlignment="1">
      <alignment vertical="center"/>
    </xf>
    <xf numFmtId="0" fontId="6" fillId="0" borderId="59" xfId="0" applyFont="1" applyBorder="1" applyAlignment="1">
      <alignment vertical="center"/>
    </xf>
    <xf numFmtId="165" fontId="6" fillId="0" borderId="60" xfId="3" applyFont="1" applyBorder="1" applyAlignment="1">
      <alignment horizontal="right" vertical="center"/>
    </xf>
    <xf numFmtId="165" fontId="6" fillId="0" borderId="24" xfId="3" applyFont="1" applyBorder="1" applyAlignment="1">
      <alignment vertical="center"/>
    </xf>
    <xf numFmtId="9" fontId="6" fillId="13" borderId="26" xfId="2" applyFont="1" applyFill="1" applyBorder="1" applyAlignment="1">
      <alignment vertical="center"/>
    </xf>
    <xf numFmtId="1" fontId="9" fillId="13" borderId="1" xfId="3" applyNumberFormat="1" applyFont="1" applyFill="1" applyBorder="1" applyAlignment="1">
      <alignment horizontal="center" vertical="center"/>
    </xf>
    <xf numFmtId="43" fontId="6" fillId="11" borderId="28" xfId="0" applyNumberFormat="1" applyFont="1" applyFill="1" applyBorder="1" applyAlignment="1">
      <alignment vertical="center"/>
    </xf>
    <xf numFmtId="165" fontId="6" fillId="0" borderId="21" xfId="3" applyFont="1" applyBorder="1" applyAlignment="1">
      <alignment vertical="center"/>
    </xf>
    <xf numFmtId="164" fontId="6" fillId="3" borderId="28" xfId="0" applyNumberFormat="1" applyFont="1" applyFill="1" applyBorder="1" applyAlignment="1">
      <alignment vertical="center"/>
    </xf>
    <xf numFmtId="165" fontId="0" fillId="0" borderId="11" xfId="3" applyFont="1" applyBorder="1" applyAlignment="1">
      <alignment vertical="center" wrapText="1"/>
    </xf>
    <xf numFmtId="165" fontId="6" fillId="3" borderId="1" xfId="3" applyFont="1" applyFill="1" applyBorder="1" applyAlignment="1">
      <alignment horizontal="left" vertical="center"/>
    </xf>
    <xf numFmtId="165" fontId="6" fillId="13" borderId="2" xfId="3" applyFont="1" applyFill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24" fillId="3" borderId="19" xfId="0" applyFont="1" applyFill="1" applyBorder="1" applyAlignment="1">
      <alignment horizontal="center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0" fillId="3" borderId="20" xfId="0" applyFont="1" applyFill="1" applyBorder="1" applyAlignment="1">
      <alignment horizontal="center" vertical="center"/>
    </xf>
    <xf numFmtId="2" fontId="20" fillId="3" borderId="29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65" fontId="6" fillId="0" borderId="24" xfId="3" applyFont="1" applyBorder="1" applyAlignment="1">
      <alignment horizontal="left" vertical="center"/>
    </xf>
    <xf numFmtId="165" fontId="6" fillId="0" borderId="25" xfId="3" applyFont="1" applyBorder="1" applyAlignment="1">
      <alignment horizontal="left" vertical="center"/>
    </xf>
    <xf numFmtId="165" fontId="6" fillId="0" borderId="26" xfId="3" applyFont="1" applyBorder="1" applyAlignment="1">
      <alignment horizontal="left" vertical="center"/>
    </xf>
    <xf numFmtId="0" fontId="30" fillId="0" borderId="5" xfId="4" applyFont="1" applyBorder="1" applyAlignment="1">
      <alignment horizontal="center" vertical="center" wrapText="1"/>
    </xf>
    <xf numFmtId="0" fontId="30" fillId="0" borderId="6" xfId="4" applyFont="1" applyBorder="1" applyAlignment="1">
      <alignment horizontal="center" vertical="center" wrapText="1"/>
    </xf>
    <xf numFmtId="0" fontId="30" fillId="0" borderId="7" xfId="4" applyFont="1" applyBorder="1" applyAlignment="1">
      <alignment horizontal="center" vertical="center" wrapText="1"/>
    </xf>
    <xf numFmtId="14" fontId="32" fillId="13" borderId="22" xfId="4" applyNumberFormat="1" applyFont="1" applyFill="1" applyBorder="1" applyAlignment="1">
      <alignment horizontal="center" vertical="center"/>
    </xf>
    <xf numFmtId="0" fontId="32" fillId="13" borderId="23" xfId="4" applyFont="1" applyFill="1" applyBorder="1" applyAlignment="1">
      <alignment horizontal="center" vertical="center"/>
    </xf>
    <xf numFmtId="0" fontId="18" fillId="8" borderId="5" xfId="0" applyFont="1" applyFill="1" applyBorder="1" applyAlignment="1">
      <alignment horizontal="center" vertical="center"/>
    </xf>
    <xf numFmtId="0" fontId="18" fillId="8" borderId="6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165" fontId="7" fillId="8" borderId="5" xfId="3" applyFont="1" applyFill="1" applyBorder="1" applyAlignment="1">
      <alignment horizontal="center" vertical="center"/>
    </xf>
    <xf numFmtId="165" fontId="7" fillId="8" borderId="6" xfId="3" applyFont="1" applyFill="1" applyBorder="1" applyAlignment="1">
      <alignment horizontal="center" vertical="center"/>
    </xf>
    <xf numFmtId="165" fontId="7" fillId="8" borderId="7" xfId="3" applyFont="1" applyFill="1" applyBorder="1" applyAlignment="1">
      <alignment horizontal="center" vertical="center"/>
    </xf>
    <xf numFmtId="165" fontId="6" fillId="0" borderId="5" xfId="3" applyFont="1" applyFill="1" applyBorder="1" applyAlignment="1">
      <alignment horizontal="center" vertical="center" wrapText="1"/>
    </xf>
    <xf numFmtId="165" fontId="6" fillId="0" borderId="7" xfId="3" applyFont="1" applyFill="1" applyBorder="1" applyAlignment="1">
      <alignment horizontal="center" vertical="center" wrapText="1"/>
    </xf>
    <xf numFmtId="165" fontId="6" fillId="3" borderId="1" xfId="3" applyFont="1" applyFill="1" applyBorder="1" applyAlignment="1">
      <alignment horizontal="left" vertical="center" wrapText="1"/>
    </xf>
    <xf numFmtId="41" fontId="4" fillId="0" borderId="11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horizontal="left" vertical="center"/>
    </xf>
    <xf numFmtId="0" fontId="18" fillId="0" borderId="17" xfId="4" applyFont="1" applyBorder="1" applyAlignment="1">
      <alignment horizontal="center" vertical="center"/>
    </xf>
    <xf numFmtId="0" fontId="18" fillId="0" borderId="18" xfId="4" applyFont="1" applyBorder="1" applyAlignment="1">
      <alignment horizontal="center" vertical="center"/>
    </xf>
    <xf numFmtId="0" fontId="18" fillId="8" borderId="17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left" vertical="center"/>
    </xf>
    <xf numFmtId="0" fontId="7" fillId="10" borderId="22" xfId="0" applyFont="1" applyFill="1" applyBorder="1" applyAlignment="1">
      <alignment horizontal="left" vertical="center"/>
    </xf>
    <xf numFmtId="0" fontId="7" fillId="10" borderId="2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9" fontId="10" fillId="0" borderId="17" xfId="2" applyFont="1" applyBorder="1" applyAlignment="1">
      <alignment horizontal="center"/>
    </xf>
    <xf numFmtId="9" fontId="10" fillId="0" borderId="18" xfId="2" applyFont="1" applyBorder="1" applyAlignment="1">
      <alignment horizontal="center"/>
    </xf>
    <xf numFmtId="9" fontId="10" fillId="0" borderId="10" xfId="2" applyFont="1" applyBorder="1" applyAlignment="1">
      <alignment horizontal="center"/>
    </xf>
    <xf numFmtId="0" fontId="7" fillId="10" borderId="5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</cellXfs>
  <cellStyles count="12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Porcentagem" xfId="2" builtinId="5"/>
    <cellStyle name="Porcentagem 2" xfId="8" xr:uid="{00000000-0005-0000-0000-000006000000}"/>
    <cellStyle name="Porcentagem 2 2" xfId="11" xr:uid="{00000000-0005-0000-0000-000007000000}"/>
    <cellStyle name="Porcentagem 3" xfId="9" xr:uid="{00000000-0005-0000-0000-000008000000}"/>
    <cellStyle name="Separador de milhares 3" xfId="5" xr:uid="{00000000-0005-0000-0000-000009000000}"/>
    <cellStyle name="Vírgula" xfId="3" builtinId="3"/>
    <cellStyle name="Vírgula 2" xfId="6" xr:uid="{00000000-0005-0000-0000-00000B000000}"/>
  </cellStyles>
  <dxfs count="0"/>
  <tableStyles count="0" defaultTableStyle="TableStyleMedium2" defaultPivotStyle="PivotStyleLight16"/>
  <colors>
    <mruColors>
      <color rgb="FFFF3399"/>
      <color rgb="FFFFFF99"/>
      <color rgb="FF00FF00"/>
      <color rgb="FFFF66FF"/>
      <color rgb="FF66FF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971551</xdr:colOff>
      <xdr:row>1</xdr:row>
      <xdr:rowOff>9525</xdr:rowOff>
    </xdr:from>
    <xdr:to>
      <xdr:col>0</xdr:col>
      <xdr:colOff>2990851</xdr:colOff>
      <xdr:row>1</xdr:row>
      <xdr:rowOff>276225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71551" y="304800"/>
          <a:ext cx="2019300" cy="266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2025-8697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8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8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5"/>
  <sheetViews>
    <sheetView tabSelected="1" view="pageBreakPreview" topLeftCell="A314" zoomScaleNormal="100" zoomScaleSheetLayoutView="100" workbookViewId="0">
      <selection activeCell="A338" sqref="A338"/>
    </sheetView>
  </sheetViews>
  <sheetFormatPr defaultRowHeight="12.75" x14ac:dyDescent="0.2"/>
  <cols>
    <col min="1" max="1" width="45" style="6" customWidth="1"/>
    <col min="2" max="2" width="16.140625" style="6" customWidth="1"/>
    <col min="3" max="3" width="20.5703125" style="6" customWidth="1"/>
    <col min="4" max="4" width="17.5703125" style="7" customWidth="1"/>
    <col min="5" max="5" width="13.7109375" style="7" customWidth="1"/>
    <col min="6" max="6" width="19.85546875" style="7" customWidth="1"/>
    <col min="7" max="7" width="18.28515625" style="7" customWidth="1"/>
    <col min="8" max="8" width="21.5703125" style="6" customWidth="1"/>
    <col min="9" max="10" width="10.5703125" style="6" bestFit="1" customWidth="1"/>
    <col min="11" max="11" width="9.140625" style="6"/>
    <col min="12" max="12" width="10.5703125" style="6" bestFit="1" customWidth="1"/>
    <col min="13" max="16384" width="9.140625" style="6"/>
  </cols>
  <sheetData>
    <row r="1" spans="1:7" s="165" customFormat="1" ht="23.25" customHeight="1" thickBot="1" x14ac:dyDescent="0.25">
      <c r="A1" s="366" t="s">
        <v>154</v>
      </c>
      <c r="B1" s="367"/>
      <c r="C1" s="367"/>
      <c r="D1" s="367"/>
      <c r="E1" s="367"/>
      <c r="F1" s="367"/>
      <c r="G1" s="368"/>
    </row>
    <row r="2" spans="1:7" s="165" customFormat="1" ht="23.25" customHeight="1" thickBot="1" x14ac:dyDescent="0.25">
      <c r="A2" s="273" t="s">
        <v>151</v>
      </c>
      <c r="B2" s="232" t="s">
        <v>152</v>
      </c>
      <c r="C2" s="280"/>
      <c r="D2" s="281"/>
      <c r="E2" s="275" t="s">
        <v>153</v>
      </c>
      <c r="F2" s="369">
        <v>46059</v>
      </c>
      <c r="G2" s="370"/>
    </row>
    <row r="3" spans="1:7" s="5" customFormat="1" ht="18.75" thickBot="1" x14ac:dyDescent="0.25">
      <c r="A3" s="371" t="s">
        <v>292</v>
      </c>
      <c r="B3" s="372"/>
      <c r="C3" s="372"/>
      <c r="D3" s="372"/>
      <c r="E3" s="372"/>
      <c r="F3" s="372"/>
      <c r="G3" s="373"/>
    </row>
    <row r="4" spans="1:7" s="2" customFormat="1" ht="10.9" customHeight="1" thickBot="1" x14ac:dyDescent="0.25">
      <c r="A4" s="62"/>
      <c r="B4" s="55"/>
      <c r="C4" s="55"/>
      <c r="D4" s="63"/>
      <c r="E4" s="63"/>
      <c r="F4" s="63"/>
      <c r="G4" s="64"/>
    </row>
    <row r="5" spans="1:7" s="2" customFormat="1" ht="15.75" customHeight="1" thickBot="1" x14ac:dyDescent="0.25">
      <c r="A5" s="374" t="s">
        <v>114</v>
      </c>
      <c r="B5" s="375"/>
      <c r="C5" s="375"/>
      <c r="D5" s="375"/>
      <c r="E5" s="375"/>
      <c r="F5" s="375"/>
      <c r="G5" s="376"/>
    </row>
    <row r="6" spans="1:7" s="2" customFormat="1" ht="16.5" thickBot="1" x14ac:dyDescent="0.25">
      <c r="A6" s="214" t="s">
        <v>181</v>
      </c>
      <c r="B6" s="377" t="s">
        <v>182</v>
      </c>
      <c r="C6" s="378"/>
      <c r="D6" s="377" t="s">
        <v>183</v>
      </c>
      <c r="E6" s="378"/>
      <c r="F6" s="377" t="s">
        <v>184</v>
      </c>
      <c r="G6" s="378"/>
    </row>
    <row r="7" spans="1:7" s="8" customFormat="1" ht="15.75" customHeight="1" x14ac:dyDescent="0.2">
      <c r="A7" s="51" t="str">
        <f>A47</f>
        <v>1. Mão-de-obra</v>
      </c>
      <c r="B7" s="215">
        <f>+F172</f>
        <v>83409.62013272052</v>
      </c>
      <c r="C7" s="218">
        <f>SUM(C8:C16)</f>
        <v>0.34486510018667599</v>
      </c>
      <c r="D7" s="215">
        <f>B7</f>
        <v>83409.62013272052</v>
      </c>
      <c r="E7" s="218">
        <f>SUM(E8:E16)</f>
        <v>0.36686312150626371</v>
      </c>
      <c r="F7" s="215">
        <f>F173</f>
        <v>66777.221018765078</v>
      </c>
      <c r="G7" s="218">
        <f>SUM(G8:G16)</f>
        <v>0.29244115342122579</v>
      </c>
    </row>
    <row r="8" spans="1:7" s="2" customFormat="1" ht="24" customHeight="1" x14ac:dyDescent="0.2">
      <c r="A8" s="353" t="s">
        <v>364</v>
      </c>
      <c r="B8" s="216">
        <f>F61</f>
        <v>51619.085124317127</v>
      </c>
      <c r="C8" s="219">
        <f t="shared" ref="C8:C18" si="0">IFERROR(B8/$B$29,0)</f>
        <v>0.21342407428083757</v>
      </c>
      <c r="D8" s="216">
        <f t="shared" ref="D8:D25" si="1">B8</f>
        <v>51619.085124317127</v>
      </c>
      <c r="E8" s="219">
        <f t="shared" ref="E8:E18" si="2">IFERROR(D8/$D$29,0)</f>
        <v>0.22703782450839538</v>
      </c>
      <c r="F8" s="216">
        <f>F67</f>
        <v>39806.691530513046</v>
      </c>
      <c r="G8" s="219">
        <f t="shared" ref="G8:G18" si="3">IFERROR(F8/$F$29,0)</f>
        <v>0.174327631600526</v>
      </c>
    </row>
    <row r="9" spans="1:7" s="2" customFormat="1" ht="15.75" customHeight="1" x14ac:dyDescent="0.2">
      <c r="A9" s="331" t="s">
        <v>296</v>
      </c>
      <c r="B9" s="216">
        <f>F81</f>
        <v>5735.0661533771672</v>
      </c>
      <c r="C9" s="219">
        <f t="shared" si="0"/>
        <v>2.3712182844311466E-2</v>
      </c>
      <c r="D9" s="216">
        <f>B9</f>
        <v>5735.0661533771672</v>
      </c>
      <c r="E9" s="219">
        <f t="shared" si="2"/>
        <v>2.5224719495485416E-2</v>
      </c>
      <c r="F9" s="216">
        <f>F87</f>
        <v>4422.7572809124731</v>
      </c>
      <c r="G9" s="219">
        <f t="shared" si="3"/>
        <v>1.9368823991173744E-2</v>
      </c>
    </row>
    <row r="10" spans="1:7" s="2" customFormat="1" ht="15.75" customHeight="1" x14ac:dyDescent="0.2">
      <c r="A10" s="331" t="s">
        <v>305</v>
      </c>
      <c r="B10" s="216">
        <f>F102</f>
        <v>5735.0661533771672</v>
      </c>
      <c r="C10" s="219">
        <f t="shared" si="0"/>
        <v>2.3712182844311466E-2</v>
      </c>
      <c r="D10" s="216">
        <f>B10</f>
        <v>5735.0661533771672</v>
      </c>
      <c r="E10" s="219">
        <f t="shared" si="2"/>
        <v>2.5224719495485416E-2</v>
      </c>
      <c r="F10" s="216">
        <f>F108</f>
        <v>4422.7572809124731</v>
      </c>
      <c r="G10" s="219">
        <f t="shared" si="3"/>
        <v>1.9368823991173744E-2</v>
      </c>
    </row>
    <row r="11" spans="1:7" s="2" customFormat="1" ht="15.75" customHeight="1" x14ac:dyDescent="0.2">
      <c r="A11" s="331" t="s">
        <v>298</v>
      </c>
      <c r="B11" s="216">
        <f>F124</f>
        <v>9593.995301649049</v>
      </c>
      <c r="C11" s="219">
        <f t="shared" si="0"/>
        <v>3.9667296717441403E-2</v>
      </c>
      <c r="D11" s="216">
        <f>B11</f>
        <v>9593.995301649049</v>
      </c>
      <c r="E11" s="219">
        <f t="shared" si="2"/>
        <v>4.2197567360682323E-2</v>
      </c>
      <c r="F11" s="216">
        <f>F130</f>
        <v>7398.6075264270612</v>
      </c>
      <c r="G11" s="219">
        <f t="shared" si="3"/>
        <v>3.2401128494569775E-2</v>
      </c>
    </row>
    <row r="12" spans="1:7" s="2" customFormat="1" ht="15.75" customHeight="1" x14ac:dyDescent="0.2">
      <c r="A12" s="27" t="str">
        <f>A133</f>
        <v>1.5. Vale Transporte</v>
      </c>
      <c r="B12" s="216">
        <f>F141</f>
        <v>2838.9384</v>
      </c>
      <c r="C12" s="219">
        <f t="shared" si="0"/>
        <v>1.1737863979981524E-2</v>
      </c>
      <c r="D12" s="216">
        <f t="shared" si="1"/>
        <v>2838.9384</v>
      </c>
      <c r="E12" s="219">
        <f t="shared" si="2"/>
        <v>1.2486590893601615E-2</v>
      </c>
      <c r="F12" s="216">
        <f>D12</f>
        <v>2838.9384</v>
      </c>
      <c r="G12" s="219">
        <f t="shared" si="3"/>
        <v>1.2432718935016908E-2</v>
      </c>
    </row>
    <row r="13" spans="1:7" s="2" customFormat="1" ht="15.75" customHeight="1" x14ac:dyDescent="0.2">
      <c r="A13" s="27" t="str">
        <f>A143</f>
        <v>1.4. Vale-refeição (diário)</v>
      </c>
      <c r="B13" s="216">
        <f>F153</f>
        <v>7079.9689999999991</v>
      </c>
      <c r="C13" s="219">
        <f t="shared" si="0"/>
        <v>2.927281307142339E-2</v>
      </c>
      <c r="D13" s="216">
        <f t="shared" si="1"/>
        <v>7079.9689999999991</v>
      </c>
      <c r="E13" s="219">
        <f t="shared" si="2"/>
        <v>3.1140047435471555E-2</v>
      </c>
      <c r="F13" s="216">
        <f t="shared" ref="F13:F25" si="4">D13</f>
        <v>7079.9689999999991</v>
      </c>
      <c r="G13" s="219">
        <f t="shared" si="3"/>
        <v>3.1005697286574697E-2</v>
      </c>
    </row>
    <row r="14" spans="1:7" s="2" customFormat="1" ht="15.75" customHeight="1" x14ac:dyDescent="0.2">
      <c r="A14" s="27" t="str">
        <f>A155</f>
        <v>1.5. Auxílio Alimentação (mensal)</v>
      </c>
      <c r="B14" s="216">
        <f>F159</f>
        <v>220.8</v>
      </c>
      <c r="C14" s="219">
        <f t="shared" si="0"/>
        <v>9.1291884557266926E-4</v>
      </c>
      <c r="D14" s="216">
        <f t="shared" si="1"/>
        <v>220.8</v>
      </c>
      <c r="E14" s="219">
        <f t="shared" si="2"/>
        <v>9.7115149427237895E-4</v>
      </c>
      <c r="F14" s="216">
        <f t="shared" si="4"/>
        <v>220.8</v>
      </c>
      <c r="G14" s="219">
        <f t="shared" si="3"/>
        <v>9.669615729780306E-4</v>
      </c>
    </row>
    <row r="15" spans="1:7" s="2" customFormat="1" ht="15.75" customHeight="1" x14ac:dyDescent="0.2">
      <c r="A15" s="27" t="str">
        <f>A162</f>
        <v>1.6. Seguro de vida</v>
      </c>
      <c r="B15" s="216">
        <f>F165</f>
        <v>331.5</v>
      </c>
      <c r="C15" s="219">
        <f t="shared" si="0"/>
        <v>1.3706186472252711E-3</v>
      </c>
      <c r="D15" s="216">
        <f>B15</f>
        <v>331.5</v>
      </c>
      <c r="E15" s="219">
        <f t="shared" si="2"/>
        <v>1.4580467407214383E-3</v>
      </c>
      <c r="F15" s="216">
        <f t="shared" si="4"/>
        <v>331.5</v>
      </c>
      <c r="G15" s="219">
        <f t="shared" si="3"/>
        <v>1.4517561659520702E-3</v>
      </c>
    </row>
    <row r="16" spans="1:7" s="2" customFormat="1" ht="15.75" customHeight="1" x14ac:dyDescent="0.2">
      <c r="A16" s="27" t="s">
        <v>317</v>
      </c>
      <c r="B16" s="216">
        <f>F170</f>
        <v>255.2</v>
      </c>
      <c r="C16" s="219">
        <f t="shared" si="0"/>
        <v>1.0551489555713097E-3</v>
      </c>
      <c r="D16" s="216">
        <f>B16</f>
        <v>255.2</v>
      </c>
      <c r="E16" s="219">
        <f t="shared" si="2"/>
        <v>1.122454082148148E-3</v>
      </c>
      <c r="F16" s="216">
        <f t="shared" si="4"/>
        <v>255.2</v>
      </c>
      <c r="G16" s="219">
        <f t="shared" si="3"/>
        <v>1.1176113832608396E-3</v>
      </c>
    </row>
    <row r="17" spans="1:11" s="8" customFormat="1" ht="15.75" customHeight="1" x14ac:dyDescent="0.2">
      <c r="A17" s="51" t="str">
        <f>A175</f>
        <v>2. Uniformes e Equiptos. Proteção Individual</v>
      </c>
      <c r="B17" s="217">
        <f>+F197</f>
        <v>13292.413333333334</v>
      </c>
      <c r="C17" s="220">
        <f t="shared" si="0"/>
        <v>5.4958761934517313E-2</v>
      </c>
      <c r="D17" s="217">
        <f t="shared" si="1"/>
        <v>13292.413333333334</v>
      </c>
      <c r="E17" s="220">
        <f t="shared" si="2"/>
        <v>5.8464434199061409E-2</v>
      </c>
      <c r="F17" s="217">
        <f t="shared" si="4"/>
        <v>13292.413333333334</v>
      </c>
      <c r="G17" s="220">
        <f t="shared" si="3"/>
        <v>5.8212196129864793E-2</v>
      </c>
    </row>
    <row r="18" spans="1:11" s="8" customFormat="1" ht="15.75" customHeight="1" x14ac:dyDescent="0.2">
      <c r="A18" s="169" t="str">
        <f>A199</f>
        <v>3. Veículos e Equipamentos</v>
      </c>
      <c r="B18" s="217">
        <f>+F266</f>
        <v>83579.987986979162</v>
      </c>
      <c r="C18" s="220">
        <f t="shared" si="0"/>
        <v>0.34556950247305512</v>
      </c>
      <c r="D18" s="217">
        <f t="shared" si="1"/>
        <v>83579.987986979162</v>
      </c>
      <c r="E18" s="220">
        <f t="shared" si="2"/>
        <v>0.36761245572836182</v>
      </c>
      <c r="F18" s="217">
        <f t="shared" si="4"/>
        <v>83579.987986979162</v>
      </c>
      <c r="G18" s="220">
        <f t="shared" si="3"/>
        <v>0.36602643411854291</v>
      </c>
    </row>
    <row r="19" spans="1:11" s="2" customFormat="1" ht="15.75" customHeight="1" x14ac:dyDescent="0.2">
      <c r="A19" s="36" t="str">
        <f>A201</f>
        <v>3.1. Depreciação</v>
      </c>
      <c r="B19" s="216">
        <f>F208</f>
        <v>30007.971312499998</v>
      </c>
      <c r="C19" s="221">
        <f t="shared" ref="C19:C26" si="5">IFERROR(B19/$B$29,0)</f>
        <v>0.12407084478525938</v>
      </c>
      <c r="D19" s="216">
        <f t="shared" si="1"/>
        <v>30007.971312499998</v>
      </c>
      <c r="E19" s="221">
        <f t="shared" ref="E19:E25" si="6">IFERROR(D19/$D$29,0)</f>
        <v>0.13198499175822939</v>
      </c>
      <c r="F19" s="216">
        <f t="shared" si="4"/>
        <v>30007.971312499998</v>
      </c>
      <c r="G19" s="221">
        <f t="shared" ref="G19:G25" si="7">IFERROR(F19/$F$29,0)</f>
        <v>0.13141555770930533</v>
      </c>
    </row>
    <row r="20" spans="1:11" s="2" customFormat="1" ht="15.75" customHeight="1" x14ac:dyDescent="0.2">
      <c r="A20" s="36" t="str">
        <f>A210</f>
        <v>3.2. Remuneração do Capital</v>
      </c>
      <c r="B20" s="216">
        <f>F217</f>
        <v>35167.042007812503</v>
      </c>
      <c r="C20" s="221">
        <f t="shared" si="5"/>
        <v>0.14540151898540649</v>
      </c>
      <c r="D20" s="216">
        <f t="shared" si="1"/>
        <v>35167.042007812503</v>
      </c>
      <c r="E20" s="221">
        <f t="shared" si="6"/>
        <v>0.15467629254993945</v>
      </c>
      <c r="F20" s="216">
        <f t="shared" si="4"/>
        <v>35167.042007812503</v>
      </c>
      <c r="G20" s="221">
        <f t="shared" si="7"/>
        <v>0.15400895949664337</v>
      </c>
    </row>
    <row r="21" spans="1:11" s="2" customFormat="1" ht="15.75" customHeight="1" x14ac:dyDescent="0.2">
      <c r="A21" s="36" t="str">
        <f>A220</f>
        <v>3.3. Impostos e Seguros e outros</v>
      </c>
      <c r="B21" s="216">
        <f>F227</f>
        <v>1262.5</v>
      </c>
      <c r="C21" s="221">
        <f t="shared" si="5"/>
        <v>5.2199277288745242E-3</v>
      </c>
      <c r="D21" s="216">
        <f t="shared" si="1"/>
        <v>1262.5</v>
      </c>
      <c r="E21" s="221">
        <f t="shared" si="6"/>
        <v>5.5528929416615866E-3</v>
      </c>
      <c r="F21" s="216">
        <f t="shared" si="4"/>
        <v>1262.5</v>
      </c>
      <c r="G21" s="221">
        <f t="shared" si="7"/>
        <v>5.5289356244780955E-3</v>
      </c>
    </row>
    <row r="22" spans="1:11" s="2" customFormat="1" ht="15.75" customHeight="1" x14ac:dyDescent="0.2">
      <c r="A22" s="36" t="str">
        <f>A229</f>
        <v>3.4. Consumos</v>
      </c>
      <c r="B22" s="216">
        <f>F252</f>
        <v>11838.944000000001</v>
      </c>
      <c r="C22" s="221">
        <f t="shared" si="5"/>
        <v>4.8949253121736772E-2</v>
      </c>
      <c r="D22" s="216">
        <f t="shared" si="1"/>
        <v>11838.944000000001</v>
      </c>
      <c r="E22" s="221">
        <f t="shared" si="6"/>
        <v>5.2071594910357857E-2</v>
      </c>
      <c r="F22" s="216">
        <f t="shared" si="4"/>
        <v>11838.944000000001</v>
      </c>
      <c r="G22" s="221">
        <f t="shared" si="7"/>
        <v>5.1846938010139579E-2</v>
      </c>
    </row>
    <row r="23" spans="1:11" s="2" customFormat="1" ht="15.75" customHeight="1" x14ac:dyDescent="0.2">
      <c r="A23" s="36" t="str">
        <f>A253</f>
        <v>3.6. Manutenção</v>
      </c>
      <c r="B23" s="216">
        <f>F258</f>
        <v>5080</v>
      </c>
      <c r="C23" s="221">
        <f t="shared" si="5"/>
        <v>2.1003748802124817E-2</v>
      </c>
      <c r="D23" s="216">
        <f t="shared" si="1"/>
        <v>5080</v>
      </c>
      <c r="E23" s="221">
        <f t="shared" si="6"/>
        <v>2.2343521697933355E-2</v>
      </c>
      <c r="F23" s="216">
        <f t="shared" si="4"/>
        <v>5080</v>
      </c>
      <c r="G23" s="221">
        <f t="shared" si="7"/>
        <v>2.2247123146414832E-2</v>
      </c>
    </row>
    <row r="24" spans="1:11" s="2" customFormat="1" ht="15.75" customHeight="1" x14ac:dyDescent="0.2">
      <c r="A24" s="36" t="str">
        <f>A260</f>
        <v>3.7. Pneus</v>
      </c>
      <c r="B24" s="216">
        <f>F264</f>
        <v>223.53066666666666</v>
      </c>
      <c r="C24" s="221">
        <f t="shared" si="5"/>
        <v>9.2420904965318136E-4</v>
      </c>
      <c r="D24" s="216">
        <f t="shared" si="1"/>
        <v>223.53066666666666</v>
      </c>
      <c r="E24" s="221">
        <f t="shared" si="6"/>
        <v>9.8316187024019195E-4</v>
      </c>
      <c r="F24" s="216">
        <f t="shared" si="4"/>
        <v>223.53066666666666</v>
      </c>
      <c r="G24" s="221">
        <f t="shared" si="7"/>
        <v>9.7892013156172016E-4</v>
      </c>
    </row>
    <row r="25" spans="1:11" s="8" customFormat="1" ht="15.75" customHeight="1" x14ac:dyDescent="0.2">
      <c r="A25" s="169" t="str">
        <f>A268</f>
        <v>4. Ferramentas e Materiais de Consumo</v>
      </c>
      <c r="B25" s="217">
        <f>+F278</f>
        <v>1227.6116666666667</v>
      </c>
      <c r="C25" s="220">
        <f t="shared" si="5"/>
        <v>5.0756785577213484E-3</v>
      </c>
      <c r="D25" s="217">
        <f t="shared" si="1"/>
        <v>1227.6116666666667</v>
      </c>
      <c r="E25" s="220">
        <f t="shared" si="6"/>
        <v>5.3994425021265348E-3</v>
      </c>
      <c r="F25" s="217">
        <f t="shared" si="4"/>
        <v>1227.6116666666667</v>
      </c>
      <c r="G25" s="220">
        <f t="shared" si="7"/>
        <v>5.3761472291946636E-3</v>
      </c>
    </row>
    <row r="26" spans="1:11" s="8" customFormat="1" ht="15.75" customHeight="1" x14ac:dyDescent="0.2">
      <c r="A26" s="169" t="str">
        <f>A282</f>
        <v>5. Benefícios e Desp. Ind. - BDI - LUCRO REAL</v>
      </c>
      <c r="B26" s="217">
        <f>+F288</f>
        <v>60351.953012300146</v>
      </c>
      <c r="C26" s="220">
        <f t="shared" si="5"/>
        <v>0.24953095684803001</v>
      </c>
      <c r="D26" s="223"/>
      <c r="E26" s="274"/>
      <c r="F26" s="223"/>
      <c r="G26" s="274"/>
    </row>
    <row r="27" spans="1:11" s="8" customFormat="1" ht="15.75" customHeight="1" x14ac:dyDescent="0.2">
      <c r="A27" s="222" t="str">
        <f>A296</f>
        <v>6. Benefícios e Desp. Ind. - BDI - LUCRO PRESUMIDO</v>
      </c>
      <c r="B27" s="223"/>
      <c r="C27" s="224"/>
      <c r="D27" s="217">
        <f>F302</f>
        <v>45849.33332603614</v>
      </c>
      <c r="E27" s="220">
        <f>IFERROR(D27/$D$29,0)</f>
        <v>0.20166054606418649</v>
      </c>
      <c r="F27" s="225"/>
      <c r="G27" s="226"/>
    </row>
    <row r="28" spans="1:11" s="8" customFormat="1" ht="15.75" customHeight="1" thickBot="1" x14ac:dyDescent="0.25">
      <c r="A28" s="222" t="str">
        <f>A310</f>
        <v>7. Benef. Desp. Ind. + Impostos - SIMPLES NACIONAL</v>
      </c>
      <c r="B28" s="227"/>
      <c r="C28" s="228"/>
      <c r="D28" s="229"/>
      <c r="E28" s="230"/>
      <c r="F28" s="231">
        <f>F316+F326</f>
        <v>63466.896899048777</v>
      </c>
      <c r="G28" s="213">
        <f>IFERROR(F28/$F$29,0)</f>
        <v>0.27794406910117164</v>
      </c>
    </row>
    <row r="29" spans="1:11" s="2" customFormat="1" ht="15.75" customHeight="1" thickBot="1" x14ac:dyDescent="0.25">
      <c r="A29" s="26" t="s">
        <v>347</v>
      </c>
      <c r="B29" s="272">
        <f>B7+B17+B18+B25+B26</f>
        <v>241861.58613199985</v>
      </c>
      <c r="C29" s="57">
        <f>C7+C17+C18+C25+C26</f>
        <v>0.99999999999999978</v>
      </c>
      <c r="D29" s="272">
        <f>D7+D17+D18+D25+D27</f>
        <v>227358.96644573583</v>
      </c>
      <c r="E29" s="57">
        <f>E7+E17+E18+E25+E27</f>
        <v>0.99999999999999989</v>
      </c>
      <c r="F29" s="272">
        <f>F7+F17+F18+F25+F28</f>
        <v>228344.13090479304</v>
      </c>
      <c r="G29" s="57">
        <f>G7+G17+G18+G25+G28</f>
        <v>0.99999999999999978</v>
      </c>
      <c r="H29" s="8"/>
      <c r="I29" s="8"/>
      <c r="J29" s="8"/>
      <c r="K29" s="8"/>
    </row>
    <row r="30" spans="1:11" s="2" customFormat="1" ht="15.75" customHeight="1" thickBot="1" x14ac:dyDescent="0.25">
      <c r="A30" s="26" t="s">
        <v>348</v>
      </c>
      <c r="B30" s="272">
        <f>B29*0.1</f>
        <v>24186.158613199987</v>
      </c>
      <c r="C30" s="57"/>
      <c r="D30" s="272">
        <f>D29*0.1</f>
        <v>22735.896644573586</v>
      </c>
      <c r="E30" s="57"/>
      <c r="F30" s="272">
        <f>F29*0.1</f>
        <v>22834.413090479306</v>
      </c>
      <c r="G30" s="57"/>
      <c r="H30" s="8"/>
      <c r="I30" s="8"/>
      <c r="J30" s="8"/>
      <c r="K30" s="8"/>
    </row>
    <row r="31" spans="1:11" s="2" customFormat="1" ht="15.75" customHeight="1" thickBot="1" x14ac:dyDescent="0.25">
      <c r="A31" s="26" t="s">
        <v>349</v>
      </c>
      <c r="B31" s="352">
        <f>B29-B30</f>
        <v>217675.42751879987</v>
      </c>
      <c r="C31" s="57"/>
      <c r="D31" s="352">
        <f>D29-D30</f>
        <v>204623.06980116223</v>
      </c>
      <c r="E31" s="57"/>
      <c r="F31" s="352">
        <f>F29-F30</f>
        <v>205509.71781431374</v>
      </c>
      <c r="G31" s="57"/>
      <c r="H31" s="8"/>
      <c r="I31" s="8"/>
      <c r="J31" s="8"/>
      <c r="K31" s="8"/>
    </row>
    <row r="32" spans="1:11" s="2" customFormat="1" ht="15.75" customHeight="1" thickBot="1" x14ac:dyDescent="0.25">
      <c r="A32" s="26" t="s">
        <v>234</v>
      </c>
      <c r="B32" s="272">
        <f>B31/D292</f>
        <v>174.14034201503989</v>
      </c>
      <c r="C32" s="57"/>
      <c r="D32" s="350">
        <f>D31/D292</f>
        <v>163.6984558409298</v>
      </c>
      <c r="E32" s="57"/>
      <c r="F32" s="272">
        <f>F31/D292</f>
        <v>164.407774251451</v>
      </c>
      <c r="G32" s="57"/>
      <c r="H32" s="8"/>
      <c r="I32" s="8"/>
      <c r="J32" s="8"/>
      <c r="K32" s="8"/>
    </row>
    <row r="33" spans="1:11" ht="13.5" thickBot="1" x14ac:dyDescent="0.25">
      <c r="A33" s="175"/>
      <c r="B33" s="276"/>
      <c r="D33" s="276"/>
      <c r="E33" s="276"/>
      <c r="F33" s="277"/>
      <c r="G33" s="6"/>
      <c r="H33" s="8"/>
      <c r="I33" s="8"/>
      <c r="J33" s="8"/>
      <c r="K33" s="8"/>
    </row>
    <row r="34" spans="1:11" s="2" customFormat="1" ht="15" customHeight="1" thickBot="1" x14ac:dyDescent="0.25">
      <c r="A34" s="374" t="s">
        <v>47</v>
      </c>
      <c r="B34" s="375"/>
      <c r="C34" s="375"/>
      <c r="D34" s="375"/>
      <c r="E34" s="376"/>
      <c r="F34" s="54"/>
      <c r="H34" s="8"/>
      <c r="I34" s="8"/>
      <c r="J34" s="8"/>
      <c r="K34" s="8"/>
    </row>
    <row r="35" spans="1:11" s="2" customFormat="1" ht="15" customHeight="1" thickBot="1" x14ac:dyDescent="0.25">
      <c r="A35" s="351" t="s">
        <v>16</v>
      </c>
      <c r="B35" s="18" t="s">
        <v>294</v>
      </c>
      <c r="C35" s="18" t="s">
        <v>295</v>
      </c>
      <c r="D35" s="279" t="s">
        <v>17</v>
      </c>
      <c r="E35" s="279" t="s">
        <v>228</v>
      </c>
      <c r="F35" s="54"/>
      <c r="H35" s="8"/>
      <c r="I35" s="8"/>
      <c r="J35" s="8"/>
      <c r="K35" s="8"/>
    </row>
    <row r="36" spans="1:11" s="2" customFormat="1" ht="27" customHeight="1" x14ac:dyDescent="0.2">
      <c r="A36" s="361" t="s">
        <v>386</v>
      </c>
      <c r="B36" s="335" t="s">
        <v>293</v>
      </c>
      <c r="C36" s="336">
        <v>5192</v>
      </c>
      <c r="D36" s="303">
        <v>10</v>
      </c>
      <c r="E36" s="282">
        <v>1967.29</v>
      </c>
      <c r="F36" s="54"/>
      <c r="H36" s="298"/>
      <c r="I36" s="8"/>
      <c r="J36" s="8"/>
      <c r="K36" s="8"/>
    </row>
    <row r="37" spans="1:11" s="2" customFormat="1" ht="15" customHeight="1" x14ac:dyDescent="0.2">
      <c r="A37" s="251" t="s">
        <v>387</v>
      </c>
      <c r="B37" s="335" t="s">
        <v>297</v>
      </c>
      <c r="C37" s="37"/>
      <c r="D37" s="303">
        <v>1</v>
      </c>
      <c r="E37" s="282">
        <v>2185.73</v>
      </c>
      <c r="F37" s="54"/>
      <c r="H37" s="298"/>
      <c r="I37" s="8"/>
      <c r="J37" s="8"/>
      <c r="K37" s="8"/>
    </row>
    <row r="38" spans="1:11" s="2" customFormat="1" ht="15" customHeight="1" x14ac:dyDescent="0.2">
      <c r="A38" s="251" t="s">
        <v>388</v>
      </c>
      <c r="B38" s="335" t="s">
        <v>297</v>
      </c>
      <c r="C38" s="37"/>
      <c r="D38" s="303">
        <v>1</v>
      </c>
      <c r="E38" s="282">
        <v>2185.73</v>
      </c>
      <c r="F38" s="54"/>
      <c r="H38" s="298"/>
      <c r="I38" s="8"/>
      <c r="J38" s="8"/>
      <c r="K38" s="8"/>
    </row>
    <row r="39" spans="1:11" s="2" customFormat="1" ht="15" customHeight="1" x14ac:dyDescent="0.2">
      <c r="A39" s="251" t="s">
        <v>389</v>
      </c>
      <c r="B39" s="335" t="s">
        <v>293</v>
      </c>
      <c r="C39" s="37"/>
      <c r="D39" s="303">
        <v>1</v>
      </c>
      <c r="E39" s="282">
        <v>3000</v>
      </c>
      <c r="F39" s="54"/>
      <c r="H39" s="298"/>
      <c r="I39" s="8"/>
      <c r="J39" s="8"/>
      <c r="K39" s="8"/>
    </row>
    <row r="40" spans="1:11" s="2" customFormat="1" ht="15" customHeight="1" thickBot="1" x14ac:dyDescent="0.25">
      <c r="A40" s="278" t="s">
        <v>24</v>
      </c>
      <c r="B40" s="38"/>
      <c r="C40" s="38"/>
      <c r="D40" s="39">
        <f>SUM(D36:D39)</f>
        <v>13</v>
      </c>
      <c r="E40" s="310"/>
      <c r="F40" s="54"/>
      <c r="H40" s="8"/>
      <c r="I40" s="8"/>
      <c r="J40" s="8"/>
      <c r="K40" s="8"/>
    </row>
    <row r="41" spans="1:11" s="2" customFormat="1" ht="15" customHeight="1" thickBot="1" x14ac:dyDescent="0.25">
      <c r="A41" s="52"/>
      <c r="B41" s="53"/>
      <c r="C41" s="31"/>
      <c r="D41" s="31"/>
      <c r="E41" s="54"/>
      <c r="F41" s="54"/>
      <c r="H41" s="8"/>
      <c r="I41" s="8"/>
      <c r="J41" s="8"/>
      <c r="K41" s="8"/>
    </row>
    <row r="42" spans="1:11" s="2" customFormat="1" ht="15" customHeight="1" x14ac:dyDescent="0.2">
      <c r="A42" s="344" t="s">
        <v>318</v>
      </c>
      <c r="B42" s="345"/>
      <c r="C42" s="345"/>
      <c r="D42" s="345"/>
      <c r="E42" s="346" t="s">
        <v>17</v>
      </c>
      <c r="F42" s="176"/>
      <c r="G42" s="4" t="s">
        <v>371</v>
      </c>
      <c r="H42" s="8"/>
      <c r="I42" s="8"/>
      <c r="J42" s="8"/>
      <c r="K42" s="8"/>
    </row>
    <row r="43" spans="1:11" s="320" customFormat="1" ht="30" customHeight="1" x14ac:dyDescent="0.2">
      <c r="A43" s="379" t="s">
        <v>390</v>
      </c>
      <c r="B43" s="379"/>
      <c r="C43" s="379"/>
      <c r="D43" s="379"/>
      <c r="E43" s="349">
        <v>1</v>
      </c>
      <c r="F43" s="176"/>
      <c r="G43" s="338">
        <v>3532872.5</v>
      </c>
    </row>
    <row r="44" spans="1:11" s="2" customFormat="1" ht="15" customHeight="1" x14ac:dyDescent="0.2">
      <c r="A44" s="354" t="s">
        <v>383</v>
      </c>
      <c r="B44" s="354"/>
      <c r="C44" s="354"/>
      <c r="D44" s="354"/>
      <c r="E44" s="349">
        <v>1</v>
      </c>
      <c r="F44" s="176"/>
      <c r="G44" s="338">
        <v>132730</v>
      </c>
    </row>
    <row r="45" spans="1:11" s="2" customFormat="1" ht="15" customHeight="1" x14ac:dyDescent="0.2">
      <c r="A45" s="354" t="s">
        <v>384</v>
      </c>
      <c r="B45" s="354"/>
      <c r="C45" s="354"/>
      <c r="D45" s="354"/>
      <c r="E45" s="349">
        <v>1</v>
      </c>
      <c r="F45" s="176"/>
      <c r="G45" s="338">
        <v>48000</v>
      </c>
    </row>
    <row r="46" spans="1:11" s="8" customFormat="1" ht="15.75" customHeight="1" thickBot="1" x14ac:dyDescent="0.25">
      <c r="A46" s="347" t="s">
        <v>164</v>
      </c>
      <c r="B46" s="348">
        <v>1</v>
      </c>
      <c r="C46" s="363"/>
      <c r="D46" s="364"/>
      <c r="E46" s="365"/>
      <c r="F46" s="177"/>
      <c r="G46" s="339">
        <f>SUM(G43:G45)</f>
        <v>3713602.5</v>
      </c>
    </row>
    <row r="47" spans="1:11" ht="11.25" customHeight="1" x14ac:dyDescent="0.2">
      <c r="A47" s="178" t="s">
        <v>20</v>
      </c>
      <c r="D47" s="31"/>
      <c r="E47" s="31"/>
      <c r="F47" s="54"/>
      <c r="G47" s="6"/>
    </row>
    <row r="48" spans="1:11" ht="13.5" thickBot="1" x14ac:dyDescent="0.25">
      <c r="A48" s="178" t="s">
        <v>362</v>
      </c>
      <c r="D48" s="31"/>
      <c r="E48" s="31"/>
      <c r="F48" s="54"/>
      <c r="G48" s="6"/>
    </row>
    <row r="49" spans="1:7" s="9" customFormat="1" ht="13.15" customHeight="1" thickBot="1" x14ac:dyDescent="0.25">
      <c r="A49" s="32" t="s">
        <v>25</v>
      </c>
      <c r="B49" s="33" t="s">
        <v>26</v>
      </c>
      <c r="C49" s="33" t="s">
        <v>17</v>
      </c>
      <c r="D49" s="34" t="s">
        <v>131</v>
      </c>
      <c r="E49" s="34" t="s">
        <v>27</v>
      </c>
      <c r="F49" s="35" t="s">
        <v>28</v>
      </c>
    </row>
    <row r="50" spans="1:7" x14ac:dyDescent="0.2">
      <c r="A50" s="180" t="s">
        <v>138</v>
      </c>
      <c r="B50" s="10" t="s">
        <v>6</v>
      </c>
      <c r="C50" s="10">
        <v>1</v>
      </c>
      <c r="D50" s="11">
        <f>E36</f>
        <v>1967.29</v>
      </c>
      <c r="E50" s="11">
        <f>C50*D50</f>
        <v>1967.29</v>
      </c>
      <c r="F50" s="54"/>
      <c r="G50" s="6"/>
    </row>
    <row r="51" spans="1:7" x14ac:dyDescent="0.2">
      <c r="A51" s="180" t="s">
        <v>139</v>
      </c>
      <c r="B51" s="10" t="s">
        <v>6</v>
      </c>
      <c r="C51" s="10">
        <v>1</v>
      </c>
      <c r="D51" s="282">
        <v>1621</v>
      </c>
      <c r="E51" s="11"/>
      <c r="F51" s="54"/>
      <c r="G51" s="6"/>
    </row>
    <row r="52" spans="1:7" x14ac:dyDescent="0.2">
      <c r="A52" s="179" t="s">
        <v>13</v>
      </c>
      <c r="B52" s="12" t="s">
        <v>0</v>
      </c>
      <c r="C52" s="283">
        <v>8</v>
      </c>
      <c r="D52" s="13">
        <f>D50/220*2</f>
        <v>17.884454545454545</v>
      </c>
      <c r="E52" s="13">
        <f>C52*D52</f>
        <v>143.07563636363636</v>
      </c>
      <c r="F52" s="54"/>
    </row>
    <row r="53" spans="1:7" x14ac:dyDescent="0.2">
      <c r="A53" s="179" t="s">
        <v>14</v>
      </c>
      <c r="B53" s="12" t="s">
        <v>0</v>
      </c>
      <c r="C53" s="283"/>
      <c r="D53" s="13">
        <f>D50/220*1.5</f>
        <v>13.413340909090909</v>
      </c>
      <c r="E53" s="13">
        <f>C53*D53</f>
        <v>0</v>
      </c>
      <c r="F53" s="54"/>
    </row>
    <row r="54" spans="1:7" ht="13.15" customHeight="1" x14ac:dyDescent="0.2">
      <c r="A54" s="179" t="s">
        <v>120</v>
      </c>
      <c r="B54" s="12" t="s">
        <v>12</v>
      </c>
      <c r="D54" s="13">
        <f>64/301*(SUM(E52:E53))</f>
        <v>30.421397765025674</v>
      </c>
      <c r="E54" s="13">
        <f>D54</f>
        <v>30.421397765025674</v>
      </c>
      <c r="F54" s="54"/>
    </row>
    <row r="55" spans="1:7" x14ac:dyDescent="0.2">
      <c r="A55" s="179" t="s">
        <v>119</v>
      </c>
      <c r="B55" s="12"/>
      <c r="C55" s="284">
        <v>2</v>
      </c>
      <c r="D55" s="13"/>
      <c r="E55" s="13"/>
      <c r="F55" s="54"/>
      <c r="G55" s="6"/>
    </row>
    <row r="56" spans="1:7" x14ac:dyDescent="0.2">
      <c r="A56" s="179" t="s">
        <v>1</v>
      </c>
      <c r="B56" s="12" t="s">
        <v>2</v>
      </c>
      <c r="C56" s="304">
        <v>40</v>
      </c>
      <c r="D56" s="40">
        <f>(D50+E52+E54)</f>
        <v>2140.7870341286621</v>
      </c>
      <c r="E56" s="13">
        <f>C56*D56/100</f>
        <v>856.31481365146476</v>
      </c>
      <c r="F56" s="54"/>
      <c r="G56" s="6"/>
    </row>
    <row r="57" spans="1:7" s="8" customFormat="1" x14ac:dyDescent="0.2">
      <c r="A57" s="181" t="s">
        <v>3</v>
      </c>
      <c r="B57" s="170"/>
      <c r="C57" s="170"/>
      <c r="D57" s="23"/>
      <c r="E57" s="45">
        <f>SUM(E50:E56)</f>
        <v>2997.1018477801267</v>
      </c>
      <c r="F57" s="182"/>
    </row>
    <row r="58" spans="1:7" x14ac:dyDescent="0.2">
      <c r="A58" s="179" t="s">
        <v>4</v>
      </c>
      <c r="B58" s="12" t="s">
        <v>2</v>
      </c>
      <c r="C58" s="237">
        <v>72.23</v>
      </c>
      <c r="D58" s="13">
        <f>E57</f>
        <v>2997.1018477801267</v>
      </c>
      <c r="E58" s="13">
        <f>D58*C58/100</f>
        <v>2164.8066646515858</v>
      </c>
      <c r="F58" s="54"/>
      <c r="G58" s="6"/>
    </row>
    <row r="59" spans="1:7" s="8" customFormat="1" x14ac:dyDescent="0.2">
      <c r="A59" s="181" t="s">
        <v>230</v>
      </c>
      <c r="B59" s="141"/>
      <c r="C59" s="141"/>
      <c r="D59" s="142"/>
      <c r="E59" s="45">
        <f>E57+E58</f>
        <v>5161.9085124317126</v>
      </c>
      <c r="F59" s="182"/>
      <c r="G59" s="6"/>
    </row>
    <row r="60" spans="1:7" ht="13.5" thickBot="1" x14ac:dyDescent="0.25">
      <c r="A60" s="179" t="s">
        <v>5</v>
      </c>
      <c r="B60" s="166" t="s">
        <v>231</v>
      </c>
      <c r="C60" s="284">
        <f>D36</f>
        <v>10</v>
      </c>
      <c r="D60" s="13">
        <f>E59</f>
        <v>5161.9085124317126</v>
      </c>
      <c r="E60" s="13">
        <f>C60*D60</f>
        <v>51619.085124317127</v>
      </c>
      <c r="F60" s="54"/>
      <c r="G60" s="6"/>
    </row>
    <row r="61" spans="1:7" ht="13.5" thickBot="1" x14ac:dyDescent="0.25">
      <c r="A61" s="175"/>
      <c r="D61" s="171" t="s">
        <v>111</v>
      </c>
      <c r="E61" s="28">
        <f>$B$46</f>
        <v>1</v>
      </c>
      <c r="F61" s="50">
        <f>E60*E61</f>
        <v>51619.085124317127</v>
      </c>
      <c r="G61" s="6"/>
    </row>
    <row r="62" spans="1:7" s="4" customFormat="1" ht="11.25" customHeight="1" x14ac:dyDescent="0.2">
      <c r="A62" s="233"/>
      <c r="D62" s="234"/>
      <c r="E62" s="234"/>
      <c r="F62" s="235"/>
      <c r="G62" s="236"/>
    </row>
    <row r="63" spans="1:7" s="4" customFormat="1" ht="11.25" customHeight="1" x14ac:dyDescent="0.2">
      <c r="A63" s="178" t="s">
        <v>363</v>
      </c>
      <c r="D63" s="234"/>
      <c r="E63" s="234"/>
      <c r="F63" s="235"/>
      <c r="G63" s="236"/>
    </row>
    <row r="64" spans="1:7" s="4" customFormat="1" ht="11.25" customHeight="1" x14ac:dyDescent="0.2">
      <c r="A64" s="251" t="s">
        <v>4</v>
      </c>
      <c r="B64" s="166" t="s">
        <v>2</v>
      </c>
      <c r="C64" s="237">
        <f>'Encargos Simples'!B8*100</f>
        <v>32.817279999999997</v>
      </c>
      <c r="D64" s="238">
        <f>E57</f>
        <v>2997.1018477801267</v>
      </c>
      <c r="E64" s="238">
        <f>D64*C64/100</f>
        <v>983.56730527117793</v>
      </c>
      <c r="F64" s="235"/>
      <c r="G64" s="236"/>
    </row>
    <row r="65" spans="1:7" s="4" customFormat="1" x14ac:dyDescent="0.2">
      <c r="A65" s="250" t="s">
        <v>230</v>
      </c>
      <c r="B65" s="44"/>
      <c r="C65" s="44"/>
      <c r="D65" s="45"/>
      <c r="E65" s="47">
        <f>E57+E64</f>
        <v>3980.6691530513044</v>
      </c>
      <c r="F65" s="235"/>
      <c r="G65" s="6"/>
    </row>
    <row r="66" spans="1:7" s="4" customFormat="1" ht="13.5" thickBot="1" x14ac:dyDescent="0.25">
      <c r="A66" s="183" t="s">
        <v>5</v>
      </c>
      <c r="B66" s="166" t="str">
        <f>B60</f>
        <v>Funcionário</v>
      </c>
      <c r="C66" s="166">
        <f>C60</f>
        <v>10</v>
      </c>
      <c r="D66" s="238">
        <f>E65</f>
        <v>3980.6691530513044</v>
      </c>
      <c r="E66" s="238">
        <f>C66*D66</f>
        <v>39806.691530513046</v>
      </c>
      <c r="F66" s="235"/>
      <c r="G66" s="6"/>
    </row>
    <row r="67" spans="1:7" s="4" customFormat="1" ht="13.9" customHeight="1" thickBot="1" x14ac:dyDescent="0.25">
      <c r="A67" s="233"/>
      <c r="D67" s="239" t="s">
        <v>111</v>
      </c>
      <c r="E67" s="28">
        <f>$B$46</f>
        <v>1</v>
      </c>
      <c r="F67" s="50">
        <f>E66*E67</f>
        <v>39806.691530513046</v>
      </c>
      <c r="G67" s="236"/>
    </row>
    <row r="68" spans="1:7" s="4" customFormat="1" ht="11.25" customHeight="1" thickBot="1" x14ac:dyDescent="0.25">
      <c r="A68" s="178" t="s">
        <v>299</v>
      </c>
      <c r="B68" s="6"/>
      <c r="C68" s="6"/>
      <c r="D68" s="31"/>
      <c r="E68" s="31"/>
      <c r="F68" s="54"/>
      <c r="G68" s="236"/>
    </row>
    <row r="69" spans="1:7" s="4" customFormat="1" ht="11.25" customHeight="1" thickBot="1" x14ac:dyDescent="0.25">
      <c r="A69" s="32" t="s">
        <v>25</v>
      </c>
      <c r="B69" s="33" t="s">
        <v>26</v>
      </c>
      <c r="C69" s="33" t="s">
        <v>17</v>
      </c>
      <c r="D69" s="34" t="s">
        <v>131</v>
      </c>
      <c r="E69" s="34" t="s">
        <v>27</v>
      </c>
      <c r="F69" s="35" t="s">
        <v>28</v>
      </c>
      <c r="G69" s="236"/>
    </row>
    <row r="70" spans="1:7" s="4" customFormat="1" ht="11.25" customHeight="1" x14ac:dyDescent="0.2">
      <c r="A70" s="180" t="s">
        <v>138</v>
      </c>
      <c r="B70" s="10" t="s">
        <v>6</v>
      </c>
      <c r="C70" s="10">
        <v>1</v>
      </c>
      <c r="D70" s="11">
        <f>E37</f>
        <v>2185.73</v>
      </c>
      <c r="E70" s="11">
        <f>C70*D70</f>
        <v>2185.73</v>
      </c>
      <c r="F70" s="54"/>
      <c r="G70" s="236"/>
    </row>
    <row r="71" spans="1:7" s="4" customFormat="1" ht="11.25" customHeight="1" x14ac:dyDescent="0.2">
      <c r="A71" s="180" t="s">
        <v>139</v>
      </c>
      <c r="B71" s="10" t="s">
        <v>6</v>
      </c>
      <c r="C71" s="10">
        <v>1</v>
      </c>
      <c r="D71" s="282">
        <v>1621</v>
      </c>
      <c r="E71" s="11"/>
      <c r="F71" s="54"/>
      <c r="G71" s="236"/>
    </row>
    <row r="72" spans="1:7" s="4" customFormat="1" ht="11.25" customHeight="1" x14ac:dyDescent="0.2">
      <c r="A72" s="179" t="s">
        <v>13</v>
      </c>
      <c r="B72" s="12" t="s">
        <v>0</v>
      </c>
      <c r="C72" s="283">
        <v>8</v>
      </c>
      <c r="D72" s="13">
        <f>D70/220*2</f>
        <v>19.870272727272727</v>
      </c>
      <c r="E72" s="13">
        <f>C72*D72</f>
        <v>158.96218181818182</v>
      </c>
      <c r="F72" s="54"/>
      <c r="G72" s="236"/>
    </row>
    <row r="73" spans="1:7" s="4" customFormat="1" ht="11.25" customHeight="1" x14ac:dyDescent="0.2">
      <c r="A73" s="179" t="s">
        <v>14</v>
      </c>
      <c r="B73" s="12" t="s">
        <v>0</v>
      </c>
      <c r="C73" s="283"/>
      <c r="D73" s="13">
        <f>D70/220*1.5</f>
        <v>14.902704545454545</v>
      </c>
      <c r="E73" s="13">
        <f>C73*D73</f>
        <v>0</v>
      </c>
      <c r="F73" s="54"/>
      <c r="G73" s="236"/>
    </row>
    <row r="74" spans="1:7" s="4" customFormat="1" ht="11.25" customHeight="1" x14ac:dyDescent="0.2">
      <c r="A74" s="179" t="s">
        <v>120</v>
      </c>
      <c r="B74" s="12" t="s">
        <v>12</v>
      </c>
      <c r="C74" s="6"/>
      <c r="D74" s="13">
        <f>64/301*(SUM(E72:E73))</f>
        <v>33.799267894895806</v>
      </c>
      <c r="E74" s="13">
        <f>D74</f>
        <v>33.799267894895806</v>
      </c>
      <c r="F74" s="54"/>
      <c r="G74" s="236"/>
    </row>
    <row r="75" spans="1:7" s="4" customFormat="1" ht="11.25" customHeight="1" x14ac:dyDescent="0.2">
      <c r="A75" s="179" t="s">
        <v>119</v>
      </c>
      <c r="B75" s="12"/>
      <c r="C75" s="284">
        <v>2</v>
      </c>
      <c r="D75" s="13"/>
      <c r="E75" s="13"/>
      <c r="F75" s="54"/>
      <c r="G75" s="236"/>
    </row>
    <row r="76" spans="1:7" s="4" customFormat="1" ht="11.25" customHeight="1" x14ac:dyDescent="0.2">
      <c r="A76" s="179" t="s">
        <v>1</v>
      </c>
      <c r="B76" s="12" t="s">
        <v>2</v>
      </c>
      <c r="C76" s="304">
        <v>40</v>
      </c>
      <c r="D76" s="40">
        <f>(E70+E72+E74)</f>
        <v>2378.4914497130776</v>
      </c>
      <c r="E76" s="13">
        <f>C76*D76/100</f>
        <v>951.39657988523106</v>
      </c>
      <c r="F76" s="54"/>
      <c r="G76" s="236"/>
    </row>
    <row r="77" spans="1:7" s="4" customFormat="1" ht="11.25" customHeight="1" x14ac:dyDescent="0.2">
      <c r="A77" s="181" t="s">
        <v>3</v>
      </c>
      <c r="B77" s="170"/>
      <c r="C77" s="170"/>
      <c r="D77" s="23"/>
      <c r="E77" s="45">
        <f>SUM(E70:E76)</f>
        <v>3329.8880295983085</v>
      </c>
      <c r="F77" s="182"/>
      <c r="G77" s="236"/>
    </row>
    <row r="78" spans="1:7" s="4" customFormat="1" ht="11.25" customHeight="1" x14ac:dyDescent="0.2">
      <c r="A78" s="179" t="s">
        <v>4</v>
      </c>
      <c r="B78" s="12" t="s">
        <v>2</v>
      </c>
      <c r="C78" s="237">
        <v>72.23</v>
      </c>
      <c r="D78" s="13">
        <f>E77</f>
        <v>3329.8880295983085</v>
      </c>
      <c r="E78" s="13">
        <f>D78*C78/100</f>
        <v>2405.1781237788582</v>
      </c>
      <c r="F78" s="54"/>
      <c r="G78" s="236"/>
    </row>
    <row r="79" spans="1:7" s="4" customFormat="1" ht="11.25" customHeight="1" x14ac:dyDescent="0.2">
      <c r="A79" s="181" t="s">
        <v>230</v>
      </c>
      <c r="B79" s="141"/>
      <c r="C79" s="141"/>
      <c r="D79" s="142"/>
      <c r="E79" s="45">
        <f>E77+E78</f>
        <v>5735.0661533771672</v>
      </c>
      <c r="F79" s="182"/>
      <c r="G79" s="236"/>
    </row>
    <row r="80" spans="1:7" s="4" customFormat="1" ht="11.25" customHeight="1" thickBot="1" x14ac:dyDescent="0.25">
      <c r="A80" s="179" t="s">
        <v>5</v>
      </c>
      <c r="B80" s="166" t="s">
        <v>231</v>
      </c>
      <c r="C80" s="284">
        <f>D37</f>
        <v>1</v>
      </c>
      <c r="D80" s="13">
        <f>E79</f>
        <v>5735.0661533771672</v>
      </c>
      <c r="E80" s="13">
        <f>C80*D80</f>
        <v>5735.0661533771672</v>
      </c>
      <c r="F80" s="54"/>
      <c r="G80" s="236"/>
    </row>
    <row r="81" spans="1:7" s="4" customFormat="1" ht="11.25" customHeight="1" thickBot="1" x14ac:dyDescent="0.25">
      <c r="A81" s="175"/>
      <c r="B81" s="6"/>
      <c r="C81" s="6"/>
      <c r="D81" s="171" t="s">
        <v>111</v>
      </c>
      <c r="E81" s="28">
        <f>$B$46</f>
        <v>1</v>
      </c>
      <c r="F81" s="50">
        <f>E80*E81</f>
        <v>5735.0661533771672</v>
      </c>
      <c r="G81" s="236"/>
    </row>
    <row r="82" spans="1:7" s="4" customFormat="1" ht="11.25" customHeight="1" x14ac:dyDescent="0.2">
      <c r="A82" s="233"/>
      <c r="D82" s="234"/>
      <c r="E82" s="234"/>
      <c r="F82" s="235"/>
      <c r="G82" s="236"/>
    </row>
    <row r="83" spans="1:7" s="4" customFormat="1" ht="11.25" customHeight="1" x14ac:dyDescent="0.2">
      <c r="A83" s="178" t="s">
        <v>300</v>
      </c>
      <c r="D83" s="234"/>
      <c r="E83" s="234"/>
      <c r="F83" s="235"/>
      <c r="G83" s="236"/>
    </row>
    <row r="84" spans="1:7" s="4" customFormat="1" ht="11.25" customHeight="1" x14ac:dyDescent="0.2">
      <c r="A84" s="251" t="s">
        <v>4</v>
      </c>
      <c r="B84" s="166" t="s">
        <v>2</v>
      </c>
      <c r="C84" s="237">
        <v>32.82</v>
      </c>
      <c r="D84" s="238">
        <f>E77</f>
        <v>3329.8880295983085</v>
      </c>
      <c r="E84" s="238">
        <f>D84*C84/100</f>
        <v>1092.8692513141648</v>
      </c>
      <c r="F84" s="235"/>
      <c r="G84" s="236"/>
    </row>
    <row r="85" spans="1:7" s="4" customFormat="1" ht="11.25" customHeight="1" x14ac:dyDescent="0.2">
      <c r="A85" s="250" t="s">
        <v>230</v>
      </c>
      <c r="B85" s="44"/>
      <c r="C85" s="44"/>
      <c r="D85" s="45"/>
      <c r="E85" s="47">
        <f>E77+E84</f>
        <v>4422.7572809124731</v>
      </c>
      <c r="F85" s="235"/>
      <c r="G85" s="236"/>
    </row>
    <row r="86" spans="1:7" s="4" customFormat="1" ht="11.25" customHeight="1" thickBot="1" x14ac:dyDescent="0.25">
      <c r="A86" s="183" t="s">
        <v>5</v>
      </c>
      <c r="B86" s="166" t="str">
        <f>B80</f>
        <v>Funcionário</v>
      </c>
      <c r="C86" s="166">
        <f>C80</f>
        <v>1</v>
      </c>
      <c r="D86" s="238">
        <f>E85</f>
        <v>4422.7572809124731</v>
      </c>
      <c r="E86" s="238">
        <f>C86*D86</f>
        <v>4422.7572809124731</v>
      </c>
      <c r="F86" s="235"/>
      <c r="G86" s="236"/>
    </row>
    <row r="87" spans="1:7" s="4" customFormat="1" ht="11.25" customHeight="1" thickBot="1" x14ac:dyDescent="0.25">
      <c r="A87" s="233"/>
      <c r="D87" s="239" t="s">
        <v>111</v>
      </c>
      <c r="E87" s="28">
        <f>$B$46</f>
        <v>1</v>
      </c>
      <c r="F87" s="50">
        <f>E86*E87</f>
        <v>4422.7572809124731</v>
      </c>
      <c r="G87" s="236"/>
    </row>
    <row r="88" spans="1:7" s="4" customFormat="1" ht="11.25" customHeight="1" x14ac:dyDescent="0.2">
      <c r="A88" s="233"/>
      <c r="D88" s="234"/>
      <c r="E88" s="234"/>
      <c r="F88" s="235"/>
      <c r="G88" s="236"/>
    </row>
    <row r="89" spans="1:7" s="4" customFormat="1" ht="11.25" customHeight="1" thickBot="1" x14ac:dyDescent="0.25">
      <c r="A89" s="178" t="s">
        <v>301</v>
      </c>
      <c r="B89" s="6"/>
      <c r="C89" s="6"/>
      <c r="D89" s="31"/>
      <c r="E89" s="31"/>
      <c r="F89" s="54"/>
      <c r="G89" s="236"/>
    </row>
    <row r="90" spans="1:7" s="4" customFormat="1" ht="11.25" customHeight="1" thickBot="1" x14ac:dyDescent="0.25">
      <c r="A90" s="32" t="s">
        <v>25</v>
      </c>
      <c r="B90" s="33" t="s">
        <v>26</v>
      </c>
      <c r="C90" s="33" t="s">
        <v>17</v>
      </c>
      <c r="D90" s="34" t="s">
        <v>131</v>
      </c>
      <c r="E90" s="34" t="s">
        <v>27</v>
      </c>
      <c r="F90" s="35" t="s">
        <v>28</v>
      </c>
      <c r="G90" s="236"/>
    </row>
    <row r="91" spans="1:7" s="4" customFormat="1" ht="11.25" customHeight="1" x14ac:dyDescent="0.2">
      <c r="A91" s="180" t="s">
        <v>138</v>
      </c>
      <c r="B91" s="10" t="s">
        <v>6</v>
      </c>
      <c r="C91" s="10">
        <v>1</v>
      </c>
      <c r="D91" s="11">
        <f>E38</f>
        <v>2185.73</v>
      </c>
      <c r="E91" s="11">
        <f>C91*D91</f>
        <v>2185.73</v>
      </c>
      <c r="F91" s="54"/>
      <c r="G91" s="236"/>
    </row>
    <row r="92" spans="1:7" s="4" customFormat="1" ht="11.25" customHeight="1" x14ac:dyDescent="0.2">
      <c r="A92" s="180" t="s">
        <v>139</v>
      </c>
      <c r="B92" s="10" t="s">
        <v>6</v>
      </c>
      <c r="C92" s="10">
        <v>1</v>
      </c>
      <c r="D92" s="282">
        <v>1621</v>
      </c>
      <c r="E92" s="11"/>
      <c r="F92" s="54"/>
      <c r="G92" s="236"/>
    </row>
    <row r="93" spans="1:7" s="4" customFormat="1" ht="11.25" customHeight="1" x14ac:dyDescent="0.2">
      <c r="A93" s="179" t="s">
        <v>13</v>
      </c>
      <c r="B93" s="12" t="s">
        <v>0</v>
      </c>
      <c r="C93" s="283">
        <v>8</v>
      </c>
      <c r="D93" s="13">
        <f>D91/220*2</f>
        <v>19.870272727272727</v>
      </c>
      <c r="E93" s="13">
        <f>C93*D93</f>
        <v>158.96218181818182</v>
      </c>
      <c r="F93" s="54"/>
      <c r="G93" s="236"/>
    </row>
    <row r="94" spans="1:7" s="4" customFormat="1" ht="11.25" customHeight="1" x14ac:dyDescent="0.2">
      <c r="A94" s="179" t="s">
        <v>14</v>
      </c>
      <c r="B94" s="12" t="s">
        <v>0</v>
      </c>
      <c r="C94" s="283"/>
      <c r="D94" s="13">
        <f>D91/220*1.5</f>
        <v>14.902704545454545</v>
      </c>
      <c r="E94" s="13">
        <f>C94*D94</f>
        <v>0</v>
      </c>
      <c r="F94" s="54"/>
      <c r="G94" s="236"/>
    </row>
    <row r="95" spans="1:7" s="4" customFormat="1" ht="11.25" customHeight="1" x14ac:dyDescent="0.2">
      <c r="A95" s="179" t="s">
        <v>120</v>
      </c>
      <c r="B95" s="12" t="s">
        <v>12</v>
      </c>
      <c r="C95" s="6"/>
      <c r="D95" s="13">
        <f>64/301*(SUM(E93:E94))</f>
        <v>33.799267894895806</v>
      </c>
      <c r="E95" s="13">
        <f>D95</f>
        <v>33.799267894895806</v>
      </c>
      <c r="F95" s="54"/>
      <c r="G95" s="236"/>
    </row>
    <row r="96" spans="1:7" s="4" customFormat="1" ht="11.25" customHeight="1" x14ac:dyDescent="0.2">
      <c r="A96" s="179" t="s">
        <v>119</v>
      </c>
      <c r="B96" s="12"/>
      <c r="C96" s="284">
        <v>2</v>
      </c>
      <c r="D96" s="13"/>
      <c r="E96" s="13"/>
      <c r="F96" s="54"/>
      <c r="G96" s="236"/>
    </row>
    <row r="97" spans="1:7" s="4" customFormat="1" ht="11.25" customHeight="1" x14ac:dyDescent="0.2">
      <c r="A97" s="179" t="s">
        <v>1</v>
      </c>
      <c r="B97" s="12" t="s">
        <v>2</v>
      </c>
      <c r="C97" s="304">
        <v>40</v>
      </c>
      <c r="D97" s="40">
        <f>(E91+E93+E95)</f>
        <v>2378.4914497130776</v>
      </c>
      <c r="E97" s="13">
        <f>C97*D97/100</f>
        <v>951.39657988523106</v>
      </c>
      <c r="F97" s="54"/>
      <c r="G97" s="236"/>
    </row>
    <row r="98" spans="1:7" s="4" customFormat="1" ht="11.25" customHeight="1" x14ac:dyDescent="0.2">
      <c r="A98" s="181" t="s">
        <v>3</v>
      </c>
      <c r="B98" s="170"/>
      <c r="C98" s="170"/>
      <c r="D98" s="23"/>
      <c r="E98" s="45">
        <f>SUM(E91:E97)</f>
        <v>3329.8880295983085</v>
      </c>
      <c r="F98" s="182"/>
      <c r="G98" s="236"/>
    </row>
    <row r="99" spans="1:7" s="4" customFormat="1" ht="11.25" customHeight="1" x14ac:dyDescent="0.2">
      <c r="A99" s="179" t="s">
        <v>4</v>
      </c>
      <c r="B99" s="12" t="s">
        <v>2</v>
      </c>
      <c r="C99" s="237">
        <v>72.23</v>
      </c>
      <c r="D99" s="13">
        <f>E98</f>
        <v>3329.8880295983085</v>
      </c>
      <c r="E99" s="13">
        <f>D99*C99/100</f>
        <v>2405.1781237788582</v>
      </c>
      <c r="F99" s="54"/>
      <c r="G99" s="236"/>
    </row>
    <row r="100" spans="1:7" s="4" customFormat="1" ht="11.25" customHeight="1" x14ac:dyDescent="0.2">
      <c r="A100" s="181" t="s">
        <v>230</v>
      </c>
      <c r="B100" s="141"/>
      <c r="C100" s="141"/>
      <c r="D100" s="142"/>
      <c r="E100" s="45">
        <f>E98+E99</f>
        <v>5735.0661533771672</v>
      </c>
      <c r="F100" s="182"/>
      <c r="G100" s="236"/>
    </row>
    <row r="101" spans="1:7" s="4" customFormat="1" ht="11.25" customHeight="1" thickBot="1" x14ac:dyDescent="0.25">
      <c r="A101" s="179" t="s">
        <v>5</v>
      </c>
      <c r="B101" s="166" t="s">
        <v>231</v>
      </c>
      <c r="C101" s="284">
        <f>D38</f>
        <v>1</v>
      </c>
      <c r="D101" s="13">
        <f>E100</f>
        <v>5735.0661533771672</v>
      </c>
      <c r="E101" s="13">
        <f>C101*D101</f>
        <v>5735.0661533771672</v>
      </c>
      <c r="F101" s="54"/>
      <c r="G101" s="236"/>
    </row>
    <row r="102" spans="1:7" s="4" customFormat="1" ht="11.25" customHeight="1" thickBot="1" x14ac:dyDescent="0.25">
      <c r="A102" s="175"/>
      <c r="B102" s="6"/>
      <c r="C102" s="6"/>
      <c r="D102" s="171" t="s">
        <v>111</v>
      </c>
      <c r="E102" s="28">
        <f>$B$46</f>
        <v>1</v>
      </c>
      <c r="F102" s="50">
        <f>E101*E102</f>
        <v>5735.0661533771672</v>
      </c>
      <c r="G102" s="236"/>
    </row>
    <row r="103" spans="1:7" s="4" customFormat="1" ht="11.25" customHeight="1" x14ac:dyDescent="0.2">
      <c r="A103" s="233"/>
      <c r="D103" s="234"/>
      <c r="E103" s="234"/>
      <c r="F103" s="235"/>
      <c r="G103" s="236"/>
    </row>
    <row r="104" spans="1:7" s="4" customFormat="1" ht="11.25" customHeight="1" x14ac:dyDescent="0.2">
      <c r="A104" s="178" t="s">
        <v>302</v>
      </c>
      <c r="D104" s="234"/>
      <c r="E104" s="234"/>
      <c r="F104" s="235"/>
      <c r="G104" s="236"/>
    </row>
    <row r="105" spans="1:7" s="4" customFormat="1" ht="11.25" customHeight="1" x14ac:dyDescent="0.2">
      <c r="A105" s="251" t="s">
        <v>4</v>
      </c>
      <c r="B105" s="166" t="s">
        <v>2</v>
      </c>
      <c r="C105" s="237">
        <v>32.82</v>
      </c>
      <c r="D105" s="238">
        <f>E98</f>
        <v>3329.8880295983085</v>
      </c>
      <c r="E105" s="238">
        <f>D105*C105/100</f>
        <v>1092.8692513141648</v>
      </c>
      <c r="F105" s="235"/>
      <c r="G105" s="236"/>
    </row>
    <row r="106" spans="1:7" s="4" customFormat="1" ht="11.25" customHeight="1" x14ac:dyDescent="0.2">
      <c r="A106" s="250" t="s">
        <v>230</v>
      </c>
      <c r="B106" s="44"/>
      <c r="C106" s="44"/>
      <c r="D106" s="45"/>
      <c r="E106" s="47">
        <f>E98+E105</f>
        <v>4422.7572809124731</v>
      </c>
      <c r="F106" s="235"/>
      <c r="G106" s="236"/>
    </row>
    <row r="107" spans="1:7" s="4" customFormat="1" ht="11.25" customHeight="1" thickBot="1" x14ac:dyDescent="0.25">
      <c r="A107" s="183" t="s">
        <v>5</v>
      </c>
      <c r="B107" s="166" t="str">
        <f>B101</f>
        <v>Funcionário</v>
      </c>
      <c r="C107" s="166">
        <f>C101</f>
        <v>1</v>
      </c>
      <c r="D107" s="238">
        <f>E106</f>
        <v>4422.7572809124731</v>
      </c>
      <c r="E107" s="238">
        <f>C107*D107</f>
        <v>4422.7572809124731</v>
      </c>
      <c r="F107" s="235"/>
      <c r="G107" s="236"/>
    </row>
    <row r="108" spans="1:7" s="4" customFormat="1" ht="11.25" customHeight="1" thickBot="1" x14ac:dyDescent="0.25">
      <c r="A108" s="233"/>
      <c r="D108" s="239" t="s">
        <v>111</v>
      </c>
      <c r="E108" s="28">
        <f>$B$46</f>
        <v>1</v>
      </c>
      <c r="F108" s="50">
        <f>E107*E108</f>
        <v>4422.7572809124731</v>
      </c>
      <c r="G108" s="236"/>
    </row>
    <row r="109" spans="1:7" s="4" customFormat="1" ht="11.25" customHeight="1" x14ac:dyDescent="0.2">
      <c r="A109" s="233"/>
      <c r="D109" s="234"/>
      <c r="E109" s="234"/>
      <c r="F109" s="235"/>
      <c r="G109" s="236"/>
    </row>
    <row r="110" spans="1:7" s="4" customFormat="1" ht="11.25" customHeight="1" thickBot="1" x14ac:dyDescent="0.25">
      <c r="A110" s="178" t="s">
        <v>303</v>
      </c>
      <c r="B110" s="6"/>
      <c r="C110" s="6"/>
      <c r="D110" s="31"/>
      <c r="E110" s="31"/>
      <c r="F110" s="54"/>
      <c r="G110" s="236"/>
    </row>
    <row r="111" spans="1:7" s="4" customFormat="1" ht="11.25" customHeight="1" thickBot="1" x14ac:dyDescent="0.25">
      <c r="A111" s="32" t="s">
        <v>25</v>
      </c>
      <c r="B111" s="33" t="s">
        <v>26</v>
      </c>
      <c r="C111" s="33" t="s">
        <v>17</v>
      </c>
      <c r="D111" s="34" t="s">
        <v>131</v>
      </c>
      <c r="E111" s="34" t="s">
        <v>27</v>
      </c>
      <c r="F111" s="35" t="s">
        <v>28</v>
      </c>
      <c r="G111" s="236"/>
    </row>
    <row r="112" spans="1:7" s="4" customFormat="1" ht="11.25" customHeight="1" x14ac:dyDescent="0.2">
      <c r="A112" s="180" t="s">
        <v>138</v>
      </c>
      <c r="B112" s="10" t="s">
        <v>6</v>
      </c>
      <c r="C112" s="10">
        <v>1</v>
      </c>
      <c r="D112" s="11">
        <f>E39</f>
        <v>3000</v>
      </c>
      <c r="E112" s="11">
        <f>C112*D112</f>
        <v>3000</v>
      </c>
      <c r="F112" s="54"/>
      <c r="G112" s="236"/>
    </row>
    <row r="113" spans="1:7" s="4" customFormat="1" ht="11.25" customHeight="1" x14ac:dyDescent="0.2">
      <c r="A113" s="180" t="s">
        <v>139</v>
      </c>
      <c r="B113" s="10" t="s">
        <v>6</v>
      </c>
      <c r="C113" s="10">
        <v>1</v>
      </c>
      <c r="D113" s="282">
        <v>1621</v>
      </c>
      <c r="E113" s="11"/>
      <c r="F113" s="54"/>
      <c r="G113" s="236"/>
    </row>
    <row r="114" spans="1:7" s="4" customFormat="1" ht="11.25" customHeight="1" x14ac:dyDescent="0.2">
      <c r="A114" s="179" t="s">
        <v>13</v>
      </c>
      <c r="B114" s="12" t="s">
        <v>0</v>
      </c>
      <c r="C114" s="283">
        <v>8</v>
      </c>
      <c r="D114" s="13">
        <f>D112/220*2</f>
        <v>27.272727272727273</v>
      </c>
      <c r="E114" s="13">
        <f>C114*D114</f>
        <v>218.18181818181819</v>
      </c>
      <c r="F114" s="54"/>
      <c r="G114" s="236"/>
    </row>
    <row r="115" spans="1:7" s="4" customFormat="1" ht="11.25" customHeight="1" x14ac:dyDescent="0.2">
      <c r="A115" s="179" t="s">
        <v>14</v>
      </c>
      <c r="B115" s="12" t="s">
        <v>0</v>
      </c>
      <c r="C115" s="283"/>
      <c r="D115" s="13">
        <f>D112/220*1.5</f>
        <v>20.454545454545453</v>
      </c>
      <c r="E115" s="13">
        <f>C115*D115</f>
        <v>0</v>
      </c>
      <c r="F115" s="54"/>
      <c r="G115" s="236"/>
    </row>
    <row r="116" spans="1:7" s="4" customFormat="1" ht="11.25" customHeight="1" x14ac:dyDescent="0.2">
      <c r="A116" s="179" t="s">
        <v>120</v>
      </c>
      <c r="B116" s="12" t="s">
        <v>12</v>
      </c>
      <c r="C116" s="6"/>
      <c r="D116" s="13">
        <f>64/301*(SUM(E114:E115))</f>
        <v>46.390818483841741</v>
      </c>
      <c r="E116" s="13">
        <f>D116</f>
        <v>46.390818483841741</v>
      </c>
      <c r="F116" s="54"/>
      <c r="G116" s="236"/>
    </row>
    <row r="117" spans="1:7" s="4" customFormat="1" ht="11.25" customHeight="1" x14ac:dyDescent="0.2">
      <c r="A117" s="179" t="s">
        <v>119</v>
      </c>
      <c r="B117" s="12"/>
      <c r="C117" s="284">
        <v>2</v>
      </c>
      <c r="D117" s="13"/>
      <c r="E117" s="13"/>
      <c r="F117" s="54"/>
      <c r="G117" s="236"/>
    </row>
    <row r="118" spans="1:7" s="4" customFormat="1" ht="11.25" customHeight="1" x14ac:dyDescent="0.2">
      <c r="A118" s="179" t="s">
        <v>1</v>
      </c>
      <c r="B118" s="12" t="s">
        <v>2</v>
      </c>
      <c r="C118" s="304">
        <v>40</v>
      </c>
      <c r="D118" s="40">
        <f>D112+E114+E116</f>
        <v>3264.57263666566</v>
      </c>
      <c r="E118" s="13">
        <f>C118*D118/100</f>
        <v>1305.829054666264</v>
      </c>
      <c r="F118" s="54"/>
      <c r="G118" s="236"/>
    </row>
    <row r="119" spans="1:7" s="4" customFormat="1" ht="11.25" customHeight="1" x14ac:dyDescent="0.2">
      <c r="A119" s="183" t="s">
        <v>282</v>
      </c>
      <c r="B119" s="173"/>
      <c r="C119" s="332"/>
      <c r="D119" s="333"/>
      <c r="E119" s="13">
        <v>1000</v>
      </c>
      <c r="F119" s="54"/>
      <c r="G119" s="236"/>
    </row>
    <row r="120" spans="1:7" s="4" customFormat="1" ht="11.25" customHeight="1" x14ac:dyDescent="0.2">
      <c r="A120" s="181" t="s">
        <v>3</v>
      </c>
      <c r="B120" s="170"/>
      <c r="C120" s="170"/>
      <c r="D120" s="23"/>
      <c r="E120" s="45">
        <f>SUM(E112:E119)</f>
        <v>5570.4016913319238</v>
      </c>
      <c r="F120" s="182"/>
      <c r="G120" s="236"/>
    </row>
    <row r="121" spans="1:7" s="4" customFormat="1" ht="11.25" customHeight="1" x14ac:dyDescent="0.2">
      <c r="A121" s="179" t="s">
        <v>4</v>
      </c>
      <c r="B121" s="12" t="s">
        <v>2</v>
      </c>
      <c r="C121" s="237">
        <v>72.231660000000005</v>
      </c>
      <c r="D121" s="13">
        <f>E120</f>
        <v>5570.4016913319238</v>
      </c>
      <c r="E121" s="13">
        <f>D121*C121/100</f>
        <v>4023.5936103171248</v>
      </c>
      <c r="F121" s="54"/>
      <c r="G121" s="236"/>
    </row>
    <row r="122" spans="1:7" s="4" customFormat="1" ht="11.25" customHeight="1" x14ac:dyDescent="0.2">
      <c r="A122" s="181" t="s">
        <v>230</v>
      </c>
      <c r="B122" s="141"/>
      <c r="C122" s="141"/>
      <c r="D122" s="142"/>
      <c r="E122" s="45">
        <f>E120+E121</f>
        <v>9593.995301649049</v>
      </c>
      <c r="F122" s="182"/>
      <c r="G122" s="236"/>
    </row>
    <row r="123" spans="1:7" s="4" customFormat="1" ht="11.25" customHeight="1" thickBot="1" x14ac:dyDescent="0.25">
      <c r="A123" s="179" t="s">
        <v>5</v>
      </c>
      <c r="B123" s="166" t="s">
        <v>231</v>
      </c>
      <c r="C123" s="285">
        <v>1</v>
      </c>
      <c r="D123" s="13">
        <f>E122</f>
        <v>9593.995301649049</v>
      </c>
      <c r="E123" s="13">
        <f>C123*D123</f>
        <v>9593.995301649049</v>
      </c>
      <c r="F123" s="54"/>
      <c r="G123" s="236"/>
    </row>
    <row r="124" spans="1:7" s="4" customFormat="1" ht="11.25" customHeight="1" thickBot="1" x14ac:dyDescent="0.25">
      <c r="A124" s="175"/>
      <c r="B124" s="6"/>
      <c r="C124" s="6"/>
      <c r="D124" s="171" t="s">
        <v>111</v>
      </c>
      <c r="E124" s="28">
        <f>$B$46</f>
        <v>1</v>
      </c>
      <c r="F124" s="50">
        <f>E123*E124</f>
        <v>9593.995301649049</v>
      </c>
      <c r="G124" s="236"/>
    </row>
    <row r="125" spans="1:7" s="4" customFormat="1" ht="11.25" customHeight="1" x14ac:dyDescent="0.2">
      <c r="A125" s="233"/>
      <c r="D125" s="234"/>
      <c r="E125" s="234"/>
      <c r="F125" s="235"/>
      <c r="G125" s="236"/>
    </row>
    <row r="126" spans="1:7" s="4" customFormat="1" ht="11.25" customHeight="1" x14ac:dyDescent="0.2">
      <c r="A126" s="178" t="s">
        <v>304</v>
      </c>
      <c r="D126" s="234"/>
      <c r="E126" s="234"/>
      <c r="F126" s="235"/>
      <c r="G126" s="236"/>
    </row>
    <row r="127" spans="1:7" s="4" customFormat="1" ht="11.25" customHeight="1" x14ac:dyDescent="0.2">
      <c r="A127" s="251" t="s">
        <v>4</v>
      </c>
      <c r="B127" s="166" t="s">
        <v>2</v>
      </c>
      <c r="C127" s="237">
        <v>32.82</v>
      </c>
      <c r="D127" s="238">
        <f>E120</f>
        <v>5570.4016913319238</v>
      </c>
      <c r="E127" s="238">
        <f>D127*C127/100</f>
        <v>1828.2058350951372</v>
      </c>
      <c r="F127" s="235"/>
      <c r="G127" s="236"/>
    </row>
    <row r="128" spans="1:7" s="4" customFormat="1" ht="11.25" customHeight="1" x14ac:dyDescent="0.2">
      <c r="A128" s="250" t="s">
        <v>230</v>
      </c>
      <c r="B128" s="44"/>
      <c r="C128" s="44"/>
      <c r="D128" s="45"/>
      <c r="E128" s="47">
        <f>E120+E127</f>
        <v>7398.6075264270612</v>
      </c>
      <c r="F128" s="235"/>
      <c r="G128" s="236"/>
    </row>
    <row r="129" spans="1:11" s="4" customFormat="1" ht="11.25" customHeight="1" thickBot="1" x14ac:dyDescent="0.25">
      <c r="A129" s="183" t="s">
        <v>5</v>
      </c>
      <c r="B129" s="166" t="str">
        <f>B123</f>
        <v>Funcionário</v>
      </c>
      <c r="C129" s="166">
        <f>C123</f>
        <v>1</v>
      </c>
      <c r="D129" s="238">
        <f>E128</f>
        <v>7398.6075264270612</v>
      </c>
      <c r="E129" s="238">
        <f>C129*D129</f>
        <v>7398.6075264270612</v>
      </c>
      <c r="F129" s="235"/>
      <c r="G129" s="236"/>
    </row>
    <row r="130" spans="1:11" s="4" customFormat="1" ht="11.25" customHeight="1" thickBot="1" x14ac:dyDescent="0.25">
      <c r="A130" s="233"/>
      <c r="D130" s="239" t="s">
        <v>111</v>
      </c>
      <c r="E130" s="28">
        <f>$B$46</f>
        <v>1</v>
      </c>
      <c r="F130" s="50">
        <f>E129*E130</f>
        <v>7398.6075264270612</v>
      </c>
      <c r="G130" s="236"/>
    </row>
    <row r="131" spans="1:11" s="4" customFormat="1" ht="11.25" customHeight="1" x14ac:dyDescent="0.2">
      <c r="A131" s="233"/>
      <c r="D131" s="234"/>
      <c r="E131" s="234"/>
      <c r="F131" s="235"/>
      <c r="G131" s="236"/>
    </row>
    <row r="132" spans="1:11" s="4" customFormat="1" ht="11.25" customHeight="1" x14ac:dyDescent="0.2">
      <c r="A132" s="233"/>
      <c r="D132" s="234"/>
      <c r="E132" s="234"/>
      <c r="F132" s="235"/>
      <c r="G132" s="236"/>
    </row>
    <row r="133" spans="1:11" ht="13.5" thickBot="1" x14ac:dyDescent="0.25">
      <c r="A133" s="178" t="s">
        <v>306</v>
      </c>
      <c r="B133" s="172"/>
      <c r="D133" s="6"/>
      <c r="E133" s="6"/>
      <c r="F133" s="54"/>
      <c r="G133" s="6"/>
    </row>
    <row r="134" spans="1:11" ht="13.5" thickBot="1" x14ac:dyDescent="0.25">
      <c r="A134" s="32" t="s">
        <v>25</v>
      </c>
      <c r="B134" s="33" t="s">
        <v>26</v>
      </c>
      <c r="C134" s="33" t="s">
        <v>17</v>
      </c>
      <c r="D134" s="34" t="s">
        <v>131</v>
      </c>
      <c r="E134" s="34" t="s">
        <v>27</v>
      </c>
      <c r="F134" s="35" t="s">
        <v>28</v>
      </c>
      <c r="G134" s="6"/>
    </row>
    <row r="135" spans="1:11" x14ac:dyDescent="0.2">
      <c r="A135" s="179" t="s">
        <v>44</v>
      </c>
      <c r="B135" s="12" t="s">
        <v>12</v>
      </c>
      <c r="C135" s="42">
        <v>1</v>
      </c>
      <c r="D135" s="286">
        <v>6.6</v>
      </c>
      <c r="E135" s="13"/>
      <c r="F135" s="54"/>
      <c r="G135" s="6"/>
    </row>
    <row r="136" spans="1:11" x14ac:dyDescent="0.2">
      <c r="A136" s="179" t="s">
        <v>45</v>
      </c>
      <c r="B136" s="12" t="s">
        <v>46</v>
      </c>
      <c r="C136" s="287">
        <v>26</v>
      </c>
      <c r="D136" s="13"/>
      <c r="E136" s="13"/>
      <c r="F136" s="54"/>
      <c r="G136" s="6"/>
    </row>
    <row r="137" spans="1:11" ht="25.5" x14ac:dyDescent="0.2">
      <c r="A137" s="319" t="s">
        <v>307</v>
      </c>
      <c r="B137" s="10" t="s">
        <v>7</v>
      </c>
      <c r="C137" s="25">
        <f>$C$136*2*(C60)</f>
        <v>520</v>
      </c>
      <c r="D137" s="11">
        <f>IFERROR((($C$136*2*$D$135)-(E36*0.06*C136/C136))/($C$136*2),"-")</f>
        <v>4.33005</v>
      </c>
      <c r="E137" s="11">
        <f>IFERROR(C137*D137,"-")</f>
        <v>2251.6260000000002</v>
      </c>
      <c r="F137" s="54"/>
      <c r="G137" s="323" t="s">
        <v>372</v>
      </c>
      <c r="K137" s="299"/>
    </row>
    <row r="138" spans="1:11" ht="25.5" x14ac:dyDescent="0.2">
      <c r="A138" s="319" t="s">
        <v>308</v>
      </c>
      <c r="B138" s="255" t="s">
        <v>7</v>
      </c>
      <c r="C138" s="25">
        <f>$C$136*2*(C80)</f>
        <v>52</v>
      </c>
      <c r="D138" s="11">
        <f>IFERROR((($C$136*2*$D$135)-(E37*0.06*C136/C136))/($C$136*2),"-")</f>
        <v>4.0780038461538464</v>
      </c>
      <c r="E138" s="11">
        <f t="shared" ref="E138:E139" si="8">IFERROR(C138*D138,"-")</f>
        <v>212.05620000000002</v>
      </c>
      <c r="F138" s="54"/>
      <c r="G138" s="323"/>
      <c r="K138" s="299"/>
    </row>
    <row r="139" spans="1:11" ht="25.5" x14ac:dyDescent="0.2">
      <c r="A139" s="319" t="s">
        <v>309</v>
      </c>
      <c r="B139" s="255" t="s">
        <v>7</v>
      </c>
      <c r="C139" s="25">
        <f>$C$136*2*(C101)</f>
        <v>52</v>
      </c>
      <c r="D139" s="11">
        <f>IFERROR((($C$136*2*$D$135)-(E38*0.06*C136/C136))/($C$136*2),"-")</f>
        <v>4.0780038461538464</v>
      </c>
      <c r="E139" s="11">
        <f t="shared" si="8"/>
        <v>212.05620000000002</v>
      </c>
      <c r="F139" s="54"/>
      <c r="G139" s="323"/>
      <c r="K139" s="299"/>
    </row>
    <row r="140" spans="1:11" ht="26.25" thickBot="1" x14ac:dyDescent="0.25">
      <c r="A140" s="319" t="s">
        <v>283</v>
      </c>
      <c r="B140" s="255" t="s">
        <v>7</v>
      </c>
      <c r="C140" s="25">
        <f>C136*2*1</f>
        <v>52</v>
      </c>
      <c r="D140" s="11">
        <f>IFERROR((($C$136*2*$D$135)-(E39*0.06*C136/C136))/($C$136*2),"-")</f>
        <v>3.1384615384615384</v>
      </c>
      <c r="E140" s="11">
        <f>C140*D140</f>
        <v>163.19999999999999</v>
      </c>
      <c r="F140" s="54"/>
      <c r="G140" s="6"/>
      <c r="K140" s="299"/>
    </row>
    <row r="141" spans="1:11" ht="13.5" thickBot="1" x14ac:dyDescent="0.25">
      <c r="A141" s="175"/>
      <c r="D141" s="31"/>
      <c r="E141" s="31"/>
      <c r="F141" s="15">
        <f>SUM(E137:E140)</f>
        <v>2838.9384</v>
      </c>
      <c r="G141" s="6"/>
      <c r="J141" s="41"/>
    </row>
    <row r="142" spans="1:11" ht="11.25" customHeight="1" x14ac:dyDescent="0.2">
      <c r="A142" s="175"/>
      <c r="D142" s="31"/>
      <c r="E142" s="31"/>
      <c r="F142" s="54"/>
      <c r="G142" s="6"/>
    </row>
    <row r="143" spans="1:11" ht="13.5" thickBot="1" x14ac:dyDescent="0.25">
      <c r="A143" s="178" t="s">
        <v>279</v>
      </c>
      <c r="D143" s="31"/>
      <c r="E143" s="31"/>
      <c r="F143" s="184"/>
      <c r="G143" s="6"/>
    </row>
    <row r="144" spans="1:11" ht="13.5" thickBot="1" x14ac:dyDescent="0.25">
      <c r="A144" s="32" t="s">
        <v>25</v>
      </c>
      <c r="B144" s="33" t="s">
        <v>26</v>
      </c>
      <c r="C144" s="33" t="s">
        <v>17</v>
      </c>
      <c r="D144" s="34" t="s">
        <v>131</v>
      </c>
      <c r="E144" s="34" t="s">
        <v>27</v>
      </c>
      <c r="F144" s="35" t="s">
        <v>28</v>
      </c>
      <c r="G144" s="6"/>
    </row>
    <row r="145" spans="1:7" x14ac:dyDescent="0.2">
      <c r="A145" s="183" t="s">
        <v>313</v>
      </c>
      <c r="B145" s="166" t="s">
        <v>8</v>
      </c>
      <c r="C145" s="43">
        <f>C136*(D36)</f>
        <v>260</v>
      </c>
      <c r="D145" s="305">
        <v>27.15</v>
      </c>
      <c r="E145" s="28">
        <f>C145*D145</f>
        <v>7059</v>
      </c>
      <c r="F145" s="184"/>
      <c r="G145" s="6"/>
    </row>
    <row r="146" spans="1:7" x14ac:dyDescent="0.2">
      <c r="A146" s="183" t="s">
        <v>160</v>
      </c>
      <c r="B146" s="166" t="s">
        <v>2</v>
      </c>
      <c r="C146" s="306">
        <v>0.19</v>
      </c>
      <c r="D146" s="28">
        <f>-D145*C146</f>
        <v>-5.1585000000000001</v>
      </c>
      <c r="E146" s="28">
        <f>D146*C145</f>
        <v>-1341.21</v>
      </c>
      <c r="F146" s="184"/>
      <c r="G146" s="6"/>
    </row>
    <row r="147" spans="1:7" x14ac:dyDescent="0.2">
      <c r="A147" s="183" t="s">
        <v>310</v>
      </c>
      <c r="B147" s="166"/>
      <c r="C147" s="43">
        <f>C136*D37</f>
        <v>26</v>
      </c>
      <c r="D147" s="305">
        <v>19</v>
      </c>
      <c r="E147" s="28">
        <f>C147*D147</f>
        <v>494</v>
      </c>
      <c r="F147" s="184"/>
      <c r="G147" s="6"/>
    </row>
    <row r="148" spans="1:7" x14ac:dyDescent="0.2">
      <c r="A148" s="183" t="s">
        <v>160</v>
      </c>
      <c r="B148" s="166"/>
      <c r="C148" s="306">
        <v>0.2</v>
      </c>
      <c r="D148" s="28">
        <f>-(D147*0.2)</f>
        <v>-3.8000000000000003</v>
      </c>
      <c r="E148" s="28">
        <f>C147*D148</f>
        <v>-98.800000000000011</v>
      </c>
      <c r="F148" s="184"/>
      <c r="G148" s="6"/>
    </row>
    <row r="149" spans="1:7" x14ac:dyDescent="0.2">
      <c r="A149" s="183" t="s">
        <v>311</v>
      </c>
      <c r="B149" s="166"/>
      <c r="C149" s="43">
        <f>C136*D38</f>
        <v>26</v>
      </c>
      <c r="D149" s="305">
        <v>19</v>
      </c>
      <c r="E149" s="28">
        <f>C149*D149</f>
        <v>494</v>
      </c>
      <c r="F149" s="184"/>
      <c r="G149" s="6"/>
    </row>
    <row r="150" spans="1:7" x14ac:dyDescent="0.2">
      <c r="A150" s="183" t="s">
        <v>160</v>
      </c>
      <c r="B150" s="166"/>
      <c r="C150" s="306">
        <v>0.2</v>
      </c>
      <c r="D150" s="28">
        <f>-(D149*0.2)</f>
        <v>-3.8000000000000003</v>
      </c>
      <c r="E150" s="28">
        <f>C149*D150</f>
        <v>-98.800000000000011</v>
      </c>
      <c r="F150" s="184"/>
      <c r="G150" s="6"/>
    </row>
    <row r="151" spans="1:7" x14ac:dyDescent="0.2">
      <c r="A151" s="183" t="s">
        <v>312</v>
      </c>
      <c r="B151" s="166"/>
      <c r="C151" s="43">
        <f>C136*D38</f>
        <v>26</v>
      </c>
      <c r="D151" s="305">
        <v>27.15</v>
      </c>
      <c r="E151" s="28">
        <f>C151*D151</f>
        <v>705.9</v>
      </c>
      <c r="F151" s="184"/>
      <c r="G151" s="6"/>
    </row>
    <row r="152" spans="1:7" ht="13.5" thickBot="1" x14ac:dyDescent="0.25">
      <c r="A152" s="183" t="s">
        <v>160</v>
      </c>
      <c r="B152" s="166"/>
      <c r="C152" s="306">
        <v>0.19</v>
      </c>
      <c r="D152" s="28">
        <f>-(D151*C152)</f>
        <v>-5.1585000000000001</v>
      </c>
      <c r="E152" s="28">
        <f>C151*D152</f>
        <v>-134.12100000000001</v>
      </c>
      <c r="F152" s="184"/>
      <c r="G152" s="6"/>
    </row>
    <row r="153" spans="1:7" ht="13.5" thickBot="1" x14ac:dyDescent="0.25">
      <c r="A153" s="175"/>
      <c r="D153" s="31"/>
      <c r="E153" s="31"/>
      <c r="F153" s="15">
        <f>SUM(E145:E152)</f>
        <v>7079.9689999999991</v>
      </c>
      <c r="G153" s="6"/>
    </row>
    <row r="154" spans="1:7" x14ac:dyDescent="0.2">
      <c r="A154" s="175"/>
      <c r="D154" s="31"/>
      <c r="E154" s="31"/>
      <c r="F154" s="54"/>
      <c r="G154" s="6"/>
    </row>
    <row r="155" spans="1:7" ht="13.5" thickBot="1" x14ac:dyDescent="0.25">
      <c r="A155" s="178" t="s">
        <v>280</v>
      </c>
      <c r="D155" s="31"/>
      <c r="E155" s="31"/>
      <c r="F155" s="184"/>
      <c r="G155" s="6"/>
    </row>
    <row r="156" spans="1:7" ht="13.5" thickBot="1" x14ac:dyDescent="0.25">
      <c r="A156" s="32" t="s">
        <v>25</v>
      </c>
      <c r="B156" s="33" t="s">
        <v>26</v>
      </c>
      <c r="C156" s="33" t="s">
        <v>17</v>
      </c>
      <c r="D156" s="34" t="s">
        <v>131</v>
      </c>
      <c r="E156" s="34" t="s">
        <v>27</v>
      </c>
      <c r="F156" s="35" t="s">
        <v>28</v>
      </c>
      <c r="G156" s="6"/>
    </row>
    <row r="157" spans="1:7" x14ac:dyDescent="0.2">
      <c r="A157" s="337" t="s">
        <v>373</v>
      </c>
      <c r="B157" s="12" t="s">
        <v>8</v>
      </c>
      <c r="C157" s="43">
        <v>2</v>
      </c>
      <c r="D157" s="305">
        <v>138</v>
      </c>
      <c r="E157" s="28">
        <f t="shared" ref="E157" si="9">C157*D157</f>
        <v>276</v>
      </c>
      <c r="F157" s="184"/>
      <c r="G157" s="6"/>
    </row>
    <row r="158" spans="1:7" ht="13.5" thickBot="1" x14ac:dyDescent="0.25">
      <c r="A158" s="179" t="str">
        <f>+A146</f>
        <v>Desconto previsto na CCT</v>
      </c>
      <c r="B158" s="166" t="s">
        <v>2</v>
      </c>
      <c r="C158" s="306">
        <v>0.2</v>
      </c>
      <c r="D158" s="28">
        <f>-D157*C158</f>
        <v>-27.6</v>
      </c>
      <c r="E158" s="28">
        <f>C157*D158</f>
        <v>-55.2</v>
      </c>
      <c r="F158" s="184"/>
      <c r="G158" s="6"/>
    </row>
    <row r="159" spans="1:7" ht="13.5" thickBot="1" x14ac:dyDescent="0.25">
      <c r="A159" s="175"/>
      <c r="D159" s="171" t="s">
        <v>111</v>
      </c>
      <c r="E159" s="28">
        <f>$B$46</f>
        <v>1</v>
      </c>
      <c r="F159" s="15">
        <f>SUM(E157:E158)*E159</f>
        <v>220.8</v>
      </c>
      <c r="G159" s="6"/>
    </row>
    <row r="160" spans="1:7" x14ac:dyDescent="0.2">
      <c r="A160" s="175"/>
      <c r="D160" s="31"/>
      <c r="E160" s="31"/>
      <c r="F160" s="54"/>
      <c r="G160" s="6"/>
    </row>
    <row r="161" spans="1:7" x14ac:dyDescent="0.2">
      <c r="A161" s="175"/>
      <c r="D161" s="171"/>
      <c r="E161" s="31"/>
      <c r="F161" s="184"/>
      <c r="G161" s="6"/>
    </row>
    <row r="162" spans="1:7" ht="13.5" thickBot="1" x14ac:dyDescent="0.25">
      <c r="A162" s="178" t="s">
        <v>281</v>
      </c>
      <c r="B162" s="4"/>
      <c r="C162" s="4"/>
      <c r="D162" s="234"/>
      <c r="E162" s="234"/>
      <c r="F162" s="184"/>
      <c r="G162" s="4"/>
    </row>
    <row r="163" spans="1:7" ht="13.5" thickBot="1" x14ac:dyDescent="0.25">
      <c r="A163" s="32" t="s">
        <v>25</v>
      </c>
      <c r="B163" s="33" t="s">
        <v>26</v>
      </c>
      <c r="C163" s="33" t="s">
        <v>17</v>
      </c>
      <c r="D163" s="34" t="s">
        <v>131</v>
      </c>
      <c r="E163" s="34" t="s">
        <v>27</v>
      </c>
      <c r="F163" s="35" t="s">
        <v>28</v>
      </c>
      <c r="G163" s="6"/>
    </row>
    <row r="164" spans="1:7" ht="13.5" thickBot="1" x14ac:dyDescent="0.25">
      <c r="A164" s="180" t="s">
        <v>314</v>
      </c>
      <c r="B164" s="166" t="s">
        <v>8</v>
      </c>
      <c r="C164" s="300">
        <f>D40</f>
        <v>13</v>
      </c>
      <c r="D164" s="305">
        <v>25.5</v>
      </c>
      <c r="E164" s="301">
        <f>C164*D164</f>
        <v>331.5</v>
      </c>
      <c r="F164" s="184"/>
      <c r="G164" s="6"/>
    </row>
    <row r="165" spans="1:7" ht="13.5" thickBot="1" x14ac:dyDescent="0.25">
      <c r="A165" s="233"/>
      <c r="B165" s="4"/>
      <c r="C165" s="234"/>
      <c r="D165" s="2"/>
      <c r="E165" s="302"/>
      <c r="F165" s="15">
        <f>ROUND(SUM(E164:E164),2)</f>
        <v>331.5</v>
      </c>
      <c r="G165" s="6"/>
    </row>
    <row r="166" spans="1:7" x14ac:dyDescent="0.2">
      <c r="A166" s="233"/>
      <c r="B166" s="4"/>
      <c r="C166" s="234"/>
      <c r="D166" s="2"/>
      <c r="E166" s="2"/>
      <c r="F166" s="2"/>
      <c r="G166" s="6"/>
    </row>
    <row r="167" spans="1:7" ht="13.5" thickBot="1" x14ac:dyDescent="0.25">
      <c r="A167" s="178" t="s">
        <v>315</v>
      </c>
      <c r="B167" s="4"/>
      <c r="C167" s="4"/>
      <c r="D167" s="234"/>
      <c r="E167" s="234"/>
      <c r="F167" s="184"/>
      <c r="G167" s="6"/>
    </row>
    <row r="168" spans="1:7" ht="13.5" thickBot="1" x14ac:dyDescent="0.25">
      <c r="A168" s="32" t="s">
        <v>25</v>
      </c>
      <c r="B168" s="33" t="s">
        <v>26</v>
      </c>
      <c r="C168" s="33" t="s">
        <v>17</v>
      </c>
      <c r="D168" s="34" t="s">
        <v>131</v>
      </c>
      <c r="E168" s="34" t="s">
        <v>27</v>
      </c>
      <c r="F168" s="35" t="s">
        <v>28</v>
      </c>
      <c r="G168" s="6"/>
    </row>
    <row r="169" spans="1:7" ht="13.5" thickBot="1" x14ac:dyDescent="0.25">
      <c r="A169" s="180" t="s">
        <v>316</v>
      </c>
      <c r="B169" s="166" t="s">
        <v>8</v>
      </c>
      <c r="C169" s="300">
        <f>D36</f>
        <v>10</v>
      </c>
      <c r="D169" s="305">
        <v>25.52</v>
      </c>
      <c r="E169" s="301">
        <f>C169*D169</f>
        <v>255.2</v>
      </c>
      <c r="F169" s="184"/>
      <c r="G169" s="6"/>
    </row>
    <row r="170" spans="1:7" ht="13.5" thickBot="1" x14ac:dyDescent="0.25">
      <c r="A170" s="233"/>
      <c r="B170" s="4"/>
      <c r="C170" s="234"/>
      <c r="D170" s="2"/>
      <c r="E170" s="302"/>
      <c r="F170" s="15">
        <f>ROUND(SUM(E169:E169),2)</f>
        <v>255.2</v>
      </c>
      <c r="G170" s="6"/>
    </row>
    <row r="171" spans="1:7" ht="13.5" thickBot="1" x14ac:dyDescent="0.25">
      <c r="A171" s="175"/>
      <c r="D171" s="31"/>
      <c r="E171" s="31"/>
      <c r="F171" s="54"/>
      <c r="G171" s="6"/>
    </row>
    <row r="172" spans="1:7" ht="13.5" thickBot="1" x14ac:dyDescent="0.25">
      <c r="A172" s="16" t="s">
        <v>193</v>
      </c>
      <c r="B172" s="17"/>
      <c r="C172" s="17"/>
      <c r="D172" s="18"/>
      <c r="E172" s="19"/>
      <c r="F172" s="15">
        <f>SUM(F50:F171)-F67-F130-F87-F108</f>
        <v>83409.62013272052</v>
      </c>
      <c r="G172" s="6"/>
    </row>
    <row r="173" spans="1:7" s="4" customFormat="1" ht="13.5" thickBot="1" x14ac:dyDescent="0.25">
      <c r="A173" s="16" t="s">
        <v>192</v>
      </c>
      <c r="B173" s="17"/>
      <c r="C173" s="17"/>
      <c r="D173" s="18"/>
      <c r="E173" s="19"/>
      <c r="F173" s="15">
        <f>SUM(F49:F171)-F61-F124-F81-F102</f>
        <v>66777.221018765078</v>
      </c>
      <c r="G173" s="236"/>
    </row>
    <row r="174" spans="1:7" x14ac:dyDescent="0.2">
      <c r="A174" s="175"/>
      <c r="D174" s="31"/>
      <c r="E174" s="31"/>
      <c r="F174" s="54"/>
      <c r="G174" s="6"/>
    </row>
    <row r="175" spans="1:7" x14ac:dyDescent="0.2">
      <c r="A175" s="178" t="s">
        <v>180</v>
      </c>
      <c r="D175" s="31"/>
      <c r="E175" s="31"/>
      <c r="F175" s="54"/>
      <c r="G175" s="6"/>
    </row>
    <row r="176" spans="1:7" ht="13.9" customHeight="1" thickBot="1" x14ac:dyDescent="0.25">
      <c r="A176" s="178" t="s">
        <v>381</v>
      </c>
      <c r="D176" s="31"/>
      <c r="E176" s="31"/>
      <c r="F176" s="54"/>
      <c r="G176" s="6"/>
    </row>
    <row r="177" spans="1:7" ht="24.75" thickBot="1" x14ac:dyDescent="0.25">
      <c r="A177" s="32" t="s">
        <v>25</v>
      </c>
      <c r="B177" s="33" t="s">
        <v>26</v>
      </c>
      <c r="C177" s="143" t="s">
        <v>274</v>
      </c>
      <c r="D177" s="34" t="s">
        <v>131</v>
      </c>
      <c r="E177" s="34" t="s">
        <v>27</v>
      </c>
      <c r="F177" s="35" t="s">
        <v>28</v>
      </c>
      <c r="G177" s="6"/>
    </row>
    <row r="178" spans="1:7" x14ac:dyDescent="0.2">
      <c r="A178" s="180" t="s">
        <v>352</v>
      </c>
      <c r="B178" s="10" t="s">
        <v>8</v>
      </c>
      <c r="C178" s="288">
        <v>4</v>
      </c>
      <c r="D178" s="282">
        <v>179.9</v>
      </c>
      <c r="E178" s="11">
        <f>C178*D178</f>
        <v>719.6</v>
      </c>
      <c r="F178" s="54"/>
      <c r="G178" s="6"/>
    </row>
    <row r="179" spans="1:7" x14ac:dyDescent="0.2">
      <c r="A179" s="183" t="s">
        <v>367</v>
      </c>
      <c r="B179" s="12" t="s">
        <v>8</v>
      </c>
      <c r="C179" s="289">
        <v>10</v>
      </c>
      <c r="D179" s="282">
        <v>139.91999999999999</v>
      </c>
      <c r="E179" s="11">
        <f t="shared" ref="E179:E191" si="10">C179*D179</f>
        <v>1399.1999999999998</v>
      </c>
      <c r="F179" s="54"/>
      <c r="G179" s="41"/>
    </row>
    <row r="180" spans="1:7" x14ac:dyDescent="0.2">
      <c r="A180" s="183" t="s">
        <v>358</v>
      </c>
      <c r="B180" s="12" t="s">
        <v>8</v>
      </c>
      <c r="C180" s="289">
        <v>20</v>
      </c>
      <c r="D180" s="282">
        <v>68</v>
      </c>
      <c r="E180" s="11">
        <f t="shared" si="10"/>
        <v>1360</v>
      </c>
      <c r="F180" s="54"/>
      <c r="G180" s="6"/>
    </row>
    <row r="181" spans="1:7" x14ac:dyDescent="0.2">
      <c r="A181" s="183" t="s">
        <v>353</v>
      </c>
      <c r="B181" s="166" t="s">
        <v>8</v>
      </c>
      <c r="C181" s="289">
        <v>20</v>
      </c>
      <c r="D181" s="282">
        <v>75</v>
      </c>
      <c r="E181" s="11">
        <f t="shared" si="10"/>
        <v>1500</v>
      </c>
      <c r="F181" s="54"/>
      <c r="G181" s="6"/>
    </row>
    <row r="182" spans="1:7" ht="25.5" x14ac:dyDescent="0.2">
      <c r="A182" s="337" t="s">
        <v>368</v>
      </c>
      <c r="B182" s="12" t="s">
        <v>21</v>
      </c>
      <c r="C182" s="289">
        <v>8</v>
      </c>
      <c r="D182" s="282">
        <v>130</v>
      </c>
      <c r="E182" s="11">
        <f t="shared" si="10"/>
        <v>1040</v>
      </c>
      <c r="F182" s="54"/>
      <c r="G182" s="6"/>
    </row>
    <row r="183" spans="1:7" x14ac:dyDescent="0.2">
      <c r="A183" s="183" t="s">
        <v>369</v>
      </c>
      <c r="B183" s="12" t="s">
        <v>8</v>
      </c>
      <c r="C183" s="289">
        <v>4</v>
      </c>
      <c r="D183" s="282">
        <v>273</v>
      </c>
      <c r="E183" s="11">
        <f t="shared" si="10"/>
        <v>1092</v>
      </c>
      <c r="F183" s="54"/>
      <c r="G183" s="6"/>
    </row>
    <row r="184" spans="1:7" x14ac:dyDescent="0.2">
      <c r="A184" s="183" t="s">
        <v>354</v>
      </c>
      <c r="B184" s="166" t="s">
        <v>26</v>
      </c>
      <c r="C184" s="289">
        <v>4</v>
      </c>
      <c r="D184" s="282">
        <v>47.5</v>
      </c>
      <c r="E184" s="11">
        <f t="shared" si="10"/>
        <v>190</v>
      </c>
      <c r="F184" s="54"/>
      <c r="G184" s="6"/>
    </row>
    <row r="185" spans="1:7" ht="25.5" x14ac:dyDescent="0.2">
      <c r="A185" s="337" t="s">
        <v>356</v>
      </c>
      <c r="B185" s="166" t="s">
        <v>8</v>
      </c>
      <c r="C185" s="289">
        <v>30</v>
      </c>
      <c r="D185" s="282">
        <v>32</v>
      </c>
      <c r="E185" s="11">
        <f t="shared" si="10"/>
        <v>960</v>
      </c>
      <c r="F185" s="54"/>
      <c r="G185" s="6"/>
    </row>
    <row r="186" spans="1:7" x14ac:dyDescent="0.2">
      <c r="A186" s="183" t="s">
        <v>359</v>
      </c>
      <c r="B186" s="166" t="s">
        <v>8</v>
      </c>
      <c r="C186" s="289">
        <v>24</v>
      </c>
      <c r="D186" s="282">
        <v>37</v>
      </c>
      <c r="E186" s="11">
        <f t="shared" si="10"/>
        <v>888</v>
      </c>
      <c r="F186" s="54"/>
      <c r="G186" s="6"/>
    </row>
    <row r="187" spans="1:7" x14ac:dyDescent="0.2">
      <c r="A187" s="183" t="s">
        <v>355</v>
      </c>
      <c r="B187" s="166" t="s">
        <v>8</v>
      </c>
      <c r="C187" s="289">
        <v>6</v>
      </c>
      <c r="D187" s="282">
        <v>11</v>
      </c>
      <c r="E187" s="11">
        <f t="shared" si="10"/>
        <v>66</v>
      </c>
      <c r="F187" s="54"/>
      <c r="G187" s="6"/>
    </row>
    <row r="188" spans="1:7" x14ac:dyDescent="0.2">
      <c r="A188" s="183" t="s">
        <v>370</v>
      </c>
      <c r="B188" s="166" t="s">
        <v>26</v>
      </c>
      <c r="C188" s="289">
        <v>6</v>
      </c>
      <c r="D188" s="282">
        <v>11</v>
      </c>
      <c r="E188" s="11">
        <f t="shared" si="10"/>
        <v>66</v>
      </c>
      <c r="F188" s="54"/>
      <c r="G188" s="6"/>
    </row>
    <row r="189" spans="1:7" x14ac:dyDescent="0.2">
      <c r="A189" s="183" t="s">
        <v>273</v>
      </c>
      <c r="B189" s="166" t="s">
        <v>8</v>
      </c>
      <c r="C189" s="289">
        <v>24</v>
      </c>
      <c r="D189" s="282">
        <v>13.3</v>
      </c>
      <c r="E189" s="11">
        <f t="shared" si="10"/>
        <v>319.20000000000005</v>
      </c>
      <c r="F189" s="54"/>
      <c r="G189" s="6"/>
    </row>
    <row r="190" spans="1:7" x14ac:dyDescent="0.2">
      <c r="A190" s="183" t="s">
        <v>360</v>
      </c>
      <c r="B190" s="166" t="s">
        <v>8</v>
      </c>
      <c r="C190" s="289">
        <v>20</v>
      </c>
      <c r="D190" s="282">
        <v>20</v>
      </c>
      <c r="E190" s="11">
        <f t="shared" si="10"/>
        <v>400</v>
      </c>
      <c r="F190" s="54"/>
      <c r="G190" s="6"/>
    </row>
    <row r="191" spans="1:7" x14ac:dyDescent="0.2">
      <c r="A191" s="183" t="s">
        <v>357</v>
      </c>
      <c r="B191" s="166" t="s">
        <v>8</v>
      </c>
      <c r="C191" s="289">
        <v>60</v>
      </c>
      <c r="D191" s="282">
        <v>2.02</v>
      </c>
      <c r="E191" s="11">
        <f t="shared" si="10"/>
        <v>121.2</v>
      </c>
      <c r="F191" s="54"/>
      <c r="G191" s="6"/>
    </row>
    <row r="192" spans="1:7" x14ac:dyDescent="0.2">
      <c r="A192" s="179" t="s">
        <v>112</v>
      </c>
      <c r="B192" s="12" t="s">
        <v>57</v>
      </c>
      <c r="C192" s="48">
        <v>1</v>
      </c>
      <c r="D192" s="282"/>
      <c r="E192" s="356">
        <f>'Lavagem unif.'!J7</f>
        <v>179.06</v>
      </c>
      <c r="F192" s="54"/>
      <c r="G192" s="6"/>
    </row>
    <row r="193" spans="1:7" x14ac:dyDescent="0.2">
      <c r="A193" s="183" t="s">
        <v>266</v>
      </c>
      <c r="B193" s="12"/>
      <c r="C193" s="48"/>
      <c r="D193" s="355">
        <f>SUM(E178:E191)</f>
        <v>10121.200000000001</v>
      </c>
      <c r="E193" s="356">
        <f>D193/12</f>
        <v>843.43333333333339</v>
      </c>
      <c r="F193" s="54"/>
      <c r="G193" s="6"/>
    </row>
    <row r="194" spans="1:7" ht="13.5" thickBot="1" x14ac:dyDescent="0.25">
      <c r="A194" s="179" t="s">
        <v>5</v>
      </c>
      <c r="B194" s="12" t="str">
        <f>B66</f>
        <v>Funcionário</v>
      </c>
      <c r="C194" s="330">
        <f>D40</f>
        <v>13</v>
      </c>
      <c r="D194" s="45">
        <f>E192+E193</f>
        <v>1022.4933333333333</v>
      </c>
      <c r="E194" s="45">
        <f>C194*D194</f>
        <v>13292.413333333334</v>
      </c>
      <c r="F194" s="54"/>
      <c r="G194" s="6"/>
    </row>
    <row r="195" spans="1:7" ht="13.5" thickBot="1" x14ac:dyDescent="0.25">
      <c r="A195" s="175"/>
      <c r="D195" s="171" t="s">
        <v>111</v>
      </c>
      <c r="E195" s="28">
        <f>$B$46</f>
        <v>1</v>
      </c>
      <c r="F195" s="50">
        <f>E194*E195</f>
        <v>13292.413333333334</v>
      </c>
      <c r="G195" s="6"/>
    </row>
    <row r="196" spans="1:7" ht="11.25" customHeight="1" thickBot="1" x14ac:dyDescent="0.25">
      <c r="A196" s="175"/>
      <c r="D196" s="6"/>
      <c r="E196" s="31"/>
      <c r="F196" s="54"/>
      <c r="G196" s="6"/>
    </row>
    <row r="197" spans="1:7" ht="13.5" thickBot="1" x14ac:dyDescent="0.25">
      <c r="A197" s="16" t="s">
        <v>113</v>
      </c>
      <c r="B197" s="20"/>
      <c r="C197" s="20"/>
      <c r="D197" s="21"/>
      <c r="E197" s="22"/>
      <c r="F197" s="14">
        <f>F195</f>
        <v>13292.413333333334</v>
      </c>
      <c r="G197" s="6"/>
    </row>
    <row r="198" spans="1:7" ht="11.25" customHeight="1" x14ac:dyDescent="0.2">
      <c r="A198" s="175"/>
      <c r="D198" s="31"/>
      <c r="E198" s="31"/>
      <c r="F198" s="54"/>
      <c r="G198" s="6"/>
    </row>
    <row r="199" spans="1:7" x14ac:dyDescent="0.2">
      <c r="A199" s="178" t="s">
        <v>22</v>
      </c>
      <c r="D199" s="31"/>
      <c r="E199" s="31"/>
      <c r="F199" s="54"/>
      <c r="G199" s="6"/>
    </row>
    <row r="200" spans="1:7" x14ac:dyDescent="0.2">
      <c r="A200" s="178"/>
      <c r="D200" s="31"/>
      <c r="E200" s="31"/>
      <c r="F200" s="54"/>
      <c r="G200" s="6"/>
    </row>
    <row r="201" spans="1:7" ht="13.5" thickBot="1" x14ac:dyDescent="0.25">
      <c r="A201" s="186" t="s">
        <v>267</v>
      </c>
      <c r="D201" s="31"/>
      <c r="E201" s="31"/>
      <c r="F201" s="54"/>
      <c r="G201" s="6"/>
    </row>
    <row r="202" spans="1:7" ht="13.5" thickBot="1" x14ac:dyDescent="0.25">
      <c r="A202" s="32" t="s">
        <v>25</v>
      </c>
      <c r="B202" s="33" t="s">
        <v>26</v>
      </c>
      <c r="C202" s="33" t="s">
        <v>17</v>
      </c>
      <c r="D202" s="34" t="s">
        <v>131</v>
      </c>
      <c r="E202" s="34" t="s">
        <v>27</v>
      </c>
      <c r="F202" s="35" t="s">
        <v>28</v>
      </c>
      <c r="G202" s="6"/>
    </row>
    <row r="203" spans="1:7" ht="25.5" x14ac:dyDescent="0.2">
      <c r="A203" s="321" t="s">
        <v>385</v>
      </c>
      <c r="B203" s="10" t="s">
        <v>8</v>
      </c>
      <c r="C203" s="10">
        <v>1</v>
      </c>
      <c r="D203" s="282">
        <f>G46</f>
        <v>3713602.5</v>
      </c>
      <c r="E203" s="11">
        <f>C203*D203</f>
        <v>3713602.5</v>
      </c>
      <c r="F203" s="54"/>
      <c r="G203" s="6"/>
    </row>
    <row r="204" spans="1:7" x14ac:dyDescent="0.2">
      <c r="A204" s="179" t="s">
        <v>48</v>
      </c>
      <c r="B204" s="12" t="s">
        <v>49</v>
      </c>
      <c r="C204" s="304">
        <v>6</v>
      </c>
      <c r="D204" s="40"/>
      <c r="E204" s="13"/>
      <c r="F204" s="54"/>
      <c r="G204" s="6"/>
    </row>
    <row r="205" spans="1:7" x14ac:dyDescent="0.2">
      <c r="A205" s="179" t="s">
        <v>116</v>
      </c>
      <c r="B205" s="12" t="s">
        <v>49</v>
      </c>
      <c r="C205" s="304">
        <v>0</v>
      </c>
      <c r="D205" s="13"/>
      <c r="E205" s="13"/>
      <c r="F205" s="187"/>
      <c r="G205" s="6"/>
    </row>
    <row r="206" spans="1:7" x14ac:dyDescent="0.2">
      <c r="A206" s="179" t="s">
        <v>50</v>
      </c>
      <c r="B206" s="12" t="s">
        <v>2</v>
      </c>
      <c r="C206" s="56">
        <f>IFERROR(VLOOKUP(C204,'5. Depreciação'!A3:B17,2,FALSE),0)</f>
        <v>58.18</v>
      </c>
      <c r="D206" s="13">
        <f>E203</f>
        <v>3713602.5</v>
      </c>
      <c r="E206" s="13">
        <f>C206*D206/100</f>
        <v>2160573.9345</v>
      </c>
      <c r="F206" s="54"/>
      <c r="G206" s="6"/>
    </row>
    <row r="207" spans="1:7" ht="13.5" thickBot="1" x14ac:dyDescent="0.25">
      <c r="A207" s="188" t="s">
        <v>226</v>
      </c>
      <c r="B207" s="148" t="s">
        <v>6</v>
      </c>
      <c r="C207" s="148">
        <f>C204*12</f>
        <v>72</v>
      </c>
      <c r="D207" s="149">
        <f>IF(C205&lt;=C204,E206,0)</f>
        <v>2160573.9345</v>
      </c>
      <c r="E207" s="149">
        <f>IFERROR(D207/C207,0)</f>
        <v>30007.971312499998</v>
      </c>
      <c r="F207" s="54"/>
      <c r="G207" s="6"/>
    </row>
    <row r="208" spans="1:7" ht="14.25" thickTop="1" thickBot="1" x14ac:dyDescent="0.25">
      <c r="A208" s="181" t="s">
        <v>285</v>
      </c>
      <c r="B208" s="146"/>
      <c r="C208" s="146"/>
      <c r="D208" s="171" t="s">
        <v>111</v>
      </c>
      <c r="E208" s="28">
        <f>$B$46</f>
        <v>1</v>
      </c>
      <c r="F208" s="14">
        <f>E207</f>
        <v>30007.971312499998</v>
      </c>
      <c r="G208" s="6"/>
    </row>
    <row r="209" spans="1:7" x14ac:dyDescent="0.2">
      <c r="A209" s="189"/>
      <c r="B209" s="146"/>
      <c r="C209" s="146"/>
      <c r="D209" s="171"/>
      <c r="E209" s="31"/>
      <c r="F209" s="31"/>
      <c r="G209" s="6"/>
    </row>
    <row r="210" spans="1:7" ht="13.5" thickBot="1" x14ac:dyDescent="0.25">
      <c r="A210" s="186" t="s">
        <v>268</v>
      </c>
      <c r="D210" s="31"/>
      <c r="E210" s="31"/>
      <c r="F210" s="54"/>
      <c r="G210" s="6"/>
    </row>
    <row r="211" spans="1:7" ht="13.5" thickBot="1" x14ac:dyDescent="0.25">
      <c r="A211" s="32" t="s">
        <v>25</v>
      </c>
      <c r="B211" s="33" t="s">
        <v>26</v>
      </c>
      <c r="C211" s="33" t="s">
        <v>17</v>
      </c>
      <c r="D211" s="34" t="s">
        <v>131</v>
      </c>
      <c r="E211" s="34" t="s">
        <v>27</v>
      </c>
      <c r="F211" s="35" t="s">
        <v>28</v>
      </c>
      <c r="G211" s="6"/>
    </row>
    <row r="212" spans="1:7" ht="25.5" x14ac:dyDescent="0.2">
      <c r="A212" s="321" t="str">
        <f>A203</f>
        <v xml:space="preserve">Custo de aquisição de equipamentos - item 3.1 até 3.3 do quadro  instalações e equipamentos </v>
      </c>
      <c r="B212" s="10" t="s">
        <v>8</v>
      </c>
      <c r="C212" s="10">
        <v>1</v>
      </c>
      <c r="D212" s="11">
        <f>D203</f>
        <v>3713602.5</v>
      </c>
      <c r="E212" s="11">
        <f>C212*D212</f>
        <v>3713602.5</v>
      </c>
      <c r="F212" s="187"/>
      <c r="G212" s="6"/>
    </row>
    <row r="213" spans="1:7" x14ac:dyDescent="0.2">
      <c r="A213" s="179" t="s">
        <v>118</v>
      </c>
      <c r="B213" s="12" t="s">
        <v>2</v>
      </c>
      <c r="C213" s="283">
        <v>15</v>
      </c>
      <c r="D213" s="13"/>
      <c r="E213" s="13"/>
      <c r="F213" s="187"/>
      <c r="G213" s="6"/>
    </row>
    <row r="214" spans="1:7" x14ac:dyDescent="0.2">
      <c r="A214" s="179" t="s">
        <v>117</v>
      </c>
      <c r="B214" s="12" t="s">
        <v>12</v>
      </c>
      <c r="C214" s="60">
        <f>IFERROR(IF(C205&lt;=C204,E203-(C206/(100*C204)*C205)*E203,E203-E206),0)</f>
        <v>3713602.5</v>
      </c>
      <c r="D214" s="13"/>
      <c r="E214" s="13"/>
      <c r="F214" s="187"/>
      <c r="G214" s="6"/>
    </row>
    <row r="215" spans="1:7" x14ac:dyDescent="0.2">
      <c r="A215" s="179" t="s">
        <v>54</v>
      </c>
      <c r="B215" s="12" t="s">
        <v>12</v>
      </c>
      <c r="C215" s="40">
        <f>IFERROR(IF(C205&gt;=C204,C214,((((C214)-(E203-E206))*(((C204-C205)+1)/(2*(C204-C205))))+(E203-E206))),0)</f>
        <v>2813363.3606250002</v>
      </c>
      <c r="D215" s="13"/>
      <c r="E215" s="13"/>
      <c r="F215" s="187"/>
      <c r="G215" s="6"/>
    </row>
    <row r="216" spans="1:7" ht="13.5" thickBot="1" x14ac:dyDescent="0.25">
      <c r="A216" s="188" t="s">
        <v>55</v>
      </c>
      <c r="B216" s="148" t="s">
        <v>12</v>
      </c>
      <c r="C216" s="148"/>
      <c r="D216" s="150">
        <f>C213*C215/12/100</f>
        <v>35167.042007812503</v>
      </c>
      <c r="E216" s="149">
        <f>D216</f>
        <v>35167.042007812503</v>
      </c>
      <c r="F216" s="187"/>
      <c r="G216" s="6"/>
    </row>
    <row r="217" spans="1:7" ht="14.25" thickTop="1" thickBot="1" x14ac:dyDescent="0.25">
      <c r="A217" s="181" t="s">
        <v>286</v>
      </c>
      <c r="C217" s="173"/>
      <c r="D217" s="171" t="s">
        <v>111</v>
      </c>
      <c r="E217" s="28">
        <f>$B$46</f>
        <v>1</v>
      </c>
      <c r="F217" s="14">
        <f>(E216*E217)</f>
        <v>35167.042007812503</v>
      </c>
      <c r="G217" s="41"/>
    </row>
    <row r="218" spans="1:7" x14ac:dyDescent="0.2">
      <c r="A218" s="175"/>
      <c r="C218" s="173"/>
      <c r="D218" s="171"/>
      <c r="E218" s="31"/>
      <c r="F218" s="31"/>
      <c r="G218" s="41"/>
    </row>
    <row r="219" spans="1:7" ht="11.25" customHeight="1" x14ac:dyDescent="0.2">
      <c r="A219" s="175"/>
      <c r="D219" s="31"/>
      <c r="E219" s="31"/>
      <c r="F219" s="54"/>
      <c r="G219" s="41"/>
    </row>
    <row r="220" spans="1:7" ht="13.5" thickBot="1" x14ac:dyDescent="0.25">
      <c r="A220" s="178" t="s">
        <v>272</v>
      </c>
      <c r="D220" s="31"/>
      <c r="E220" s="31"/>
      <c r="F220" s="54"/>
      <c r="G220" s="6"/>
    </row>
    <row r="221" spans="1:7" ht="13.5" thickBot="1" x14ac:dyDescent="0.25">
      <c r="A221" s="32" t="s">
        <v>25</v>
      </c>
      <c r="B221" s="33" t="s">
        <v>26</v>
      </c>
      <c r="C221" s="33" t="s">
        <v>289</v>
      </c>
      <c r="D221" s="34" t="s">
        <v>131</v>
      </c>
      <c r="E221" s="34" t="s">
        <v>27</v>
      </c>
      <c r="F221" s="35" t="s">
        <v>28</v>
      </c>
      <c r="G221" s="6"/>
    </row>
    <row r="222" spans="1:7" ht="25.5" x14ac:dyDescent="0.2">
      <c r="A222" s="183" t="s">
        <v>321</v>
      </c>
      <c r="B222" s="166" t="s">
        <v>8</v>
      </c>
      <c r="C222" s="11">
        <v>1</v>
      </c>
      <c r="D222" s="290">
        <f>150*12</f>
        <v>1800</v>
      </c>
      <c r="E222" s="13">
        <f t="shared" ref="E222:E223" si="11">C222*D222</f>
        <v>1800</v>
      </c>
      <c r="F222" s="54"/>
      <c r="G222" s="323" t="s">
        <v>275</v>
      </c>
    </row>
    <row r="223" spans="1:7" x14ac:dyDescent="0.2">
      <c r="A223" s="183" t="s">
        <v>319</v>
      </c>
      <c r="B223" s="166" t="s">
        <v>8</v>
      </c>
      <c r="C223" s="11">
        <v>1</v>
      </c>
      <c r="D223" s="290">
        <v>150</v>
      </c>
      <c r="E223" s="13">
        <f t="shared" si="11"/>
        <v>150</v>
      </c>
      <c r="F223" s="54"/>
      <c r="G223" s="6"/>
    </row>
    <row r="224" spans="1:7" x14ac:dyDescent="0.2">
      <c r="A224" s="183" t="s">
        <v>320</v>
      </c>
      <c r="B224" s="12" t="s">
        <v>8</v>
      </c>
      <c r="C224" s="11">
        <v>1</v>
      </c>
      <c r="D224" s="322">
        <v>4000</v>
      </c>
      <c r="E224" s="13">
        <f>C224*D224</f>
        <v>4000</v>
      </c>
      <c r="F224" s="190"/>
      <c r="G224" s="6"/>
    </row>
    <row r="225" spans="1:7" ht="25.5" x14ac:dyDescent="0.2">
      <c r="A225" s="183" t="s">
        <v>380</v>
      </c>
      <c r="B225" s="166" t="s">
        <v>8</v>
      </c>
      <c r="C225" s="11">
        <v>1</v>
      </c>
      <c r="D225" s="322">
        <v>46000</v>
      </c>
      <c r="E225" s="13">
        <f>D225/5</f>
        <v>9200</v>
      </c>
      <c r="F225" s="190"/>
      <c r="G225" s="323" t="s">
        <v>382</v>
      </c>
    </row>
    <row r="226" spans="1:7" ht="13.5" thickBot="1" x14ac:dyDescent="0.25">
      <c r="A226" s="181" t="s">
        <v>9</v>
      </c>
      <c r="B226" s="44" t="s">
        <v>6</v>
      </c>
      <c r="C226" s="44">
        <v>12</v>
      </c>
      <c r="D226" s="45">
        <f>SUM(E222:E225)</f>
        <v>15150</v>
      </c>
      <c r="E226" s="45">
        <f>D226/C226</f>
        <v>1262.5</v>
      </c>
      <c r="F226" s="54"/>
      <c r="G226" s="6"/>
    </row>
    <row r="227" spans="1:7" ht="13.5" thickBot="1" x14ac:dyDescent="0.25">
      <c r="A227" s="175"/>
      <c r="D227" s="171" t="s">
        <v>111</v>
      </c>
      <c r="E227" s="28">
        <f>$B$46</f>
        <v>1</v>
      </c>
      <c r="F227" s="50">
        <f>E226*E227</f>
        <v>1262.5</v>
      </c>
      <c r="G227" s="6"/>
    </row>
    <row r="228" spans="1:7" ht="11.25" customHeight="1" x14ac:dyDescent="0.2">
      <c r="A228" s="175"/>
      <c r="D228" s="31"/>
      <c r="E228" s="31"/>
      <c r="F228" s="54"/>
      <c r="G228" s="6"/>
    </row>
    <row r="229" spans="1:7" x14ac:dyDescent="0.2">
      <c r="A229" s="178" t="s">
        <v>269</v>
      </c>
      <c r="B229" s="174"/>
      <c r="D229" s="31"/>
      <c r="E229" s="31"/>
      <c r="F229" s="54"/>
      <c r="G229" s="6"/>
    </row>
    <row r="230" spans="1:7" x14ac:dyDescent="0.2">
      <c r="A230" s="181" t="s">
        <v>337</v>
      </c>
      <c r="B230" s="329">
        <f>26*8</f>
        <v>208</v>
      </c>
      <c r="D230" s="31"/>
      <c r="E230" s="31"/>
      <c r="F230" s="54"/>
      <c r="G230" s="6"/>
    </row>
    <row r="231" spans="1:7" ht="13.5" thickBot="1" x14ac:dyDescent="0.25">
      <c r="A231" s="175"/>
      <c r="B231" s="174"/>
      <c r="D231" s="31"/>
      <c r="E231" s="31"/>
      <c r="F231" s="54"/>
      <c r="G231" s="6"/>
    </row>
    <row r="232" spans="1:7" ht="13.5" thickBot="1" x14ac:dyDescent="0.25">
      <c r="A232" s="32" t="s">
        <v>25</v>
      </c>
      <c r="B232" s="33" t="s">
        <v>26</v>
      </c>
      <c r="C232" s="33" t="s">
        <v>290</v>
      </c>
      <c r="D232" s="34" t="s">
        <v>131</v>
      </c>
      <c r="E232" s="34" t="s">
        <v>27</v>
      </c>
      <c r="F232" s="35" t="s">
        <v>28</v>
      </c>
      <c r="G232" s="6"/>
    </row>
    <row r="233" spans="1:7" x14ac:dyDescent="0.2">
      <c r="A233" s="340" t="s">
        <v>339</v>
      </c>
      <c r="B233" s="341"/>
      <c r="C233" s="255" t="s">
        <v>340</v>
      </c>
      <c r="D233" s="308">
        <v>4</v>
      </c>
      <c r="E233" s="308">
        <v>10</v>
      </c>
      <c r="F233" s="256"/>
      <c r="G233" s="6"/>
    </row>
    <row r="234" spans="1:7" x14ac:dyDescent="0.2">
      <c r="A234" s="342" t="s">
        <v>338</v>
      </c>
      <c r="B234" s="343"/>
      <c r="C234" s="166" t="s">
        <v>0</v>
      </c>
      <c r="D234" s="238">
        <f>B230</f>
        <v>208</v>
      </c>
      <c r="E234" s="256">
        <f>IFERROR(+E233*D233,"-")</f>
        <v>40</v>
      </c>
      <c r="F234" s="238">
        <f>IFERROR(D234*E234,"-")</f>
        <v>8320</v>
      </c>
      <c r="G234" s="6"/>
    </row>
    <row r="235" spans="1:7" x14ac:dyDescent="0.2">
      <c r="A235" s="380" t="s">
        <v>323</v>
      </c>
      <c r="B235" s="381"/>
      <c r="C235" s="255" t="s">
        <v>322</v>
      </c>
      <c r="D235" s="305">
        <v>0.85</v>
      </c>
      <c r="E235" s="308">
        <v>3.3</v>
      </c>
      <c r="F235" s="238"/>
      <c r="G235" s="6"/>
    </row>
    <row r="236" spans="1:7" x14ac:dyDescent="0.2">
      <c r="A236" s="380" t="s">
        <v>324</v>
      </c>
      <c r="B236" s="381"/>
      <c r="C236" s="166" t="s">
        <v>0</v>
      </c>
      <c r="D236" s="238">
        <f>B230</f>
        <v>208</v>
      </c>
      <c r="E236" s="256">
        <f>IFERROR(+E235*D235,"-")</f>
        <v>2.8049999999999997</v>
      </c>
      <c r="F236" s="238">
        <f>IFERROR(D236*E236,"-")</f>
        <v>583.43999999999994</v>
      </c>
      <c r="G236" s="6"/>
    </row>
    <row r="237" spans="1:7" x14ac:dyDescent="0.2">
      <c r="A237" s="342" t="s">
        <v>325</v>
      </c>
      <c r="B237" s="343"/>
      <c r="C237" s="166" t="s">
        <v>326</v>
      </c>
      <c r="D237" s="305">
        <v>15.5</v>
      </c>
      <c r="E237" s="305">
        <v>14</v>
      </c>
      <c r="F237" s="238"/>
      <c r="G237" s="6"/>
    </row>
    <row r="238" spans="1:7" x14ac:dyDescent="0.2">
      <c r="A238" s="342" t="s">
        <v>10</v>
      </c>
      <c r="B238" s="343"/>
      <c r="C238" s="166" t="s">
        <v>0</v>
      </c>
      <c r="D238" s="238">
        <f>D234</f>
        <v>208</v>
      </c>
      <c r="E238" s="238">
        <f>+D237*E237/200</f>
        <v>1.085</v>
      </c>
      <c r="F238" s="238">
        <f>D238*E238</f>
        <v>225.68</v>
      </c>
      <c r="G238" s="6"/>
    </row>
    <row r="239" spans="1:7" x14ac:dyDescent="0.2">
      <c r="A239" s="342" t="s">
        <v>327</v>
      </c>
      <c r="B239" s="343"/>
      <c r="C239" s="166" t="s">
        <v>326</v>
      </c>
      <c r="D239" s="305">
        <v>124</v>
      </c>
      <c r="E239" s="305">
        <v>12.9</v>
      </c>
      <c r="F239" s="238"/>
      <c r="G239" s="6"/>
    </row>
    <row r="240" spans="1:7" x14ac:dyDescent="0.2">
      <c r="A240" s="342" t="s">
        <v>11</v>
      </c>
      <c r="B240" s="343"/>
      <c r="C240" s="166" t="s">
        <v>0</v>
      </c>
      <c r="D240" s="238">
        <f>D234</f>
        <v>208</v>
      </c>
      <c r="E240" s="238">
        <f>+D239*E239/200</f>
        <v>7.9980000000000011</v>
      </c>
      <c r="F240" s="238">
        <f>D240*E240</f>
        <v>1663.5840000000003</v>
      </c>
      <c r="G240" s="6"/>
    </row>
    <row r="241" spans="1:7" x14ac:dyDescent="0.2">
      <c r="A241" s="342" t="s">
        <v>328</v>
      </c>
      <c r="B241" s="343"/>
      <c r="C241" s="166" t="s">
        <v>329</v>
      </c>
      <c r="D241" s="305">
        <v>1</v>
      </c>
      <c r="E241" s="305">
        <v>125</v>
      </c>
      <c r="F241" s="238"/>
      <c r="G241" s="6"/>
    </row>
    <row r="242" spans="1:7" x14ac:dyDescent="0.2">
      <c r="A242" s="342" t="s">
        <v>330</v>
      </c>
      <c r="B242" s="343"/>
      <c r="C242" s="166" t="s">
        <v>0</v>
      </c>
      <c r="D242" s="238">
        <f>D240</f>
        <v>208</v>
      </c>
      <c r="E242" s="238">
        <f>+D241*E241/200</f>
        <v>0.625</v>
      </c>
      <c r="F242" s="238">
        <f>D242*E242</f>
        <v>130</v>
      </c>
      <c r="G242" s="6"/>
    </row>
    <row r="243" spans="1:7" x14ac:dyDescent="0.2">
      <c r="A243" s="342" t="s">
        <v>331</v>
      </c>
      <c r="B243" s="343"/>
      <c r="C243" s="166" t="s">
        <v>329</v>
      </c>
      <c r="D243" s="305">
        <v>2</v>
      </c>
      <c r="E243" s="305">
        <v>71</v>
      </c>
      <c r="F243" s="238"/>
      <c r="G243" s="6"/>
    </row>
    <row r="244" spans="1:7" x14ac:dyDescent="0.2">
      <c r="A244" s="342" t="s">
        <v>330</v>
      </c>
      <c r="B244" s="343"/>
      <c r="C244" s="166" t="s">
        <v>0</v>
      </c>
      <c r="D244" s="238">
        <f>D242</f>
        <v>208</v>
      </c>
      <c r="E244" s="238">
        <f>+D243*E243/200</f>
        <v>0.71</v>
      </c>
      <c r="F244" s="238">
        <f>D244*E244</f>
        <v>147.68</v>
      </c>
      <c r="G244" s="6"/>
    </row>
    <row r="245" spans="1:7" x14ac:dyDescent="0.2">
      <c r="A245" s="342" t="s">
        <v>332</v>
      </c>
      <c r="B245" s="343"/>
      <c r="C245" s="166" t="s">
        <v>329</v>
      </c>
      <c r="D245" s="305">
        <v>1</v>
      </c>
      <c r="E245" s="305">
        <v>204</v>
      </c>
      <c r="F245" s="238"/>
      <c r="G245" s="6"/>
    </row>
    <row r="246" spans="1:7" s="4" customFormat="1" x14ac:dyDescent="0.2">
      <c r="A246" s="342" t="s">
        <v>333</v>
      </c>
      <c r="B246" s="343"/>
      <c r="C246" s="166" t="s">
        <v>0</v>
      </c>
      <c r="D246" s="238">
        <f>D242</f>
        <v>208</v>
      </c>
      <c r="E246" s="238">
        <f>+D245*E245/200</f>
        <v>1.02</v>
      </c>
      <c r="F246" s="238">
        <f>D246*E246</f>
        <v>212.16</v>
      </c>
    </row>
    <row r="247" spans="1:7" x14ac:dyDescent="0.2">
      <c r="A247" s="342" t="s">
        <v>334</v>
      </c>
      <c r="B247" s="343"/>
      <c r="C247" s="166" t="s">
        <v>329</v>
      </c>
      <c r="D247" s="305">
        <v>1</v>
      </c>
      <c r="E247" s="305">
        <v>197</v>
      </c>
      <c r="F247" s="238"/>
      <c r="G247" s="6"/>
    </row>
    <row r="248" spans="1:7" x14ac:dyDescent="0.2">
      <c r="A248" s="342" t="s">
        <v>333</v>
      </c>
      <c r="B248" s="343"/>
      <c r="C248" s="166" t="s">
        <v>0</v>
      </c>
      <c r="D248" s="238">
        <f>D244</f>
        <v>208</v>
      </c>
      <c r="E248" s="238">
        <f>+D247*E247/200</f>
        <v>0.98499999999999999</v>
      </c>
      <c r="F248" s="238">
        <f>D248*E248</f>
        <v>204.88</v>
      </c>
      <c r="G248" s="6"/>
    </row>
    <row r="249" spans="1:7" x14ac:dyDescent="0.2">
      <c r="A249" s="342" t="s">
        <v>335</v>
      </c>
      <c r="B249" s="343"/>
      <c r="C249" s="166" t="s">
        <v>329</v>
      </c>
      <c r="D249" s="305">
        <v>2</v>
      </c>
      <c r="E249" s="305">
        <v>169</v>
      </c>
      <c r="F249" s="238"/>
      <c r="G249" s="6"/>
    </row>
    <row r="250" spans="1:7" x14ac:dyDescent="0.2">
      <c r="A250" s="342" t="s">
        <v>336</v>
      </c>
      <c r="B250" s="343"/>
      <c r="C250" s="166" t="s">
        <v>0</v>
      </c>
      <c r="D250" s="238">
        <f>D246</f>
        <v>208</v>
      </c>
      <c r="E250" s="238">
        <f>+D249*E249/200</f>
        <v>1.69</v>
      </c>
      <c r="F250" s="238">
        <f>D250*E250</f>
        <v>351.52</v>
      </c>
      <c r="G250" s="6"/>
    </row>
    <row r="251" spans="1:7" ht="13.5" thickBot="1" x14ac:dyDescent="0.25">
      <c r="A251" s="181" t="s">
        <v>134</v>
      </c>
      <c r="B251" s="44" t="s">
        <v>56</v>
      </c>
      <c r="C251" s="144"/>
      <c r="D251" s="145">
        <f>IFERROR(D238+D246+D248+D250+#REF!+#REF!,0)</f>
        <v>0</v>
      </c>
      <c r="E251" s="13"/>
      <c r="F251" s="54"/>
      <c r="G251" s="309"/>
    </row>
    <row r="252" spans="1:7" ht="13.5" thickBot="1" x14ac:dyDescent="0.25">
      <c r="A252" s="175"/>
      <c r="D252" s="31"/>
      <c r="E252" s="31"/>
      <c r="F252" s="14">
        <f>SUM(F233:F250)</f>
        <v>11838.944000000001</v>
      </c>
      <c r="G252" s="6"/>
    </row>
    <row r="253" spans="1:7" ht="13.5" thickBot="1" x14ac:dyDescent="0.25">
      <c r="A253" s="178" t="s">
        <v>276</v>
      </c>
      <c r="D253" s="31"/>
      <c r="E253" s="31"/>
      <c r="F253" s="54"/>
      <c r="G253" s="6"/>
    </row>
    <row r="254" spans="1:7" ht="13.5" thickBot="1" x14ac:dyDescent="0.25">
      <c r="A254" s="32" t="s">
        <v>25</v>
      </c>
      <c r="B254" s="33" t="s">
        <v>26</v>
      </c>
      <c r="C254" s="33" t="s">
        <v>291</v>
      </c>
      <c r="D254" s="34" t="s">
        <v>131</v>
      </c>
      <c r="E254" s="34" t="s">
        <v>27</v>
      </c>
      <c r="F254" s="35" t="s">
        <v>28</v>
      </c>
      <c r="G254" s="6"/>
    </row>
    <row r="255" spans="1:7" x14ac:dyDescent="0.2">
      <c r="A255" s="180" t="s">
        <v>341</v>
      </c>
      <c r="B255" s="255" t="s">
        <v>342</v>
      </c>
      <c r="C255" s="42">
        <f>B230</f>
        <v>208</v>
      </c>
      <c r="D255" s="282">
        <v>10</v>
      </c>
      <c r="E255" s="11">
        <f>C255*D255</f>
        <v>2080</v>
      </c>
      <c r="F255" s="54"/>
      <c r="G255" s="6"/>
    </row>
    <row r="256" spans="1:7" s="4" customFormat="1" ht="38.25" x14ac:dyDescent="0.2">
      <c r="A256" s="180" t="s">
        <v>232</v>
      </c>
      <c r="B256" s="255" t="s">
        <v>233</v>
      </c>
      <c r="C256" s="307">
        <v>4</v>
      </c>
      <c r="D256" s="308">
        <v>250</v>
      </c>
      <c r="E256" s="256">
        <f>C256*D256</f>
        <v>1000</v>
      </c>
      <c r="F256" s="235"/>
      <c r="G256" s="323" t="s">
        <v>343</v>
      </c>
    </row>
    <row r="257" spans="1:12" s="4" customFormat="1" ht="13.5" thickBot="1" x14ac:dyDescent="0.25">
      <c r="A257" s="334" t="s">
        <v>344</v>
      </c>
      <c r="B257" s="255" t="s">
        <v>287</v>
      </c>
      <c r="C257" s="307">
        <v>1</v>
      </c>
      <c r="D257" s="308">
        <v>2000</v>
      </c>
      <c r="E257" s="256">
        <f>D257</f>
        <v>2000</v>
      </c>
      <c r="F257" s="235"/>
      <c r="G257" s="6"/>
    </row>
    <row r="258" spans="1:12" ht="13.5" thickBot="1" x14ac:dyDescent="0.25">
      <c r="A258" s="175"/>
      <c r="D258" s="6"/>
      <c r="E258" s="31"/>
      <c r="F258" s="14">
        <f>SUM(E255:E257)</f>
        <v>5080</v>
      </c>
      <c r="G258" s="4"/>
    </row>
    <row r="259" spans="1:12" ht="11.25" customHeight="1" x14ac:dyDescent="0.2">
      <c r="A259" s="175"/>
      <c r="D259" s="31"/>
      <c r="E259" s="31"/>
      <c r="F259" s="54"/>
      <c r="G259" s="6"/>
    </row>
    <row r="260" spans="1:12" ht="13.5" thickBot="1" x14ac:dyDescent="0.25">
      <c r="A260" s="178" t="s">
        <v>277</v>
      </c>
      <c r="D260" s="31"/>
      <c r="E260" s="31"/>
      <c r="F260" s="54"/>
      <c r="G260" s="6"/>
    </row>
    <row r="261" spans="1:12" ht="13.5" thickBot="1" x14ac:dyDescent="0.25">
      <c r="A261" s="32" t="s">
        <v>25</v>
      </c>
      <c r="B261" s="33" t="s">
        <v>26</v>
      </c>
      <c r="C261" s="33" t="s">
        <v>17</v>
      </c>
      <c r="D261" s="34" t="s">
        <v>131</v>
      </c>
      <c r="E261" s="34" t="s">
        <v>27</v>
      </c>
      <c r="F261" s="35" t="s">
        <v>28</v>
      </c>
      <c r="G261" s="6"/>
      <c r="H261" s="7"/>
    </row>
    <row r="262" spans="1:12" x14ac:dyDescent="0.2">
      <c r="A262" s="180" t="s">
        <v>345</v>
      </c>
      <c r="B262" s="10" t="s">
        <v>8</v>
      </c>
      <c r="C262" s="291">
        <v>4</v>
      </c>
      <c r="D262" s="282">
        <v>806</v>
      </c>
      <c r="E262" s="11">
        <f>C262*D262</f>
        <v>3224</v>
      </c>
      <c r="F262" s="54"/>
      <c r="G262" s="6"/>
      <c r="H262" s="7"/>
    </row>
    <row r="263" spans="1:12" ht="13.5" thickBot="1" x14ac:dyDescent="0.25">
      <c r="A263" s="183" t="s">
        <v>229</v>
      </c>
      <c r="B263" s="166" t="s">
        <v>346</v>
      </c>
      <c r="C263" s="292">
        <v>3000</v>
      </c>
      <c r="D263" s="13"/>
      <c r="E263" s="13">
        <f>E262/C263</f>
        <v>1.0746666666666667</v>
      </c>
      <c r="F263" s="54"/>
      <c r="G263" s="6"/>
      <c r="H263" s="7"/>
    </row>
    <row r="264" spans="1:12" ht="13.5" thickBot="1" x14ac:dyDescent="0.25">
      <c r="A264" s="179" t="s">
        <v>23</v>
      </c>
      <c r="B264" s="166" t="s">
        <v>342</v>
      </c>
      <c r="C264" s="42">
        <f>B230</f>
        <v>208</v>
      </c>
      <c r="D264" s="13">
        <f>E263</f>
        <v>1.0746666666666667</v>
      </c>
      <c r="E264" s="13">
        <f>IFERROR(C264*D264,0)</f>
        <v>223.53066666666666</v>
      </c>
      <c r="F264" s="14">
        <f>E264</f>
        <v>223.53066666666666</v>
      </c>
      <c r="G264" s="6"/>
      <c r="H264" s="7"/>
    </row>
    <row r="265" spans="1:12" ht="11.25" customHeight="1" thickBot="1" x14ac:dyDescent="0.25">
      <c r="A265" s="175"/>
      <c r="D265" s="31"/>
      <c r="E265" s="31"/>
      <c r="F265" s="54"/>
      <c r="G265" s="6"/>
      <c r="H265" s="7"/>
    </row>
    <row r="266" spans="1:12" ht="13.5" thickBot="1" x14ac:dyDescent="0.25">
      <c r="A266" s="16" t="s">
        <v>123</v>
      </c>
      <c r="B266" s="17"/>
      <c r="C266" s="17"/>
      <c r="D266" s="18"/>
      <c r="E266" s="19"/>
      <c r="F266" s="14">
        <f>F264+F258+F252+F227+F217+F208</f>
        <v>83579.987986979162</v>
      </c>
      <c r="G266" s="6"/>
    </row>
    <row r="267" spans="1:12" ht="11.25" customHeight="1" x14ac:dyDescent="0.2">
      <c r="A267" s="175"/>
      <c r="D267" s="31"/>
      <c r="E267" s="31"/>
      <c r="F267" s="54"/>
      <c r="G267" s="6"/>
    </row>
    <row r="268" spans="1:12" ht="13.5" thickBot="1" x14ac:dyDescent="0.25">
      <c r="A268" s="178" t="s">
        <v>29</v>
      </c>
      <c r="B268" s="8"/>
      <c r="C268" s="8"/>
      <c r="D268" s="24"/>
      <c r="E268" s="24"/>
      <c r="F268" s="191"/>
      <c r="G268" s="6"/>
    </row>
    <row r="269" spans="1:12" ht="13.5" thickBot="1" x14ac:dyDescent="0.25">
      <c r="A269" s="32" t="s">
        <v>25</v>
      </c>
      <c r="B269" s="33" t="s">
        <v>26</v>
      </c>
      <c r="C269" s="33" t="s">
        <v>366</v>
      </c>
      <c r="D269" s="34" t="s">
        <v>131</v>
      </c>
      <c r="E269" s="34" t="s">
        <v>27</v>
      </c>
      <c r="F269" s="35" t="s">
        <v>28</v>
      </c>
      <c r="G269" s="6"/>
      <c r="L269" s="4"/>
    </row>
    <row r="270" spans="1:12" x14ac:dyDescent="0.2">
      <c r="A270" s="183" t="s">
        <v>278</v>
      </c>
      <c r="B270" s="166" t="s">
        <v>163</v>
      </c>
      <c r="C270" s="293">
        <f>2/12</f>
        <v>0.16666666666666666</v>
      </c>
      <c r="D270" s="282">
        <v>41</v>
      </c>
      <c r="E270" s="13">
        <f>C270*D270</f>
        <v>6.833333333333333</v>
      </c>
      <c r="F270" s="192"/>
      <c r="G270" s="4"/>
    </row>
    <row r="271" spans="1:12" x14ac:dyDescent="0.2">
      <c r="A271" s="183" t="s">
        <v>284</v>
      </c>
      <c r="B271" s="166" t="s">
        <v>163</v>
      </c>
      <c r="C271" s="293">
        <v>0.16666666666666666</v>
      </c>
      <c r="D271" s="282">
        <v>120.87</v>
      </c>
      <c r="E271" s="13">
        <f>C271*D271</f>
        <v>20.145</v>
      </c>
      <c r="F271" s="192"/>
      <c r="G271" s="4"/>
    </row>
    <row r="272" spans="1:12" x14ac:dyDescent="0.2">
      <c r="A272" s="183" t="s">
        <v>379</v>
      </c>
      <c r="B272" s="166" t="s">
        <v>163</v>
      </c>
      <c r="C272" s="293">
        <f>4/12</f>
        <v>0.33333333333333331</v>
      </c>
      <c r="D272" s="282">
        <v>43</v>
      </c>
      <c r="E272" s="13">
        <f>C272*D272</f>
        <v>14.333333333333332</v>
      </c>
      <c r="F272" s="192"/>
      <c r="G272" s="6"/>
    </row>
    <row r="273" spans="1:12" x14ac:dyDescent="0.2">
      <c r="A273" s="183" t="s">
        <v>365</v>
      </c>
      <c r="B273" s="166" t="s">
        <v>163</v>
      </c>
      <c r="C273" s="293">
        <v>6.666666666666667</v>
      </c>
      <c r="D273" s="282">
        <v>174</v>
      </c>
      <c r="E273" s="13">
        <f>D273*C273</f>
        <v>1160</v>
      </c>
      <c r="F273" s="192"/>
      <c r="G273" s="4" t="s">
        <v>376</v>
      </c>
    </row>
    <row r="274" spans="1:12" x14ac:dyDescent="0.2">
      <c r="A274" s="183" t="s">
        <v>378</v>
      </c>
      <c r="B274" s="166" t="s">
        <v>163</v>
      </c>
      <c r="C274" s="293">
        <v>0.33333333333333331</v>
      </c>
      <c r="D274" s="282">
        <v>57.9</v>
      </c>
      <c r="E274" s="13">
        <f>D274*C274</f>
        <v>19.299999999999997</v>
      </c>
      <c r="F274" s="192"/>
      <c r="G274" s="4"/>
    </row>
    <row r="275" spans="1:12" ht="13.5" thickBot="1" x14ac:dyDescent="0.25">
      <c r="A275" s="183" t="s">
        <v>377</v>
      </c>
      <c r="B275" s="166" t="s">
        <v>163</v>
      </c>
      <c r="C275" s="293">
        <f>4/12</f>
        <v>0.33333333333333331</v>
      </c>
      <c r="D275" s="282">
        <v>21</v>
      </c>
      <c r="E275" s="13">
        <f>C275*D275</f>
        <v>7</v>
      </c>
      <c r="F275" s="192"/>
      <c r="G275" s="6"/>
    </row>
    <row r="276" spans="1:12" ht="13.5" thickBot="1" x14ac:dyDescent="0.25">
      <c r="A276" s="178"/>
      <c r="B276" s="8"/>
      <c r="C276" s="8"/>
      <c r="D276" s="8"/>
      <c r="E276" s="24"/>
      <c r="F276" s="14">
        <f>SUM(E270:E275)</f>
        <v>1227.6116666666667</v>
      </c>
      <c r="G276" s="6"/>
    </row>
    <row r="277" spans="1:12" ht="11.25" customHeight="1" thickBot="1" x14ac:dyDescent="0.25">
      <c r="A277" s="175"/>
      <c r="D277" s="31"/>
      <c r="E277" s="31"/>
      <c r="F277" s="54"/>
      <c r="G277" s="6"/>
    </row>
    <row r="278" spans="1:12" ht="13.5" thickBot="1" x14ac:dyDescent="0.25">
      <c r="A278" s="16" t="s">
        <v>124</v>
      </c>
      <c r="B278" s="17"/>
      <c r="C278" s="17"/>
      <c r="D278" s="18"/>
      <c r="E278" s="19"/>
      <c r="F278" s="14">
        <f>+F276</f>
        <v>1227.6116666666667</v>
      </c>
      <c r="G278" s="6"/>
    </row>
    <row r="279" spans="1:12" ht="11.25" customHeight="1" thickBot="1" x14ac:dyDescent="0.25">
      <c r="A279" s="175"/>
      <c r="D279" s="31"/>
      <c r="E279" s="31"/>
      <c r="F279" s="54"/>
      <c r="G279" s="6"/>
    </row>
    <row r="280" spans="1:12" ht="17.25" customHeight="1" thickBot="1" x14ac:dyDescent="0.25">
      <c r="A280" s="16" t="s">
        <v>227</v>
      </c>
      <c r="B280" s="20"/>
      <c r="C280" s="20"/>
      <c r="D280" s="21"/>
      <c r="E280" s="22"/>
      <c r="F280" s="15">
        <f>+F172+F197+F266+F278</f>
        <v>181509.63311969969</v>
      </c>
      <c r="G280" s="6"/>
    </row>
    <row r="281" spans="1:12" s="4" customFormat="1" ht="17.25" customHeight="1" thickBot="1" x14ac:dyDescent="0.25">
      <c r="A281" s="16" t="s">
        <v>191</v>
      </c>
      <c r="B281" s="252"/>
      <c r="C281" s="252"/>
      <c r="D281" s="253"/>
      <c r="E281" s="254"/>
      <c r="F281" s="15">
        <f>+F173+F197+F266+F278</f>
        <v>164877.23400574425</v>
      </c>
      <c r="G281" s="236"/>
      <c r="I281" s="6"/>
      <c r="J281" s="6"/>
      <c r="K281" s="6"/>
      <c r="L281" s="6"/>
    </row>
    <row r="282" spans="1:12" x14ac:dyDescent="0.2">
      <c r="A282" s="178" t="s">
        <v>214</v>
      </c>
      <c r="D282" s="31"/>
      <c r="E282" s="31"/>
      <c r="F282" s="54"/>
      <c r="G282" s="6"/>
    </row>
    <row r="283" spans="1:12" ht="11.25" customHeight="1" thickBot="1" x14ac:dyDescent="0.25">
      <c r="A283" s="175"/>
      <c r="D283" s="31"/>
      <c r="E283" s="31"/>
      <c r="F283" s="54"/>
      <c r="G283" s="6"/>
    </row>
    <row r="284" spans="1:12" ht="13.5" thickBot="1" x14ac:dyDescent="0.25">
      <c r="A284" s="32" t="s">
        <v>25</v>
      </c>
      <c r="B284" s="33" t="s">
        <v>26</v>
      </c>
      <c r="C284" s="33" t="s">
        <v>17</v>
      </c>
      <c r="D284" s="34" t="s">
        <v>131</v>
      </c>
      <c r="E284" s="34" t="s">
        <v>27</v>
      </c>
      <c r="F284" s="35" t="s">
        <v>28</v>
      </c>
      <c r="G284" s="6"/>
    </row>
    <row r="285" spans="1:12" ht="13.5" thickBot="1" x14ac:dyDescent="0.25">
      <c r="A285" s="185" t="s">
        <v>15</v>
      </c>
      <c r="B285" s="10" t="s">
        <v>2</v>
      </c>
      <c r="C285" s="56">
        <f>'4.BDI'!C14*100</f>
        <v>33.25</v>
      </c>
      <c r="D285" s="11">
        <f>+F280</f>
        <v>181509.63311969969</v>
      </c>
      <c r="E285" s="11">
        <f>C285*D285/100</f>
        <v>60351.953012300146</v>
      </c>
      <c r="F285" s="54"/>
      <c r="G285" s="6"/>
    </row>
    <row r="286" spans="1:12" ht="13.5" thickBot="1" x14ac:dyDescent="0.25">
      <c r="A286" s="175"/>
      <c r="D286" s="31"/>
      <c r="E286" s="31"/>
      <c r="F286" s="14">
        <f>+E285</f>
        <v>60351.953012300146</v>
      </c>
      <c r="G286" s="6"/>
      <c r="I286" s="4"/>
      <c r="J286" s="4"/>
      <c r="K286" s="4"/>
      <c r="L286" s="4"/>
    </row>
    <row r="287" spans="1:12" ht="11.25" customHeight="1" thickBot="1" x14ac:dyDescent="0.25">
      <c r="A287" s="175"/>
      <c r="D287" s="31"/>
      <c r="E287" s="31"/>
      <c r="F287" s="54"/>
      <c r="G287" s="6"/>
      <c r="I287" s="4"/>
      <c r="J287" s="4"/>
      <c r="K287" s="4"/>
      <c r="L287" s="4"/>
    </row>
    <row r="288" spans="1:12" ht="13.5" thickBot="1" x14ac:dyDescent="0.25">
      <c r="A288" s="16" t="s">
        <v>201</v>
      </c>
      <c r="B288" s="20"/>
      <c r="C288" s="20"/>
      <c r="D288" s="21"/>
      <c r="E288" s="22"/>
      <c r="F288" s="15">
        <f>F286</f>
        <v>60351.953012300146</v>
      </c>
      <c r="G288" s="6"/>
      <c r="I288" s="4"/>
      <c r="J288" s="4"/>
      <c r="K288" s="4"/>
      <c r="L288" s="4"/>
    </row>
    <row r="289" spans="1:12" ht="13.5" thickBot="1" x14ac:dyDescent="0.25">
      <c r="A289" s="178"/>
      <c r="B289" s="8"/>
      <c r="C289" s="8"/>
      <c r="D289" s="24"/>
      <c r="E289" s="24"/>
      <c r="F289" s="191"/>
      <c r="G289" s="6"/>
      <c r="I289" s="4"/>
      <c r="J289" s="4"/>
      <c r="K289" s="4"/>
      <c r="L289" s="4"/>
    </row>
    <row r="290" spans="1:12" ht="24.75" customHeight="1" thickBot="1" x14ac:dyDescent="0.25">
      <c r="A290" s="16" t="s">
        <v>221</v>
      </c>
      <c r="B290" s="20"/>
      <c r="C290" s="20"/>
      <c r="D290" s="21"/>
      <c r="E290" s="22"/>
      <c r="F290" s="15">
        <f>F280+F288</f>
        <v>241861.58613199985</v>
      </c>
      <c r="G290" s="6"/>
      <c r="I290" s="4"/>
      <c r="J290" s="4"/>
      <c r="K290" s="4"/>
      <c r="L290" s="4"/>
    </row>
    <row r="291" spans="1:12" ht="12.6" customHeight="1" x14ac:dyDescent="0.2">
      <c r="A291" s="193"/>
      <c r="B291" s="29"/>
      <c r="C291" s="29"/>
      <c r="D291" s="30"/>
      <c r="E291" s="30"/>
      <c r="F291" s="194"/>
      <c r="G291" s="6"/>
      <c r="I291" s="4"/>
      <c r="J291" s="4"/>
      <c r="K291" s="4"/>
      <c r="L291" s="4"/>
    </row>
    <row r="292" spans="1:12" ht="16.149999999999999" customHeight="1" x14ac:dyDescent="0.2">
      <c r="A292" s="195" t="s">
        <v>222</v>
      </c>
      <c r="B292" s="134"/>
      <c r="C292" s="134"/>
      <c r="D292" s="294">
        <v>1250</v>
      </c>
      <c r="E292" s="167" t="s">
        <v>212</v>
      </c>
      <c r="F292" s="54"/>
      <c r="G292" s="6"/>
      <c r="I292" s="4"/>
      <c r="J292" s="4"/>
      <c r="K292" s="4"/>
      <c r="L292" s="4"/>
    </row>
    <row r="293" spans="1:12" ht="13.5" thickBot="1" x14ac:dyDescent="0.25">
      <c r="A293" s="175"/>
      <c r="D293" s="31"/>
      <c r="E293" s="31"/>
      <c r="F293" s="54"/>
      <c r="G293" s="6"/>
      <c r="I293" s="4"/>
      <c r="J293" s="4"/>
      <c r="K293" s="4"/>
      <c r="L293" s="4"/>
    </row>
    <row r="294" spans="1:12" ht="25.5" customHeight="1" thickBot="1" x14ac:dyDescent="0.25">
      <c r="A294" s="16" t="s">
        <v>223</v>
      </c>
      <c r="B294" s="17"/>
      <c r="C294" s="17"/>
      <c r="D294" s="18"/>
      <c r="E294" s="135" t="s">
        <v>213</v>
      </c>
      <c r="F294" s="211">
        <f>IFERROR(F290/D292,"-")</f>
        <v>193.48926890559989</v>
      </c>
      <c r="G294" s="6"/>
      <c r="I294" s="4"/>
      <c r="J294" s="4"/>
      <c r="K294" s="4"/>
      <c r="L294" s="4"/>
    </row>
    <row r="295" spans="1:12" s="4" customFormat="1" ht="12.6" customHeight="1" x14ac:dyDescent="0.2">
      <c r="A295" s="178"/>
      <c r="B295" s="8"/>
      <c r="C295" s="8"/>
      <c r="D295" s="24"/>
      <c r="E295" s="24"/>
      <c r="F295" s="182"/>
      <c r="G295" s="236"/>
    </row>
    <row r="296" spans="1:12" s="4" customFormat="1" x14ac:dyDescent="0.2">
      <c r="A296" s="178" t="s">
        <v>202</v>
      </c>
      <c r="D296" s="234"/>
      <c r="E296" s="234"/>
      <c r="F296" s="235"/>
      <c r="G296" s="236"/>
    </row>
    <row r="297" spans="1:12" s="4" customFormat="1" ht="11.25" customHeight="1" thickBot="1" x14ac:dyDescent="0.25">
      <c r="A297" s="233"/>
      <c r="D297" s="234"/>
      <c r="E297" s="234"/>
      <c r="F297" s="235"/>
      <c r="G297" s="236"/>
    </row>
    <row r="298" spans="1:12" s="4" customFormat="1" ht="13.5" thickBot="1" x14ac:dyDescent="0.25">
      <c r="A298" s="32" t="s">
        <v>25</v>
      </c>
      <c r="B298" s="33" t="s">
        <v>26</v>
      </c>
      <c r="C298" s="33" t="s">
        <v>17</v>
      </c>
      <c r="D298" s="34" t="s">
        <v>131</v>
      </c>
      <c r="E298" s="34" t="s">
        <v>27</v>
      </c>
      <c r="F298" s="35" t="s">
        <v>28</v>
      </c>
      <c r="G298" s="236"/>
    </row>
    <row r="299" spans="1:12" s="4" customFormat="1" ht="13.5" thickBot="1" x14ac:dyDescent="0.25">
      <c r="A299" s="180" t="s">
        <v>15</v>
      </c>
      <c r="B299" s="255" t="s">
        <v>2</v>
      </c>
      <c r="C299" s="237">
        <f>'4.BDI'!C27*100</f>
        <v>25.259999999999998</v>
      </c>
      <c r="D299" s="256">
        <f>F280</f>
        <v>181509.63311969969</v>
      </c>
      <c r="E299" s="256">
        <f>C299*D299/100</f>
        <v>45849.33332603614</v>
      </c>
      <c r="F299" s="235"/>
      <c r="G299" s="236"/>
    </row>
    <row r="300" spans="1:12" s="4" customFormat="1" ht="13.5" thickBot="1" x14ac:dyDescent="0.25">
      <c r="A300" s="233"/>
      <c r="D300" s="234"/>
      <c r="E300" s="234"/>
      <c r="F300" s="14">
        <f>+E299</f>
        <v>45849.33332603614</v>
      </c>
      <c r="G300" s="236"/>
    </row>
    <row r="301" spans="1:12" s="4" customFormat="1" ht="11.25" customHeight="1" thickBot="1" x14ac:dyDescent="0.25">
      <c r="A301" s="233"/>
      <c r="D301" s="234"/>
      <c r="E301" s="234"/>
      <c r="F301" s="235"/>
      <c r="G301" s="236"/>
    </row>
    <row r="302" spans="1:12" s="4" customFormat="1" ht="13.5" thickBot="1" x14ac:dyDescent="0.25">
      <c r="A302" s="16" t="s">
        <v>194</v>
      </c>
      <c r="B302" s="252"/>
      <c r="C302" s="252"/>
      <c r="D302" s="253"/>
      <c r="E302" s="254"/>
      <c r="F302" s="15">
        <f>F300</f>
        <v>45849.33332603614</v>
      </c>
      <c r="G302" s="236"/>
    </row>
    <row r="303" spans="1:12" s="4" customFormat="1" ht="13.5" thickBot="1" x14ac:dyDescent="0.25">
      <c r="A303" s="178"/>
      <c r="B303" s="8"/>
      <c r="C303" s="8"/>
      <c r="D303" s="24"/>
      <c r="E303" s="24"/>
      <c r="F303" s="191"/>
      <c r="G303" s="236"/>
    </row>
    <row r="304" spans="1:12" s="4" customFormat="1" ht="24.75" customHeight="1" thickBot="1" x14ac:dyDescent="0.25">
      <c r="A304" s="16" t="s">
        <v>195</v>
      </c>
      <c r="B304" s="252"/>
      <c r="C304" s="252"/>
      <c r="D304" s="253"/>
      <c r="E304" s="254"/>
      <c r="F304" s="15">
        <f>F280+F302</f>
        <v>227358.96644573583</v>
      </c>
      <c r="G304" s="236"/>
    </row>
    <row r="305" spans="1:7" s="4" customFormat="1" ht="12.6" customHeight="1" x14ac:dyDescent="0.2">
      <c r="A305" s="193"/>
      <c r="B305" s="29"/>
      <c r="C305" s="29"/>
      <c r="D305" s="30"/>
      <c r="E305" s="30"/>
      <c r="F305" s="194"/>
      <c r="G305" s="236"/>
    </row>
    <row r="306" spans="1:7" s="4" customFormat="1" ht="16.149999999999999" customHeight="1" x14ac:dyDescent="0.2">
      <c r="A306" s="195" t="s">
        <v>217</v>
      </c>
      <c r="B306" s="257"/>
      <c r="C306" s="257"/>
      <c r="D306" s="258">
        <f>D292</f>
        <v>1250</v>
      </c>
      <c r="E306" s="167" t="s">
        <v>212</v>
      </c>
      <c r="F306" s="235"/>
      <c r="G306" s="236"/>
    </row>
    <row r="307" spans="1:7" s="4" customFormat="1" ht="13.5" thickBot="1" x14ac:dyDescent="0.25">
      <c r="A307" s="233"/>
      <c r="D307" s="234"/>
      <c r="E307" s="234"/>
      <c r="F307" s="235"/>
      <c r="G307" s="236"/>
    </row>
    <row r="308" spans="1:7" s="4" customFormat="1" ht="25.5" customHeight="1" thickBot="1" x14ac:dyDescent="0.25">
      <c r="A308" s="16" t="s">
        <v>220</v>
      </c>
      <c r="B308" s="17"/>
      <c r="C308" s="17"/>
      <c r="D308" s="18"/>
      <c r="E308" s="135" t="s">
        <v>213</v>
      </c>
      <c r="F308" s="211">
        <f>IFERROR(F304/D306,"-")</f>
        <v>181.88717315658866</v>
      </c>
      <c r="G308" s="236"/>
    </row>
    <row r="309" spans="1:7" s="4" customFormat="1" x14ac:dyDescent="0.2">
      <c r="A309" s="259"/>
      <c r="B309" s="260"/>
      <c r="C309" s="260"/>
      <c r="D309" s="261"/>
      <c r="E309" s="261"/>
      <c r="F309" s="262"/>
      <c r="G309" s="236"/>
    </row>
    <row r="310" spans="1:7" s="4" customFormat="1" x14ac:dyDescent="0.2">
      <c r="A310" s="212" t="s">
        <v>215</v>
      </c>
      <c r="D310" s="234"/>
      <c r="E310" s="234"/>
      <c r="F310" s="235"/>
      <c r="G310" s="236"/>
    </row>
    <row r="311" spans="1:7" s="4" customFormat="1" ht="11.25" customHeight="1" thickBot="1" x14ac:dyDescent="0.25">
      <c r="A311" s="233"/>
      <c r="D311" s="234"/>
      <c r="E311" s="234"/>
      <c r="F311" s="235"/>
      <c r="G311" s="236"/>
    </row>
    <row r="312" spans="1:7" s="4" customFormat="1" ht="13.5" thickBot="1" x14ac:dyDescent="0.25">
      <c r="A312" s="32" t="s">
        <v>25</v>
      </c>
      <c r="B312" s="33" t="s">
        <v>26</v>
      </c>
      <c r="C312" s="33" t="s">
        <v>17</v>
      </c>
      <c r="D312" s="34" t="s">
        <v>131</v>
      </c>
      <c r="E312" s="34" t="s">
        <v>27</v>
      </c>
      <c r="F312" s="35" t="s">
        <v>28</v>
      </c>
      <c r="G312" s="236"/>
    </row>
    <row r="313" spans="1:7" s="4" customFormat="1" ht="13.5" thickBot="1" x14ac:dyDescent="0.25">
      <c r="A313" s="180" t="s">
        <v>196</v>
      </c>
      <c r="B313" s="255" t="s">
        <v>2</v>
      </c>
      <c r="C313" s="237">
        <f>'4.BDI'!C38*100</f>
        <v>16.93</v>
      </c>
      <c r="D313" s="256">
        <f>F281</f>
        <v>164877.23400574425</v>
      </c>
      <c r="E313" s="256">
        <f>C313*D313/100</f>
        <v>27913.715717172501</v>
      </c>
      <c r="F313" s="235"/>
      <c r="G313" s="236"/>
    </row>
    <row r="314" spans="1:7" s="4" customFormat="1" ht="13.5" thickBot="1" x14ac:dyDescent="0.25">
      <c r="A314" s="233"/>
      <c r="D314" s="234"/>
      <c r="E314" s="234"/>
      <c r="F314" s="14">
        <f>+E313</f>
        <v>27913.715717172501</v>
      </c>
      <c r="G314" s="236"/>
    </row>
    <row r="315" spans="1:7" s="4" customFormat="1" ht="11.25" customHeight="1" thickBot="1" x14ac:dyDescent="0.25">
      <c r="A315" s="233"/>
      <c r="D315" s="234"/>
      <c r="E315" s="234"/>
      <c r="F315" s="235"/>
      <c r="G315" s="236"/>
    </row>
    <row r="316" spans="1:7" s="4" customFormat="1" ht="13.5" thickBot="1" x14ac:dyDescent="0.25">
      <c r="A316" s="16" t="s">
        <v>197</v>
      </c>
      <c r="B316" s="252"/>
      <c r="C316" s="252"/>
      <c r="D316" s="253"/>
      <c r="E316" s="254"/>
      <c r="F316" s="15">
        <f>F314</f>
        <v>27913.715717172501</v>
      </c>
      <c r="G316" s="236"/>
    </row>
    <row r="317" spans="1:7" s="4" customFormat="1" ht="13.5" thickBot="1" x14ac:dyDescent="0.25">
      <c r="A317" s="178"/>
      <c r="B317" s="8"/>
      <c r="C317" s="8"/>
      <c r="D317" s="24"/>
      <c r="E317" s="24"/>
      <c r="F317" s="191"/>
      <c r="G317" s="236"/>
    </row>
    <row r="318" spans="1:7" s="4" customFormat="1" ht="24.75" customHeight="1" thickBot="1" x14ac:dyDescent="0.25">
      <c r="A318" s="16" t="s">
        <v>216</v>
      </c>
      <c r="B318" s="252"/>
      <c r="C318" s="252"/>
      <c r="D318" s="253"/>
      <c r="E318" s="254"/>
      <c r="F318" s="15">
        <f>D313+F316</f>
        <v>192790.94972291676</v>
      </c>
      <c r="G318" s="236"/>
    </row>
    <row r="319" spans="1:7" s="4" customFormat="1" ht="12.6" customHeight="1" x14ac:dyDescent="0.2">
      <c r="A319" s="193" t="s">
        <v>224</v>
      </c>
      <c r="B319" s="29"/>
      <c r="C319" s="29"/>
      <c r="D319" s="30"/>
      <c r="E319" s="30"/>
      <c r="F319" s="194"/>
      <c r="G319" s="236"/>
    </row>
    <row r="320" spans="1:7" s="4" customFormat="1" x14ac:dyDescent="0.2">
      <c r="A320" s="250" t="s">
        <v>198</v>
      </c>
      <c r="D320" s="234"/>
      <c r="E320" s="234"/>
      <c r="F320" s="235"/>
      <c r="G320" s="236"/>
    </row>
    <row r="321" spans="1:7" s="4" customFormat="1" x14ac:dyDescent="0.2">
      <c r="A321" s="178" t="s">
        <v>199</v>
      </c>
      <c r="D321" s="234"/>
      <c r="E321" s="234"/>
      <c r="F321" s="235"/>
      <c r="G321" s="236"/>
    </row>
    <row r="322" spans="1:7" s="4" customFormat="1" x14ac:dyDescent="0.2">
      <c r="A322" s="296" t="s">
        <v>361</v>
      </c>
      <c r="D322" s="234"/>
      <c r="E322" s="234"/>
      <c r="F322" s="235"/>
      <c r="G322" s="236"/>
    </row>
    <row r="323" spans="1:7" s="4" customFormat="1" ht="11.25" customHeight="1" thickBot="1" x14ac:dyDescent="0.25">
      <c r="A323" s="263"/>
      <c r="D323" s="234"/>
      <c r="E323" s="234"/>
      <c r="F323" s="235"/>
      <c r="G323" s="236"/>
    </row>
    <row r="324" spans="1:7" s="4" customFormat="1" ht="13.5" thickBot="1" x14ac:dyDescent="0.25">
      <c r="A324" s="32" t="s">
        <v>25</v>
      </c>
      <c r="B324" s="33" t="s">
        <v>26</v>
      </c>
      <c r="C324" s="33" t="s">
        <v>17</v>
      </c>
      <c r="D324" s="34" t="s">
        <v>200</v>
      </c>
      <c r="E324" s="34" t="s">
        <v>27</v>
      </c>
      <c r="F324" s="35" t="s">
        <v>28</v>
      </c>
      <c r="G324" s="236"/>
    </row>
    <row r="325" spans="1:7" s="4" customFormat="1" ht="13.5" thickBot="1" x14ac:dyDescent="0.25">
      <c r="A325" s="264" t="s">
        <v>219</v>
      </c>
      <c r="B325" s="265" t="s">
        <v>2</v>
      </c>
      <c r="C325" s="295">
        <v>15.57</v>
      </c>
      <c r="D325" s="266">
        <f>F318</f>
        <v>192790.94972291676</v>
      </c>
      <c r="E325" s="256">
        <f>F331*(C325/100)</f>
        <v>35553.181181876273</v>
      </c>
      <c r="F325" s="262"/>
      <c r="G325" s="236"/>
    </row>
    <row r="326" spans="1:7" s="4" customFormat="1" ht="13.5" thickBot="1" x14ac:dyDescent="0.25">
      <c r="A326" s="233"/>
      <c r="B326" s="4" t="s">
        <v>262</v>
      </c>
      <c r="D326" s="234">
        <f>F318*12</f>
        <v>2313491.3966750009</v>
      </c>
      <c r="E326" s="234"/>
      <c r="F326" s="15">
        <f>E325</f>
        <v>35553.181181876273</v>
      </c>
      <c r="G326" s="236"/>
    </row>
    <row r="327" spans="1:7" s="4" customFormat="1" x14ac:dyDescent="0.2">
      <c r="A327" s="233"/>
      <c r="B327" s="4" t="s">
        <v>263</v>
      </c>
      <c r="C327" s="4">
        <v>21</v>
      </c>
      <c r="D327" s="234">
        <f>D326*C327/100</f>
        <v>485833.19330175017</v>
      </c>
      <c r="E327" s="234"/>
      <c r="F327" s="234"/>
      <c r="G327" s="236"/>
    </row>
    <row r="328" spans="1:7" s="4" customFormat="1" x14ac:dyDescent="0.2">
      <c r="A328" s="233"/>
      <c r="B328" s="4" t="s">
        <v>264</v>
      </c>
      <c r="C328" s="4">
        <v>125640</v>
      </c>
      <c r="D328" s="234">
        <f>D327-C328</f>
        <v>360193.19330175017</v>
      </c>
      <c r="E328" s="234"/>
      <c r="F328" s="234"/>
      <c r="G328" s="236"/>
    </row>
    <row r="329" spans="1:7" s="4" customFormat="1" x14ac:dyDescent="0.2">
      <c r="A329" s="233"/>
      <c r="B329" s="4" t="s">
        <v>265</v>
      </c>
      <c r="D329" s="318">
        <f>D328/D326*100</f>
        <v>15.569247148246475</v>
      </c>
      <c r="E329" s="234"/>
      <c r="F329" s="234"/>
      <c r="G329" s="236"/>
    </row>
    <row r="330" spans="1:7" s="4" customFormat="1" ht="13.5" thickBot="1" x14ac:dyDescent="0.25">
      <c r="A330" s="267"/>
      <c r="B330" s="268"/>
      <c r="C330" s="268"/>
      <c r="D330" s="269"/>
      <c r="E330" s="269"/>
      <c r="F330" s="270"/>
    </row>
    <row r="331" spans="1:7" s="4" customFormat="1" ht="24.75" customHeight="1" thickBot="1" x14ac:dyDescent="0.25">
      <c r="A331" s="16" t="s">
        <v>225</v>
      </c>
      <c r="B331" s="252"/>
      <c r="C331" s="252"/>
      <c r="D331" s="253"/>
      <c r="E331" s="254"/>
      <c r="F331" s="15">
        <f>D325/((100-C325)/100)</f>
        <v>228344.13090479301</v>
      </c>
    </row>
    <row r="332" spans="1:7" s="4" customFormat="1" ht="12.6" customHeight="1" x14ac:dyDescent="0.2">
      <c r="A332" s="193"/>
      <c r="B332" s="29"/>
      <c r="C332" s="29"/>
      <c r="D332" s="30"/>
      <c r="E332" s="30"/>
      <c r="F332" s="194"/>
    </row>
    <row r="333" spans="1:7" s="4" customFormat="1" ht="16.149999999999999" customHeight="1" x14ac:dyDescent="0.2">
      <c r="A333" s="195" t="s">
        <v>217</v>
      </c>
      <c r="B333" s="257"/>
      <c r="C333" s="257"/>
      <c r="D333" s="258">
        <f>D306</f>
        <v>1250</v>
      </c>
      <c r="E333" s="167" t="s">
        <v>212</v>
      </c>
      <c r="F333" s="235"/>
    </row>
    <row r="334" spans="1:7" s="4" customFormat="1" ht="13.5" thickBot="1" x14ac:dyDescent="0.25">
      <c r="A334" s="233"/>
      <c r="D334" s="234"/>
      <c r="E334" s="234"/>
      <c r="F334" s="235"/>
    </row>
    <row r="335" spans="1:7" s="4" customFormat="1" ht="25.5" customHeight="1" thickBot="1" x14ac:dyDescent="0.25">
      <c r="A335" s="16" t="s">
        <v>218</v>
      </c>
      <c r="B335" s="17"/>
      <c r="C335" s="17"/>
      <c r="D335" s="18"/>
      <c r="E335" s="135" t="s">
        <v>213</v>
      </c>
      <c r="F335" s="211">
        <f>IFERROR(F331/D333,"-")</f>
        <v>182.67530472383442</v>
      </c>
    </row>
    <row r="336" spans="1:7" s="4" customFormat="1" x14ac:dyDescent="0.2">
      <c r="D336" s="236"/>
      <c r="E336" s="236"/>
      <c r="F336" s="236"/>
      <c r="G336" s="236"/>
    </row>
    <row r="337" spans="2:12" s="4" customFormat="1" x14ac:dyDescent="0.2">
      <c r="D337" s="236"/>
      <c r="E337" s="236"/>
      <c r="F337" s="236"/>
      <c r="G337" s="236"/>
      <c r="I337" s="6"/>
      <c r="J337" s="6"/>
      <c r="K337" s="6"/>
      <c r="L337" s="6"/>
    </row>
    <row r="338" spans="2:12" s="4" customFormat="1" x14ac:dyDescent="0.2">
      <c r="D338" s="236"/>
      <c r="E338" s="236"/>
      <c r="F338" s="236"/>
      <c r="G338" s="236"/>
      <c r="I338" s="6"/>
      <c r="J338" s="6"/>
      <c r="K338" s="6"/>
      <c r="L338" s="6"/>
    </row>
    <row r="339" spans="2:12" s="4" customFormat="1" x14ac:dyDescent="0.2">
      <c r="D339" s="236"/>
      <c r="E339" s="236"/>
      <c r="F339" s="236"/>
      <c r="G339" s="236"/>
      <c r="I339" s="6"/>
      <c r="J339" s="6"/>
      <c r="K339" s="6"/>
      <c r="L339" s="6"/>
    </row>
    <row r="340" spans="2:12" s="4" customFormat="1" x14ac:dyDescent="0.2">
      <c r="D340" s="236"/>
      <c r="E340" s="236"/>
      <c r="F340" s="236"/>
      <c r="G340" s="236"/>
      <c r="I340" s="6"/>
      <c r="J340" s="6"/>
      <c r="K340" s="6"/>
      <c r="L340" s="6"/>
    </row>
    <row r="341" spans="2:12" s="4" customFormat="1" x14ac:dyDescent="0.2">
      <c r="D341" s="236"/>
      <c r="E341" s="236"/>
      <c r="F341" s="236"/>
      <c r="G341" s="236"/>
      <c r="I341" s="6"/>
      <c r="J341" s="6"/>
      <c r="K341" s="6"/>
      <c r="L341" s="6"/>
    </row>
    <row r="342" spans="2:12" s="4" customFormat="1" x14ac:dyDescent="0.2">
      <c r="B342" s="362"/>
      <c r="C342" s="362"/>
      <c r="D342" s="362"/>
      <c r="E342" s="236"/>
      <c r="F342" s="236"/>
      <c r="G342" s="236"/>
      <c r="I342" s="6"/>
      <c r="J342" s="6"/>
      <c r="K342" s="6"/>
      <c r="L342" s="6"/>
    </row>
    <row r="343" spans="2:12" s="4" customFormat="1" x14ac:dyDescent="0.2">
      <c r="B343" s="362"/>
      <c r="C343" s="362"/>
      <c r="D343" s="362"/>
      <c r="E343" s="236"/>
      <c r="F343" s="236"/>
      <c r="G343" s="236"/>
      <c r="I343" s="6"/>
      <c r="J343" s="6"/>
      <c r="K343" s="6"/>
      <c r="L343" s="6"/>
    </row>
    <row r="344" spans="2:12" s="4" customFormat="1" x14ac:dyDescent="0.2">
      <c r="B344" s="362"/>
      <c r="C344" s="362"/>
      <c r="D344" s="362"/>
      <c r="E344" s="236"/>
      <c r="F344" s="236"/>
      <c r="G344" s="236"/>
      <c r="I344" s="6"/>
      <c r="J344" s="6"/>
      <c r="K344" s="6"/>
      <c r="L344" s="6"/>
    </row>
    <row r="345" spans="2:12" s="4" customFormat="1" x14ac:dyDescent="0.2">
      <c r="D345" s="236"/>
      <c r="E345" s="236"/>
      <c r="F345" s="236"/>
      <c r="G345" s="236"/>
      <c r="I345" s="6"/>
      <c r="J345" s="6"/>
      <c r="K345" s="6"/>
      <c r="L345" s="6"/>
    </row>
  </sheetData>
  <mergeCells count="15">
    <mergeCell ref="B344:D344"/>
    <mergeCell ref="C46:E46"/>
    <mergeCell ref="A1:G1"/>
    <mergeCell ref="F2:G2"/>
    <mergeCell ref="A3:G3"/>
    <mergeCell ref="A5:G5"/>
    <mergeCell ref="B6:C6"/>
    <mergeCell ref="D6:E6"/>
    <mergeCell ref="A43:D43"/>
    <mergeCell ref="F6:G6"/>
    <mergeCell ref="A235:B235"/>
    <mergeCell ref="A236:B236"/>
    <mergeCell ref="A34:E34"/>
    <mergeCell ref="B342:D342"/>
    <mergeCell ref="B343:D343"/>
  </mergeCells>
  <phoneticPr fontId="12" type="noConversion"/>
  <hyperlinks>
    <hyperlink ref="A210" location="AbaRemun" display="3.1.2. Remuneração do Capital" xr:uid="{00000000-0004-0000-0000-000000000000}"/>
    <hyperlink ref="A201" location="AbaDeprec" display="3.1.1. Depreciação" xr:uid="{00000000-0004-0000-0000-000001000000}"/>
  </hyperlinks>
  <pageMargins left="0.39370078740157483" right="0" top="0.39370078740157483" bottom="0.39370078740157483" header="0" footer="0"/>
  <pageSetup paperSize="9" scale="67" fitToHeight="0" orientation="portrait" r:id="rId1"/>
  <headerFooter alignWithMargins="0">
    <oddFooter>&amp;R&amp;P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zoomScaleNormal="100" workbookViewId="0">
      <selection activeCell="A20" sqref="A20"/>
    </sheetView>
  </sheetViews>
  <sheetFormatPr defaultRowHeight="14.25" x14ac:dyDescent="0.2"/>
  <cols>
    <col min="1" max="1" width="26.5703125" style="198" customWidth="1"/>
    <col min="2" max="2" width="9.7109375" style="198" bestFit="1" customWidth="1"/>
    <col min="3" max="3" width="11.140625" style="198" customWidth="1"/>
    <col min="4" max="4" width="6.28515625" style="209" bestFit="1" customWidth="1"/>
    <col min="5" max="5" width="8.42578125" style="198" bestFit="1" customWidth="1"/>
    <col min="6" max="6" width="10.85546875" style="198" bestFit="1" customWidth="1"/>
    <col min="7" max="7" width="10.85546875" style="198" customWidth="1"/>
    <col min="8" max="10" width="8.7109375" style="198" bestFit="1" customWidth="1"/>
    <col min="11" max="11" width="9.140625" style="198"/>
    <col min="12" max="12" width="47.28515625" style="198" customWidth="1"/>
    <col min="13" max="13" width="10.28515625" style="198" bestFit="1" customWidth="1"/>
    <col min="14" max="14" width="9.140625" style="198"/>
    <col min="15" max="15" width="10.28515625" style="198" bestFit="1" customWidth="1"/>
    <col min="16" max="16384" width="9.140625" style="198"/>
  </cols>
  <sheetData>
    <row r="1" spans="1:10" ht="15" x14ac:dyDescent="0.25">
      <c r="A1" s="196" t="s">
        <v>351</v>
      </c>
      <c r="B1" s="196"/>
      <c r="C1" s="196"/>
      <c r="D1" s="197"/>
    </row>
    <row r="2" spans="1:10" ht="45" x14ac:dyDescent="0.25">
      <c r="A2" s="199" t="s">
        <v>59</v>
      </c>
      <c r="B2" s="200" t="s">
        <v>165</v>
      </c>
      <c r="C2" s="200" t="s">
        <v>166</v>
      </c>
      <c r="D2" s="200" t="s">
        <v>167</v>
      </c>
      <c r="E2" s="200" t="s">
        <v>168</v>
      </c>
      <c r="F2" s="200" t="s">
        <v>169</v>
      </c>
      <c r="G2" s="200" t="s">
        <v>170</v>
      </c>
      <c r="H2" s="200" t="s">
        <v>171</v>
      </c>
      <c r="I2" s="200" t="s">
        <v>172</v>
      </c>
      <c r="J2" s="200" t="s">
        <v>173</v>
      </c>
    </row>
    <row r="3" spans="1:10" x14ac:dyDescent="0.2">
      <c r="A3" s="201" t="s">
        <v>174</v>
      </c>
      <c r="B3" s="202">
        <v>1</v>
      </c>
      <c r="C3" s="203">
        <f>12/12</f>
        <v>1</v>
      </c>
      <c r="D3" s="204" t="s">
        <v>175</v>
      </c>
      <c r="E3" s="202">
        <v>4</v>
      </c>
      <c r="F3" s="205">
        <f>21/(E3*B3)</f>
        <v>5.25</v>
      </c>
      <c r="G3" s="205">
        <f>E3*F3*C3</f>
        <v>21</v>
      </c>
      <c r="H3" s="202">
        <v>150</v>
      </c>
      <c r="I3" s="206">
        <f>(G3*H3)/1000</f>
        <v>3.15</v>
      </c>
      <c r="J3" s="205">
        <f>I3*B$9</f>
        <v>37.799999999999997</v>
      </c>
    </row>
    <row r="4" spans="1:10" x14ac:dyDescent="0.2">
      <c r="A4" s="201" t="s">
        <v>176</v>
      </c>
      <c r="B4" s="202">
        <v>1</v>
      </c>
      <c r="C4" s="203">
        <f>12/12</f>
        <v>1</v>
      </c>
      <c r="D4" s="204" t="s">
        <v>175</v>
      </c>
      <c r="E4" s="202">
        <v>4</v>
      </c>
      <c r="F4" s="205">
        <f>21/(E4*B4)</f>
        <v>5.25</v>
      </c>
      <c r="G4" s="205">
        <f>E4*F4*C4</f>
        <v>21</v>
      </c>
      <c r="H4" s="202">
        <v>500</v>
      </c>
      <c r="I4" s="206">
        <f>(G4*H4)/1000</f>
        <v>10.5</v>
      </c>
      <c r="J4" s="205">
        <f>I4*B$9</f>
        <v>126</v>
      </c>
    </row>
    <row r="5" spans="1:10" x14ac:dyDescent="0.2">
      <c r="A5" s="201" t="s">
        <v>177</v>
      </c>
      <c r="B5" s="202">
        <v>6</v>
      </c>
      <c r="C5" s="203">
        <f>12/12</f>
        <v>1</v>
      </c>
      <c r="D5" s="204" t="s">
        <v>175</v>
      </c>
      <c r="E5" s="202">
        <v>3</v>
      </c>
      <c r="F5" s="205">
        <f>21/(E5*B5)</f>
        <v>1.1666666666666667</v>
      </c>
      <c r="G5" s="205">
        <f>E5*F5*C5</f>
        <v>3.5</v>
      </c>
      <c r="H5" s="202">
        <v>30</v>
      </c>
      <c r="I5" s="206">
        <f>(G5*H5)/1000</f>
        <v>0.105</v>
      </c>
      <c r="J5" s="205">
        <f>I5*B$9</f>
        <v>1.26</v>
      </c>
    </row>
    <row r="6" spans="1:10" x14ac:dyDescent="0.2">
      <c r="A6" s="201" t="s">
        <v>178</v>
      </c>
      <c r="B6" s="202">
        <v>3</v>
      </c>
      <c r="C6" s="203">
        <f>5/12</f>
        <v>0.41666666666666669</v>
      </c>
      <c r="D6" s="204" t="s">
        <v>175</v>
      </c>
      <c r="E6" s="202">
        <v>2</v>
      </c>
      <c r="F6" s="205">
        <f>21/(E6*B6)</f>
        <v>3.5</v>
      </c>
      <c r="G6" s="205">
        <f>E6*F6*C6</f>
        <v>2.916666666666667</v>
      </c>
      <c r="H6" s="202">
        <v>400</v>
      </c>
      <c r="I6" s="206">
        <f>(G6*H6)/1000</f>
        <v>1.1666666666666667</v>
      </c>
      <c r="J6" s="205">
        <f>I6*B$9</f>
        <v>14</v>
      </c>
    </row>
    <row r="7" spans="1:10" ht="15" x14ac:dyDescent="0.25">
      <c r="A7" s="201"/>
      <c r="B7" s="204"/>
      <c r="C7" s="204"/>
      <c r="D7" s="204"/>
      <c r="E7" s="204"/>
      <c r="F7" s="204"/>
      <c r="G7" s="204"/>
      <c r="H7" s="201"/>
      <c r="I7" s="207">
        <f>SUM(I3:I6)</f>
        <v>14.921666666666667</v>
      </c>
      <c r="J7" s="208">
        <f>SUM(J3:J6)</f>
        <v>179.06</v>
      </c>
    </row>
    <row r="8" spans="1:10" x14ac:dyDescent="0.2">
      <c r="B8" s="209"/>
      <c r="C8" s="209"/>
    </row>
    <row r="9" spans="1:10" ht="15" x14ac:dyDescent="0.25">
      <c r="A9" s="199" t="s">
        <v>179</v>
      </c>
      <c r="B9" s="210">
        <v>12</v>
      </c>
      <c r="D9" s="198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20"/>
  <sheetViews>
    <sheetView showGridLines="0" zoomScale="140" zoomScaleNormal="140" workbookViewId="0">
      <pane ySplit="1" topLeftCell="A2" activePane="bottomLeft" state="frozen"/>
      <selection pane="bottomLeft" activeCell="B20" sqref="B20"/>
    </sheetView>
  </sheetViews>
  <sheetFormatPr defaultRowHeight="12.75" x14ac:dyDescent="0.2"/>
  <cols>
    <col min="1" max="1" width="46.85546875" style="153" customWidth="1"/>
    <col min="2" max="2" width="9.140625" style="164" customWidth="1"/>
    <col min="3" max="3" width="10" style="153" bestFit="1" customWidth="1"/>
    <col min="4" max="4" width="9.140625" style="153"/>
    <col min="5" max="5" width="16.85546875" style="153" bestFit="1" customWidth="1"/>
    <col min="6" max="6" width="9.140625" style="153"/>
    <col min="7" max="7" width="6.85546875" style="153" bestFit="1" customWidth="1"/>
    <col min="8" max="8" width="14.5703125" style="153" bestFit="1" customWidth="1"/>
    <col min="9" max="255" width="9.140625" style="153"/>
    <col min="256" max="256" width="46.85546875" style="153" customWidth="1"/>
    <col min="257" max="257" width="9.140625" style="153" customWidth="1"/>
    <col min="258" max="258" width="12.140625" style="153" bestFit="1" customWidth="1"/>
    <col min="259" max="259" width="10" style="153" bestFit="1" customWidth="1"/>
    <col min="260" max="511" width="9.140625" style="153"/>
    <col min="512" max="512" width="46.85546875" style="153" customWidth="1"/>
    <col min="513" max="513" width="9.140625" style="153" customWidth="1"/>
    <col min="514" max="514" width="12.140625" style="153" bestFit="1" customWidth="1"/>
    <col min="515" max="515" width="10" style="153" bestFit="1" customWidth="1"/>
    <col min="516" max="767" width="9.140625" style="153"/>
    <col min="768" max="768" width="46.85546875" style="153" customWidth="1"/>
    <col min="769" max="769" width="9.140625" style="153" customWidth="1"/>
    <col min="770" max="770" width="12.140625" style="153" bestFit="1" customWidth="1"/>
    <col min="771" max="771" width="10" style="153" bestFit="1" customWidth="1"/>
    <col min="772" max="1023" width="9.140625" style="153"/>
    <col min="1024" max="1024" width="46.85546875" style="153" customWidth="1"/>
    <col min="1025" max="1025" width="9.140625" style="153" customWidth="1"/>
    <col min="1026" max="1026" width="12.140625" style="153" bestFit="1" customWidth="1"/>
    <col min="1027" max="1027" width="10" style="153" bestFit="1" customWidth="1"/>
    <col min="1028" max="1279" width="9.140625" style="153"/>
    <col min="1280" max="1280" width="46.85546875" style="153" customWidth="1"/>
    <col min="1281" max="1281" width="9.140625" style="153" customWidth="1"/>
    <col min="1282" max="1282" width="12.140625" style="153" bestFit="1" customWidth="1"/>
    <col min="1283" max="1283" width="10" style="153" bestFit="1" customWidth="1"/>
    <col min="1284" max="1535" width="9.140625" style="153"/>
    <col min="1536" max="1536" width="46.85546875" style="153" customWidth="1"/>
    <col min="1537" max="1537" width="9.140625" style="153" customWidth="1"/>
    <col min="1538" max="1538" width="12.140625" style="153" bestFit="1" customWidth="1"/>
    <col min="1539" max="1539" width="10" style="153" bestFit="1" customWidth="1"/>
    <col min="1540" max="1791" width="9.140625" style="153"/>
    <col min="1792" max="1792" width="46.85546875" style="153" customWidth="1"/>
    <col min="1793" max="1793" width="9.140625" style="153" customWidth="1"/>
    <col min="1794" max="1794" width="12.140625" style="153" bestFit="1" customWidth="1"/>
    <col min="1795" max="1795" width="10" style="153" bestFit="1" customWidth="1"/>
    <col min="1796" max="2047" width="9.140625" style="153"/>
    <col min="2048" max="2048" width="46.85546875" style="153" customWidth="1"/>
    <col min="2049" max="2049" width="9.140625" style="153" customWidth="1"/>
    <col min="2050" max="2050" width="12.140625" style="153" bestFit="1" customWidth="1"/>
    <col min="2051" max="2051" width="10" style="153" bestFit="1" customWidth="1"/>
    <col min="2052" max="2303" width="9.140625" style="153"/>
    <col min="2304" max="2304" width="46.85546875" style="153" customWidth="1"/>
    <col min="2305" max="2305" width="9.140625" style="153" customWidth="1"/>
    <col min="2306" max="2306" width="12.140625" style="153" bestFit="1" customWidth="1"/>
    <col min="2307" max="2307" width="10" style="153" bestFit="1" customWidth="1"/>
    <col min="2308" max="2559" width="9.140625" style="153"/>
    <col min="2560" max="2560" width="46.85546875" style="153" customWidth="1"/>
    <col min="2561" max="2561" width="9.140625" style="153" customWidth="1"/>
    <col min="2562" max="2562" width="12.140625" style="153" bestFit="1" customWidth="1"/>
    <col min="2563" max="2563" width="10" style="153" bestFit="1" customWidth="1"/>
    <col min="2564" max="2815" width="9.140625" style="153"/>
    <col min="2816" max="2816" width="46.85546875" style="153" customWidth="1"/>
    <col min="2817" max="2817" width="9.140625" style="153" customWidth="1"/>
    <col min="2818" max="2818" width="12.140625" style="153" bestFit="1" customWidth="1"/>
    <col min="2819" max="2819" width="10" style="153" bestFit="1" customWidth="1"/>
    <col min="2820" max="3071" width="9.140625" style="153"/>
    <col min="3072" max="3072" width="46.85546875" style="153" customWidth="1"/>
    <col min="3073" max="3073" width="9.140625" style="153" customWidth="1"/>
    <col min="3074" max="3074" width="12.140625" style="153" bestFit="1" customWidth="1"/>
    <col min="3075" max="3075" width="10" style="153" bestFit="1" customWidth="1"/>
    <col min="3076" max="3327" width="9.140625" style="153"/>
    <col min="3328" max="3328" width="46.85546875" style="153" customWidth="1"/>
    <col min="3329" max="3329" width="9.140625" style="153" customWidth="1"/>
    <col min="3330" max="3330" width="12.140625" style="153" bestFit="1" customWidth="1"/>
    <col min="3331" max="3331" width="10" style="153" bestFit="1" customWidth="1"/>
    <col min="3332" max="3583" width="9.140625" style="153"/>
    <col min="3584" max="3584" width="46.85546875" style="153" customWidth="1"/>
    <col min="3585" max="3585" width="9.140625" style="153" customWidth="1"/>
    <col min="3586" max="3586" width="12.140625" style="153" bestFit="1" customWidth="1"/>
    <col min="3587" max="3587" width="10" style="153" bestFit="1" customWidth="1"/>
    <col min="3588" max="3839" width="9.140625" style="153"/>
    <col min="3840" max="3840" width="46.85546875" style="153" customWidth="1"/>
    <col min="3841" max="3841" width="9.140625" style="153" customWidth="1"/>
    <col min="3842" max="3842" width="12.140625" style="153" bestFit="1" customWidth="1"/>
    <col min="3843" max="3843" width="10" style="153" bestFit="1" customWidth="1"/>
    <col min="3844" max="4095" width="9.140625" style="153"/>
    <col min="4096" max="4096" width="46.85546875" style="153" customWidth="1"/>
    <col min="4097" max="4097" width="9.140625" style="153" customWidth="1"/>
    <col min="4098" max="4098" width="12.140625" style="153" bestFit="1" customWidth="1"/>
    <col min="4099" max="4099" width="10" style="153" bestFit="1" customWidth="1"/>
    <col min="4100" max="4351" width="9.140625" style="153"/>
    <col min="4352" max="4352" width="46.85546875" style="153" customWidth="1"/>
    <col min="4353" max="4353" width="9.140625" style="153" customWidth="1"/>
    <col min="4354" max="4354" width="12.140625" style="153" bestFit="1" customWidth="1"/>
    <col min="4355" max="4355" width="10" style="153" bestFit="1" customWidth="1"/>
    <col min="4356" max="4607" width="9.140625" style="153"/>
    <col min="4608" max="4608" width="46.85546875" style="153" customWidth="1"/>
    <col min="4609" max="4609" width="9.140625" style="153" customWidth="1"/>
    <col min="4610" max="4610" width="12.140625" style="153" bestFit="1" customWidth="1"/>
    <col min="4611" max="4611" width="10" style="153" bestFit="1" customWidth="1"/>
    <col min="4612" max="4863" width="9.140625" style="153"/>
    <col min="4864" max="4864" width="46.85546875" style="153" customWidth="1"/>
    <col min="4865" max="4865" width="9.140625" style="153" customWidth="1"/>
    <col min="4866" max="4866" width="12.140625" style="153" bestFit="1" customWidth="1"/>
    <col min="4867" max="4867" width="10" style="153" bestFit="1" customWidth="1"/>
    <col min="4868" max="5119" width="9.140625" style="153"/>
    <col min="5120" max="5120" width="46.85546875" style="153" customWidth="1"/>
    <col min="5121" max="5121" width="9.140625" style="153" customWidth="1"/>
    <col min="5122" max="5122" width="12.140625" style="153" bestFit="1" customWidth="1"/>
    <col min="5123" max="5123" width="10" style="153" bestFit="1" customWidth="1"/>
    <col min="5124" max="5375" width="9.140625" style="153"/>
    <col min="5376" max="5376" width="46.85546875" style="153" customWidth="1"/>
    <col min="5377" max="5377" width="9.140625" style="153" customWidth="1"/>
    <col min="5378" max="5378" width="12.140625" style="153" bestFit="1" customWidth="1"/>
    <col min="5379" max="5379" width="10" style="153" bestFit="1" customWidth="1"/>
    <col min="5380" max="5631" width="9.140625" style="153"/>
    <col min="5632" max="5632" width="46.85546875" style="153" customWidth="1"/>
    <col min="5633" max="5633" width="9.140625" style="153" customWidth="1"/>
    <col min="5634" max="5634" width="12.140625" style="153" bestFit="1" customWidth="1"/>
    <col min="5635" max="5635" width="10" style="153" bestFit="1" customWidth="1"/>
    <col min="5636" max="5887" width="9.140625" style="153"/>
    <col min="5888" max="5888" width="46.85546875" style="153" customWidth="1"/>
    <col min="5889" max="5889" width="9.140625" style="153" customWidth="1"/>
    <col min="5890" max="5890" width="12.140625" style="153" bestFit="1" customWidth="1"/>
    <col min="5891" max="5891" width="10" style="153" bestFit="1" customWidth="1"/>
    <col min="5892" max="6143" width="9.140625" style="153"/>
    <col min="6144" max="6144" width="46.85546875" style="153" customWidth="1"/>
    <col min="6145" max="6145" width="9.140625" style="153" customWidth="1"/>
    <col min="6146" max="6146" width="12.140625" style="153" bestFit="1" customWidth="1"/>
    <col min="6147" max="6147" width="10" style="153" bestFit="1" customWidth="1"/>
    <col min="6148" max="6399" width="9.140625" style="153"/>
    <col min="6400" max="6400" width="46.85546875" style="153" customWidth="1"/>
    <col min="6401" max="6401" width="9.140625" style="153" customWidth="1"/>
    <col min="6402" max="6402" width="12.140625" style="153" bestFit="1" customWidth="1"/>
    <col min="6403" max="6403" width="10" style="153" bestFit="1" customWidth="1"/>
    <col min="6404" max="6655" width="9.140625" style="153"/>
    <col min="6656" max="6656" width="46.85546875" style="153" customWidth="1"/>
    <col min="6657" max="6657" width="9.140625" style="153" customWidth="1"/>
    <col min="6658" max="6658" width="12.140625" style="153" bestFit="1" customWidth="1"/>
    <col min="6659" max="6659" width="10" style="153" bestFit="1" customWidth="1"/>
    <col min="6660" max="6911" width="9.140625" style="153"/>
    <col min="6912" max="6912" width="46.85546875" style="153" customWidth="1"/>
    <col min="6913" max="6913" width="9.140625" style="153" customWidth="1"/>
    <col min="6914" max="6914" width="12.140625" style="153" bestFit="1" customWidth="1"/>
    <col min="6915" max="6915" width="10" style="153" bestFit="1" customWidth="1"/>
    <col min="6916" max="7167" width="9.140625" style="153"/>
    <col min="7168" max="7168" width="46.85546875" style="153" customWidth="1"/>
    <col min="7169" max="7169" width="9.140625" style="153" customWidth="1"/>
    <col min="7170" max="7170" width="12.140625" style="153" bestFit="1" customWidth="1"/>
    <col min="7171" max="7171" width="10" style="153" bestFit="1" customWidth="1"/>
    <col min="7172" max="7423" width="9.140625" style="153"/>
    <col min="7424" max="7424" width="46.85546875" style="153" customWidth="1"/>
    <col min="7425" max="7425" width="9.140625" style="153" customWidth="1"/>
    <col min="7426" max="7426" width="12.140625" style="153" bestFit="1" customWidth="1"/>
    <col min="7427" max="7427" width="10" style="153" bestFit="1" customWidth="1"/>
    <col min="7428" max="7679" width="9.140625" style="153"/>
    <col min="7680" max="7680" width="46.85546875" style="153" customWidth="1"/>
    <col min="7681" max="7681" width="9.140625" style="153" customWidth="1"/>
    <col min="7682" max="7682" width="12.140625" style="153" bestFit="1" customWidth="1"/>
    <col min="7683" max="7683" width="10" style="153" bestFit="1" customWidth="1"/>
    <col min="7684" max="7935" width="9.140625" style="153"/>
    <col min="7936" max="7936" width="46.85546875" style="153" customWidth="1"/>
    <col min="7937" max="7937" width="9.140625" style="153" customWidth="1"/>
    <col min="7938" max="7938" width="12.140625" style="153" bestFit="1" customWidth="1"/>
    <col min="7939" max="7939" width="10" style="153" bestFit="1" customWidth="1"/>
    <col min="7940" max="8191" width="9.140625" style="153"/>
    <col min="8192" max="8192" width="46.85546875" style="153" customWidth="1"/>
    <col min="8193" max="8193" width="9.140625" style="153" customWidth="1"/>
    <col min="8194" max="8194" width="12.140625" style="153" bestFit="1" customWidth="1"/>
    <col min="8195" max="8195" width="10" style="153" bestFit="1" customWidth="1"/>
    <col min="8196" max="8447" width="9.140625" style="153"/>
    <col min="8448" max="8448" width="46.85546875" style="153" customWidth="1"/>
    <col min="8449" max="8449" width="9.140625" style="153" customWidth="1"/>
    <col min="8450" max="8450" width="12.140625" style="153" bestFit="1" customWidth="1"/>
    <col min="8451" max="8451" width="10" style="153" bestFit="1" customWidth="1"/>
    <col min="8452" max="8703" width="9.140625" style="153"/>
    <col min="8704" max="8704" width="46.85546875" style="153" customWidth="1"/>
    <col min="8705" max="8705" width="9.140625" style="153" customWidth="1"/>
    <col min="8706" max="8706" width="12.140625" style="153" bestFit="1" customWidth="1"/>
    <col min="8707" max="8707" width="10" style="153" bestFit="1" customWidth="1"/>
    <col min="8708" max="8959" width="9.140625" style="153"/>
    <col min="8960" max="8960" width="46.85546875" style="153" customWidth="1"/>
    <col min="8961" max="8961" width="9.140625" style="153" customWidth="1"/>
    <col min="8962" max="8962" width="12.140625" style="153" bestFit="1" customWidth="1"/>
    <col min="8963" max="8963" width="10" style="153" bestFit="1" customWidth="1"/>
    <col min="8964" max="9215" width="9.140625" style="153"/>
    <col min="9216" max="9216" width="46.85546875" style="153" customWidth="1"/>
    <col min="9217" max="9217" width="9.140625" style="153" customWidth="1"/>
    <col min="9218" max="9218" width="12.140625" style="153" bestFit="1" customWidth="1"/>
    <col min="9219" max="9219" width="10" style="153" bestFit="1" customWidth="1"/>
    <col min="9220" max="9471" width="9.140625" style="153"/>
    <col min="9472" max="9472" width="46.85546875" style="153" customWidth="1"/>
    <col min="9473" max="9473" width="9.140625" style="153" customWidth="1"/>
    <col min="9474" max="9474" width="12.140625" style="153" bestFit="1" customWidth="1"/>
    <col min="9475" max="9475" width="10" style="153" bestFit="1" customWidth="1"/>
    <col min="9476" max="9727" width="9.140625" style="153"/>
    <col min="9728" max="9728" width="46.85546875" style="153" customWidth="1"/>
    <col min="9729" max="9729" width="9.140625" style="153" customWidth="1"/>
    <col min="9730" max="9730" width="12.140625" style="153" bestFit="1" customWidth="1"/>
    <col min="9731" max="9731" width="10" style="153" bestFit="1" customWidth="1"/>
    <col min="9732" max="9983" width="9.140625" style="153"/>
    <col min="9984" max="9984" width="46.85546875" style="153" customWidth="1"/>
    <col min="9985" max="9985" width="9.140625" style="153" customWidth="1"/>
    <col min="9986" max="9986" width="12.140625" style="153" bestFit="1" customWidth="1"/>
    <col min="9987" max="9987" width="10" style="153" bestFit="1" customWidth="1"/>
    <col min="9988" max="10239" width="9.140625" style="153"/>
    <col min="10240" max="10240" width="46.85546875" style="153" customWidth="1"/>
    <col min="10241" max="10241" width="9.140625" style="153" customWidth="1"/>
    <col min="10242" max="10242" width="12.140625" style="153" bestFit="1" customWidth="1"/>
    <col min="10243" max="10243" width="10" style="153" bestFit="1" customWidth="1"/>
    <col min="10244" max="10495" width="9.140625" style="153"/>
    <col min="10496" max="10496" width="46.85546875" style="153" customWidth="1"/>
    <col min="10497" max="10497" width="9.140625" style="153" customWidth="1"/>
    <col min="10498" max="10498" width="12.140625" style="153" bestFit="1" customWidth="1"/>
    <col min="10499" max="10499" width="10" style="153" bestFit="1" customWidth="1"/>
    <col min="10500" max="10751" width="9.140625" style="153"/>
    <col min="10752" max="10752" width="46.85546875" style="153" customWidth="1"/>
    <col min="10753" max="10753" width="9.140625" style="153" customWidth="1"/>
    <col min="10754" max="10754" width="12.140625" style="153" bestFit="1" customWidth="1"/>
    <col min="10755" max="10755" width="10" style="153" bestFit="1" customWidth="1"/>
    <col min="10756" max="11007" width="9.140625" style="153"/>
    <col min="11008" max="11008" width="46.85546875" style="153" customWidth="1"/>
    <col min="11009" max="11009" width="9.140625" style="153" customWidth="1"/>
    <col min="11010" max="11010" width="12.140625" style="153" bestFit="1" customWidth="1"/>
    <col min="11011" max="11011" width="10" style="153" bestFit="1" customWidth="1"/>
    <col min="11012" max="11263" width="9.140625" style="153"/>
    <col min="11264" max="11264" width="46.85546875" style="153" customWidth="1"/>
    <col min="11265" max="11265" width="9.140625" style="153" customWidth="1"/>
    <col min="11266" max="11266" width="12.140625" style="153" bestFit="1" customWidth="1"/>
    <col min="11267" max="11267" width="10" style="153" bestFit="1" customWidth="1"/>
    <col min="11268" max="11519" width="9.140625" style="153"/>
    <col min="11520" max="11520" width="46.85546875" style="153" customWidth="1"/>
    <col min="11521" max="11521" width="9.140625" style="153" customWidth="1"/>
    <col min="11522" max="11522" width="12.140625" style="153" bestFit="1" customWidth="1"/>
    <col min="11523" max="11523" width="10" style="153" bestFit="1" customWidth="1"/>
    <col min="11524" max="11775" width="9.140625" style="153"/>
    <col min="11776" max="11776" width="46.85546875" style="153" customWidth="1"/>
    <col min="11777" max="11777" width="9.140625" style="153" customWidth="1"/>
    <col min="11778" max="11778" width="12.140625" style="153" bestFit="1" customWidth="1"/>
    <col min="11779" max="11779" width="10" style="153" bestFit="1" customWidth="1"/>
    <col min="11780" max="12031" width="9.140625" style="153"/>
    <col min="12032" max="12032" width="46.85546875" style="153" customWidth="1"/>
    <col min="12033" max="12033" width="9.140625" style="153" customWidth="1"/>
    <col min="12034" max="12034" width="12.140625" style="153" bestFit="1" customWidth="1"/>
    <col min="12035" max="12035" width="10" style="153" bestFit="1" customWidth="1"/>
    <col min="12036" max="12287" width="9.140625" style="153"/>
    <col min="12288" max="12288" width="46.85546875" style="153" customWidth="1"/>
    <col min="12289" max="12289" width="9.140625" style="153" customWidth="1"/>
    <col min="12290" max="12290" width="12.140625" style="153" bestFit="1" customWidth="1"/>
    <col min="12291" max="12291" width="10" style="153" bestFit="1" customWidth="1"/>
    <col min="12292" max="12543" width="9.140625" style="153"/>
    <col min="12544" max="12544" width="46.85546875" style="153" customWidth="1"/>
    <col min="12545" max="12545" width="9.140625" style="153" customWidth="1"/>
    <col min="12546" max="12546" width="12.140625" style="153" bestFit="1" customWidth="1"/>
    <col min="12547" max="12547" width="10" style="153" bestFit="1" customWidth="1"/>
    <col min="12548" max="12799" width="9.140625" style="153"/>
    <col min="12800" max="12800" width="46.85546875" style="153" customWidth="1"/>
    <col min="12801" max="12801" width="9.140625" style="153" customWidth="1"/>
    <col min="12802" max="12802" width="12.140625" style="153" bestFit="1" customWidth="1"/>
    <col min="12803" max="12803" width="10" style="153" bestFit="1" customWidth="1"/>
    <col min="12804" max="13055" width="9.140625" style="153"/>
    <col min="13056" max="13056" width="46.85546875" style="153" customWidth="1"/>
    <col min="13057" max="13057" width="9.140625" style="153" customWidth="1"/>
    <col min="13058" max="13058" width="12.140625" style="153" bestFit="1" customWidth="1"/>
    <col min="13059" max="13059" width="10" style="153" bestFit="1" customWidth="1"/>
    <col min="13060" max="13311" width="9.140625" style="153"/>
    <col min="13312" max="13312" width="46.85546875" style="153" customWidth="1"/>
    <col min="13313" max="13313" width="9.140625" style="153" customWidth="1"/>
    <col min="13314" max="13314" width="12.140625" style="153" bestFit="1" customWidth="1"/>
    <col min="13315" max="13315" width="10" style="153" bestFit="1" customWidth="1"/>
    <col min="13316" max="13567" width="9.140625" style="153"/>
    <col min="13568" max="13568" width="46.85546875" style="153" customWidth="1"/>
    <col min="13569" max="13569" width="9.140625" style="153" customWidth="1"/>
    <col min="13570" max="13570" width="12.140625" style="153" bestFit="1" customWidth="1"/>
    <col min="13571" max="13571" width="10" style="153" bestFit="1" customWidth="1"/>
    <col min="13572" max="13823" width="9.140625" style="153"/>
    <col min="13824" max="13824" width="46.85546875" style="153" customWidth="1"/>
    <col min="13825" max="13825" width="9.140625" style="153" customWidth="1"/>
    <col min="13826" max="13826" width="12.140625" style="153" bestFit="1" customWidth="1"/>
    <col min="13827" max="13827" width="10" style="153" bestFit="1" customWidth="1"/>
    <col min="13828" max="14079" width="9.140625" style="153"/>
    <col min="14080" max="14080" width="46.85546875" style="153" customWidth="1"/>
    <col min="14081" max="14081" width="9.140625" style="153" customWidth="1"/>
    <col min="14082" max="14082" width="12.140625" style="153" bestFit="1" customWidth="1"/>
    <col min="14083" max="14083" width="10" style="153" bestFit="1" customWidth="1"/>
    <col min="14084" max="14335" width="9.140625" style="153"/>
    <col min="14336" max="14336" width="46.85546875" style="153" customWidth="1"/>
    <col min="14337" max="14337" width="9.140625" style="153" customWidth="1"/>
    <col min="14338" max="14338" width="12.140625" style="153" bestFit="1" customWidth="1"/>
    <col min="14339" max="14339" width="10" style="153" bestFit="1" customWidth="1"/>
    <col min="14340" max="14591" width="9.140625" style="153"/>
    <col min="14592" max="14592" width="46.85546875" style="153" customWidth="1"/>
    <col min="14593" max="14593" width="9.140625" style="153" customWidth="1"/>
    <col min="14594" max="14594" width="12.140625" style="153" bestFit="1" customWidth="1"/>
    <col min="14595" max="14595" width="10" style="153" bestFit="1" customWidth="1"/>
    <col min="14596" max="14847" width="9.140625" style="153"/>
    <col min="14848" max="14848" width="46.85546875" style="153" customWidth="1"/>
    <col min="14849" max="14849" width="9.140625" style="153" customWidth="1"/>
    <col min="14850" max="14850" width="12.140625" style="153" bestFit="1" customWidth="1"/>
    <col min="14851" max="14851" width="10" style="153" bestFit="1" customWidth="1"/>
    <col min="14852" max="15103" width="9.140625" style="153"/>
    <col min="15104" max="15104" width="46.85546875" style="153" customWidth="1"/>
    <col min="15105" max="15105" width="9.140625" style="153" customWidth="1"/>
    <col min="15106" max="15106" width="12.140625" style="153" bestFit="1" customWidth="1"/>
    <col min="15107" max="15107" width="10" style="153" bestFit="1" customWidth="1"/>
    <col min="15108" max="15359" width="9.140625" style="153"/>
    <col min="15360" max="15360" width="46.85546875" style="153" customWidth="1"/>
    <col min="15361" max="15361" width="9.140625" style="153" customWidth="1"/>
    <col min="15362" max="15362" width="12.140625" style="153" bestFit="1" customWidth="1"/>
    <col min="15363" max="15363" width="10" style="153" bestFit="1" customWidth="1"/>
    <col min="15364" max="15615" width="9.140625" style="153"/>
    <col min="15616" max="15616" width="46.85546875" style="153" customWidth="1"/>
    <col min="15617" max="15617" width="9.140625" style="153" customWidth="1"/>
    <col min="15618" max="15618" width="12.140625" style="153" bestFit="1" customWidth="1"/>
    <col min="15619" max="15619" width="10" style="153" bestFit="1" customWidth="1"/>
    <col min="15620" max="15871" width="9.140625" style="153"/>
    <col min="15872" max="15872" width="46.85546875" style="153" customWidth="1"/>
    <col min="15873" max="15873" width="9.140625" style="153" customWidth="1"/>
    <col min="15874" max="15874" width="12.140625" style="153" bestFit="1" customWidth="1"/>
    <col min="15875" max="15875" width="10" style="153" bestFit="1" customWidth="1"/>
    <col min="15876" max="16127" width="9.140625" style="153"/>
    <col min="16128" max="16128" width="46.85546875" style="153" customWidth="1"/>
    <col min="16129" max="16129" width="9.140625" style="153" customWidth="1"/>
    <col min="16130" max="16130" width="12.140625" style="153" bestFit="1" customWidth="1"/>
    <col min="16131" max="16131" width="10" style="153" bestFit="1" customWidth="1"/>
    <col min="16132" max="16384" width="9.140625" style="153"/>
  </cols>
  <sheetData>
    <row r="1" spans="1:2" x14ac:dyDescent="0.2">
      <c r="A1" s="156" t="s">
        <v>157</v>
      </c>
      <c r="B1" s="157"/>
    </row>
    <row r="2" spans="1:2" x14ac:dyDescent="0.2">
      <c r="A2" s="154" t="s">
        <v>158</v>
      </c>
      <c r="B2" s="158">
        <f>SUM(B3:B14)</f>
        <v>12</v>
      </c>
    </row>
    <row r="3" spans="1:2" x14ac:dyDescent="0.2">
      <c r="A3" s="159" t="s">
        <v>140</v>
      </c>
      <c r="B3" s="155">
        <v>1</v>
      </c>
    </row>
    <row r="4" spans="1:2" x14ac:dyDescent="0.2">
      <c r="A4" s="159" t="s">
        <v>141</v>
      </c>
      <c r="B4" s="155">
        <v>1</v>
      </c>
    </row>
    <row r="5" spans="1:2" x14ac:dyDescent="0.2">
      <c r="A5" s="159" t="s">
        <v>142</v>
      </c>
      <c r="B5" s="155">
        <v>1</v>
      </c>
    </row>
    <row r="6" spans="1:2" x14ac:dyDescent="0.2">
      <c r="A6" s="159" t="s">
        <v>270</v>
      </c>
      <c r="B6" s="155">
        <v>1</v>
      </c>
    </row>
    <row r="7" spans="1:2" x14ac:dyDescent="0.2">
      <c r="A7" s="159" t="s">
        <v>161</v>
      </c>
      <c r="B7" s="155">
        <v>1</v>
      </c>
    </row>
    <row r="8" spans="1:2" x14ac:dyDescent="0.2">
      <c r="A8" s="159" t="s">
        <v>143</v>
      </c>
      <c r="B8" s="155">
        <v>1</v>
      </c>
    </row>
    <row r="9" spans="1:2" x14ac:dyDescent="0.2">
      <c r="A9" s="159" t="s">
        <v>144</v>
      </c>
      <c r="B9" s="155">
        <v>1</v>
      </c>
    </row>
    <row r="10" spans="1:2" x14ac:dyDescent="0.2">
      <c r="A10" s="159" t="s">
        <v>156</v>
      </c>
      <c r="B10" s="155">
        <v>1</v>
      </c>
    </row>
    <row r="11" spans="1:2" x14ac:dyDescent="0.2">
      <c r="A11" s="159" t="s">
        <v>145</v>
      </c>
      <c r="B11" s="155">
        <v>1</v>
      </c>
    </row>
    <row r="12" spans="1:2" x14ac:dyDescent="0.2">
      <c r="A12" s="159" t="s">
        <v>146</v>
      </c>
      <c r="B12" s="155">
        <v>1</v>
      </c>
    </row>
    <row r="13" spans="1:2" x14ac:dyDescent="0.2">
      <c r="A13" s="159" t="s">
        <v>271</v>
      </c>
      <c r="B13" s="155">
        <v>1</v>
      </c>
    </row>
    <row r="14" spans="1:2" x14ac:dyDescent="0.2">
      <c r="A14" s="159" t="s">
        <v>147</v>
      </c>
      <c r="B14" s="155">
        <v>1</v>
      </c>
    </row>
    <row r="15" spans="1:2" x14ac:dyDescent="0.2">
      <c r="A15" s="154" t="s">
        <v>148</v>
      </c>
      <c r="B15" s="158">
        <f>B16+B17</f>
        <v>2</v>
      </c>
    </row>
    <row r="16" spans="1:2" x14ac:dyDescent="0.2">
      <c r="A16" s="160" t="s">
        <v>150</v>
      </c>
      <c r="B16" s="155">
        <v>1</v>
      </c>
    </row>
    <row r="17" spans="1:2" x14ac:dyDescent="0.2">
      <c r="A17" s="160" t="s">
        <v>155</v>
      </c>
      <c r="B17" s="155">
        <v>1</v>
      </c>
    </row>
    <row r="18" spans="1:2" x14ac:dyDescent="0.2">
      <c r="A18" s="154" t="s">
        <v>149</v>
      </c>
      <c r="B18" s="158">
        <f>B2+B15</f>
        <v>14</v>
      </c>
    </row>
    <row r="19" spans="1:2" x14ac:dyDescent="0.2">
      <c r="A19" s="160" t="s">
        <v>159</v>
      </c>
      <c r="B19" s="161">
        <v>1</v>
      </c>
    </row>
    <row r="20" spans="1:2" x14ac:dyDescent="0.2">
      <c r="A20" s="162" t="s">
        <v>162</v>
      </c>
      <c r="B20" s="163">
        <f>B18-B19</f>
        <v>13</v>
      </c>
    </row>
  </sheetData>
  <pageMargins left="0.78740157480314965" right="0" top="0.39370078740157483" bottom="0.1968503937007874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8"/>
  <sheetViews>
    <sheetView workbookViewId="0">
      <selection activeCell="B7" sqref="B7"/>
    </sheetView>
  </sheetViews>
  <sheetFormatPr defaultRowHeight="12.75" x14ac:dyDescent="0.2"/>
  <cols>
    <col min="1" max="1" width="39.28515625" style="153" customWidth="1"/>
    <col min="2" max="2" width="12.5703125" style="153" customWidth="1"/>
    <col min="3" max="16384" width="9.140625" style="153"/>
  </cols>
  <sheetData>
    <row r="1" spans="1:2" ht="18" x14ac:dyDescent="0.2">
      <c r="A1" s="382" t="s">
        <v>185</v>
      </c>
      <c r="B1" s="383"/>
    </row>
    <row r="2" spans="1:2" s="165" customFormat="1" ht="15" x14ac:dyDescent="0.2">
      <c r="A2" s="240" t="s">
        <v>59</v>
      </c>
      <c r="B2" s="241" t="s">
        <v>186</v>
      </c>
    </row>
    <row r="3" spans="1:2" s="165" customFormat="1" ht="14.25" x14ac:dyDescent="0.2">
      <c r="A3" s="242" t="s">
        <v>19</v>
      </c>
      <c r="B3" s="243">
        <v>0.08</v>
      </c>
    </row>
    <row r="4" spans="1:2" s="165" customFormat="1" ht="14.25" x14ac:dyDescent="0.2">
      <c r="A4" s="244" t="s">
        <v>187</v>
      </c>
      <c r="B4" s="245">
        <v>0.1111</v>
      </c>
    </row>
    <row r="5" spans="1:2" s="165" customFormat="1" ht="14.25" x14ac:dyDescent="0.2">
      <c r="A5" s="244" t="s">
        <v>188</v>
      </c>
      <c r="B5" s="245">
        <v>8.3299999999999999E-2</v>
      </c>
    </row>
    <row r="6" spans="1:2" s="165" customFormat="1" ht="14.25" x14ac:dyDescent="0.2">
      <c r="A6" s="244" t="s">
        <v>350</v>
      </c>
      <c r="B6" s="245">
        <v>3.2000000000000001E-2</v>
      </c>
    </row>
    <row r="7" spans="1:2" s="165" customFormat="1" ht="14.25" x14ac:dyDescent="0.2">
      <c r="A7" s="246" t="s">
        <v>189</v>
      </c>
      <c r="B7" s="247">
        <f>(B4+B5)*(B3+B6)</f>
        <v>2.1772800000000002E-2</v>
      </c>
    </row>
    <row r="8" spans="1:2" s="165" customFormat="1" ht="15" x14ac:dyDescent="0.25">
      <c r="A8" s="248" t="s">
        <v>190</v>
      </c>
      <c r="B8" s="249">
        <f>SUM(B3:B7)</f>
        <v>0.32817279999999999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3"/>
  <sheetViews>
    <sheetView topLeftCell="A7" zoomScaleNormal="100" workbookViewId="0">
      <selection activeCell="D22" sqref="D22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53.8554687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384" t="s">
        <v>125</v>
      </c>
      <c r="B1" s="385"/>
      <c r="C1" s="386"/>
      <c r="D1" s="61"/>
      <c r="E1" s="61"/>
      <c r="F1" s="61"/>
    </row>
    <row r="2" spans="1:6" ht="54" x14ac:dyDescent="0.2">
      <c r="A2" s="67" t="s">
        <v>58</v>
      </c>
      <c r="B2" s="68" t="s">
        <v>59</v>
      </c>
      <c r="C2" s="69" t="s">
        <v>60</v>
      </c>
      <c r="D2" s="312" t="s">
        <v>288</v>
      </c>
    </row>
    <row r="3" spans="1:6" ht="15" x14ac:dyDescent="0.2">
      <c r="A3" s="67" t="s">
        <v>61</v>
      </c>
      <c r="B3" s="68" t="s">
        <v>18</v>
      </c>
      <c r="C3" s="297">
        <v>0.2</v>
      </c>
      <c r="D3" s="72" t="s">
        <v>242</v>
      </c>
    </row>
    <row r="4" spans="1:6" ht="30" x14ac:dyDescent="0.2">
      <c r="A4" s="67" t="s">
        <v>62</v>
      </c>
      <c r="B4" s="68" t="s">
        <v>63</v>
      </c>
      <c r="C4" s="297">
        <v>1.4999999999999999E-2</v>
      </c>
      <c r="D4" s="311" t="s">
        <v>243</v>
      </c>
    </row>
    <row r="5" spans="1:6" ht="45" x14ac:dyDescent="0.2">
      <c r="A5" s="67" t="s">
        <v>64</v>
      </c>
      <c r="B5" s="68" t="s">
        <v>65</v>
      </c>
      <c r="C5" s="297">
        <v>0.01</v>
      </c>
      <c r="D5" s="311" t="s">
        <v>244</v>
      </c>
    </row>
    <row r="6" spans="1:6" ht="30" x14ac:dyDescent="0.2">
      <c r="A6" s="67" t="s">
        <v>66</v>
      </c>
      <c r="B6" s="68" t="s">
        <v>67</v>
      </c>
      <c r="C6" s="297">
        <v>2E-3</v>
      </c>
      <c r="D6" s="311" t="s">
        <v>235</v>
      </c>
    </row>
    <row r="7" spans="1:6" ht="30" x14ac:dyDescent="0.2">
      <c r="A7" s="67" t="s">
        <v>68</v>
      </c>
      <c r="B7" s="68" t="s">
        <v>69</v>
      </c>
      <c r="C7" s="297">
        <v>6.0000000000000001E-3</v>
      </c>
      <c r="D7" s="311" t="s">
        <v>245</v>
      </c>
    </row>
    <row r="8" spans="1:6" ht="15" x14ac:dyDescent="0.2">
      <c r="A8" s="67" t="s">
        <v>70</v>
      </c>
      <c r="B8" s="68" t="s">
        <v>71</v>
      </c>
      <c r="C8" s="297">
        <v>2.5000000000000001E-2</v>
      </c>
      <c r="D8" s="72" t="s">
        <v>236</v>
      </c>
    </row>
    <row r="9" spans="1:6" ht="15" x14ac:dyDescent="0.2">
      <c r="A9" s="67" t="s">
        <v>72</v>
      </c>
      <c r="B9" s="68" t="s">
        <v>73</v>
      </c>
      <c r="C9" s="297">
        <v>0.03</v>
      </c>
      <c r="D9" s="72" t="s">
        <v>246</v>
      </c>
    </row>
    <row r="10" spans="1:6" ht="30" x14ac:dyDescent="0.2">
      <c r="A10" s="67" t="s">
        <v>74</v>
      </c>
      <c r="B10" s="68" t="s">
        <v>19</v>
      </c>
      <c r="C10" s="297">
        <v>0.08</v>
      </c>
      <c r="D10" s="311" t="s">
        <v>247</v>
      </c>
    </row>
    <row r="11" spans="1:6" ht="15" x14ac:dyDescent="0.2">
      <c r="A11" s="67" t="s">
        <v>75</v>
      </c>
      <c r="B11" s="72" t="s">
        <v>76</v>
      </c>
      <c r="C11" s="73">
        <f>SUM(C3:C10)</f>
        <v>0.36800000000000005</v>
      </c>
      <c r="D11" s="72"/>
    </row>
    <row r="12" spans="1:6" ht="15" x14ac:dyDescent="0.2">
      <c r="A12" s="74"/>
      <c r="B12" s="75"/>
      <c r="C12" s="76"/>
      <c r="D12" s="70"/>
    </row>
    <row r="13" spans="1:6" ht="15" x14ac:dyDescent="0.2">
      <c r="A13" s="67" t="s">
        <v>77</v>
      </c>
      <c r="B13" s="77" t="s">
        <v>78</v>
      </c>
      <c r="C13" s="297">
        <v>6.5699999999999995E-2</v>
      </c>
      <c r="D13" s="72" t="s">
        <v>248</v>
      </c>
    </row>
    <row r="14" spans="1:6" ht="15" x14ac:dyDescent="0.2">
      <c r="A14" s="67" t="s">
        <v>79</v>
      </c>
      <c r="B14" s="77" t="s">
        <v>80</v>
      </c>
      <c r="C14" s="297">
        <v>8.3299999999999999E-2</v>
      </c>
      <c r="D14" s="72" t="s">
        <v>237</v>
      </c>
    </row>
    <row r="15" spans="1:6" ht="30" x14ac:dyDescent="0.2">
      <c r="A15" s="67" t="s">
        <v>122</v>
      </c>
      <c r="B15" s="77" t="s">
        <v>82</v>
      </c>
      <c r="C15" s="297">
        <v>5.9999999999999995E-4</v>
      </c>
      <c r="D15" s="311" t="s">
        <v>238</v>
      </c>
    </row>
    <row r="16" spans="1:6" ht="30" x14ac:dyDescent="0.2">
      <c r="A16" s="67" t="s">
        <v>81</v>
      </c>
      <c r="B16" s="77" t="s">
        <v>84</v>
      </c>
      <c r="C16" s="297">
        <v>8.2000000000000007E-3</v>
      </c>
      <c r="D16" s="311" t="s">
        <v>238</v>
      </c>
    </row>
    <row r="17" spans="1:8" ht="30" x14ac:dyDescent="0.2">
      <c r="A17" s="67" t="s">
        <v>83</v>
      </c>
      <c r="B17" s="77" t="s">
        <v>86</v>
      </c>
      <c r="C17" s="297">
        <v>3.0999999999999999E-3</v>
      </c>
      <c r="D17" s="311" t="s">
        <v>238</v>
      </c>
    </row>
    <row r="18" spans="1:8" ht="14.25" x14ac:dyDescent="0.2">
      <c r="A18" s="67" t="s">
        <v>85</v>
      </c>
      <c r="B18" s="77" t="s">
        <v>87</v>
      </c>
      <c r="C18" s="297">
        <v>1.66E-2</v>
      </c>
      <c r="D18" s="78"/>
    </row>
    <row r="19" spans="1:8" ht="15" x14ac:dyDescent="0.2">
      <c r="A19" s="67" t="s">
        <v>88</v>
      </c>
      <c r="B19" s="72" t="s">
        <v>89</v>
      </c>
      <c r="C19" s="73">
        <f>SUM(C13:C18)</f>
        <v>0.17749999999999999</v>
      </c>
      <c r="D19" s="78"/>
    </row>
    <row r="20" spans="1:8" ht="15" x14ac:dyDescent="0.2">
      <c r="A20" s="74"/>
      <c r="B20" s="75"/>
      <c r="C20" s="76"/>
      <c r="D20" s="70"/>
    </row>
    <row r="21" spans="1:8" ht="15" x14ac:dyDescent="0.2">
      <c r="A21" s="67" t="s">
        <v>90</v>
      </c>
      <c r="B21" s="68" t="s">
        <v>91</v>
      </c>
      <c r="C21" s="297">
        <v>2.9000000000000001E-2</v>
      </c>
      <c r="D21" s="72" t="s">
        <v>249</v>
      </c>
      <c r="E21" s="79"/>
    </row>
    <row r="22" spans="1:8" ht="15" x14ac:dyDescent="0.2">
      <c r="A22" s="67" t="s">
        <v>121</v>
      </c>
      <c r="B22" s="68" t="s">
        <v>93</v>
      </c>
      <c r="C22" s="297">
        <v>4.5400000000000003E-2</v>
      </c>
      <c r="D22" s="85">
        <f>6.57+4.54</f>
        <v>11.11</v>
      </c>
      <c r="H22" s="80"/>
    </row>
    <row r="23" spans="1:8" ht="14.25" x14ac:dyDescent="0.2">
      <c r="A23" s="67" t="s">
        <v>92</v>
      </c>
      <c r="B23" s="68" t="s">
        <v>95</v>
      </c>
      <c r="C23" s="71">
        <f>C21*C22</f>
        <v>1.3166000000000002E-3</v>
      </c>
      <c r="D23" s="70"/>
      <c r="E23" s="79"/>
    </row>
    <row r="24" spans="1:8" ht="15" x14ac:dyDescent="0.2">
      <c r="A24" s="67" t="s">
        <v>94</v>
      </c>
      <c r="B24" s="68" t="s">
        <v>97</v>
      </c>
      <c r="C24" s="297">
        <v>3.15E-2</v>
      </c>
      <c r="D24" s="85" t="s">
        <v>239</v>
      </c>
      <c r="G24" s="79"/>
    </row>
    <row r="25" spans="1:8" ht="14.25" x14ac:dyDescent="0.2">
      <c r="A25" s="67" t="s">
        <v>96</v>
      </c>
      <c r="B25" s="68" t="s">
        <v>98</v>
      </c>
      <c r="C25" s="297">
        <v>2E-3</v>
      </c>
      <c r="D25" s="78"/>
    </row>
    <row r="26" spans="1:8" ht="15" x14ac:dyDescent="0.2">
      <c r="A26" s="67" t="s">
        <v>99</v>
      </c>
      <c r="B26" s="72" t="s">
        <v>100</v>
      </c>
      <c r="C26" s="73">
        <f>SUM(C21:C25)</f>
        <v>0.10921660000000001</v>
      </c>
      <c r="D26" s="78"/>
    </row>
    <row r="27" spans="1:8" ht="15" x14ac:dyDescent="0.2">
      <c r="A27" s="74"/>
      <c r="B27" s="75"/>
      <c r="C27" s="76"/>
      <c r="D27" s="70"/>
    </row>
    <row r="28" spans="1:8" ht="14.25" x14ac:dyDescent="0.2">
      <c r="A28" s="67" t="s">
        <v>101</v>
      </c>
      <c r="B28" s="68" t="s">
        <v>102</v>
      </c>
      <c r="C28" s="71">
        <f>ROUND(C11*C19,4)</f>
        <v>6.5299999999999997E-2</v>
      </c>
      <c r="D28" s="70"/>
    </row>
    <row r="29" spans="1:8" ht="28.5" x14ac:dyDescent="0.2">
      <c r="A29" s="67" t="s">
        <v>103</v>
      </c>
      <c r="B29" s="81" t="s">
        <v>137</v>
      </c>
      <c r="C29" s="71">
        <f>ROUND((C21*C10),4)</f>
        <v>2.3E-3</v>
      </c>
      <c r="D29" s="78"/>
    </row>
    <row r="30" spans="1:8" ht="15" x14ac:dyDescent="0.2">
      <c r="A30" s="67" t="s">
        <v>104</v>
      </c>
      <c r="B30" s="72" t="s">
        <v>105</v>
      </c>
      <c r="C30" s="73">
        <f>SUM(C28:C29)</f>
        <v>6.7599999999999993E-2</v>
      </c>
      <c r="D30" s="78"/>
    </row>
    <row r="31" spans="1:8" ht="15.75" thickBot="1" x14ac:dyDescent="0.25">
      <c r="A31" s="82"/>
      <c r="B31" s="83" t="s">
        <v>106</v>
      </c>
      <c r="C31" s="84">
        <f>C30+C26+C19+C11</f>
        <v>0.72231660000000009</v>
      </c>
      <c r="D31" s="87"/>
    </row>
    <row r="32" spans="1:8" ht="15" x14ac:dyDescent="0.2">
      <c r="A32" s="70"/>
      <c r="B32" s="85"/>
      <c r="C32" s="86"/>
      <c r="D32" s="89"/>
    </row>
    <row r="33" spans="1:4" ht="14.25" x14ac:dyDescent="0.2">
      <c r="A33" s="70"/>
      <c r="B33" s="70" t="s">
        <v>240</v>
      </c>
      <c r="C33" s="88"/>
      <c r="D33" s="70"/>
    </row>
    <row r="34" spans="1:4" ht="14.25" x14ac:dyDescent="0.2">
      <c r="A34" s="70"/>
      <c r="B34" s="70"/>
      <c r="C34" s="88"/>
      <c r="D34" s="70"/>
    </row>
    <row r="35" spans="1:4" ht="14.25" x14ac:dyDescent="0.2">
      <c r="A35" s="70"/>
      <c r="B35" s="70"/>
      <c r="C35" s="88"/>
      <c r="D35" s="70"/>
    </row>
    <row r="36" spans="1:4" ht="14.25" x14ac:dyDescent="0.2">
      <c r="A36" s="70"/>
      <c r="B36" s="70"/>
      <c r="C36" s="88"/>
      <c r="D36" s="70"/>
    </row>
    <row r="37" spans="1:4" ht="15" x14ac:dyDescent="0.2">
      <c r="A37" s="70"/>
      <c r="B37" s="85"/>
      <c r="C37" s="86"/>
      <c r="D37" s="78"/>
    </row>
    <row r="38" spans="1:4" ht="15" x14ac:dyDescent="0.2">
      <c r="A38" s="78"/>
      <c r="B38" s="85"/>
      <c r="C38" s="86"/>
    </row>
    <row r="39" spans="1:4" ht="16.5" x14ac:dyDescent="0.2">
      <c r="A39" s="90"/>
    </row>
    <row r="40" spans="1:4" x14ac:dyDescent="0.2">
      <c r="A40" s="91"/>
      <c r="B40" s="92"/>
      <c r="C40" s="92"/>
    </row>
    <row r="41" spans="1:4" ht="14.25" x14ac:dyDescent="0.2">
      <c r="A41" s="70"/>
      <c r="B41" s="93"/>
      <c r="C41" s="92"/>
    </row>
    <row r="42" spans="1:4" ht="14.25" x14ac:dyDescent="0.2">
      <c r="A42" s="70"/>
      <c r="B42" s="93"/>
      <c r="C42" s="70"/>
    </row>
    <row r="43" spans="1:4" ht="14.25" x14ac:dyDescent="0.2">
      <c r="A43" s="70"/>
      <c r="B43" s="88"/>
      <c r="C43" s="92"/>
    </row>
    <row r="44" spans="1:4" ht="14.25" x14ac:dyDescent="0.2">
      <c r="A44" s="70"/>
      <c r="B44" s="93"/>
      <c r="C44" s="70"/>
    </row>
    <row r="45" spans="1:4" ht="14.25" x14ac:dyDescent="0.2">
      <c r="A45" s="70"/>
      <c r="B45" s="88"/>
      <c r="C45" s="92"/>
    </row>
    <row r="46" spans="1:4" ht="14.25" x14ac:dyDescent="0.2">
      <c r="A46" s="70"/>
      <c r="B46" s="93"/>
      <c r="C46" s="70"/>
    </row>
    <row r="47" spans="1:4" ht="14.25" x14ac:dyDescent="0.2">
      <c r="A47" s="70"/>
      <c r="B47" s="88"/>
      <c r="C47" s="92"/>
    </row>
    <row r="48" spans="1:4" ht="14.25" x14ac:dyDescent="0.2">
      <c r="A48" s="70"/>
      <c r="B48" s="93"/>
      <c r="C48" s="70"/>
    </row>
    <row r="49" spans="1:3" ht="14.25" x14ac:dyDescent="0.2">
      <c r="A49" s="70"/>
      <c r="B49" s="88"/>
      <c r="C49" s="92"/>
    </row>
    <row r="50" spans="1:3" ht="16.5" x14ac:dyDescent="0.2">
      <c r="A50" s="90"/>
    </row>
    <row r="53" spans="1:3" x14ac:dyDescent="0.2">
      <c r="A53" s="94"/>
    </row>
  </sheetData>
  <mergeCells count="1">
    <mergeCell ref="A1:C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0"/>
  <sheetViews>
    <sheetView zoomScaleNormal="100" workbookViewId="0">
      <selection activeCell="H27" sqref="H27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49" bestFit="1" customWidth="1"/>
    <col min="6" max="6" width="9.7109375" bestFit="1" customWidth="1"/>
  </cols>
  <sheetData>
    <row r="1" spans="1:8" s="58" customFormat="1" ht="16.5" thickBot="1" x14ac:dyDescent="0.25">
      <c r="A1" s="152" t="s">
        <v>203</v>
      </c>
      <c r="B1" s="55"/>
      <c r="C1" s="55"/>
      <c r="D1" s="55"/>
      <c r="E1" s="55"/>
      <c r="F1" s="55"/>
    </row>
    <row r="2" spans="1:8" s="58" customFormat="1" ht="15.75" x14ac:dyDescent="0.2">
      <c r="A2" s="387" t="s">
        <v>204</v>
      </c>
      <c r="B2" s="388"/>
      <c r="C2" s="388"/>
      <c r="D2" s="388"/>
      <c r="E2" s="388"/>
      <c r="F2" s="389"/>
    </row>
    <row r="3" spans="1:8" ht="16.5" thickBot="1" x14ac:dyDescent="0.25">
      <c r="A3" s="136"/>
      <c r="B3" s="137"/>
      <c r="C3" s="137"/>
      <c r="D3" s="137"/>
      <c r="E3" s="137"/>
      <c r="F3" s="138"/>
    </row>
    <row r="4" spans="1:8" ht="15" x14ac:dyDescent="0.25">
      <c r="A4" s="97"/>
      <c r="B4" s="5"/>
      <c r="C4" s="5"/>
      <c r="D4" s="394" t="s">
        <v>132</v>
      </c>
      <c r="E4" s="395"/>
      <c r="F4" s="396"/>
      <c r="G4" s="58"/>
      <c r="H4" s="58"/>
    </row>
    <row r="5" spans="1:8" ht="15" thickBot="1" x14ac:dyDescent="0.25">
      <c r="A5" s="96"/>
      <c r="B5" s="58"/>
      <c r="C5" s="58"/>
      <c r="D5" s="98" t="s">
        <v>107</v>
      </c>
      <c r="E5" s="99" t="s">
        <v>108</v>
      </c>
      <c r="F5" s="100" t="s">
        <v>109</v>
      </c>
      <c r="G5" s="58"/>
      <c r="H5" s="58"/>
    </row>
    <row r="6" spans="1:8" ht="14.25" x14ac:dyDescent="0.2">
      <c r="A6" s="101" t="s">
        <v>30</v>
      </c>
      <c r="B6" s="102" t="s">
        <v>31</v>
      </c>
      <c r="C6" s="103">
        <v>0.05</v>
      </c>
      <c r="D6" s="124">
        <v>2.9700000000000001E-2</v>
      </c>
      <c r="E6" s="125">
        <v>5.0799999999999998E-2</v>
      </c>
      <c r="F6" s="126">
        <v>6.2700000000000006E-2</v>
      </c>
      <c r="G6" s="58"/>
      <c r="H6" s="58"/>
    </row>
    <row r="7" spans="1:8" ht="14.25" x14ac:dyDescent="0.2">
      <c r="A7" s="105" t="s">
        <v>32</v>
      </c>
      <c r="B7" s="106" t="s">
        <v>33</v>
      </c>
      <c r="C7" s="107">
        <v>1.2999999999999999E-2</v>
      </c>
      <c r="D7" s="124">
        <f>0.3%+0.56%</f>
        <v>8.6E-3</v>
      </c>
      <c r="E7" s="125">
        <f>0.48%+0.85%</f>
        <v>1.3299999999999999E-2</v>
      </c>
      <c r="F7" s="126">
        <f>0.82%+0.89%</f>
        <v>1.7099999999999997E-2</v>
      </c>
      <c r="G7" s="58"/>
      <c r="H7" s="58"/>
    </row>
    <row r="8" spans="1:8" ht="14.25" x14ac:dyDescent="0.2">
      <c r="A8" s="105" t="s">
        <v>34</v>
      </c>
      <c r="B8" s="106" t="s">
        <v>35</v>
      </c>
      <c r="C8" s="107">
        <v>0.1</v>
      </c>
      <c r="D8" s="124">
        <v>7.7799999999999994E-2</v>
      </c>
      <c r="E8" s="125">
        <v>0.1085</v>
      </c>
      <c r="F8" s="126">
        <v>0.13550000000000001</v>
      </c>
      <c r="G8" s="58"/>
      <c r="H8" s="58"/>
    </row>
    <row r="9" spans="1:8" ht="14.25" x14ac:dyDescent="0.2">
      <c r="A9" s="105" t="s">
        <v>36</v>
      </c>
      <c r="B9" s="106" t="s">
        <v>37</v>
      </c>
      <c r="C9" s="108">
        <f>(1+E9)^(E10/252)-1</f>
        <v>0</v>
      </c>
      <c r="D9" s="124" t="s">
        <v>135</v>
      </c>
      <c r="E9" s="109"/>
      <c r="F9" s="104"/>
      <c r="G9" s="58"/>
      <c r="H9" s="58"/>
    </row>
    <row r="10" spans="1:8" ht="14.25" x14ac:dyDescent="0.2">
      <c r="A10" s="105" t="s">
        <v>38</v>
      </c>
      <c r="B10" s="390" t="s">
        <v>39</v>
      </c>
      <c r="C10" s="107">
        <v>0.03</v>
      </c>
      <c r="D10" s="151" t="s">
        <v>110</v>
      </c>
      <c r="E10" s="110"/>
      <c r="F10" s="111"/>
      <c r="G10" s="58"/>
      <c r="H10" s="58"/>
    </row>
    <row r="11" spans="1:8" ht="15" thickBot="1" x14ac:dyDescent="0.25">
      <c r="A11" s="112" t="s">
        <v>40</v>
      </c>
      <c r="B11" s="391"/>
      <c r="C11" s="113">
        <v>9.2499999999999999E-2</v>
      </c>
      <c r="D11" s="95"/>
      <c r="E11" s="114"/>
      <c r="F11" s="111"/>
      <c r="G11" s="58"/>
      <c r="H11" s="58"/>
    </row>
    <row r="12" spans="1:8" ht="14.25" x14ac:dyDescent="0.2">
      <c r="A12" s="115" t="s">
        <v>41</v>
      </c>
      <c r="B12" s="116"/>
      <c r="C12" s="117"/>
      <c r="D12" s="95"/>
      <c r="E12" s="114"/>
      <c r="F12" s="111"/>
      <c r="G12" s="58"/>
      <c r="H12" s="58"/>
    </row>
    <row r="13" spans="1:8" ht="15" thickBot="1" x14ac:dyDescent="0.25">
      <c r="A13" s="118" t="s">
        <v>42</v>
      </c>
      <c r="B13" s="119"/>
      <c r="C13" s="120"/>
      <c r="D13" s="95"/>
      <c r="E13" s="114"/>
      <c r="F13" s="111"/>
      <c r="G13" s="58"/>
      <c r="H13" s="58"/>
    </row>
    <row r="14" spans="1:8" ht="15.75" thickBot="1" x14ac:dyDescent="0.25">
      <c r="A14" s="121" t="s">
        <v>43</v>
      </c>
      <c r="B14" s="122"/>
      <c r="C14" s="123">
        <f>ROUND((((1+C6+C7)*(1+C8)*(1+C9))/(1-(C10+C11))-1),4)</f>
        <v>0.33250000000000002</v>
      </c>
      <c r="D14" s="127">
        <v>0.21429999999999999</v>
      </c>
      <c r="E14" s="128">
        <v>0.2717</v>
      </c>
      <c r="F14" s="129">
        <v>0.3362</v>
      </c>
      <c r="G14" s="58"/>
      <c r="H14" s="58"/>
    </row>
    <row r="15" spans="1:8" ht="14.25" x14ac:dyDescent="0.2">
      <c r="A15" s="58"/>
      <c r="B15" s="58"/>
      <c r="C15" s="58"/>
      <c r="D15" s="58"/>
      <c r="E15" s="59"/>
      <c r="F15" s="58"/>
      <c r="G15" s="58"/>
      <c r="H15" s="58"/>
    </row>
    <row r="16" spans="1:8" s="2" customFormat="1" ht="15.6" customHeight="1" thickBot="1" x14ac:dyDescent="0.25">
      <c r="A16" s="152" t="s">
        <v>205</v>
      </c>
      <c r="B16" s="55"/>
      <c r="C16" s="55"/>
      <c r="D16" s="55"/>
      <c r="E16" s="55"/>
      <c r="F16" s="55"/>
      <c r="G16" s="3"/>
    </row>
    <row r="17" spans="1:8" ht="15.75" x14ac:dyDescent="0.2">
      <c r="A17" s="387" t="s">
        <v>204</v>
      </c>
      <c r="B17" s="388"/>
      <c r="C17" s="388"/>
      <c r="D17" s="388"/>
      <c r="E17" s="388"/>
      <c r="F17" s="389"/>
    </row>
    <row r="18" spans="1:8" ht="16.5" thickBot="1" x14ac:dyDescent="0.25">
      <c r="A18" s="136"/>
      <c r="B18" s="137"/>
      <c r="C18" s="137"/>
      <c r="D18" s="137"/>
      <c r="E18" s="137"/>
      <c r="F18" s="138"/>
    </row>
    <row r="19" spans="1:8" ht="14.25" x14ac:dyDescent="0.2">
      <c r="A19" s="101" t="s">
        <v>30</v>
      </c>
      <c r="B19" s="102" t="s">
        <v>31</v>
      </c>
      <c r="C19" s="103">
        <v>0.05</v>
      </c>
      <c r="D19" s="124"/>
      <c r="E19" s="125"/>
      <c r="F19" s="126"/>
      <c r="G19" s="58"/>
      <c r="H19" s="58"/>
    </row>
    <row r="20" spans="1:8" ht="14.25" x14ac:dyDescent="0.2">
      <c r="A20" s="105" t="s">
        <v>32</v>
      </c>
      <c r="B20" s="106" t="s">
        <v>33</v>
      </c>
      <c r="C20" s="107">
        <v>1.2999999999999999E-2</v>
      </c>
      <c r="D20" s="124"/>
      <c r="E20" s="125"/>
      <c r="F20" s="126"/>
      <c r="G20" s="58"/>
      <c r="H20" s="58"/>
    </row>
    <row r="21" spans="1:8" ht="14.25" x14ac:dyDescent="0.2">
      <c r="A21" s="105" t="s">
        <v>34</v>
      </c>
      <c r="B21" s="106" t="s">
        <v>35</v>
      </c>
      <c r="C21" s="107">
        <v>0.1</v>
      </c>
      <c r="D21" s="124"/>
      <c r="E21" s="125"/>
      <c r="F21" s="126"/>
      <c r="G21" s="58"/>
      <c r="H21" s="58"/>
    </row>
    <row r="22" spans="1:8" ht="14.25" x14ac:dyDescent="0.2">
      <c r="A22" s="105" t="s">
        <v>36</v>
      </c>
      <c r="B22" s="106" t="s">
        <v>37</v>
      </c>
      <c r="C22" s="108">
        <v>0</v>
      </c>
      <c r="D22" s="124"/>
      <c r="E22" s="125"/>
      <c r="F22" s="104"/>
      <c r="G22" s="58"/>
      <c r="H22" s="58"/>
    </row>
    <row r="23" spans="1:8" ht="14.25" x14ac:dyDescent="0.2">
      <c r="A23" s="105" t="s">
        <v>38</v>
      </c>
      <c r="B23" s="390" t="s">
        <v>39</v>
      </c>
      <c r="C23" s="107">
        <v>0.03</v>
      </c>
      <c r="D23" s="151"/>
      <c r="E23" s="271" t="s">
        <v>206</v>
      </c>
      <c r="F23" s="111"/>
      <c r="G23" s="58"/>
      <c r="H23" s="58"/>
    </row>
    <row r="24" spans="1:8" ht="15" thickBot="1" x14ac:dyDescent="0.25">
      <c r="A24" s="112" t="s">
        <v>40</v>
      </c>
      <c r="B24" s="391"/>
      <c r="C24" s="113">
        <v>3.6499999999999998E-2</v>
      </c>
      <c r="D24" s="95"/>
      <c r="E24" s="114"/>
      <c r="F24" s="111"/>
      <c r="G24" s="58"/>
      <c r="H24" s="58"/>
    </row>
    <row r="25" spans="1:8" ht="14.25" x14ac:dyDescent="0.2">
      <c r="A25" s="115" t="s">
        <v>41</v>
      </c>
      <c r="B25" s="116"/>
      <c r="C25" s="117"/>
      <c r="D25" s="95"/>
      <c r="E25" s="114"/>
      <c r="F25" s="111"/>
      <c r="G25" s="58"/>
      <c r="H25" s="58"/>
    </row>
    <row r="26" spans="1:8" ht="15" thickBot="1" x14ac:dyDescent="0.25">
      <c r="A26" s="118" t="s">
        <v>42</v>
      </c>
      <c r="B26" s="119"/>
      <c r="C26" s="120"/>
      <c r="D26" s="95"/>
      <c r="E26" s="114"/>
      <c r="F26" s="111"/>
      <c r="G26" s="58"/>
      <c r="H26" s="58"/>
    </row>
    <row r="27" spans="1:8" ht="15.75" thickBot="1" x14ac:dyDescent="0.25">
      <c r="A27" s="121" t="s">
        <v>43</v>
      </c>
      <c r="B27" s="122"/>
      <c r="C27" s="123">
        <f>ROUND((((1+C19+C20)*(1+C21)*(1+C22))/(1-(C23+C24))-1),4)</f>
        <v>0.25259999999999999</v>
      </c>
      <c r="D27" s="127"/>
      <c r="E27" s="128"/>
      <c r="F27" s="129"/>
      <c r="G27" s="58"/>
      <c r="H27" s="58"/>
    </row>
    <row r="29" spans="1:8" s="2" customFormat="1" ht="15.6" customHeight="1" thickBot="1" x14ac:dyDescent="0.25">
      <c r="A29" s="152" t="s">
        <v>207</v>
      </c>
      <c r="B29" s="55"/>
      <c r="C29" s="55"/>
      <c r="D29" s="55"/>
      <c r="E29" s="55"/>
      <c r="F29" s="55"/>
      <c r="G29" s="3"/>
    </row>
    <row r="30" spans="1:8" ht="15.75" x14ac:dyDescent="0.2">
      <c r="A30" s="387" t="s">
        <v>208</v>
      </c>
      <c r="B30" s="388"/>
      <c r="C30" s="388"/>
      <c r="D30" s="388"/>
      <c r="E30" s="388"/>
      <c r="F30" s="389"/>
    </row>
    <row r="31" spans="1:8" ht="16.5" thickBot="1" x14ac:dyDescent="0.25">
      <c r="A31" s="136"/>
      <c r="B31" s="137"/>
      <c r="C31" s="137"/>
      <c r="D31" s="137"/>
      <c r="E31" s="137"/>
      <c r="F31" s="138"/>
    </row>
    <row r="32" spans="1:8" ht="14.25" x14ac:dyDescent="0.2">
      <c r="A32" s="101" t="s">
        <v>30</v>
      </c>
      <c r="B32" s="102" t="s">
        <v>31</v>
      </c>
      <c r="C32" s="103">
        <v>0.05</v>
      </c>
      <c r="D32" s="124"/>
      <c r="E32" s="125"/>
      <c r="F32" s="126"/>
      <c r="G32" s="58"/>
      <c r="H32" s="58"/>
    </row>
    <row r="33" spans="1:8" ht="14.25" x14ac:dyDescent="0.2">
      <c r="A33" s="105" t="s">
        <v>32</v>
      </c>
      <c r="B33" s="106" t="s">
        <v>33</v>
      </c>
      <c r="C33" s="107">
        <v>1.2999999999999999E-2</v>
      </c>
      <c r="D33" s="124"/>
      <c r="E33" s="125"/>
      <c r="F33" s="126"/>
      <c r="G33" s="58"/>
      <c r="H33" s="58"/>
    </row>
    <row r="34" spans="1:8" ht="14.25" x14ac:dyDescent="0.2">
      <c r="A34" s="105" t="s">
        <v>34</v>
      </c>
      <c r="B34" s="106" t="s">
        <v>35</v>
      </c>
      <c r="C34" s="107">
        <v>0.1</v>
      </c>
      <c r="D34" s="124"/>
      <c r="E34" s="125"/>
      <c r="F34" s="126"/>
      <c r="G34" s="58"/>
      <c r="H34" s="58"/>
    </row>
    <row r="35" spans="1:8" ht="15" thickBot="1" x14ac:dyDescent="0.25">
      <c r="A35" s="105" t="s">
        <v>36</v>
      </c>
      <c r="B35" s="106" t="s">
        <v>37</v>
      </c>
      <c r="C35" s="107">
        <v>0</v>
      </c>
      <c r="D35" s="124"/>
      <c r="E35" s="125"/>
      <c r="F35" s="126"/>
      <c r="G35" s="58"/>
      <c r="H35" s="58"/>
    </row>
    <row r="36" spans="1:8" ht="14.25" x14ac:dyDescent="0.2">
      <c r="A36" s="115" t="s">
        <v>209</v>
      </c>
      <c r="B36" s="116"/>
      <c r="C36" s="117"/>
      <c r="D36" s="124"/>
      <c r="E36" s="125"/>
      <c r="F36" s="126"/>
      <c r="G36" s="58"/>
      <c r="H36" s="58"/>
    </row>
    <row r="37" spans="1:8" ht="15" thickBot="1" x14ac:dyDescent="0.25">
      <c r="A37" s="118" t="s">
        <v>210</v>
      </c>
      <c r="B37" s="119"/>
      <c r="C37" s="120"/>
      <c r="D37" s="124"/>
      <c r="E37" s="125"/>
      <c r="F37" s="126"/>
      <c r="G37" s="58"/>
      <c r="H37" s="58"/>
    </row>
    <row r="38" spans="1:8" ht="30.75" customHeight="1" thickBot="1" x14ac:dyDescent="0.25">
      <c r="A38" s="392" t="s">
        <v>211</v>
      </c>
      <c r="B38" s="393"/>
      <c r="C38" s="123">
        <f>ROUND((((1+C32+C33)*(1+C34)*(1+C35))-1),4)</f>
        <v>0.16930000000000001</v>
      </c>
      <c r="D38" s="127"/>
      <c r="E38" s="128"/>
      <c r="F38" s="129"/>
      <c r="G38" s="58"/>
      <c r="H38" s="58"/>
    </row>
    <row r="40" spans="1:8" x14ac:dyDescent="0.2">
      <c r="A40" t="s">
        <v>241</v>
      </c>
    </row>
  </sheetData>
  <mergeCells count="7">
    <mergeCell ref="A2:F2"/>
    <mergeCell ref="A17:F17"/>
    <mergeCell ref="B23:B24"/>
    <mergeCell ref="A30:F30"/>
    <mergeCell ref="A38:B38"/>
    <mergeCell ref="B10:B11"/>
    <mergeCell ref="D4:F4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7"/>
  <sheetViews>
    <sheetView workbookViewId="0">
      <selection activeCell="C18" sqref="C18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397" t="s">
        <v>126</v>
      </c>
      <c r="B1" s="398"/>
    </row>
    <row r="2" spans="1:3" s="46" customFormat="1" ht="19.5" customHeight="1" x14ac:dyDescent="0.2">
      <c r="A2" s="139" t="s">
        <v>115</v>
      </c>
      <c r="B2" s="140" t="s">
        <v>136</v>
      </c>
    </row>
    <row r="3" spans="1:3" ht="19.5" customHeight="1" x14ac:dyDescent="0.2">
      <c r="A3" s="66">
        <v>1</v>
      </c>
      <c r="B3" s="65">
        <v>33.629999999999995</v>
      </c>
    </row>
    <row r="4" spans="1:3" ht="19.5" customHeight="1" x14ac:dyDescent="0.2">
      <c r="A4" s="66">
        <v>2</v>
      </c>
      <c r="B4" s="65">
        <v>43.13</v>
      </c>
    </row>
    <row r="5" spans="1:3" ht="19.5" customHeight="1" x14ac:dyDescent="0.2">
      <c r="A5" s="66">
        <v>3</v>
      </c>
      <c r="B5" s="65">
        <v>48.68</v>
      </c>
    </row>
    <row r="6" spans="1:3" ht="19.5" customHeight="1" x14ac:dyDescent="0.2">
      <c r="A6" s="66">
        <v>4</v>
      </c>
      <c r="B6" s="65">
        <v>52.62</v>
      </c>
    </row>
    <row r="7" spans="1:3" ht="19.5" customHeight="1" x14ac:dyDescent="0.2">
      <c r="A7" s="66">
        <v>5</v>
      </c>
      <c r="B7" s="65">
        <v>55</v>
      </c>
    </row>
    <row r="8" spans="1:3" ht="19.5" customHeight="1" x14ac:dyDescent="0.2">
      <c r="A8" s="357">
        <v>6</v>
      </c>
      <c r="B8" s="358">
        <v>58.18</v>
      </c>
      <c r="C8" s="147" t="s">
        <v>374</v>
      </c>
    </row>
    <row r="9" spans="1:3" ht="19.5" customHeight="1" x14ac:dyDescent="0.2">
      <c r="A9" s="66">
        <v>7</v>
      </c>
      <c r="B9" s="65">
        <v>60.29</v>
      </c>
    </row>
    <row r="10" spans="1:3" ht="19.5" customHeight="1" x14ac:dyDescent="0.2">
      <c r="A10" s="66">
        <v>8</v>
      </c>
      <c r="B10" s="65">
        <v>62.12</v>
      </c>
    </row>
    <row r="11" spans="1:3" ht="19.5" customHeight="1" x14ac:dyDescent="0.2">
      <c r="A11" s="66">
        <v>9</v>
      </c>
      <c r="B11" s="65">
        <v>63.73</v>
      </c>
    </row>
    <row r="12" spans="1:3" ht="19.5" customHeight="1" x14ac:dyDescent="0.2">
      <c r="A12" s="139">
        <v>10</v>
      </c>
      <c r="B12" s="168">
        <v>65.180000000000007</v>
      </c>
      <c r="C12" s="147"/>
    </row>
    <row r="13" spans="1:3" ht="19.5" customHeight="1" x14ac:dyDescent="0.2">
      <c r="A13" s="66">
        <v>11</v>
      </c>
      <c r="B13" s="65">
        <v>66.47999999999999</v>
      </c>
      <c r="C13" s="147"/>
    </row>
    <row r="14" spans="1:3" ht="19.5" customHeight="1" x14ac:dyDescent="0.2">
      <c r="A14" s="66">
        <v>12</v>
      </c>
      <c r="B14" s="65">
        <v>67.67</v>
      </c>
    </row>
    <row r="15" spans="1:3" ht="19.5" customHeight="1" x14ac:dyDescent="0.2">
      <c r="A15" s="66">
        <v>13</v>
      </c>
      <c r="B15" s="65">
        <v>68.77</v>
      </c>
    </row>
    <row r="16" spans="1:3" ht="19.5" customHeight="1" x14ac:dyDescent="0.2">
      <c r="A16" s="66">
        <v>14</v>
      </c>
      <c r="B16" s="65">
        <v>69.789999999999992</v>
      </c>
    </row>
    <row r="17" spans="1:3" ht="19.5" customHeight="1" thickBot="1" x14ac:dyDescent="0.25">
      <c r="A17" s="359">
        <v>15</v>
      </c>
      <c r="B17" s="360">
        <v>70.73</v>
      </c>
      <c r="C17" s="147" t="s">
        <v>375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1"/>
  <sheetViews>
    <sheetView topLeftCell="A7" workbookViewId="0">
      <selection activeCell="A34" sqref="A34"/>
    </sheetView>
  </sheetViews>
  <sheetFormatPr defaultRowHeight="12.75" x14ac:dyDescent="0.2"/>
  <cols>
    <col min="1" max="1" width="70.42578125" style="1" customWidth="1"/>
    <col min="2" max="2" width="15.5703125" style="1" customWidth="1"/>
    <col min="3" max="3" width="21.42578125" style="1" customWidth="1"/>
    <col min="4" max="4" width="13.140625" style="1" bestFit="1" customWidth="1"/>
    <col min="5" max="5" width="12" style="1" bestFit="1" customWidth="1"/>
    <col min="6" max="16384" width="9.140625" style="1"/>
  </cols>
  <sheetData>
    <row r="1" spans="1:1" ht="18" x14ac:dyDescent="0.25">
      <c r="A1" s="133" t="s">
        <v>130</v>
      </c>
    </row>
    <row r="2" spans="1:1" x14ac:dyDescent="0.2">
      <c r="A2" s="130"/>
    </row>
    <row r="3" spans="1:1" x14ac:dyDescent="0.2">
      <c r="A3" s="130" t="s">
        <v>133</v>
      </c>
    </row>
    <row r="4" spans="1:1" x14ac:dyDescent="0.2">
      <c r="A4" s="130"/>
    </row>
    <row r="5" spans="1:1" x14ac:dyDescent="0.2">
      <c r="A5" s="130"/>
    </row>
    <row r="6" spans="1:1" x14ac:dyDescent="0.2">
      <c r="A6" s="130"/>
    </row>
    <row r="7" spans="1:1" x14ac:dyDescent="0.2">
      <c r="A7" s="130"/>
    </row>
    <row r="8" spans="1:1" x14ac:dyDescent="0.2">
      <c r="A8" s="130"/>
    </row>
    <row r="9" spans="1:1" x14ac:dyDescent="0.2">
      <c r="A9" s="130"/>
    </row>
    <row r="10" spans="1:1" x14ac:dyDescent="0.2">
      <c r="A10" s="130"/>
    </row>
    <row r="11" spans="1:1" x14ac:dyDescent="0.2">
      <c r="A11" s="130"/>
    </row>
    <row r="12" spans="1:1" ht="19.5" x14ac:dyDescent="0.35">
      <c r="A12" s="131" t="s">
        <v>127</v>
      </c>
    </row>
    <row r="13" spans="1:1" ht="15" x14ac:dyDescent="0.2">
      <c r="A13" s="131" t="s">
        <v>51</v>
      </c>
    </row>
    <row r="14" spans="1:1" ht="15" x14ac:dyDescent="0.2">
      <c r="A14" s="131" t="s">
        <v>53</v>
      </c>
    </row>
    <row r="15" spans="1:1" ht="19.5" x14ac:dyDescent="0.35">
      <c r="A15" s="131" t="s">
        <v>128</v>
      </c>
    </row>
    <row r="16" spans="1:1" ht="19.5" x14ac:dyDescent="0.35">
      <c r="A16" s="131" t="s">
        <v>129</v>
      </c>
    </row>
    <row r="17" spans="1:5" ht="15.75" thickBot="1" x14ac:dyDescent="0.25">
      <c r="A17" s="132" t="s">
        <v>52</v>
      </c>
    </row>
    <row r="20" spans="1:5" ht="15" x14ac:dyDescent="0.2">
      <c r="A20" s="313" t="s">
        <v>250</v>
      </c>
      <c r="B20" s="314"/>
      <c r="C20" s="314"/>
    </row>
    <row r="21" spans="1:5" ht="15" x14ac:dyDescent="0.2">
      <c r="A21" s="313" t="s">
        <v>251</v>
      </c>
      <c r="B21" s="324">
        <f>'Triagem RSU - Rejeito'!D212</f>
        <v>3713602.5</v>
      </c>
      <c r="C21" s="324"/>
      <c r="D21" s="317"/>
    </row>
    <row r="22" spans="1:5" ht="15" x14ac:dyDescent="0.2">
      <c r="A22" s="313" t="s">
        <v>252</v>
      </c>
      <c r="B22" s="324">
        <f>'Triagem RSU - Rejeito'!D203-'Triagem RSU - Rejeito'!E206</f>
        <v>1553028.5655</v>
      </c>
      <c r="C22" s="324"/>
      <c r="D22" s="317"/>
    </row>
    <row r="23" spans="1:5" ht="15" x14ac:dyDescent="0.2">
      <c r="A23" s="313" t="s">
        <v>253</v>
      </c>
      <c r="B23" s="315">
        <f>B21-B22</f>
        <v>2160573.9345</v>
      </c>
      <c r="C23" s="315"/>
      <c r="D23" s="315"/>
    </row>
    <row r="24" spans="1:5" ht="15" x14ac:dyDescent="0.2">
      <c r="A24" s="313" t="s">
        <v>254</v>
      </c>
      <c r="B24" s="325">
        <f>B25-B26</f>
        <v>6</v>
      </c>
      <c r="C24" s="325"/>
      <c r="D24" s="325"/>
    </row>
    <row r="25" spans="1:5" ht="15" x14ac:dyDescent="0.2">
      <c r="A25" s="313" t="s">
        <v>255</v>
      </c>
      <c r="B25" s="326">
        <f>'Triagem RSU - Rejeito'!C204</f>
        <v>6</v>
      </c>
      <c r="C25" s="326"/>
      <c r="D25" s="327"/>
    </row>
    <row r="26" spans="1:5" ht="15" x14ac:dyDescent="0.2">
      <c r="A26" s="313" t="s">
        <v>256</v>
      </c>
      <c r="B26" s="326">
        <f>'Triagem RSU - Rejeito'!C205</f>
        <v>0</v>
      </c>
      <c r="C26" s="326"/>
      <c r="D26" s="327"/>
    </row>
    <row r="27" spans="1:5" ht="15" x14ac:dyDescent="0.2">
      <c r="A27" s="313" t="s">
        <v>257</v>
      </c>
      <c r="B27" s="326">
        <f>B24+1</f>
        <v>7</v>
      </c>
      <c r="C27" s="326"/>
      <c r="D27" s="326"/>
    </row>
    <row r="28" spans="1:5" ht="15" x14ac:dyDescent="0.2">
      <c r="A28" s="313" t="s">
        <v>258</v>
      </c>
      <c r="B28" s="326">
        <f>2*B24</f>
        <v>12</v>
      </c>
      <c r="C28" s="326"/>
      <c r="D28" s="327"/>
    </row>
    <row r="29" spans="1:5" ht="15" x14ac:dyDescent="0.2">
      <c r="A29" s="313" t="s">
        <v>259</v>
      </c>
      <c r="B29" s="315">
        <f>(B23*(B27/B28))+B22</f>
        <v>2813363.3606250002</v>
      </c>
      <c r="C29" s="315"/>
      <c r="D29" s="315"/>
    </row>
    <row r="30" spans="1:5" ht="15" x14ac:dyDescent="0.2">
      <c r="A30" s="313" t="s">
        <v>260</v>
      </c>
      <c r="B30" s="328">
        <v>0.15</v>
      </c>
      <c r="C30" s="328"/>
      <c r="D30" s="79"/>
    </row>
    <row r="31" spans="1:5" ht="15" x14ac:dyDescent="0.2">
      <c r="A31" s="313" t="s">
        <v>261</v>
      </c>
      <c r="B31" s="316">
        <f>B29*B30/12</f>
        <v>35167.042007812503</v>
      </c>
      <c r="C31" s="316"/>
      <c r="D31" s="316"/>
      <c r="E31" s="317"/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4</vt:i4>
      </vt:variant>
    </vt:vector>
  </HeadingPairs>
  <TitlesOfParts>
    <vt:vector size="12" baseType="lpstr">
      <vt:lpstr>Triagem RSU - Rejeito</vt:lpstr>
      <vt:lpstr>Lavagem unif.</vt:lpstr>
      <vt:lpstr>Feriados</vt:lpstr>
      <vt:lpstr>Encargos Simples</vt:lpstr>
      <vt:lpstr>2.Encargos Sociais</vt:lpstr>
      <vt:lpstr>4.BDI</vt:lpstr>
      <vt:lpstr>5. Depreciação</vt:lpstr>
      <vt:lpstr>6.Remuneração de capital</vt:lpstr>
      <vt:lpstr>AbaDeprec</vt:lpstr>
      <vt:lpstr>AbaRemun</vt:lpstr>
      <vt:lpstr>'2.Encargos Sociais'!Area_de_impressao</vt:lpstr>
      <vt:lpstr>'Triagem RSU - Rejeito'!Area_de_impressao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Beatris Regina Vogel</cp:lastModifiedBy>
  <cp:lastPrinted>2026-02-06T13:33:54Z</cp:lastPrinted>
  <dcterms:created xsi:type="dcterms:W3CDTF">2000-12-13T10:02:50Z</dcterms:created>
  <dcterms:modified xsi:type="dcterms:W3CDTF">2026-04-06T11:36:02Z</dcterms:modified>
</cp:coreProperties>
</file>