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K:\Arquivos para Licitacon\Concorrência Eletrônica\Concorrência Eletrônica 2026\Conc Eletr 01-2026 - Serviços de manejo de RSU\"/>
    </mc:Choice>
  </mc:AlternateContent>
  <xr:revisionPtr revIDLastSave="0" documentId="8_{18D65FC2-A60F-4706-AE1B-9104E29E53F6}" xr6:coauthVersionLast="47" xr6:coauthVersionMax="47" xr10:uidLastSave="{00000000-0000-0000-0000-000000000000}"/>
  <bookViews>
    <workbookView xWindow="-120" yWindow="-120" windowWidth="29040" windowHeight="15720" tabRatio="802" xr2:uid="{00000000-000D-0000-FFFF-FFFF00000000}"/>
  </bookViews>
  <sheets>
    <sheet name="Transporte RSU - Rejeito" sheetId="2" r:id="rId1"/>
    <sheet name="Pneus" sheetId="13" r:id="rId2"/>
    <sheet name="Lavagem unif." sheetId="11" r:id="rId3"/>
    <sheet name="Feriados" sheetId="10" r:id="rId4"/>
    <sheet name="Encargos Simples" sheetId="12" r:id="rId5"/>
    <sheet name="2.Encargos Sociais" sheetId="8" r:id="rId6"/>
    <sheet name="4.BDI" sheetId="4" r:id="rId7"/>
    <sheet name="5. Depreciação" sheetId="6" r:id="rId8"/>
    <sheet name="6.Remuneração de capital" sheetId="7" r:id="rId9"/>
  </sheets>
  <definedNames>
    <definedName name="AbaDeprec">'5. Depreciação'!$A$1</definedName>
    <definedName name="AbaRemun">'6.Remuneração de capital'!$A$1</definedName>
    <definedName name="_xlnm.Print_Area" localSheetId="5">'2.Encargos Sociais'!$A$1:$C$33</definedName>
    <definedName name="_xlnm.Print_Area" localSheetId="0">'Transporte RSU - Rejeito'!$A$1:$G$302</definedName>
    <definedName name="número">#REF!</definedName>
    <definedName name="x">#REF!</definedName>
  </definedNames>
  <calcPr calcId="191029"/>
</workbook>
</file>

<file path=xl/calcChain.xml><?xml version="1.0" encoding="utf-8"?>
<calcChain xmlns="http://schemas.openxmlformats.org/spreadsheetml/2006/main">
  <c r="G189" i="2" l="1"/>
  <c r="D212" i="2" l="1"/>
  <c r="D66" i="2" l="1"/>
  <c r="E131" i="2" l="1"/>
  <c r="E130" i="2"/>
  <c r="G39" i="2" l="1"/>
  <c r="D144" i="2" l="1"/>
  <c r="E211" i="2" l="1"/>
  <c r="E228" i="2" l="1"/>
  <c r="C230" i="2" l="1"/>
  <c r="C229" i="2"/>
  <c r="C227" i="2"/>
  <c r="D196" i="2"/>
  <c r="D198" i="2"/>
  <c r="E123" i="2" l="1"/>
  <c r="D181" i="2" l="1"/>
  <c r="E181" i="2" s="1"/>
  <c r="E182" i="2"/>
  <c r="E174" i="2"/>
  <c r="E157" i="2" l="1"/>
  <c r="D149" i="2"/>
  <c r="H144" i="2" s="1"/>
  <c r="I144" i="2" s="1"/>
  <c r="F3" i="11"/>
  <c r="E132" i="2"/>
  <c r="E129" i="2"/>
  <c r="E127" i="2"/>
  <c r="D99" i="2" l="1"/>
  <c r="D97" i="2"/>
  <c r="C98" i="2"/>
  <c r="E99" i="2" s="1"/>
  <c r="C96" i="2"/>
  <c r="C91" i="2"/>
  <c r="D91" i="2" s="1"/>
  <c r="D65" i="2"/>
  <c r="E65" i="2" s="1"/>
  <c r="C54" i="2"/>
  <c r="C90" i="2" s="1"/>
  <c r="E83" i="2"/>
  <c r="C82" i="2"/>
  <c r="B82" i="2"/>
  <c r="E77" i="2"/>
  <c r="D71" i="2"/>
  <c r="E71" i="2" s="1"/>
  <c r="D33" i="2"/>
  <c r="C135" i="2" l="1"/>
  <c r="C111" i="2"/>
  <c r="C104" i="2"/>
  <c r="E91" i="2"/>
  <c r="E98" i="2"/>
  <c r="D67" i="2"/>
  <c r="E67" i="2" s="1"/>
  <c r="D68" i="2"/>
  <c r="E68" i="2" s="1"/>
  <c r="D69" i="2" l="1"/>
  <c r="E69" i="2"/>
  <c r="E73" i="2" s="1"/>
  <c r="E121" i="2"/>
  <c r="E122" i="2"/>
  <c r="E124" i="2"/>
  <c r="E125" i="2"/>
  <c r="E126" i="2"/>
  <c r="E128" i="2"/>
  <c r="E120" i="2"/>
  <c r="D134" i="2" l="1"/>
  <c r="E134" i="2" s="1"/>
  <c r="D80" i="2"/>
  <c r="E80" i="2" s="1"/>
  <c r="E81" i="2" s="1"/>
  <c r="D82" i="2" s="1"/>
  <c r="E82" i="2" s="1"/>
  <c r="F83" i="2" s="1"/>
  <c r="F9" i="2" s="1"/>
  <c r="D74" i="2"/>
  <c r="E74" i="2" s="1"/>
  <c r="E75" i="2" s="1"/>
  <c r="D76" i="2" s="1"/>
  <c r="E76" i="2" s="1"/>
  <c r="F77" i="2" s="1"/>
  <c r="B9" i="2" s="1"/>
  <c r="D9" i="2" s="1"/>
  <c r="C26" i="7"/>
  <c r="B26" i="7"/>
  <c r="C25" i="7"/>
  <c r="B25" i="7"/>
  <c r="B24" i="7" l="1"/>
  <c r="B28" i="7" s="1"/>
  <c r="C24" i="7"/>
  <c r="C28" i="7" s="1"/>
  <c r="B27" i="7" l="1"/>
  <c r="C27" i="7"/>
  <c r="D50" i="2" l="1"/>
  <c r="B5" i="13" l="1"/>
  <c r="B6" i="13" s="1"/>
  <c r="B9" i="13" s="1"/>
  <c r="B10" i="13" s="1"/>
  <c r="D194" i="2" l="1"/>
  <c r="E210" i="2" l="1"/>
  <c r="C155" i="2"/>
  <c r="A13" i="2" l="1"/>
  <c r="B60" i="2"/>
  <c r="B135" i="2" s="1"/>
  <c r="D90" i="2" l="1"/>
  <c r="C29" i="8" l="1"/>
  <c r="C23" i="8"/>
  <c r="C26" i="8" s="1"/>
  <c r="C19" i="8"/>
  <c r="C11" i="8"/>
  <c r="C28" i="8" s="1"/>
  <c r="C30" i="8" s="1"/>
  <c r="C31" i="8" s="1"/>
  <c r="D44" i="2" l="1"/>
  <c r="F6" i="11" l="1"/>
  <c r="F5" i="11"/>
  <c r="F4" i="11"/>
  <c r="A24" i="2" l="1"/>
  <c r="A25" i="2"/>
  <c r="D262" i="2" l="1"/>
  <c r="D290" i="2" s="1"/>
  <c r="C38" i="4"/>
  <c r="C269" i="2" s="1"/>
  <c r="C27" i="4"/>
  <c r="C255" i="2" s="1"/>
  <c r="E61" i="2"/>
  <c r="B7" i="12"/>
  <c r="B8" i="12" s="1"/>
  <c r="C60" i="2"/>
  <c r="E212" i="2" l="1"/>
  <c r="C6" i="11" l="1"/>
  <c r="G6" i="11" s="1"/>
  <c r="I6" i="11" s="1"/>
  <c r="J6" i="11" s="1"/>
  <c r="C5" i="11"/>
  <c r="C4" i="11"/>
  <c r="G4" i="11" s="1"/>
  <c r="I4" i="11" s="1"/>
  <c r="J4" i="11" s="1"/>
  <c r="C3" i="11"/>
  <c r="G3" i="11" s="1"/>
  <c r="I3" i="11" s="1"/>
  <c r="J3" i="11" s="1"/>
  <c r="G5" i="11" l="1"/>
  <c r="I5" i="11" s="1"/>
  <c r="J5" i="11" s="1"/>
  <c r="J7" i="11" l="1"/>
  <c r="E133" i="2" s="1"/>
  <c r="D135" i="2" s="1"/>
  <c r="I7" i="11"/>
  <c r="A170" i="2" l="1"/>
  <c r="A166" i="2"/>
  <c r="D46" i="2" l="1"/>
  <c r="E230" i="2" l="1"/>
  <c r="D105" i="2"/>
  <c r="A105" i="2"/>
  <c r="C221" i="2" l="1"/>
  <c r="A16" i="2" l="1"/>
  <c r="C152" i="2" l="1"/>
  <c r="B15" i="10" l="1"/>
  <c r="B2" i="10"/>
  <c r="B18" i="10" s="1"/>
  <c r="B20" i="10" s="1"/>
  <c r="A23" i="2" l="1"/>
  <c r="A22" i="2"/>
  <c r="A15" i="2"/>
  <c r="A14" i="2"/>
  <c r="A7" i="2"/>
  <c r="C147" i="2" l="1"/>
  <c r="E97" i="2" l="1"/>
  <c r="E105" i="2"/>
  <c r="C172" i="2"/>
  <c r="C167" i="2"/>
  <c r="D202" i="2"/>
  <c r="D200" i="2"/>
  <c r="E111" i="2" l="1"/>
  <c r="F112" i="2" s="1"/>
  <c r="B13" i="2" s="1"/>
  <c r="D13" i="2" s="1"/>
  <c r="F13" i="2" s="1"/>
  <c r="E46" i="2" l="1"/>
  <c r="D47" i="2" l="1"/>
  <c r="E47" i="2" s="1"/>
  <c r="D48" i="2" l="1"/>
  <c r="E48" i="2" s="1"/>
  <c r="A21" i="2"/>
  <c r="A20" i="2"/>
  <c r="A19" i="2"/>
  <c r="A18" i="2"/>
  <c r="A17" i="2"/>
  <c r="A12" i="2"/>
  <c r="A11" i="2"/>
  <c r="A10" i="2"/>
  <c r="E185" i="2"/>
  <c r="E136" i="2"/>
  <c r="E106" i="2"/>
  <c r="E55" i="2"/>
  <c r="D161" i="2"/>
  <c r="C9" i="4"/>
  <c r="C14" i="4" s="1"/>
  <c r="C241" i="2" s="1"/>
  <c r="F7" i="4"/>
  <c r="E7" i="4"/>
  <c r="D7" i="4"/>
  <c r="E44" i="2"/>
  <c r="C219" i="2"/>
  <c r="E219" i="2" s="1"/>
  <c r="C192" i="2"/>
  <c r="D192" i="2"/>
  <c r="D203" i="2" s="1"/>
  <c r="E144" i="2"/>
  <c r="D166" i="2"/>
  <c r="C153" i="2"/>
  <c r="C148" i="2"/>
  <c r="C149" i="2"/>
  <c r="C166" i="2" s="1"/>
  <c r="E217" i="2"/>
  <c r="E183" i="2"/>
  <c r="E180" i="2"/>
  <c r="E227" i="2"/>
  <c r="E229" i="2"/>
  <c r="C163" i="2" l="1"/>
  <c r="E135" i="2"/>
  <c r="C196" i="2"/>
  <c r="E196" i="2" s="1"/>
  <c r="C194" i="2"/>
  <c r="E194" i="2" s="1"/>
  <c r="E50" i="2"/>
  <c r="E51" i="2" s="1"/>
  <c r="D58" i="2" s="1"/>
  <c r="E58" i="2" s="1"/>
  <c r="E59" i="2" s="1"/>
  <c r="D60" i="2" s="1"/>
  <c r="E60" i="2" s="1"/>
  <c r="F61" i="2" s="1"/>
  <c r="D147" i="2"/>
  <c r="E147" i="2" s="1"/>
  <c r="B22" i="7" s="1"/>
  <c r="C200" i="2"/>
  <c r="E200" i="2" s="1"/>
  <c r="C202" i="2"/>
  <c r="E202" i="2" s="1"/>
  <c r="F231" i="2"/>
  <c r="F233" i="2" s="1"/>
  <c r="B22" i="2" s="1"/>
  <c r="D22" i="2" s="1"/>
  <c r="F22" i="2" s="1"/>
  <c r="E96" i="2"/>
  <c r="F100" i="2" s="1"/>
  <c r="E192" i="2"/>
  <c r="E149" i="2"/>
  <c r="C168" i="2" s="1"/>
  <c r="E166" i="2"/>
  <c r="E104" i="2"/>
  <c r="C198" i="2"/>
  <c r="E198" i="2" s="1"/>
  <c r="C209" i="2"/>
  <c r="E209" i="2" s="1"/>
  <c r="F213" i="2" s="1"/>
  <c r="E161" i="2"/>
  <c r="D220" i="2"/>
  <c r="E90" i="2"/>
  <c r="F92" i="2" s="1"/>
  <c r="D179" i="2" l="1"/>
  <c r="C164" i="2"/>
  <c r="E179" i="2"/>
  <c r="D184" i="2" s="1"/>
  <c r="E184" i="2" s="1"/>
  <c r="F185" i="2" s="1"/>
  <c r="F204" i="2"/>
  <c r="B19" i="2" s="1"/>
  <c r="F8" i="2"/>
  <c r="F106" i="2"/>
  <c r="B12" i="2" s="1"/>
  <c r="D12" i="2" s="1"/>
  <c r="F12" i="2" s="1"/>
  <c r="B20" i="2"/>
  <c r="D20" i="2" s="1"/>
  <c r="F20" i="2" s="1"/>
  <c r="E220" i="2"/>
  <c r="D221" i="2" s="1"/>
  <c r="E221" i="2" s="1"/>
  <c r="F221" i="2" s="1"/>
  <c r="B21" i="2" s="1"/>
  <c r="D21" i="2" s="1"/>
  <c r="F21" i="2" s="1"/>
  <c r="D148" i="2"/>
  <c r="B11" i="2"/>
  <c r="D11" i="2" s="1"/>
  <c r="F11" i="2" s="1"/>
  <c r="F136" i="2"/>
  <c r="F138" i="2" s="1"/>
  <c r="D152" i="2"/>
  <c r="E152" i="2" s="1"/>
  <c r="B10" i="2"/>
  <c r="D10" i="2" s="1"/>
  <c r="F10" i="2" s="1"/>
  <c r="D52" i="2"/>
  <c r="B18" i="2" l="1"/>
  <c r="D18" i="2" s="1"/>
  <c r="F18" i="2" s="1"/>
  <c r="D153" i="2"/>
  <c r="E153" i="2" s="1"/>
  <c r="C22" i="7"/>
  <c r="C23" i="7" s="1"/>
  <c r="D19" i="2"/>
  <c r="F19" i="2" s="1"/>
  <c r="E148" i="2"/>
  <c r="B23" i="7"/>
  <c r="B29" i="7" s="1"/>
  <c r="B31" i="7" s="1"/>
  <c r="D165" i="2"/>
  <c r="E165" i="2" s="1"/>
  <c r="C169" i="2"/>
  <c r="D170" i="2" s="1"/>
  <c r="E170" i="2" s="1"/>
  <c r="B14" i="2"/>
  <c r="D14" i="2" s="1"/>
  <c r="F14" i="2" s="1"/>
  <c r="C29" i="7" l="1"/>
  <c r="C31" i="7" s="1"/>
  <c r="E154" i="2"/>
  <c r="D155" i="2" s="1"/>
  <c r="E171" i="2"/>
  <c r="D172" i="2" s="1"/>
  <c r="E172" i="2" s="1"/>
  <c r="F174" i="2" s="1"/>
  <c r="B17" i="2" l="1"/>
  <c r="E155" i="2"/>
  <c r="E52" i="2"/>
  <c r="E53" i="2" s="1"/>
  <c r="D54" i="2" s="1"/>
  <c r="E54" i="2" s="1"/>
  <c r="F55" i="2" s="1"/>
  <c r="F114" i="2" s="1"/>
  <c r="F157" i="2" l="1"/>
  <c r="F223" i="2" s="1"/>
  <c r="F235" i="2" s="1"/>
  <c r="F115" i="2"/>
  <c r="F7" i="2" s="1"/>
  <c r="B8" i="2"/>
  <c r="D8" i="2" s="1"/>
  <c r="D17" i="2"/>
  <c r="F17" i="2" s="1"/>
  <c r="B16" i="2" l="1"/>
  <c r="D16" i="2" s="1"/>
  <c r="F16" i="2" s="1"/>
  <c r="D255" i="2"/>
  <c r="E255" i="2" s="1"/>
  <c r="F256" i="2" s="1"/>
  <c r="F258" i="2" s="1"/>
  <c r="D24" i="2" s="1"/>
  <c r="B7" i="2"/>
  <c r="D7" i="2" s="1"/>
  <c r="F260" i="2" l="1"/>
  <c r="F264" i="2" s="1"/>
  <c r="D27" i="2" s="1"/>
  <c r="D241" i="2"/>
  <c r="E241" i="2" s="1"/>
  <c r="F242" i="2" s="1"/>
  <c r="F244" i="2" s="1"/>
  <c r="B23" i="2" s="1"/>
  <c r="B15" i="2"/>
  <c r="D15" i="2" l="1"/>
  <c r="D26" i="2" s="1"/>
  <c r="E9" i="2" s="1"/>
  <c r="B26" i="2"/>
  <c r="F246" i="2"/>
  <c r="F250" i="2" s="1"/>
  <c r="B27" i="2" s="1"/>
  <c r="C13" i="2" l="1"/>
  <c r="C9" i="2"/>
  <c r="F15" i="2"/>
  <c r="C15" i="2"/>
  <c r="E15" i="2"/>
  <c r="E24" i="2"/>
  <c r="E13" i="2"/>
  <c r="E8" i="2"/>
  <c r="E10" i="2"/>
  <c r="E19" i="2"/>
  <c r="E16" i="2"/>
  <c r="E12" i="2"/>
  <c r="E21" i="2"/>
  <c r="E14" i="2"/>
  <c r="E18" i="2"/>
  <c r="E22" i="2"/>
  <c r="E17" i="2"/>
  <c r="E20" i="2"/>
  <c r="E11" i="2"/>
  <c r="C20" i="2"/>
  <c r="C22" i="2"/>
  <c r="C10" i="2"/>
  <c r="C11" i="2"/>
  <c r="C23" i="2"/>
  <c r="C19" i="2"/>
  <c r="C18" i="2"/>
  <c r="C17" i="2"/>
  <c r="C21" i="2"/>
  <c r="C8" i="2"/>
  <c r="C16" i="2"/>
  <c r="C12" i="2"/>
  <c r="C14" i="2"/>
  <c r="C7" i="2" l="1"/>
  <c r="C26" i="2" s="1"/>
  <c r="E7" i="2"/>
  <c r="E26" i="2" l="1"/>
  <c r="F236" i="2"/>
  <c r="D269" i="2" s="1"/>
  <c r="E269" i="2" l="1"/>
  <c r="F270" i="2" s="1"/>
  <c r="F272" i="2" s="1"/>
  <c r="F274" i="2" s="1"/>
  <c r="D283" i="2" s="1"/>
  <c r="D282" i="2" l="1"/>
  <c r="F288" i="2" s="1"/>
  <c r="F292" i="2" s="1"/>
  <c r="F27" i="2" s="1"/>
  <c r="D284" i="2"/>
  <c r="D285" i="2" s="1"/>
  <c r="D286" i="2" s="1"/>
  <c r="E282" i="2" l="1"/>
  <c r="F283" i="2" s="1"/>
  <c r="F25" i="2" s="1"/>
  <c r="F26" i="2" s="1"/>
  <c r="G9" i="2" s="1"/>
  <c r="G11" i="2" l="1"/>
  <c r="G15" i="2"/>
  <c r="G21" i="2"/>
  <c r="G19" i="2"/>
  <c r="G8" i="2"/>
  <c r="G12" i="2"/>
  <c r="G22" i="2"/>
  <c r="G18" i="2"/>
  <c r="G16" i="2"/>
  <c r="G20" i="2"/>
  <c r="G14" i="2"/>
  <c r="G10" i="2"/>
  <c r="G17" i="2"/>
  <c r="G13" i="2"/>
  <c r="G25" i="2"/>
  <c r="G7" i="2" l="1"/>
  <c r="G26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  <author>User</author>
  </authors>
  <commentList>
    <comment ref="D31" authorId="0" shapeId="0" xr:uid="{00000000-0006-0000-0000-000001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E31" authorId="0" shapeId="0" xr:uid="{00000000-0006-0000-0000-000002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E36" authorId="1" shapeId="0" xr:uid="{00000000-0006-0000-0000-000003000000}">
      <text>
        <r>
          <rPr>
            <b/>
            <sz val="9"/>
            <color indexed="81"/>
            <rFont val="Segoe UI"/>
            <family val="2"/>
          </rPr>
          <t>Inserir a quantidade de veículos e equipamentos.</t>
        </r>
      </text>
    </comment>
    <comment ref="B40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 shapeId="0" xr:uid="{00000000-0006-0000-0000-000005000000}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46" authorId="0" shapeId="0" xr:uid="{00000000-0006-0000-0000-000006000000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47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48" authorId="0" shapeId="0" xr:uid="{00000000-0006-0000-0000-000008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9" authorId="0" shapeId="0" xr:uid="{00000000-0006-0000-0000-000009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50" authorId="0" shapeId="0" xr:uid="{00000000-0006-0000-0000-00000A000000}">
      <text>
        <r>
          <rPr>
            <sz val="9"/>
            <color indexed="81"/>
            <rFont val="Tahoma"/>
            <family val="2"/>
          </rPr>
          <t>Adotar o % definido no laudo de medicina e segurança do trabalho</t>
        </r>
      </text>
    </comment>
    <comment ref="C52" authorId="0" shapeId="0" xr:uid="{00000000-0006-0000-0000-00000B000000}">
      <text>
        <r>
          <rPr>
            <sz val="9"/>
            <color indexed="81"/>
            <rFont val="Tahoma"/>
            <family val="2"/>
          </rPr>
          <t>Preencher a planilha Encargos Sociais.</t>
        </r>
      </text>
    </comment>
    <comment ref="C54" authorId="0" shapeId="0" xr:uid="{00000000-0006-0000-0000-00000C000000}">
      <text>
        <r>
          <rPr>
            <sz val="9"/>
            <color indexed="81"/>
            <rFont val="Tahoma"/>
            <family val="2"/>
          </rPr>
          <t>Informar a quantidade de trabalhadores na função:
1 do caminhão coletor + 1 do caminhão higienizador.</t>
        </r>
      </text>
    </comment>
    <comment ref="C58" authorId="0" shapeId="0" xr:uid="{00000000-0006-0000-0000-00000D000000}">
      <text>
        <r>
          <rPr>
            <sz val="9"/>
            <color indexed="81"/>
            <rFont val="Tahoma"/>
            <family val="2"/>
          </rPr>
          <t xml:space="preserve">Preencher a planilha Encargos Sociais. </t>
        </r>
      </text>
    </comment>
    <comment ref="D66" authorId="0" shapeId="0" xr:uid="{00000000-0006-0000-0000-00000E000000}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67" authorId="0" shapeId="0" xr:uid="{00000000-0006-0000-0000-00000F000000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68" authorId="0" shapeId="0" xr:uid="{00000000-0006-0000-0000-000010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69" authorId="0" shapeId="0" xr:uid="{00000000-0006-0000-0000-000011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0" authorId="0" shapeId="0" xr:uid="{00000000-0006-0000-0000-000012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71" authorId="0" shapeId="0" xr:uid="{00000000-0006-0000-0000-000013000000}">
      <text>
        <r>
          <rPr>
            <sz val="9"/>
            <color indexed="81"/>
            <rFont val="Tahoma"/>
            <family val="2"/>
          </rPr>
          <t>Adotar o % definido no laudo de medicina e segurança do trabalho</t>
        </r>
      </text>
    </comment>
    <comment ref="C74" authorId="0" shapeId="0" xr:uid="{00000000-0006-0000-0000-000014000000}">
      <text>
        <r>
          <rPr>
            <sz val="9"/>
            <color indexed="81"/>
            <rFont val="Tahoma"/>
            <family val="2"/>
          </rPr>
          <t>Preencher a planilha Encargos Sociais.</t>
        </r>
      </text>
    </comment>
    <comment ref="C76" authorId="0" shapeId="0" xr:uid="{00000000-0006-0000-0000-000015000000}">
      <text>
        <r>
          <rPr>
            <sz val="9"/>
            <color indexed="81"/>
            <rFont val="Tahoma"/>
            <family val="2"/>
          </rPr>
          <t>Informar a quantidade de trabalhadores na função:
1 do caminhão coletor + 1 do caminhão higienizador.</t>
        </r>
      </text>
    </comment>
    <comment ref="C80" authorId="0" shapeId="0" xr:uid="{00000000-0006-0000-0000-000016000000}">
      <text>
        <r>
          <rPr>
            <sz val="9"/>
            <color indexed="81"/>
            <rFont val="Tahoma"/>
            <family val="2"/>
          </rPr>
          <t xml:space="preserve">Preencher a planilha Encargos Sociais. </t>
        </r>
      </text>
    </comment>
    <comment ref="D88" authorId="0" shapeId="0" xr:uid="{00000000-0006-0000-0000-000017000000}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C89" authorId="0" shapeId="0" xr:uid="{00000000-0006-0000-0000-000018000000}">
      <text>
        <r>
          <rPr>
            <sz val="9"/>
            <color indexed="81"/>
            <rFont val="Tahoma"/>
            <family val="2"/>
          </rPr>
          <t>Informar o número médio de dias trabalhados por mês</t>
        </r>
      </text>
    </comment>
    <comment ref="D90" authorId="0" shapeId="0" xr:uid="{00000000-0006-0000-0000-000019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91" authorId="0" shapeId="0" xr:uid="{00000000-0006-0000-0000-00001A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96" authorId="0" shapeId="0" xr:uid="{00000000-0006-0000-0000-00001B000000}">
      <text>
        <r>
          <rPr>
            <sz val="9"/>
            <color indexed="81"/>
            <rFont val="Tahoma"/>
            <family val="2"/>
          </rPr>
          <t>Informar o valor unitário diário do vale refeição, conforme CCT da categoria.</t>
        </r>
      </text>
    </comment>
    <comment ref="C97" authorId="1" shapeId="0" xr:uid="{00000000-0006-0000-0000-00001C000000}">
      <text>
        <r>
          <rPr>
            <b/>
            <sz val="9"/>
            <color indexed="81"/>
            <rFont val="Segoe UI"/>
            <family val="2"/>
          </rPr>
          <t>Inserir o % de desconto previsto na CCT desta categoria.</t>
        </r>
      </text>
    </comment>
    <comment ref="D104" authorId="0" shapeId="0" xr:uid="{00000000-0006-0000-0000-00001D000000}">
      <text>
        <r>
          <rPr>
            <sz val="9"/>
            <color indexed="81"/>
            <rFont val="Tahoma"/>
            <family val="2"/>
          </rPr>
          <t>Informar o valor unitário mensal do auxílio alimentação, conforme CCT da categoria,</t>
        </r>
      </text>
    </comment>
    <comment ref="C105" authorId="1" shapeId="0" xr:uid="{00000000-0006-0000-0000-00001E000000}">
      <text>
        <r>
          <rPr>
            <b/>
            <sz val="9"/>
            <color indexed="81"/>
            <rFont val="Segoe UI"/>
            <family val="2"/>
          </rPr>
          <t>Inserir o % de desconto previsto na CCT desta categoria.</t>
        </r>
      </text>
    </comment>
    <comment ref="D111" authorId="0" shapeId="0" xr:uid="{00000000-0006-0000-0000-00001F000000}">
      <text>
        <r>
          <rPr>
            <sz val="9"/>
            <color indexed="81"/>
            <rFont val="Tahoma"/>
            <family val="2"/>
          </rPr>
          <t>Informar o valor unitário do seguro de vida.</t>
        </r>
      </text>
    </comment>
    <comment ref="C120" authorId="0" shapeId="0" xr:uid="{00000000-0006-0000-0000-000020000000}">
      <text>
        <r>
          <rPr>
            <sz val="9"/>
            <color indexed="81"/>
            <rFont val="Tahoma"/>
            <family val="2"/>
          </rPr>
          <t>Informar a quantidade de cada EPI.
Fórmula: 12 meses (12), dividido pela quantidade mínima fornecida em cada ano.</t>
        </r>
      </text>
    </comment>
    <comment ref="D120" authorId="0" shapeId="0" xr:uid="{00000000-0006-0000-0000-000021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1" authorId="0" shapeId="0" xr:uid="{00000000-0006-0000-0000-000022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D121" authorId="0" shapeId="0" xr:uid="{00000000-0006-0000-0000-000023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2" authorId="0" shapeId="0" xr:uid="{00000000-0006-0000-0000-000024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D122" authorId="0" shapeId="0" xr:uid="{00000000-0006-0000-0000-000025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4" authorId="0" shapeId="0" xr:uid="{00000000-0006-0000-0000-000026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D124" authorId="0" shapeId="0" xr:uid="{00000000-0006-0000-0000-000027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5" authorId="0" shapeId="0" xr:uid="{00000000-0006-0000-0000-000028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D125" authorId="0" shapeId="0" xr:uid="{00000000-0006-0000-0000-000029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6" authorId="0" shapeId="0" xr:uid="{00000000-0006-0000-0000-00002A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D126" authorId="0" shapeId="0" xr:uid="{00000000-0006-0000-0000-00002B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8" authorId="0" shapeId="0" xr:uid="{00000000-0006-0000-0000-00002C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D128" authorId="0" shapeId="0" xr:uid="{00000000-0006-0000-0000-00002D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33" authorId="0" shapeId="0" xr:uid="{00000000-0006-0000-0000-00002E000000}">
      <text>
        <r>
          <rPr>
            <sz val="9"/>
            <color indexed="81"/>
            <rFont val="Tahoma"/>
            <family val="2"/>
          </rPr>
          <t>Informar o valor mensal de higienização dos uniformes de 1 funcionário.</t>
        </r>
      </text>
    </comment>
    <comment ref="D144" authorId="0" shapeId="0" xr:uid="{00000000-0006-0000-0000-00002F000000}">
      <text>
        <r>
          <rPr>
            <sz val="9"/>
            <color indexed="81"/>
            <rFont val="Tahoma"/>
            <family val="2"/>
          </rPr>
          <t>Informar o preço unitário do chassis do veículo.</t>
        </r>
      </text>
    </comment>
    <comment ref="C145" authorId="0" shapeId="0" xr:uid="{00000000-0006-0000-0000-000030000000}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146" authorId="0" shapeId="0" xr:uid="{00000000-0006-0000-0000-000031000000}">
      <text>
        <r>
          <rPr>
            <sz val="9"/>
            <color indexed="81"/>
            <rFont val="Tahoma"/>
            <family val="2"/>
          </rPr>
          <t>Informar a idade do veículo, conforme exigido ou permitido no projeto básico.</t>
        </r>
      </text>
    </comment>
    <comment ref="C147" authorId="0" shapeId="0" xr:uid="{00000000-0006-0000-0000-000032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9" authorId="0" shapeId="0" xr:uid="{00000000-0006-0000-0000-000033000000}">
      <text>
        <r>
          <rPr>
            <sz val="9"/>
            <color indexed="81"/>
            <rFont val="Tahoma"/>
            <family val="2"/>
          </rPr>
          <t>Informar o preço unitário do equipamento.</t>
        </r>
      </text>
    </comment>
    <comment ref="C150" authorId="0" shapeId="0" xr:uid="{00000000-0006-0000-0000-000034000000}">
      <text>
        <r>
          <rPr>
            <sz val="9"/>
            <color indexed="81"/>
            <rFont val="Tahoma"/>
            <family val="2"/>
          </rPr>
          <t>Informar a vida útil estimada para o equipamento, em anos.</t>
        </r>
      </text>
    </comment>
    <comment ref="C151" authorId="0" shapeId="0" xr:uid="{00000000-0006-0000-0000-000035000000}">
      <text>
        <r>
          <rPr>
            <sz val="9"/>
            <color indexed="81"/>
            <rFont val="Tahoma"/>
            <family val="2"/>
          </rPr>
          <t>Informar a idade do veículo, conforme exigido ou permitido no projeto básico.</t>
        </r>
      </text>
    </comment>
    <comment ref="C152" authorId="0" shapeId="0" xr:uid="{00000000-0006-0000-0000-000036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compactador,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2" authorId="0" shapeId="0" xr:uid="{00000000-0006-0000-0000-000037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0" authorId="0" shapeId="0" xr:uid="{00000000-0006-0000-0000-000038000000}">
      <text>
        <r>
          <rPr>
            <sz val="9"/>
            <color indexed="81"/>
            <rFont val="Tahoma"/>
            <family val="2"/>
          </rPr>
          <t xml:space="preserve">Informar o valor licenciamento anual do veículo.
</t>
        </r>
      </text>
    </comment>
    <comment ref="B188" authorId="0" shapeId="0" xr:uid="{00000000-0006-0000-0000-000039000000}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C191" authorId="0" shapeId="0" xr:uid="{00000000-0006-0000-0000-00003A000000}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191" authorId="0" shapeId="0" xr:uid="{00000000-0006-0000-0000-00003B000000}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193" authorId="0" shapeId="0" xr:uid="{00000000-0006-0000-0000-00003C000000}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193" authorId="0" shapeId="0" xr:uid="{00000000-0006-0000-0000-00003D000000}">
      <text>
        <r>
          <rPr>
            <sz val="9"/>
            <color indexed="81"/>
            <rFont val="Tahoma"/>
            <family val="2"/>
          </rPr>
          <t>Informar o preço unitário do ARLA</t>
        </r>
      </text>
    </comment>
    <comment ref="C195" authorId="0" shapeId="0" xr:uid="{00000000-0006-0000-0000-00003E000000}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195" authorId="0" shapeId="0" xr:uid="{00000000-0006-0000-0000-00003F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C197" authorId="0" shapeId="0" xr:uid="{00000000-0006-0000-0000-000040000000}">
      <text>
        <r>
          <rPr>
            <sz val="9"/>
            <color indexed="81"/>
            <rFont val="Tahoma"/>
            <family val="2"/>
          </rPr>
          <t>Informar o consumo de óleo da transmissão a cada 1000km</t>
        </r>
      </text>
    </comment>
    <comment ref="D197" authorId="0" shapeId="0" xr:uid="{00000000-0006-0000-0000-000041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C199" authorId="0" shapeId="0" xr:uid="{00000000-0006-0000-0000-000042000000}">
      <text>
        <r>
          <rPr>
            <sz val="9"/>
            <color indexed="81"/>
            <rFont val="Tahoma"/>
            <family val="2"/>
          </rPr>
          <t>Informar o consumo de óleo hidráulico a cada 1000km</t>
        </r>
      </text>
    </comment>
    <comment ref="D199" authorId="0" shapeId="0" xr:uid="{00000000-0006-0000-0000-000043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C201" authorId="0" shapeId="0" xr:uid="{00000000-0006-0000-0000-000044000000}">
      <text>
        <r>
          <rPr>
            <sz val="9"/>
            <color indexed="81"/>
            <rFont val="Tahoma"/>
            <family val="2"/>
          </rPr>
          <t>Informar o consumo de graxa a cada 1000km</t>
        </r>
      </text>
    </comment>
    <comment ref="D201" authorId="0" shapeId="0" xr:uid="{00000000-0006-0000-0000-000045000000}">
      <text>
        <r>
          <rPr>
            <sz val="9"/>
            <color indexed="81"/>
            <rFont val="Tahoma"/>
            <family val="2"/>
          </rPr>
          <t xml:space="preserve">Informar o preço unitário do kg da graxa
</t>
        </r>
      </text>
    </comment>
    <comment ref="D209" authorId="0" shapeId="0" xr:uid="{00000000-0006-0000-0000-000046000000}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210" authorId="1" shapeId="0" xr:uid="{00000000-0006-0000-0000-000047000000}">
      <text>
        <r>
          <rPr>
            <b/>
            <sz val="9"/>
            <color indexed="81"/>
            <rFont val="Segoe UI"/>
            <family val="2"/>
          </rPr>
          <t xml:space="preserve">Informar o número médio de lavagens por mês para os equipamento.
</t>
        </r>
      </text>
    </comment>
    <comment ref="D210" authorId="0" shapeId="0" xr:uid="{00000000-0006-0000-0000-000048000000}">
      <text>
        <r>
          <rPr>
            <sz val="9"/>
            <color indexed="81"/>
            <rFont val="Tahoma"/>
            <family val="2"/>
          </rPr>
          <t>Informar o custo de uma lavagem do equipamento.</t>
        </r>
      </text>
    </comment>
    <comment ref="C212" authorId="1" shapeId="0" xr:uid="{00000000-0006-0000-0000-000049000000}">
      <text>
        <r>
          <rPr>
            <b/>
            <sz val="9"/>
            <color indexed="81"/>
            <rFont val="Segoe UI"/>
            <family val="2"/>
          </rPr>
          <t>Inserir o número médio de viagens em um mês.</t>
        </r>
      </text>
    </comment>
    <comment ref="D212" authorId="1" shapeId="0" xr:uid="{00000000-0006-0000-0000-00004A000000}">
      <text>
        <r>
          <rPr>
            <b/>
            <sz val="9"/>
            <color indexed="81"/>
            <rFont val="Segoe UI"/>
            <family val="2"/>
          </rPr>
          <t>Informar o custo com pedágios de uma viagem, ida e volta.</t>
        </r>
      </text>
    </comment>
    <comment ref="C217" authorId="0" shapeId="0" xr:uid="{00000000-0006-0000-0000-00004B000000}">
      <text>
        <r>
          <rPr>
            <sz val="9"/>
            <color indexed="81"/>
            <rFont val="Tahoma"/>
            <family val="2"/>
          </rPr>
          <t>Informar a quantidade de pneus novos.</t>
        </r>
      </text>
    </comment>
    <comment ref="D217" authorId="0" shapeId="0" xr:uid="{00000000-0006-0000-0000-00004C000000}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218" authorId="0" shapeId="0" xr:uid="{00000000-0006-0000-0000-00004D000000}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D219" authorId="0" shapeId="0" xr:uid="{00000000-0006-0000-0000-00004E000000}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C220" authorId="0" shapeId="0" xr:uid="{00000000-0006-0000-0000-00004F000000}">
      <text>
        <r>
          <rPr>
            <sz val="9"/>
            <color indexed="81"/>
            <rFont val="Tahoma"/>
            <family val="2"/>
          </rPr>
          <t>Informar a durabilidade média em Km, do conjunto de pneus considerando as recapagens.
No cálculo foi considerado que:
- 14 pneus duram 70.000 km, por rodarem apoiados na pista de rodagem, tanto na ida como na na volta.
- 8 pneus tem durabilidade maior, por rodarem "teoricamente" apoiados na pista de rodagem, somente na ida, pois no retorno deveriam ser suspensos. Consideramos que sta situação aumenta a vida útil do conjunto de pneus em 12.727 km.</t>
        </r>
      </text>
    </comment>
    <comment ref="C227" authorId="0" shapeId="0" xr:uid="{00000000-0006-0000-0000-000050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27" authorId="0" shapeId="0" xr:uid="{00000000-0006-0000-0000-000051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29" authorId="0" shapeId="0" xr:uid="{00000000-0006-0000-0000-000052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29" authorId="0" shapeId="0" xr:uid="{00000000-0006-0000-0000-000053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30" authorId="0" shapeId="0" xr:uid="{00000000-0006-0000-0000-000054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30" authorId="0" shapeId="0" xr:uid="{00000000-0006-0000-0000-000055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41" authorId="0" shapeId="0" xr:uid="{00000000-0006-0000-0000-000056000000}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D248" authorId="0" shapeId="0" xr:uid="{00000000-0006-0000-0000-000057000000}">
      <text>
        <r>
          <rPr>
            <sz val="9"/>
            <color indexed="81"/>
            <rFont val="Tahoma"/>
            <family val="2"/>
          </rPr>
          <t xml:space="preserve">Informar a quantidade mensal de RSU coletado nesta modalidade de coeta.
</t>
        </r>
      </text>
    </comment>
    <comment ref="C255" authorId="0" shapeId="0" xr:uid="{00000000-0006-0000-0000-000058000000}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C269" authorId="0" shapeId="0" xr:uid="{00000000-0006-0000-0000-000059000000}">
      <text>
        <r>
          <rPr>
            <sz val="9"/>
            <color indexed="81"/>
            <rFont val="Tahoma"/>
            <family val="2"/>
          </rPr>
          <t>Preencher a aba 4.BDI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C6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 shapeId="0" xr:uid="{00000000-0006-0000-0600-000002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 xr:uid="{00000000-0006-0000-0600-000003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9" authorId="0" shapeId="0" xr:uid="{00000000-0006-0000-0600-000004000000}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10" authorId="0" shapeId="0" xr:uid="{00000000-0006-0000-0600-000005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600-000007000000}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  <comment ref="C19" authorId="0" shapeId="0" xr:uid="{00000000-0006-0000-0600-000008000000}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00000000-0006-0000-0600-000009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600-00000A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600-00000B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00000000-0006-0000-0600-00000C000000}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  <comment ref="C32" authorId="0" shapeId="0" xr:uid="{00000000-0006-0000-0600-00000D000000}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600-00000E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 xr:uid="{00000000-0006-0000-0600-00000F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600-000010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<sst xmlns="http://schemas.openxmlformats.org/spreadsheetml/2006/main" count="631" uniqueCount="387">
  <si>
    <t>hora</t>
  </si>
  <si>
    <t>Adicional de Insalubridade</t>
  </si>
  <si>
    <t>%</t>
  </si>
  <si>
    <t>Soma</t>
  </si>
  <si>
    <t>Encargos Sociais</t>
  </si>
  <si>
    <t>Total do Efetivo</t>
  </si>
  <si>
    <t>mês</t>
  </si>
  <si>
    <t>vale</t>
  </si>
  <si>
    <t>unidade</t>
  </si>
  <si>
    <t>IPVA</t>
  </si>
  <si>
    <t>Seguro contra terceiros</t>
  </si>
  <si>
    <t>Impostos e seguros mensais</t>
  </si>
  <si>
    <t>Custo de óleo diesel / km rodado</t>
  </si>
  <si>
    <t>km/l</t>
  </si>
  <si>
    <t>Custo mensal com óleo diesel</t>
  </si>
  <si>
    <t>km</t>
  </si>
  <si>
    <t>l/1.000 km</t>
  </si>
  <si>
    <t>Custo mensal com óleo do motor</t>
  </si>
  <si>
    <t>Custo mensal com óleo da transmissão</t>
  </si>
  <si>
    <t>Custo mensal com óleo hidráulico</t>
  </si>
  <si>
    <t>Custo de graxa /1.000 km rodados</t>
  </si>
  <si>
    <t>kg/1.000 km</t>
  </si>
  <si>
    <t>Custo mensal com graxa</t>
  </si>
  <si>
    <t>km/jogo</t>
  </si>
  <si>
    <t>R$</t>
  </si>
  <si>
    <t>Horas Extras (100%)</t>
  </si>
  <si>
    <t>Horas Extras (50%)</t>
  </si>
  <si>
    <t>Benefícios e despesas indiretas</t>
  </si>
  <si>
    <t>Mão-de-obra</t>
  </si>
  <si>
    <t>Quantidade</t>
  </si>
  <si>
    <t>INSS</t>
  </si>
  <si>
    <t>FGTS</t>
  </si>
  <si>
    <t>1. Mão-de-obra</t>
  </si>
  <si>
    <t>par</t>
  </si>
  <si>
    <t>3. Veículos e Equipamentos</t>
  </si>
  <si>
    <t>Custo mensal com pneus</t>
  </si>
  <si>
    <t>Veículos e Equipamentos</t>
  </si>
  <si>
    <t>Total de mão-de-obra (postos de trabalho)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</si>
  <si>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</si>
  <si>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</si>
  <si>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</si>
  <si>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</si>
  <si>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Custo de recapagem</t>
  </si>
  <si>
    <t>4. Ferramentas e Materiais de Consumo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</si>
  <si>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</si>
  <si>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</si>
  <si>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</si>
  <si>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</si>
  <si>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</si>
  <si>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</si>
  <si>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</si>
  <si>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</si>
  <si>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</si>
  <si>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</si>
  <si>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Tributos - PIS/COFINS</t>
  </si>
  <si>
    <t>Fórmula para o cálculo do BDI:</t>
  </si>
  <si>
    <t>{[(1+AC+SRG) x (1+L) x (1+DF)] / (1-T)} -1</t>
  </si>
  <si>
    <t>Resultado do cálculo do BDI:</t>
  </si>
  <si>
    <t>Vale Transporte</t>
  </si>
  <si>
    <t>Dias Trabalhados por mês</t>
  </si>
  <si>
    <t>dia</t>
  </si>
  <si>
    <t>Quantitativos</t>
  </si>
  <si>
    <t>Vida útil do chassis</t>
  </si>
  <si>
    <t>anos</t>
  </si>
  <si>
    <t>Depreciação do chassis</t>
  </si>
  <si>
    <t>i = taxa de juros do mercado (sugere-se adotar a taxa SELIC)</t>
  </si>
  <si>
    <t>n = vida útil do bem em anos</t>
  </si>
  <si>
    <t>Im = investimento médio</t>
  </si>
  <si>
    <t>Investimento médio total do chassis</t>
  </si>
  <si>
    <t>Remuneração mensal de capital do chassis</t>
  </si>
  <si>
    <t>Custo de manutenção dos caminhões</t>
  </si>
  <si>
    <t>R$/km rodado</t>
  </si>
  <si>
    <t>Número de recapagens por pneu</t>
  </si>
  <si>
    <t>R$ mensal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</si>
  <si>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</si>
  <si>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</si>
  <si>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</si>
  <si>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</si>
  <si>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</si>
  <si>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</si>
  <si>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</si>
  <si>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</si>
  <si>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</si>
  <si>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</si>
  <si>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</si>
  <si>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</si>
  <si>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</si>
  <si>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</si>
  <si>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</si>
  <si>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</si>
  <si>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</si>
  <si>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</si>
  <si>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</si>
  <si>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</si>
  <si>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</si>
  <si>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</si>
  <si>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</si>
  <si>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</si>
  <si>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</si>
  <si>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</si>
  <si>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</si>
  <si>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</si>
  <si>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</si>
  <si>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</si>
  <si>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</si>
  <si>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</si>
  <si>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</si>
  <si>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</si>
  <si>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</si>
  <si>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</si>
  <si>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</si>
  <si>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Férias indenizadas s/ aviso previo inden.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</si>
  <si>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</si>
  <si>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</si>
  <si>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</si>
  <si>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</si>
  <si>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</si>
  <si>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</si>
  <si>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</si>
  <si>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</si>
  <si>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</si>
  <si>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</si>
  <si>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</si>
  <si>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1° Quartil</t>
  </si>
  <si>
    <t>Médio</t>
  </si>
  <si>
    <t>3° Quartil</t>
  </si>
  <si>
    <t>DU</t>
  </si>
  <si>
    <t>Fator de utilização</t>
  </si>
  <si>
    <t>Higienização de uniformes e EPIs</t>
  </si>
  <si>
    <t>Custo Mensal com Uniformes e EPIs (R$/mês)</t>
  </si>
  <si>
    <t>Orçamento Sintético</t>
  </si>
  <si>
    <t>Idade do veículo (ano)</t>
  </si>
  <si>
    <t>Idade do veículo</t>
  </si>
  <si>
    <t>Valor do veículo proposto (V0)</t>
  </si>
  <si>
    <t>Taxa de juros anual nominal</t>
  </si>
  <si>
    <t>Base de cálculo da Insalubridade</t>
  </si>
  <si>
    <t>Descanso Semanal Remunerado (DSR) - hora extra</t>
  </si>
  <si>
    <t>C2</t>
  </si>
  <si>
    <t>B3</t>
  </si>
  <si>
    <t>Custo Mensal com Veículos e Equipamentos (R$/mês)</t>
  </si>
  <si>
    <t>Custo Mensal com Ferramentas e Materiais de Consumo (R$/mês)</t>
  </si>
  <si>
    <t xml:space="preserve">2. Composição dos Encargos Sociais </t>
  </si>
  <si>
    <t>5. Depreciação Referencial TCE/RS (%)</t>
  </si>
  <si>
    <r>
      <t>J</t>
    </r>
    <r>
      <rPr>
        <vertAlign val="subscript"/>
        <sz val="12"/>
        <color indexed="8"/>
        <rFont val="Arial"/>
        <family val="2"/>
      </rPr>
      <t>m</t>
    </r>
    <r>
      <rPr>
        <sz val="12"/>
        <color indexed="8"/>
        <rFont val="Arial"/>
        <family val="2"/>
      </rPr>
      <t xml:space="preserve"> = remuneração de capital mensal</t>
    </r>
  </si>
  <si>
    <r>
      <t>V</t>
    </r>
    <r>
      <rPr>
        <vertAlign val="subscript"/>
        <sz val="12"/>
        <color indexed="8"/>
        <rFont val="Arial"/>
        <family val="2"/>
      </rPr>
      <t>0</t>
    </r>
    <r>
      <rPr>
        <sz val="12"/>
        <color indexed="8"/>
        <rFont val="Arial"/>
        <family val="2"/>
      </rPr>
      <t xml:space="preserve"> = valor inicial do bem</t>
    </r>
  </si>
  <si>
    <r>
      <t>V</t>
    </r>
    <r>
      <rPr>
        <vertAlign val="subscript"/>
        <sz val="12"/>
        <color indexed="8"/>
        <rFont val="Arial"/>
        <family val="2"/>
      </rPr>
      <t>r</t>
    </r>
    <r>
      <rPr>
        <sz val="12"/>
        <color indexed="8"/>
        <rFont val="Arial"/>
        <family val="2"/>
      </rPr>
      <t xml:space="preserve"> = valor residual do bem</t>
    </r>
  </si>
  <si>
    <t>6. Remuneração de Capital</t>
  </si>
  <si>
    <t>Custo unitário</t>
  </si>
  <si>
    <t>Custo de óleo do motor /1.000 km rodados</t>
  </si>
  <si>
    <t>Custo de óleo da transmissão /1.000 km</t>
  </si>
  <si>
    <t>Custo de óleo hidráulico / 1.000 km</t>
  </si>
  <si>
    <t>PREÇO TOTAL MENSAL COM A COLETA</t>
  </si>
  <si>
    <t>Referência estudo TCE</t>
  </si>
  <si>
    <t>Fórmula de cálculo da remuneração de capital:</t>
  </si>
  <si>
    <t>Custo com consumos/km rodado</t>
  </si>
  <si>
    <t>Total da frota</t>
  </si>
  <si>
    <t>i</t>
  </si>
  <si>
    <t>Depreciação Média</t>
  </si>
  <si>
    <t>Reincidência de FGTS sobre aviso prévio indenizado</t>
  </si>
  <si>
    <t>Piso da categoria (2)</t>
  </si>
  <si>
    <t>Salário mínimo nacional (1)</t>
  </si>
  <si>
    <t>01/01 - Confraternização Universal</t>
  </si>
  <si>
    <t>21/04 - Tiradentes</t>
  </si>
  <si>
    <t>01/05 - Dia do Trabalho</t>
  </si>
  <si>
    <t>07/09 - Independência do Brasil</t>
  </si>
  <si>
    <t>20/09 - Revolução Farroupilha</t>
  </si>
  <si>
    <t>02/11 - Finados</t>
  </si>
  <si>
    <t>15/11 - Proclamação da República</t>
  </si>
  <si>
    <t>25/12 - Natal</t>
  </si>
  <si>
    <t>Municipais</t>
  </si>
  <si>
    <t>Sub-Total</t>
  </si>
  <si>
    <t>20/01 - São Sebastião Mártir</t>
  </si>
  <si>
    <t>Nº do processo:</t>
  </si>
  <si>
    <t>Licitação nº:</t>
  </si>
  <si>
    <t xml:space="preserve">Dia: </t>
  </si>
  <si>
    <r>
      <t xml:space="preserve">PLANILHA DE COMPOSIÇÃO DE CUSTOS E FORMAÇÃO DE PREÇO </t>
    </r>
    <r>
      <rPr>
        <b/>
        <sz val="16"/>
        <color indexed="20"/>
        <rFont val="Arial"/>
        <family val="2"/>
      </rPr>
      <t xml:space="preserve"> </t>
    </r>
  </si>
  <si>
    <t>25/07 - Dia do Colono e Motorista</t>
  </si>
  <si>
    <t>12/10 - Nossa Senhora Aparecida</t>
  </si>
  <si>
    <t>FERIADOS NACIONAIS, ESTADUAIS E MUNICIPAIS</t>
  </si>
  <si>
    <t>Nacionais / Estaduais</t>
  </si>
  <si>
    <t>Coincidências com domingos (média)</t>
  </si>
  <si>
    <t>Total por veículo equipado</t>
  </si>
  <si>
    <t>Desconto previsto na CCT</t>
  </si>
  <si>
    <t>Variável - Corpus Cristhi</t>
  </si>
  <si>
    <t>Total feriados a considerar</t>
  </si>
  <si>
    <t>pçs / ano</t>
  </si>
  <si>
    <t xml:space="preserve">Fator de utilização (FU) </t>
  </si>
  <si>
    <t>Motorista</t>
  </si>
  <si>
    <t>Total do Veículo equipado</t>
  </si>
  <si>
    <t>1.1. Motoristas Turno do Dia (transporte rejeito)</t>
  </si>
  <si>
    <t>Vida útil do conjunto</t>
  </si>
  <si>
    <t>Idade do conjunto</t>
  </si>
  <si>
    <t>Depreciação do conjunto</t>
  </si>
  <si>
    <t>Depr. mensal do conjunto</t>
  </si>
  <si>
    <t>Vassourão - 2 pçs</t>
  </si>
  <si>
    <t>Dias uso
s/lavar
(dias)</t>
  </si>
  <si>
    <t>Fator de utilização
(% ano)</t>
  </si>
  <si>
    <t>Unid.</t>
  </si>
  <si>
    <t>Qtde.
p/Func.</t>
  </si>
  <si>
    <t>Qtde. Lavagens mês</t>
  </si>
  <si>
    <t>Total pçs.
Lavadas
mês</t>
  </si>
  <si>
    <t>Peso
Gramas
p/pç</t>
  </si>
  <si>
    <t>Peso mensal
Kg</t>
  </si>
  <si>
    <t>Custo
Mensal</t>
  </si>
  <si>
    <t>Camisetas</t>
  </si>
  <si>
    <t>pç</t>
  </si>
  <si>
    <t>Calça</t>
  </si>
  <si>
    <t>Boné</t>
  </si>
  <si>
    <t>Jaqueta (usa cinco meses)</t>
  </si>
  <si>
    <t>CUSTO COM LAVAGEM UNIFORMES  -   Motoristas</t>
  </si>
  <si>
    <t>Preço da lavagem por Kg</t>
  </si>
  <si>
    <t>Pedágios</t>
  </si>
  <si>
    <t>R$/viagem</t>
  </si>
  <si>
    <t>2. Uniformes e Equiptos. Proteção Individual</t>
  </si>
  <si>
    <t>Formas de Tributação</t>
  </si>
  <si>
    <t>LUCRO REAL</t>
  </si>
  <si>
    <t>LUCRO PRESUMIDO</t>
  </si>
  <si>
    <t>SIMPLES NAC.</t>
  </si>
  <si>
    <t>Encargos Sociais - Simples Nacional</t>
  </si>
  <si>
    <t>Valor %</t>
  </si>
  <si>
    <t>Férias (com adicional de férias)</t>
  </si>
  <si>
    <t>13º Salário</t>
  </si>
  <si>
    <t>Previdenciários s/Férias e 13º</t>
  </si>
  <si>
    <t>Total</t>
  </si>
  <si>
    <t>CUSTO TOTAL MENSAL COM CUSTOS E DESPESAS OPERACIONAIS - SIMPLES NACIONAL (R$/mês)</t>
  </si>
  <si>
    <t>Custo Mensal com Mão-de-obra (R$/mês) - SIMPLES NACIONAL</t>
  </si>
  <si>
    <t>Custo Mensal com Mão-de-obra (R$/mês) - LUCRO REAL E PRESUMIDO</t>
  </si>
  <si>
    <t>CUSTO MENSAL COM BDI (R$/mês) - LUCRO PRESUMIDO</t>
  </si>
  <si>
    <t>PREÇO MENSAL TOTAL (R$/mês)  - LUCRO PRESUMIDO  =  "AA"</t>
  </si>
  <si>
    <t>Benefícios e despesas indiretas (sem impostos)</t>
  </si>
  <si>
    <t>CUSTO MENSAL COM BDI - Sem Impostos (R$/mês) - SIMPLES NACIONAL</t>
  </si>
  <si>
    <t>Enquadramento no Anexo III da lei do Simples Nacional</t>
  </si>
  <si>
    <t>Receita Bruta Total em 12 (doze) meses</t>
  </si>
  <si>
    <t>Base = SN1</t>
  </si>
  <si>
    <t>CUSTO MENSAL COM BDI (R$/mês) - LUCRO REAL</t>
  </si>
  <si>
    <t>6. Benefícios e Desp. Ind. - BDI - LUCRO PRESUMIDO</t>
  </si>
  <si>
    <t>B.D.I. PARA EMPRESAS DO LUCRO REAL</t>
  </si>
  <si>
    <t>Composição BDI - Benefícios e Desp. Indiretas</t>
  </si>
  <si>
    <t>B.D.I. PARA EMPRESAS DO LUCRO PRESUMIDO</t>
  </si>
  <si>
    <t/>
  </si>
  <si>
    <t>B.D.I. PARA EMPRESAS DO SIMPLES NACIONAL</t>
  </si>
  <si>
    <t>Composição do BDI - Benefícios e Desp. Indiretas - Sem Impostos</t>
  </si>
  <si>
    <t>Fórmula para o cálculo do BDI - Sem impostos</t>
  </si>
  <si>
    <t>{[(1+AC+SRG) x (1+L) x (1+DF)]} -1</t>
  </si>
  <si>
    <t>Resultado cálculo do BDI - Sem impostos</t>
  </si>
  <si>
    <t>Toneladas</t>
  </si>
  <si>
    <t>R$/Tonelada</t>
  </si>
  <si>
    <t>5. Benefícios e Desp. Ind. - BDI - LUCRO REAL</t>
  </si>
  <si>
    <t>7. Benef. Desp. Ind. + Impostos - SIMPLES NACIONAL</t>
  </si>
  <si>
    <t>CUSTO MENSAL TOTAL - Sem Imposots (R$/mês)  - SIMPLES NACIONAL  =  "SN1"</t>
  </si>
  <si>
    <r>
      <t>Quantidade de resíduos transportados por mês = "</t>
    </r>
    <r>
      <rPr>
        <b/>
        <sz val="10"/>
        <rFont val="Arial"/>
        <family val="2"/>
      </rPr>
      <t>BB</t>
    </r>
    <r>
      <rPr>
        <sz val="10"/>
        <rFont val="Arial"/>
        <family val="2"/>
      </rPr>
      <t>"</t>
    </r>
  </si>
  <si>
    <t>PREÇO POR TONELADA DE RESÍDUO TRANSPORTADO - SIMPLES NACIONAL = [SN2/BB]</t>
  </si>
  <si>
    <t>Impostos alíquota única</t>
  </si>
  <si>
    <t>PREÇO POR TONELADA DE RESÍDUO TRANSPORTADO - LUCRO PRESUMIDO = [AA/BB]</t>
  </si>
  <si>
    <t>PREÇO MENSAL TOTAL (R$/mês) - LUCRO REAL   =  "A"</t>
  </si>
  <si>
    <r>
      <t>Quantidade de resíduos transportados por mês = "</t>
    </r>
    <r>
      <rPr>
        <b/>
        <sz val="10"/>
        <rFont val="Arial"/>
        <family val="2"/>
      </rPr>
      <t>B</t>
    </r>
    <r>
      <rPr>
        <sz val="10"/>
        <rFont val="Arial"/>
        <family val="2"/>
      </rPr>
      <t>"</t>
    </r>
  </si>
  <si>
    <t>PREÇO POR TONELADA DE RESÍDUO TRANSPORTADO - LUCRO REAL:  [A/B]</t>
  </si>
  <si>
    <t>Tributos</t>
  </si>
  <si>
    <t>1.1. Motoristas Turno do Dia (transporte rejeito) - EMPRESA DO LUCRO REAL E PRESUMIDO</t>
  </si>
  <si>
    <t>PREÇO MENSAL TOTAL (R$/mês)  - SIMPLES NACIONAL  =  "SN2"</t>
  </si>
  <si>
    <t>Depreciação mensal veículos</t>
  </si>
  <si>
    <t>1.1.1- Motorista Turno Dia - EMPRESA SIMPLES NACIONAL</t>
  </si>
  <si>
    <t>CUSTO TOTAL MENSAL COM CUSTOS E DESPESAS OPERACIONAIS - LUCRO REAL E PRESUM (R$/mês)</t>
  </si>
  <si>
    <t>Salário</t>
  </si>
  <si>
    <t>Licenciamento</t>
  </si>
  <si>
    <t>Custo jogo completo</t>
  </si>
  <si>
    <t>Custo do jogo de pneus 295 / 80 / R 22,5</t>
  </si>
  <si>
    <t xml:space="preserve">Total </t>
  </si>
  <si>
    <t>Equipe e Equipamentos de Transporte</t>
  </si>
  <si>
    <t>Funcionário</t>
  </si>
  <si>
    <t>Custo com lavagens</t>
  </si>
  <si>
    <t>Mês</t>
  </si>
  <si>
    <t>Custo mensal com Arla 32</t>
  </si>
  <si>
    <t>Km</t>
  </si>
  <si>
    <t>Acréscimo de vida útil (18,18%)</t>
  </si>
  <si>
    <t>Vida útil em Km do conjunto de pneus, acrescido de 18,18%</t>
  </si>
  <si>
    <t>Quantidade total de pneus do veículo</t>
  </si>
  <si>
    <t>Quantidade de pneus com vida útil superior</t>
  </si>
  <si>
    <t>% que estes pneus representam na qtde. total de pneus</t>
  </si>
  <si>
    <t>Metade desta representação %, por ser somente em viagens de retorno</t>
  </si>
  <si>
    <t>Vida útil "normal" em Km de todo o conjunto de pneus</t>
  </si>
  <si>
    <t>PREÇO UNITÁRIO POR TONELADA</t>
  </si>
  <si>
    <t>artigo primeiro inciso I e artigo terceiro do decreto lei 1.146-1970</t>
  </si>
  <si>
    <t>artigo terceiro indico I do decreto 87.043-1982</t>
  </si>
  <si>
    <t xml:space="preserve">cálculo 1/12 </t>
  </si>
  <si>
    <t>definido pela incidência nessa atividade - Ministério do Trabalho</t>
  </si>
  <si>
    <t>corresponde a multa do FGTS de 40%</t>
  </si>
  <si>
    <t>página 71 da orientação técnica TCE-RS</t>
  </si>
  <si>
    <t>página 89 da orientação técnica do TCE-RS</t>
  </si>
  <si>
    <t>artigo 22 inciso I da lei 8.212-1991</t>
  </si>
  <si>
    <t>artigo 30 da lei 8.036-1990 e artigo primeiro da lei 8.154-1990</t>
  </si>
  <si>
    <t>artigo primeiro decreto lei 6.246-1944 (SENAC) e artigo 4o. Decreto lei 8.621-1946 (SENAI) - decreto lei 2.318-1986</t>
  </si>
  <si>
    <t>artigo 8o. Da lei 8.029 de 1990, alterado pela lei 8.154-1990</t>
  </si>
  <si>
    <t>artigo 19 a 23 da lei 8.212-1991</t>
  </si>
  <si>
    <t>de acordo com a atividade preponderante da empresa-artigo 15 da lei 8.036-1990</t>
  </si>
  <si>
    <t>cálculo (1/12)acrescido de 1/3</t>
  </si>
  <si>
    <t xml:space="preserve">cálculo 7 dias para 30 dias  </t>
  </si>
  <si>
    <t>teste da fórmula</t>
  </si>
  <si>
    <t>valor do veículo - Vo</t>
  </si>
  <si>
    <t>valor residual ( valor do veículo - depreciação) Vr</t>
  </si>
  <si>
    <t>(Vo-Vr)</t>
  </si>
  <si>
    <t>vida util - n</t>
  </si>
  <si>
    <t>idade máxima</t>
  </si>
  <si>
    <t>idade atual</t>
  </si>
  <si>
    <t>(n+1)</t>
  </si>
  <si>
    <t>(2n)</t>
  </si>
  <si>
    <t xml:space="preserve">Investimento médio </t>
  </si>
  <si>
    <t>taxa</t>
  </si>
  <si>
    <t>Remuneração do capital  ( Imx1/12 meses)</t>
  </si>
  <si>
    <t>faturamento anual</t>
  </si>
  <si>
    <t>alíquota</t>
  </si>
  <si>
    <t>dedução</t>
  </si>
  <si>
    <t>alíquota final</t>
  </si>
  <si>
    <t>Motorista (Vlr líq. desc. 6,% s/piso sal.)cfe. Lei Federal 7.418-1985</t>
  </si>
  <si>
    <t>Total mensal de EPIS e uniformes</t>
  </si>
  <si>
    <t>3.1. Depreciação</t>
  </si>
  <si>
    <t>3.2. Remuneração do Capital</t>
  </si>
  <si>
    <t>3.4. Consumos</t>
  </si>
  <si>
    <t>3.2 Sistema roll on roll off, capacidade mínima de 35m3</t>
  </si>
  <si>
    <t xml:space="preserve">3.4 Conteineres metálicos capacidade de no mínimo 35 m3 </t>
  </si>
  <si>
    <t>Variável - Sexta feira Santa</t>
  </si>
  <si>
    <t>20/11 - Dia da consciência negra</t>
  </si>
  <si>
    <t>Sistema de ratreamento  - GPS</t>
  </si>
  <si>
    <t>3.3. Impostos e Seguros e outros</t>
  </si>
  <si>
    <t>Curso de capacitação sobre rastreamento</t>
  </si>
  <si>
    <t>Meias</t>
  </si>
  <si>
    <t>1.2.1- Operador de máquina escavadeira Turno Dia - EMPRESA SIMPLES NACIONAL</t>
  </si>
  <si>
    <t>1.1. Motoristas Turno do Dia - caminhão bitrem</t>
  </si>
  <si>
    <t>quantidade necessária anual</t>
  </si>
  <si>
    <t>conjuntos</t>
  </si>
  <si>
    <t>Total  da frota</t>
  </si>
  <si>
    <t>150 por mês por veículo</t>
  </si>
  <si>
    <t>3.6. Manutenção</t>
  </si>
  <si>
    <t>3.7. Pneus</t>
  </si>
  <si>
    <t>Recipiente térmico para água (5L) - 2 pçs</t>
  </si>
  <si>
    <t>Pá de Concha - 2 pçs</t>
  </si>
  <si>
    <t>Quilometragem mensal (transporte em caminhões</t>
  </si>
  <si>
    <t>1.3. Vale Transporte</t>
  </si>
  <si>
    <t>1.4. Vale-refeição (diário)</t>
  </si>
  <si>
    <t>1.5. Auxílio Alimentação (mensal)</t>
  </si>
  <si>
    <t>1.6. Seguro de vida</t>
  </si>
  <si>
    <t>1.2 Encarregado de operações</t>
  </si>
  <si>
    <t>1.2. Encaregado de Operações de transporte - EMPRESA DO LUCRO REAL E PRESUMIDO</t>
  </si>
  <si>
    <t>Adicional de sobreaviso e coordenação</t>
  </si>
  <si>
    <t>Encarregado de operações - (Vlr líq. desc. 6,% s/piso sal.)cfe. Lei Federal 7.418-1985</t>
  </si>
  <si>
    <t>Encrregado de operações transporte</t>
  </si>
  <si>
    <t>Motorista e encarregado de operações</t>
  </si>
  <si>
    <t>2.1. Uniformes e EPIs para motoristas e encarregado de operação de transporte</t>
  </si>
  <si>
    <t>Valores unitários</t>
  </si>
  <si>
    <t>De R$ 720.000,00 a R$ 1.800.000,00</t>
  </si>
  <si>
    <t xml:space="preserve">Caixa de materias de primeiros socorros </t>
  </si>
  <si>
    <t xml:space="preserve">Total Geral </t>
  </si>
  <si>
    <t>Total Geral</t>
  </si>
  <si>
    <t>Custos com lonas e sombrites</t>
  </si>
  <si>
    <t>verba</t>
  </si>
  <si>
    <t>3. Transporte de Resíduos Sólidos Urbanos (Rejeito)</t>
  </si>
  <si>
    <t>3.1 caminhão bitruck motor a diesel , tipo 6 x 2 , potência 320 cv 48 tonerladas</t>
  </si>
  <si>
    <t>3.3 Reboque Julieta truck, três eixos</t>
  </si>
  <si>
    <t>Custo de aquisição do chassis caminhão bitruck motor a diesel , tipo 6 x 2 , potência 320 cv 48 tonerladas</t>
  </si>
  <si>
    <t>Bases legais em 2025 e metodologia TCE-RS orientação técnica resíduos sólidos 2019</t>
  </si>
  <si>
    <t>Custo de aquisição do chassis caminhão bitruck motor a diesel , tipo 6 x 2 , potência 320 cv 48 toneladas</t>
  </si>
  <si>
    <t>Custo de aquisição sistema Roll On / Roll Of 35m³, Reboque Julieta truck 3 eixos, 04 (quatro) contêineres de 35m³</t>
  </si>
  <si>
    <t>Quantidade- Ano</t>
  </si>
  <si>
    <t>Consumo - Mensal</t>
  </si>
  <si>
    <t>Quantidade - mensal</t>
  </si>
  <si>
    <t>1 lavagem por semana por veículo</t>
  </si>
  <si>
    <t>40 viagens ida e volta</t>
  </si>
  <si>
    <t>Quantidade - Ano</t>
  </si>
  <si>
    <t>1.2 Encarregado da operação de transporte</t>
  </si>
  <si>
    <t>26 dias dois vales dois funcionários</t>
  </si>
  <si>
    <t>Provisão Multas FGTS (40% s/FGTS)</t>
  </si>
  <si>
    <t>Sindirodoviários</t>
  </si>
  <si>
    <t xml:space="preserve">Jaqueta com faixa refletiva (NBR 15.292) </t>
  </si>
  <si>
    <t xml:space="preserve">Calça com faixa refletiva  </t>
  </si>
  <si>
    <t>Camiseta de manga curta com faixa relfetiva</t>
  </si>
  <si>
    <t xml:space="preserve">Camisetas de manga longa com faixa refletiva </t>
  </si>
  <si>
    <t>Calçado de segurança com solado e palminlha antiperfurante e biqueira composite</t>
  </si>
  <si>
    <t xml:space="preserve">Capa de chuva amarela com refletivo </t>
  </si>
  <si>
    <t>Protetor solar com repelente FPS 60</t>
  </si>
  <si>
    <t>òculos de proteção  incolor</t>
  </si>
  <si>
    <t>òculos de proteção  escuro</t>
  </si>
  <si>
    <t>Luvas de segurança cut longa resistente anticorte (CA 48460)</t>
  </si>
  <si>
    <t>Bonés arabes com protetor de nuca</t>
  </si>
  <si>
    <t>Protetor auditivo de inserção</t>
  </si>
  <si>
    <t>viagens  40</t>
  </si>
  <si>
    <t>Custo mensal Arla 32</t>
  </si>
  <si>
    <t>acrescido de 15 km deslocamento dentro da CRVR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</si>
</sst>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&quot;R$ &quot;#,##0.00"/>
    <numFmt numFmtId="169" formatCode="_-* #,##0.000_-;\-* #,##0.000_-;_-* &quot;-&quot;???_-;_-@_-"/>
    <numFmt numFmtId="170" formatCode="_-* #,##0_-;\-* #,##0_-;_-* &quot;-&quot;??_-;_-@_-"/>
    <numFmt numFmtId="171" formatCode="&quot;R$&quot;\ #,##0.00"/>
    <numFmt numFmtId="172" formatCode="_(* #,##0.0000_);_(* \(#,##0.0000\);_(* &quot;-&quot;??_);_(@_)"/>
  </numFmts>
  <fonts count="3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vertAlign val="subscript"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b/>
      <sz val="12"/>
      <color rgb="FFFF0000"/>
      <name val="Arial"/>
      <family val="2"/>
    </font>
    <font>
      <b/>
      <sz val="16"/>
      <name val="Arial"/>
      <family val="2"/>
    </font>
    <font>
      <b/>
      <sz val="16"/>
      <color indexed="20"/>
      <name val="Arial"/>
      <family val="2"/>
    </font>
    <font>
      <b/>
      <sz val="10"/>
      <color indexed="10"/>
      <name val="Arial"/>
      <family val="2"/>
    </font>
    <font>
      <b/>
      <sz val="9"/>
      <color indexed="81"/>
      <name val="Segoe UI"/>
      <family val="2"/>
    </font>
    <font>
      <b/>
      <u/>
      <sz val="10"/>
      <color indexed="12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</cellStyleXfs>
  <cellXfs count="409">
    <xf numFmtId="0" fontId="0" fillId="0" borderId="0" xfId="0"/>
    <xf numFmtId="0" fontId="9" fillId="0" borderId="0" xfId="0" applyFont="1"/>
    <xf numFmtId="0" fontId="0" fillId="0" borderId="0" xfId="0" applyAlignment="1">
      <alignment vertical="center"/>
    </xf>
    <xf numFmtId="165" fontId="0" fillId="0" borderId="0" xfId="3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65" fontId="9" fillId="0" borderId="0" xfId="3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9" fillId="0" borderId="2" xfId="0" applyFont="1" applyBorder="1" applyAlignment="1">
      <alignment horizontal="center" vertical="center"/>
    </xf>
    <xf numFmtId="165" fontId="9" fillId="0" borderId="2" xfId="3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5" fontId="9" fillId="0" borderId="1" xfId="3" applyFont="1" applyBorder="1" applyAlignment="1">
      <alignment horizontal="center" vertical="center"/>
    </xf>
    <xf numFmtId="165" fontId="6" fillId="2" borderId="4" xfId="3" applyFont="1" applyFill="1" applyBorder="1" applyAlignment="1">
      <alignment horizontal="center" vertical="center"/>
    </xf>
    <xf numFmtId="165" fontId="6" fillId="2" borderId="4" xfId="3" applyFont="1" applyFill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65" fontId="6" fillId="0" borderId="6" xfId="3" applyFont="1" applyBorder="1" applyAlignment="1">
      <alignment vertical="center"/>
    </xf>
    <xf numFmtId="165" fontId="6" fillId="0" borderId="7" xfId="3" applyFont="1" applyBorder="1" applyAlignment="1">
      <alignment vertical="center"/>
    </xf>
    <xf numFmtId="0" fontId="9" fillId="0" borderId="6" xfId="0" applyFont="1" applyBorder="1" applyAlignment="1">
      <alignment vertical="center"/>
    </xf>
    <xf numFmtId="165" fontId="9" fillId="0" borderId="6" xfId="3" applyFont="1" applyBorder="1" applyAlignment="1">
      <alignment vertical="center"/>
    </xf>
    <xf numFmtId="165" fontId="9" fillId="0" borderId="7" xfId="3" applyFont="1" applyBorder="1" applyAlignment="1">
      <alignment vertical="center"/>
    </xf>
    <xf numFmtId="165" fontId="6" fillId="0" borderId="0" xfId="3" applyFont="1" applyBorder="1" applyAlignment="1">
      <alignment horizontal="center" vertical="center"/>
    </xf>
    <xf numFmtId="165" fontId="6" fillId="0" borderId="0" xfId="3" applyFont="1" applyBorder="1" applyAlignment="1">
      <alignment vertical="center"/>
    </xf>
    <xf numFmtId="166" fontId="9" fillId="0" borderId="1" xfId="3" applyNumberFormat="1" applyFont="1" applyBorder="1" applyAlignment="1">
      <alignment vertical="center"/>
    </xf>
    <xf numFmtId="165" fontId="6" fillId="0" borderId="5" xfId="3" applyFont="1" applyBorder="1" applyAlignment="1">
      <alignment horizontal="left" vertical="center"/>
    </xf>
    <xf numFmtId="165" fontId="0" fillId="0" borderId="11" xfId="3" applyFont="1" applyBorder="1" applyAlignment="1">
      <alignment vertical="center"/>
    </xf>
    <xf numFmtId="165" fontId="9" fillId="0" borderId="1" xfId="3" applyFont="1" applyBorder="1" applyAlignment="1">
      <alignment vertical="center"/>
    </xf>
    <xf numFmtId="0" fontId="7" fillId="0" borderId="0" xfId="0" applyFont="1" applyAlignment="1">
      <alignment vertical="center"/>
    </xf>
    <xf numFmtId="165" fontId="7" fillId="0" borderId="0" xfId="3" applyFont="1" applyBorder="1" applyAlignment="1">
      <alignment vertical="center"/>
    </xf>
    <xf numFmtId="165" fontId="9" fillId="0" borderId="0" xfId="3" applyFont="1" applyBorder="1" applyAlignment="1">
      <alignment vertical="center"/>
    </xf>
    <xf numFmtId="0" fontId="14" fillId="2" borderId="13" xfId="0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/>
    </xf>
    <xf numFmtId="165" fontId="14" fillId="2" borderId="14" xfId="3" applyFont="1" applyFill="1" applyBorder="1" applyAlignment="1">
      <alignment horizontal="center" vertical="center"/>
    </xf>
    <xf numFmtId="165" fontId="14" fillId="2" borderId="15" xfId="3" applyFont="1" applyFill="1" applyBorder="1" applyAlignment="1">
      <alignment horizontal="center" vertical="center"/>
    </xf>
    <xf numFmtId="165" fontId="4" fillId="0" borderId="11" xfId="3" applyFont="1" applyBorder="1" applyAlignment="1">
      <alignment horizontal="left" vertical="center"/>
    </xf>
    <xf numFmtId="165" fontId="9" fillId="0" borderId="8" xfId="3" applyFont="1" applyBorder="1" applyAlignment="1">
      <alignment vertical="center"/>
    </xf>
    <xf numFmtId="4" fontId="6" fillId="0" borderId="25" xfId="0" applyNumberFormat="1" applyFont="1" applyBorder="1" applyAlignment="1">
      <alignment vertical="center"/>
    </xf>
    <xf numFmtId="1" fontId="6" fillId="0" borderId="27" xfId="3" applyNumberFormat="1" applyFont="1" applyBorder="1" applyAlignment="1">
      <alignment horizontal="center" vertical="center"/>
    </xf>
    <xf numFmtId="165" fontId="9" fillId="0" borderId="1" xfId="3" applyFont="1" applyFill="1" applyBorder="1" applyAlignment="1">
      <alignment horizontal="center" vertical="center"/>
    </xf>
    <xf numFmtId="43" fontId="9" fillId="0" borderId="0" xfId="0" applyNumberFormat="1" applyFont="1" applyAlignment="1">
      <alignment vertical="center"/>
    </xf>
    <xf numFmtId="166" fontId="9" fillId="0" borderId="1" xfId="3" applyNumberFormat="1" applyFont="1" applyBorder="1" applyAlignment="1">
      <alignment horizontal="center" vertical="center"/>
    </xf>
    <xf numFmtId="166" fontId="9" fillId="0" borderId="1" xfId="3" applyNumberFormat="1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65" fontId="6" fillId="0" borderId="1" xfId="3" applyFont="1" applyBorder="1" applyAlignment="1">
      <alignment horizontal="center" vertical="center"/>
    </xf>
    <xf numFmtId="165" fontId="9" fillId="0" borderId="2" xfId="3" applyFont="1" applyFill="1" applyBorder="1" applyAlignment="1">
      <alignment horizontal="center" vertical="center"/>
    </xf>
    <xf numFmtId="0" fontId="6" fillId="0" borderId="0" xfId="0" applyFont="1"/>
    <xf numFmtId="165" fontId="6" fillId="0" borderId="1" xfId="3" applyFont="1" applyFill="1" applyBorder="1" applyAlignment="1">
      <alignment horizontal="center" vertical="center"/>
    </xf>
    <xf numFmtId="165" fontId="6" fillId="0" borderId="3" xfId="3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65" fontId="6" fillId="2" borderId="7" xfId="3" applyFont="1" applyFill="1" applyBorder="1" applyAlignment="1">
      <alignment horizontal="center" vertical="center"/>
    </xf>
    <xf numFmtId="165" fontId="6" fillId="0" borderId="11" xfId="3" applyFont="1" applyBorder="1" applyAlignment="1">
      <alignment vertical="center"/>
    </xf>
    <xf numFmtId="165" fontId="6" fillId="0" borderId="31" xfId="3" applyFont="1" applyBorder="1" applyAlignment="1">
      <alignment vertical="center"/>
    </xf>
    <xf numFmtId="4" fontId="6" fillId="0" borderId="0" xfId="0" applyNumberFormat="1" applyFont="1" applyAlignment="1">
      <alignment vertical="center"/>
    </xf>
    <xf numFmtId="165" fontId="9" fillId="0" borderId="32" xfId="3" applyFont="1" applyBorder="1" applyAlignment="1">
      <alignment vertical="center"/>
    </xf>
    <xf numFmtId="4" fontId="0" fillId="0" borderId="0" xfId="0" applyNumberFormat="1" applyAlignment="1">
      <alignment vertical="center"/>
    </xf>
    <xf numFmtId="165" fontId="9" fillId="6" borderId="1" xfId="3" applyFont="1" applyFill="1" applyBorder="1" applyAlignment="1">
      <alignment horizontal="center" vertical="center"/>
    </xf>
    <xf numFmtId="165" fontId="9" fillId="6" borderId="1" xfId="3" applyFont="1" applyFill="1" applyBorder="1" applyAlignment="1">
      <alignment vertical="center"/>
    </xf>
    <xf numFmtId="9" fontId="6" fillId="0" borderId="15" xfId="2" applyFont="1" applyBorder="1" applyAlignment="1">
      <alignment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5" fontId="9" fillId="0" borderId="1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0" fillId="0" borderId="31" xfId="0" applyBorder="1" applyAlignment="1">
      <alignment vertical="center"/>
    </xf>
    <xf numFmtId="165" fontId="0" fillId="0" borderId="0" xfId="3" applyFont="1" applyFill="1" applyBorder="1" applyAlignment="1">
      <alignment vertical="center"/>
    </xf>
    <xf numFmtId="165" fontId="0" fillId="0" borderId="32" xfId="3" applyFont="1" applyFill="1" applyBorder="1" applyAlignment="1">
      <alignment vertical="center"/>
    </xf>
    <xf numFmtId="2" fontId="20" fillId="7" borderId="1" xfId="0" applyNumberFormat="1" applyFont="1" applyFill="1" applyBorder="1" applyAlignment="1">
      <alignment horizontal="right" vertical="center"/>
    </xf>
    <xf numFmtId="0" fontId="20" fillId="0" borderId="19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2" fontId="20" fillId="7" borderId="29" xfId="0" applyNumberFormat="1" applyFont="1" applyFill="1" applyBorder="1" applyAlignment="1">
      <alignment horizontal="right" vertical="center"/>
    </xf>
    <xf numFmtId="0" fontId="20" fillId="0" borderId="19" xfId="0" applyFont="1" applyBorder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10" fontId="20" fillId="0" borderId="16" xfId="0" applyNumberFormat="1" applyFont="1" applyBorder="1" applyAlignment="1">
      <alignment horizontal="right" vertical="center"/>
    </xf>
    <xf numFmtId="0" fontId="24" fillId="0" borderId="1" xfId="0" applyFont="1" applyBorder="1" applyAlignment="1">
      <alignment horizontal="left" vertical="center"/>
    </xf>
    <xf numFmtId="10" fontId="24" fillId="0" borderId="16" xfId="0" applyNumberFormat="1" applyFont="1" applyBorder="1" applyAlignment="1">
      <alignment horizontal="right" vertical="center"/>
    </xf>
    <xf numFmtId="0" fontId="20" fillId="5" borderId="19" xfId="0" applyFont="1" applyFill="1" applyBorder="1" applyAlignment="1">
      <alignment horizontal="left" vertical="center"/>
    </xf>
    <xf numFmtId="0" fontId="24" fillId="5" borderId="1" xfId="0" applyFont="1" applyFill="1" applyBorder="1" applyAlignment="1">
      <alignment horizontal="left" vertical="center"/>
    </xf>
    <xf numFmtId="10" fontId="24" fillId="5" borderId="16" xfId="0" applyNumberFormat="1" applyFont="1" applyFill="1" applyBorder="1" applyAlignment="1">
      <alignment horizontal="right" vertical="center"/>
    </xf>
    <xf numFmtId="0" fontId="25" fillId="0" borderId="1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10" fontId="9" fillId="0" borderId="0" xfId="0" applyNumberFormat="1" applyFont="1"/>
    <xf numFmtId="9" fontId="20" fillId="0" borderId="0" xfId="2" applyFont="1" applyBorder="1" applyAlignment="1">
      <alignment horizontal="right" vertical="center"/>
    </xf>
    <xf numFmtId="0" fontId="20" fillId="0" borderId="1" xfId="0" applyFont="1" applyBorder="1" applyAlignment="1">
      <alignment horizontal="left" vertical="center" wrapText="1"/>
    </xf>
    <xf numFmtId="0" fontId="20" fillId="9" borderId="20" xfId="0" applyFont="1" applyFill="1" applyBorder="1" applyAlignment="1">
      <alignment horizontal="left" vertical="center"/>
    </xf>
    <xf numFmtId="0" fontId="24" fillId="9" borderId="29" xfId="0" applyFont="1" applyFill="1" applyBorder="1" applyAlignment="1">
      <alignment horizontal="left" vertical="center"/>
    </xf>
    <xf numFmtId="10" fontId="24" fillId="9" borderId="30" xfId="0" applyNumberFormat="1" applyFont="1" applyFill="1" applyBorder="1" applyAlignment="1">
      <alignment horizontal="right" vertical="center"/>
    </xf>
    <xf numFmtId="0" fontId="24" fillId="0" borderId="0" xfId="0" applyFont="1" applyAlignment="1">
      <alignment horizontal="left" vertical="center"/>
    </xf>
    <xf numFmtId="10" fontId="24" fillId="0" borderId="0" xfId="0" applyNumberFormat="1" applyFont="1" applyAlignment="1">
      <alignment horizontal="right" vertical="center"/>
    </xf>
    <xf numFmtId="0" fontId="26" fillId="4" borderId="0" xfId="0" applyFont="1" applyFill="1" applyAlignment="1">
      <alignment horizontal="left" vertical="center"/>
    </xf>
    <xf numFmtId="10" fontId="20" fillId="0" borderId="0" xfId="0" applyNumberFormat="1" applyFont="1" applyAlignment="1">
      <alignment horizontal="right" vertical="center"/>
    </xf>
    <xf numFmtId="0" fontId="20" fillId="4" borderId="0" xfId="0" applyFont="1" applyFill="1" applyAlignment="1">
      <alignment horizontal="left" vertical="center"/>
    </xf>
    <xf numFmtId="0" fontId="27" fillId="0" borderId="0" xfId="0" applyFont="1" applyAlignment="1">
      <alignment horizontal="justify" vertical="center"/>
    </xf>
    <xf numFmtId="0" fontId="11" fillId="0" borderId="0" xfId="1" applyBorder="1" applyAlignment="1" applyProtection="1">
      <alignment horizontal="left" vertical="center"/>
    </xf>
    <xf numFmtId="0" fontId="28" fillId="0" borderId="0" xfId="0" applyFont="1"/>
    <xf numFmtId="0" fontId="20" fillId="0" borderId="0" xfId="0" applyFont="1" applyAlignment="1">
      <alignment horizontal="right" vertical="center"/>
    </xf>
    <xf numFmtId="0" fontId="11" fillId="0" borderId="0" xfId="1" applyBorder="1" applyAlignment="1" applyProtection="1">
      <alignment vertical="center"/>
    </xf>
    <xf numFmtId="0" fontId="8" fillId="0" borderId="19" xfId="0" applyFont="1" applyBorder="1"/>
    <xf numFmtId="0" fontId="8" fillId="0" borderId="31" xfId="0" applyFont="1" applyBorder="1"/>
    <xf numFmtId="0" fontId="10" fillId="0" borderId="31" xfId="0" applyFont="1" applyBorder="1" applyAlignment="1">
      <alignment horizontal="left" vertical="center"/>
    </xf>
    <xf numFmtId="9" fontId="8" fillId="0" borderId="19" xfId="2" applyFont="1" applyBorder="1"/>
    <xf numFmtId="9" fontId="8" fillId="0" borderId="1" xfId="2" applyFont="1" applyBorder="1" applyAlignment="1">
      <alignment horizontal="center"/>
    </xf>
    <xf numFmtId="9" fontId="8" fillId="0" borderId="16" xfId="2" applyFont="1" applyBorder="1"/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center" vertical="center"/>
    </xf>
    <xf numFmtId="10" fontId="8" fillId="3" borderId="10" xfId="0" applyNumberFormat="1" applyFont="1" applyFill="1" applyBorder="1" applyAlignment="1">
      <alignment horizontal="center" vertical="center"/>
    </xf>
    <xf numFmtId="10" fontId="8" fillId="0" borderId="16" xfId="2" applyNumberFormat="1" applyFont="1" applyBorder="1"/>
    <xf numFmtId="0" fontId="8" fillId="0" borderId="19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10" fontId="8" fillId="3" borderId="16" xfId="0" applyNumberFormat="1" applyFont="1" applyFill="1" applyBorder="1" applyAlignment="1">
      <alignment horizontal="center" vertical="center"/>
    </xf>
    <xf numFmtId="10" fontId="8" fillId="0" borderId="16" xfId="0" applyNumberFormat="1" applyFont="1" applyBorder="1" applyAlignment="1">
      <alignment horizontal="center" vertical="center"/>
    </xf>
    <xf numFmtId="10" fontId="8" fillId="3" borderId="1" xfId="2" applyNumberFormat="1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0" borderId="16" xfId="0" applyFont="1" applyBorder="1"/>
    <xf numFmtId="0" fontId="8" fillId="0" borderId="20" xfId="0" applyFont="1" applyBorder="1" applyAlignment="1">
      <alignment horizontal="left" vertical="center"/>
    </xf>
    <xf numFmtId="10" fontId="8" fillId="3" borderId="30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21" xfId="0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10" fontId="8" fillId="0" borderId="23" xfId="0" applyNumberFormat="1" applyFont="1" applyBorder="1" applyAlignment="1">
      <alignment vertical="center"/>
    </xf>
    <xf numFmtId="0" fontId="8" fillId="0" borderId="24" xfId="0" applyFont="1" applyBorder="1" applyAlignment="1">
      <alignment horizontal="left" vertical="center"/>
    </xf>
    <xf numFmtId="0" fontId="8" fillId="0" borderId="25" xfId="0" applyFont="1" applyBorder="1" applyAlignment="1">
      <alignment horizontal="left" vertical="center"/>
    </xf>
    <xf numFmtId="0" fontId="8" fillId="0" borderId="26" xfId="0" applyFont="1" applyBorder="1" applyAlignment="1">
      <alignment vertical="center"/>
    </xf>
    <xf numFmtId="0" fontId="10" fillId="5" borderId="5" xfId="0" applyFont="1" applyFill="1" applyBorder="1" applyAlignment="1">
      <alignment vertical="center" wrapText="1"/>
    </xf>
    <xf numFmtId="0" fontId="8" fillId="5" borderId="6" xfId="0" applyFont="1" applyFill="1" applyBorder="1" applyAlignment="1">
      <alignment vertical="center"/>
    </xf>
    <xf numFmtId="10" fontId="10" fillId="5" borderId="7" xfId="0" applyNumberFormat="1" applyFont="1" applyFill="1" applyBorder="1" applyAlignment="1">
      <alignment horizontal="center" vertical="center" wrapText="1"/>
    </xf>
    <xf numFmtId="10" fontId="8" fillId="0" borderId="19" xfId="2" applyNumberFormat="1" applyFont="1" applyBorder="1" applyAlignment="1">
      <alignment horizontal="right"/>
    </xf>
    <xf numFmtId="10" fontId="8" fillId="0" borderId="1" xfId="2" applyNumberFormat="1" applyFont="1" applyBorder="1" applyAlignment="1">
      <alignment horizontal="right"/>
    </xf>
    <xf numFmtId="10" fontId="8" fillId="0" borderId="16" xfId="2" applyNumberFormat="1" applyFont="1" applyBorder="1" applyAlignment="1">
      <alignment horizontal="right"/>
    </xf>
    <xf numFmtId="10" fontId="8" fillId="0" borderId="20" xfId="2" applyNumberFormat="1" applyFont="1" applyBorder="1" applyAlignment="1">
      <alignment horizontal="right"/>
    </xf>
    <xf numFmtId="10" fontId="8" fillId="0" borderId="29" xfId="2" applyNumberFormat="1" applyFont="1" applyBorder="1" applyAlignment="1">
      <alignment horizontal="right"/>
    </xf>
    <xf numFmtId="10" fontId="8" fillId="0" borderId="30" xfId="2" applyNumberFormat="1" applyFont="1" applyBorder="1" applyAlignment="1">
      <alignment horizontal="right"/>
    </xf>
    <xf numFmtId="0" fontId="9" fillId="0" borderId="37" xfId="0" applyFont="1" applyBorder="1"/>
    <xf numFmtId="0" fontId="21" fillId="0" borderId="37" xfId="0" applyFont="1" applyBorder="1" applyAlignment="1">
      <alignment horizontal="justify"/>
    </xf>
    <xf numFmtId="0" fontId="21" fillId="0" borderId="38" xfId="0" applyFont="1" applyBorder="1" applyAlignment="1">
      <alignment horizontal="justify"/>
    </xf>
    <xf numFmtId="0" fontId="18" fillId="10" borderId="36" xfId="0" applyFont="1" applyFill="1" applyBorder="1" applyAlignment="1">
      <alignment horizontal="center"/>
    </xf>
    <xf numFmtId="0" fontId="9" fillId="0" borderId="8" xfId="0" applyFont="1" applyBorder="1" applyAlignment="1">
      <alignment vertical="center"/>
    </xf>
    <xf numFmtId="165" fontId="6" fillId="0" borderId="7" xfId="3" applyFont="1" applyBorder="1" applyAlignment="1">
      <alignment horizontal="right" vertical="center"/>
    </xf>
    <xf numFmtId="165" fontId="6" fillId="0" borderId="5" xfId="3" applyFont="1" applyBorder="1" applyAlignment="1">
      <alignment vertical="center"/>
    </xf>
    <xf numFmtId="0" fontId="7" fillId="0" borderId="3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24" fillId="7" borderId="1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5" fontId="6" fillId="0" borderId="8" xfId="3" applyFont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 wrapText="1"/>
    </xf>
    <xf numFmtId="167" fontId="9" fillId="0" borderId="1" xfId="3" applyNumberFormat="1" applyFont="1" applyBorder="1" applyAlignment="1">
      <alignment horizontal="center" vertical="center"/>
    </xf>
    <xf numFmtId="166" fontId="6" fillId="0" borderId="1" xfId="3" applyNumberFormat="1" applyFont="1" applyBorder="1" applyAlignment="1">
      <alignment horizontal="center" vertical="center"/>
    </xf>
    <xf numFmtId="167" fontId="6" fillId="0" borderId="1" xfId="3" applyNumberFormat="1" applyFont="1" applyBorder="1" applyAlignment="1">
      <alignment horizontal="center" vertical="center"/>
    </xf>
    <xf numFmtId="167" fontId="9" fillId="0" borderId="2" xfId="3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4" fillId="0" borderId="0" xfId="0" applyFont="1"/>
    <xf numFmtId="0" fontId="6" fillId="0" borderId="39" xfId="0" applyFont="1" applyBorder="1" applyAlignment="1">
      <alignment horizontal="center" vertical="center"/>
    </xf>
    <xf numFmtId="165" fontId="6" fillId="0" borderId="39" xfId="3" applyFont="1" applyBorder="1" applyAlignment="1">
      <alignment horizontal="center" vertical="center"/>
    </xf>
    <xf numFmtId="165" fontId="6" fillId="0" borderId="39" xfId="3" applyFont="1" applyFill="1" applyBorder="1" applyAlignment="1">
      <alignment horizontal="center" vertical="center"/>
    </xf>
    <xf numFmtId="0" fontId="8" fillId="0" borderId="19" xfId="0" applyFont="1" applyBorder="1" applyAlignment="1">
      <alignment horizontal="right"/>
    </xf>
    <xf numFmtId="4" fontId="29" fillId="0" borderId="0" xfId="0" applyNumberFormat="1" applyFont="1" applyAlignment="1">
      <alignment vertical="center"/>
    </xf>
    <xf numFmtId="0" fontId="4" fillId="0" borderId="0" xfId="4"/>
    <xf numFmtId="0" fontId="6" fillId="0" borderId="40" xfId="4" applyFont="1" applyBorder="1"/>
    <xf numFmtId="166" fontId="4" fillId="0" borderId="41" xfId="5" applyNumberFormat="1" applyFont="1" applyBorder="1"/>
    <xf numFmtId="0" fontId="6" fillId="0" borderId="44" xfId="4" applyFont="1" applyBorder="1"/>
    <xf numFmtId="166" fontId="6" fillId="0" borderId="45" xfId="5" applyNumberFormat="1" applyFont="1" applyBorder="1"/>
    <xf numFmtId="166" fontId="6" fillId="0" borderId="41" xfId="5" applyNumberFormat="1" applyFont="1" applyBorder="1"/>
    <xf numFmtId="16" fontId="4" fillId="0" borderId="40" xfId="4" applyNumberFormat="1" applyBorder="1"/>
    <xf numFmtId="0" fontId="4" fillId="0" borderId="40" xfId="4" applyBorder="1"/>
    <xf numFmtId="166" fontId="4" fillId="0" borderId="41" xfId="5" applyNumberFormat="1" applyFont="1" applyFill="1" applyBorder="1"/>
    <xf numFmtId="0" fontId="6" fillId="0" borderId="42" xfId="4" applyFont="1" applyBorder="1"/>
    <xf numFmtId="165" fontId="6" fillId="0" borderId="43" xfId="5" applyFont="1" applyBorder="1"/>
    <xf numFmtId="166" fontId="4" fillId="0" borderId="0" xfId="5" applyNumberFormat="1" applyFont="1"/>
    <xf numFmtId="0" fontId="13" fillId="0" borderId="0" xfId="4" applyFont="1"/>
    <xf numFmtId="0" fontId="4" fillId="0" borderId="1" xfId="0" applyFont="1" applyBorder="1" applyAlignment="1">
      <alignment horizontal="center" vertical="center"/>
    </xf>
    <xf numFmtId="165" fontId="4" fillId="0" borderId="9" xfId="3" applyFont="1" applyBorder="1" applyAlignment="1">
      <alignment vertical="center"/>
    </xf>
    <xf numFmtId="2" fontId="24" fillId="7" borderId="1" xfId="0" applyNumberFormat="1" applyFont="1" applyFill="1" applyBorder="1" applyAlignment="1">
      <alignment horizontal="right" vertical="center"/>
    </xf>
    <xf numFmtId="165" fontId="6" fillId="0" borderId="11" xfId="3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165" fontId="9" fillId="0" borderId="0" xfId="3" applyFont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vertical="center"/>
    </xf>
    <xf numFmtId="0" fontId="9" fillId="0" borderId="31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6" fillId="0" borderId="32" xfId="0" applyFont="1" applyBorder="1" applyAlignment="1">
      <alignment vertical="center"/>
    </xf>
    <xf numFmtId="0" fontId="6" fillId="0" borderId="31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165" fontId="6" fillId="0" borderId="32" xfId="3" applyFont="1" applyBorder="1" applyAlignment="1">
      <alignment vertical="center"/>
    </xf>
    <xf numFmtId="0" fontId="6" fillId="0" borderId="33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165" fontId="6" fillId="0" borderId="32" xfId="3" applyFont="1" applyFill="1" applyBorder="1" applyAlignment="1">
      <alignment vertical="center"/>
    </xf>
    <xf numFmtId="0" fontId="9" fillId="0" borderId="34" xfId="0" applyFont="1" applyBorder="1" applyAlignment="1">
      <alignment vertical="center"/>
    </xf>
    <xf numFmtId="0" fontId="34" fillId="0" borderId="31" xfId="1" applyFont="1" applyBorder="1" applyAlignment="1" applyProtection="1">
      <alignment vertical="center"/>
    </xf>
    <xf numFmtId="165" fontId="9" fillId="0" borderId="32" xfId="3" applyFont="1" applyBorder="1" applyAlignment="1">
      <alignment horizontal="center" vertical="center"/>
    </xf>
    <xf numFmtId="0" fontId="6" fillId="0" borderId="46" xfId="0" applyFont="1" applyBorder="1" applyAlignment="1">
      <alignment vertical="center"/>
    </xf>
    <xf numFmtId="0" fontId="5" fillId="0" borderId="31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165" fontId="6" fillId="0" borderId="32" xfId="3" applyFont="1" applyBorder="1" applyAlignment="1">
      <alignment horizontal="center" vertical="center"/>
    </xf>
    <xf numFmtId="165" fontId="6" fillId="0" borderId="32" xfId="3" applyFont="1" applyFill="1" applyBorder="1" applyAlignment="1">
      <alignment horizontal="center" vertical="center"/>
    </xf>
    <xf numFmtId="165" fontId="9" fillId="0" borderId="32" xfId="3" applyFont="1" applyFill="1" applyBorder="1" applyAlignment="1">
      <alignment horizontal="center" vertical="center"/>
    </xf>
    <xf numFmtId="0" fontId="7" fillId="0" borderId="31" xfId="0" applyFont="1" applyBorder="1" applyAlignment="1">
      <alignment vertical="center"/>
    </xf>
    <xf numFmtId="165" fontId="7" fillId="0" borderId="32" xfId="3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19" fillId="0" borderId="0" xfId="10" applyFont="1"/>
    <xf numFmtId="0" fontId="19" fillId="0" borderId="0" xfId="10" applyFont="1" applyAlignment="1">
      <alignment horizontal="center"/>
    </xf>
    <xf numFmtId="0" fontId="25" fillId="0" borderId="0" xfId="10" applyFont="1"/>
    <xf numFmtId="0" fontId="19" fillId="0" borderId="1" xfId="10" applyFont="1" applyBorder="1"/>
    <xf numFmtId="0" fontId="19" fillId="0" borderId="1" xfId="10" applyFont="1" applyBorder="1" applyAlignment="1">
      <alignment horizontal="center" wrapText="1"/>
    </xf>
    <xf numFmtId="0" fontId="25" fillId="0" borderId="1" xfId="10" applyFont="1" applyBorder="1"/>
    <xf numFmtId="0" fontId="25" fillId="3" borderId="1" xfId="10" applyFont="1" applyFill="1" applyBorder="1" applyAlignment="1">
      <alignment horizontal="center"/>
    </xf>
    <xf numFmtId="9" fontId="25" fillId="3" borderId="1" xfId="2" applyFont="1" applyFill="1" applyBorder="1" applyAlignment="1">
      <alignment horizontal="center"/>
    </xf>
    <xf numFmtId="0" fontId="25" fillId="0" borderId="1" xfId="10" applyFont="1" applyBorder="1" applyAlignment="1">
      <alignment horizontal="center"/>
    </xf>
    <xf numFmtId="165" fontId="25" fillId="0" borderId="1" xfId="3" applyFont="1" applyFill="1" applyBorder="1" applyAlignment="1">
      <alignment horizontal="center"/>
    </xf>
    <xf numFmtId="167" fontId="25" fillId="0" borderId="1" xfId="3" applyNumberFormat="1" applyFont="1" applyFill="1" applyBorder="1" applyAlignment="1">
      <alignment horizontal="center"/>
    </xf>
    <xf numFmtId="167" fontId="19" fillId="0" borderId="1" xfId="3" applyNumberFormat="1" applyFont="1" applyFill="1" applyBorder="1" applyAlignment="1">
      <alignment horizontal="center"/>
    </xf>
    <xf numFmtId="165" fontId="19" fillId="11" borderId="1" xfId="3" applyFont="1" applyFill="1" applyBorder="1" applyAlignment="1">
      <alignment horizontal="center"/>
    </xf>
    <xf numFmtId="0" fontId="25" fillId="0" borderId="0" xfId="10" applyFont="1" applyAlignment="1">
      <alignment horizontal="center"/>
    </xf>
    <xf numFmtId="165" fontId="25" fillId="3" borderId="1" xfId="3" applyFont="1" applyFill="1" applyBorder="1" applyAlignment="1">
      <alignment horizontal="center"/>
    </xf>
    <xf numFmtId="0" fontId="4" fillId="0" borderId="1" xfId="0" applyFont="1" applyBorder="1" applyAlignment="1">
      <alignment vertical="center"/>
    </xf>
    <xf numFmtId="165" fontId="6" fillId="11" borderId="4" xfId="3" applyFont="1" applyFill="1" applyBorder="1" applyAlignment="1">
      <alignment horizontal="right" vertical="center"/>
    </xf>
    <xf numFmtId="165" fontId="6" fillId="0" borderId="31" xfId="3" applyFont="1" applyBorder="1" applyAlignment="1">
      <alignment horizontal="left" vertical="center"/>
    </xf>
    <xf numFmtId="10" fontId="6" fillId="0" borderId="32" xfId="2" applyNumberFormat="1" applyFont="1" applyBorder="1" applyAlignment="1">
      <alignment vertical="center"/>
    </xf>
    <xf numFmtId="165" fontId="7" fillId="0" borderId="21" xfId="3" applyFont="1" applyFill="1" applyBorder="1" applyAlignment="1">
      <alignment horizontal="left" vertical="center"/>
    </xf>
    <xf numFmtId="168" fontId="6" fillId="0" borderId="17" xfId="0" applyNumberFormat="1" applyFont="1" applyBorder="1" applyAlignment="1">
      <alignment vertical="center"/>
    </xf>
    <xf numFmtId="168" fontId="0" fillId="0" borderId="19" xfId="0" applyNumberFormat="1" applyBorder="1" applyAlignment="1">
      <alignment vertical="center"/>
    </xf>
    <xf numFmtId="168" fontId="6" fillId="0" borderId="19" xfId="0" applyNumberFormat="1" applyFont="1" applyBorder="1" applyAlignment="1">
      <alignment vertical="center"/>
    </xf>
    <xf numFmtId="10" fontId="6" fillId="0" borderId="10" xfId="2" applyNumberFormat="1" applyFont="1" applyBorder="1" applyAlignment="1">
      <alignment vertical="center"/>
    </xf>
    <xf numFmtId="10" fontId="0" fillId="0" borderId="16" xfId="2" applyNumberFormat="1" applyFont="1" applyBorder="1" applyAlignment="1">
      <alignment vertical="center"/>
    </xf>
    <xf numFmtId="10" fontId="6" fillId="0" borderId="16" xfId="2" applyNumberFormat="1" applyFont="1" applyBorder="1" applyAlignment="1">
      <alignment vertical="center"/>
    </xf>
    <xf numFmtId="10" fontId="9" fillId="0" borderId="16" xfId="2" applyNumberFormat="1" applyFont="1" applyBorder="1" applyAlignment="1">
      <alignment vertical="center"/>
    </xf>
    <xf numFmtId="165" fontId="14" fillId="0" borderId="11" xfId="3" applyFont="1" applyBorder="1" applyAlignment="1">
      <alignment horizontal="left" vertical="center"/>
    </xf>
    <xf numFmtId="168" fontId="6" fillId="12" borderId="19" xfId="0" applyNumberFormat="1" applyFont="1" applyFill="1" applyBorder="1" applyAlignment="1">
      <alignment vertical="center"/>
    </xf>
    <xf numFmtId="10" fontId="6" fillId="12" borderId="12" xfId="2" applyNumberFormat="1" applyFont="1" applyFill="1" applyBorder="1" applyAlignment="1">
      <alignment vertical="center"/>
    </xf>
    <xf numFmtId="0" fontId="6" fillId="12" borderId="19" xfId="0" applyFont="1" applyFill="1" applyBorder="1" applyAlignment="1">
      <alignment vertical="center"/>
    </xf>
    <xf numFmtId="0" fontId="6" fillId="12" borderId="16" xfId="0" applyFont="1" applyFill="1" applyBorder="1" applyAlignment="1">
      <alignment vertical="center"/>
    </xf>
    <xf numFmtId="168" fontId="6" fillId="12" borderId="33" xfId="0" applyNumberFormat="1" applyFont="1" applyFill="1" applyBorder="1" applyAlignment="1">
      <alignment vertical="center"/>
    </xf>
    <xf numFmtId="10" fontId="6" fillId="12" borderId="32" xfId="2" applyNumberFormat="1" applyFont="1" applyFill="1" applyBorder="1" applyAlignment="1">
      <alignment vertical="center"/>
    </xf>
    <xf numFmtId="0" fontId="6" fillId="12" borderId="33" xfId="0" applyFont="1" applyFill="1" applyBorder="1" applyAlignment="1">
      <alignment vertical="center"/>
    </xf>
    <xf numFmtId="0" fontId="6" fillId="12" borderId="32" xfId="0" applyFont="1" applyFill="1" applyBorder="1" applyAlignment="1">
      <alignment vertical="center"/>
    </xf>
    <xf numFmtId="168" fontId="6" fillId="0" borderId="47" xfId="0" applyNumberFormat="1" applyFont="1" applyBorder="1" applyAlignment="1">
      <alignment vertical="center"/>
    </xf>
    <xf numFmtId="0" fontId="6" fillId="0" borderId="48" xfId="4" applyFont="1" applyBorder="1" applyAlignment="1">
      <alignment horizontal="left"/>
    </xf>
    <xf numFmtId="0" fontId="4" fillId="0" borderId="31" xfId="0" applyFont="1" applyBorder="1" applyAlignment="1">
      <alignment vertical="center"/>
    </xf>
    <xf numFmtId="165" fontId="4" fillId="0" borderId="0" xfId="3" applyFont="1" applyBorder="1" applyAlignment="1">
      <alignment vertical="center"/>
    </xf>
    <xf numFmtId="165" fontId="4" fillId="0" borderId="32" xfId="3" applyFont="1" applyBorder="1" applyAlignment="1">
      <alignment vertical="center"/>
    </xf>
    <xf numFmtId="165" fontId="4" fillId="0" borderId="0" xfId="3" applyFont="1" applyAlignment="1">
      <alignment vertical="center"/>
    </xf>
    <xf numFmtId="165" fontId="4" fillId="6" borderId="1" xfId="3" applyFont="1" applyFill="1" applyBorder="1" applyAlignment="1">
      <alignment horizontal="center" vertical="center"/>
    </xf>
    <xf numFmtId="165" fontId="4" fillId="0" borderId="1" xfId="3" applyFont="1" applyBorder="1" applyAlignment="1">
      <alignment horizontal="center" vertical="center"/>
    </xf>
    <xf numFmtId="165" fontId="4" fillId="0" borderId="0" xfId="3" applyFont="1" applyBorder="1" applyAlignment="1">
      <alignment horizontal="right" vertical="center"/>
    </xf>
    <xf numFmtId="0" fontId="10" fillId="0" borderId="1" xfId="4" applyFont="1" applyBorder="1" applyAlignment="1">
      <alignment horizontal="left" vertical="center"/>
    </xf>
    <xf numFmtId="0" fontId="10" fillId="0" borderId="1" xfId="4" applyFont="1" applyBorder="1" applyAlignment="1">
      <alignment horizontal="center" vertical="center" wrapText="1"/>
    </xf>
    <xf numFmtId="0" fontId="8" fillId="0" borderId="50" xfId="4" applyFont="1" applyBorder="1"/>
    <xf numFmtId="10" fontId="8" fillId="0" borderId="50" xfId="4" applyNumberFormat="1" applyFont="1" applyBorder="1" applyAlignment="1">
      <alignment horizontal="right"/>
    </xf>
    <xf numFmtId="0" fontId="8" fillId="0" borderId="51" xfId="4" applyFont="1" applyBorder="1"/>
    <xf numFmtId="10" fontId="8" fillId="0" borderId="51" xfId="4" applyNumberFormat="1" applyFont="1" applyBorder="1" applyAlignment="1">
      <alignment horizontal="right"/>
    </xf>
    <xf numFmtId="0" fontId="8" fillId="0" borderId="52" xfId="4" applyFont="1" applyBorder="1"/>
    <xf numFmtId="10" fontId="8" fillId="0" borderId="52" xfId="11" applyNumberFormat="1" applyFont="1" applyFill="1" applyBorder="1"/>
    <xf numFmtId="0" fontId="10" fillId="0" borderId="8" xfId="4" applyFont="1" applyBorder="1"/>
    <xf numFmtId="10" fontId="10" fillId="0" borderId="1" xfId="4" applyNumberFormat="1" applyFont="1" applyBorder="1" applyAlignment="1">
      <alignment horizontal="right"/>
    </xf>
    <xf numFmtId="0" fontId="6" fillId="0" borderId="47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165" fontId="4" fillId="0" borderId="6" xfId="3" applyFont="1" applyBorder="1" applyAlignment="1">
      <alignment vertical="center"/>
    </xf>
    <xf numFmtId="165" fontId="4" fillId="0" borderId="7" xfId="3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165" fontId="4" fillId="0" borderId="2" xfId="3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165" fontId="6" fillId="0" borderId="8" xfId="3" applyFont="1" applyFill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165" fontId="4" fillId="0" borderId="22" xfId="3" applyFont="1" applyBorder="1" applyAlignment="1">
      <alignment vertical="center"/>
    </xf>
    <xf numFmtId="165" fontId="4" fillId="0" borderId="23" xfId="3" applyFont="1" applyBorder="1" applyAlignment="1">
      <alignment vertical="center"/>
    </xf>
    <xf numFmtId="0" fontId="4" fillId="0" borderId="53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18" xfId="0" applyFont="1" applyBorder="1" applyAlignment="1">
      <alignment horizontal="center" vertical="center"/>
    </xf>
    <xf numFmtId="165" fontId="4" fillId="0" borderId="18" xfId="3" applyFont="1" applyBorder="1" applyAlignment="1">
      <alignment horizontal="center" vertical="center"/>
    </xf>
    <xf numFmtId="0" fontId="6" fillId="0" borderId="24" xfId="0" applyFont="1" applyBorder="1" applyAlignment="1">
      <alignment vertical="center"/>
    </xf>
    <xf numFmtId="0" fontId="6" fillId="0" borderId="25" xfId="0" applyFont="1" applyBorder="1" applyAlignment="1">
      <alignment vertical="center"/>
    </xf>
    <xf numFmtId="165" fontId="6" fillId="0" borderId="25" xfId="3" applyFont="1" applyBorder="1" applyAlignment="1">
      <alignment vertical="center"/>
    </xf>
    <xf numFmtId="165" fontId="6" fillId="0" borderId="26" xfId="3" applyFont="1" applyFill="1" applyBorder="1" applyAlignment="1">
      <alignment horizontal="center" vertical="center"/>
    </xf>
    <xf numFmtId="10" fontId="8" fillId="0" borderId="1" xfId="2" quotePrefix="1" applyNumberFormat="1" applyFont="1" applyBorder="1" applyAlignment="1">
      <alignment horizontal="right"/>
    </xf>
    <xf numFmtId="164" fontId="6" fillId="11" borderId="28" xfId="0" applyNumberFormat="1" applyFont="1" applyFill="1" applyBorder="1" applyAlignment="1">
      <alignment vertical="center"/>
    </xf>
    <xf numFmtId="0" fontId="6" fillId="0" borderId="21" xfId="4" applyFont="1" applyBorder="1"/>
    <xf numFmtId="10" fontId="6" fillId="12" borderId="16" xfId="2" applyNumberFormat="1" applyFont="1" applyFill="1" applyBorder="1" applyAlignment="1">
      <alignment vertical="center"/>
    </xf>
    <xf numFmtId="0" fontId="6" fillId="0" borderId="48" xfId="4" applyFont="1" applyBorder="1" applyAlignment="1">
      <alignment horizontal="right"/>
    </xf>
    <xf numFmtId="165" fontId="9" fillId="0" borderId="0" xfId="3" applyFont="1" applyFill="1" applyBorder="1" applyAlignment="1">
      <alignment vertical="center"/>
    </xf>
    <xf numFmtId="165" fontId="9" fillId="0" borderId="32" xfId="3" applyFont="1" applyFill="1" applyBorder="1" applyAlignment="1">
      <alignment vertical="center"/>
    </xf>
    <xf numFmtId="165" fontId="6" fillId="0" borderId="54" xfId="3" applyFont="1" applyBorder="1" applyAlignment="1">
      <alignment vertical="center"/>
    </xf>
    <xf numFmtId="165" fontId="6" fillId="0" borderId="15" xfId="3" applyFont="1" applyBorder="1" applyAlignment="1">
      <alignment horizontal="right" vertical="center"/>
    </xf>
    <xf numFmtId="0" fontId="32" fillId="13" borderId="22" xfId="4" applyFont="1" applyFill="1" applyBorder="1" applyAlignment="1">
      <alignment vertical="center"/>
    </xf>
    <xf numFmtId="0" fontId="6" fillId="13" borderId="49" xfId="4" applyFont="1" applyFill="1" applyBorder="1" applyAlignment="1">
      <alignment horizontal="right"/>
    </xf>
    <xf numFmtId="9" fontId="6" fillId="13" borderId="7" xfId="2" applyFont="1" applyFill="1" applyBorder="1" applyAlignment="1">
      <alignment vertical="center"/>
    </xf>
    <xf numFmtId="165" fontId="9" fillId="13" borderId="2" xfId="3" applyFont="1" applyFill="1" applyBorder="1" applyAlignment="1">
      <alignment horizontal="center" vertical="center"/>
    </xf>
    <xf numFmtId="2" fontId="9" fillId="13" borderId="1" xfId="0" applyNumberFormat="1" applyFont="1" applyFill="1" applyBorder="1" applyAlignment="1">
      <alignment horizontal="center" vertical="center"/>
    </xf>
    <xf numFmtId="1" fontId="9" fillId="13" borderId="1" xfId="0" applyNumberFormat="1" applyFont="1" applyFill="1" applyBorder="1" applyAlignment="1">
      <alignment horizontal="center" vertical="center"/>
    </xf>
    <xf numFmtId="0" fontId="9" fillId="13" borderId="1" xfId="0" applyFont="1" applyFill="1" applyBorder="1" applyAlignment="1">
      <alignment horizontal="center" vertical="center"/>
    </xf>
    <xf numFmtId="165" fontId="9" fillId="13" borderId="0" xfId="3" applyFont="1" applyFill="1" applyBorder="1" applyAlignment="1">
      <alignment vertical="center"/>
    </xf>
    <xf numFmtId="0" fontId="9" fillId="13" borderId="0" xfId="0" applyFont="1" applyFill="1" applyAlignment="1">
      <alignment vertical="center"/>
    </xf>
    <xf numFmtId="4" fontId="9" fillId="13" borderId="1" xfId="0" applyNumberFormat="1" applyFont="1" applyFill="1" applyBorder="1" applyAlignment="1">
      <alignment horizontal="center" vertical="center"/>
    </xf>
    <xf numFmtId="4" fontId="9" fillId="13" borderId="1" xfId="3" applyNumberFormat="1" applyFont="1" applyFill="1" applyBorder="1" applyAlignment="1">
      <alignment horizontal="center" vertical="center"/>
    </xf>
    <xf numFmtId="165" fontId="9" fillId="13" borderId="1" xfId="3" applyFont="1" applyFill="1" applyBorder="1" applyAlignment="1">
      <alignment horizontal="center" vertical="center"/>
    </xf>
    <xf numFmtId="4" fontId="9" fillId="13" borderId="2" xfId="0" applyNumberFormat="1" applyFont="1" applyFill="1" applyBorder="1" applyAlignment="1">
      <alignment horizontal="center" vertical="center"/>
    </xf>
    <xf numFmtId="167" fontId="9" fillId="13" borderId="2" xfId="3" applyNumberFormat="1" applyFont="1" applyFill="1" applyBorder="1" applyAlignment="1">
      <alignment horizontal="center" vertical="center"/>
    </xf>
    <xf numFmtId="0" fontId="9" fillId="13" borderId="2" xfId="0" applyFont="1" applyFill="1" applyBorder="1" applyAlignment="1">
      <alignment horizontal="center" vertical="center"/>
    </xf>
    <xf numFmtId="3" fontId="9" fillId="13" borderId="1" xfId="0" applyNumberFormat="1" applyFont="1" applyFill="1" applyBorder="1" applyAlignment="1">
      <alignment horizontal="center" vertical="center"/>
    </xf>
    <xf numFmtId="13" fontId="9" fillId="13" borderId="1" xfId="0" applyNumberFormat="1" applyFont="1" applyFill="1" applyBorder="1" applyAlignment="1">
      <alignment horizontal="center" vertical="center"/>
    </xf>
    <xf numFmtId="165" fontId="6" fillId="13" borderId="8" xfId="3" applyFont="1" applyFill="1" applyBorder="1" applyAlignment="1">
      <alignment vertical="center"/>
    </xf>
    <xf numFmtId="165" fontId="4" fillId="13" borderId="18" xfId="3" applyFont="1" applyFill="1" applyBorder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13" borderId="31" xfId="0" applyFont="1" applyFill="1" applyBorder="1" applyAlignment="1">
      <alignment vertical="center"/>
    </xf>
    <xf numFmtId="10" fontId="20" fillId="13" borderId="16" xfId="0" applyNumberFormat="1" applyFont="1" applyFill="1" applyBorder="1" applyAlignment="1">
      <alignment horizontal="right" vertical="center"/>
    </xf>
    <xf numFmtId="165" fontId="9" fillId="0" borderId="0" xfId="3" applyFont="1" applyFill="1" applyAlignment="1">
      <alignment vertical="center"/>
    </xf>
    <xf numFmtId="43" fontId="4" fillId="0" borderId="0" xfId="0" applyNumberFormat="1" applyFont="1" applyAlignment="1">
      <alignment vertical="center"/>
    </xf>
    <xf numFmtId="165" fontId="4" fillId="0" borderId="1" xfId="3" applyFont="1" applyFill="1" applyBorder="1" applyAlignment="1">
      <alignment vertical="center"/>
    </xf>
    <xf numFmtId="165" fontId="4" fillId="0" borderId="1" xfId="3" applyFont="1" applyBorder="1" applyAlignment="1">
      <alignment vertical="center"/>
    </xf>
    <xf numFmtId="0" fontId="0" fillId="0" borderId="55" xfId="0" applyBorder="1" applyAlignment="1">
      <alignment vertical="center"/>
    </xf>
    <xf numFmtId="1" fontId="9" fillId="13" borderId="35" xfId="3" applyNumberFormat="1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/>
    </xf>
    <xf numFmtId="165" fontId="4" fillId="13" borderId="1" xfId="3" applyFont="1" applyFill="1" applyBorder="1" applyAlignment="1">
      <alignment horizontal="center" vertical="center"/>
    </xf>
    <xf numFmtId="9" fontId="4" fillId="13" borderId="1" xfId="2" applyFont="1" applyFill="1" applyBorder="1" applyAlignment="1">
      <alignment vertical="center"/>
    </xf>
    <xf numFmtId="166" fontId="4" fillId="13" borderId="1" xfId="3" applyNumberFormat="1" applyFont="1" applyFill="1" applyBorder="1" applyAlignment="1">
      <alignment horizontal="center" vertical="center"/>
    </xf>
    <xf numFmtId="165" fontId="4" fillId="13" borderId="2" xfId="3" applyFont="1" applyFill="1" applyBorder="1" applyAlignment="1">
      <alignment horizontal="center" vertical="center"/>
    </xf>
    <xf numFmtId="169" fontId="9" fillId="0" borderId="0" xfId="0" applyNumberFormat="1" applyFont="1" applyAlignment="1">
      <alignment vertical="center"/>
    </xf>
    <xf numFmtId="165" fontId="6" fillId="0" borderId="27" xfId="3" applyFont="1" applyFill="1" applyBorder="1" applyAlignment="1">
      <alignment horizontal="center" vertical="center"/>
    </xf>
    <xf numFmtId="166" fontId="4" fillId="0" borderId="1" xfId="3" applyNumberFormat="1" applyFont="1" applyBorder="1" applyAlignment="1">
      <alignment horizontal="center" vertical="center"/>
    </xf>
    <xf numFmtId="167" fontId="4" fillId="0" borderId="2" xfId="3" applyNumberFormat="1" applyFont="1" applyBorder="1" applyAlignment="1">
      <alignment horizontal="center" vertical="center"/>
    </xf>
    <xf numFmtId="165" fontId="8" fillId="0" borderId="0" xfId="3" applyFont="1" applyAlignment="1">
      <alignment vertical="center"/>
    </xf>
    <xf numFmtId="165" fontId="8" fillId="0" borderId="1" xfId="3" applyFont="1" applyBorder="1" applyAlignment="1">
      <alignment vertical="center"/>
    </xf>
    <xf numFmtId="10" fontId="8" fillId="0" borderId="1" xfId="2" applyNumberFormat="1" applyFont="1" applyBorder="1" applyAlignment="1">
      <alignment vertical="center"/>
    </xf>
    <xf numFmtId="10" fontId="10" fillId="0" borderId="1" xfId="2" applyNumberFormat="1" applyFont="1" applyBorder="1" applyAlignment="1">
      <alignment vertical="center"/>
    </xf>
    <xf numFmtId="0" fontId="8" fillId="0" borderId="1" xfId="0" applyFont="1" applyBorder="1" applyAlignment="1">
      <alignment vertical="center"/>
    </xf>
    <xf numFmtId="166" fontId="8" fillId="0" borderId="1" xfId="3" applyNumberFormat="1" applyFont="1" applyBorder="1" applyAlignment="1">
      <alignment vertical="center"/>
    </xf>
    <xf numFmtId="170" fontId="8" fillId="0" borderId="1" xfId="0" applyNumberFormat="1" applyFont="1" applyBorder="1" applyAlignment="1">
      <alignment vertical="center"/>
    </xf>
    <xf numFmtId="166" fontId="10" fillId="0" borderId="1" xfId="0" applyNumberFormat="1" applyFont="1" applyBorder="1" applyAlignment="1">
      <alignment vertical="center"/>
    </xf>
    <xf numFmtId="0" fontId="24" fillId="0" borderId="1" xfId="0" applyFont="1" applyBorder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0" fontId="9" fillId="3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justify"/>
    </xf>
    <xf numFmtId="0" fontId="4" fillId="0" borderId="1" xfId="0" applyFont="1" applyBorder="1"/>
    <xf numFmtId="171" fontId="6" fillId="3" borderId="1" xfId="0" applyNumberFormat="1" applyFont="1" applyFill="1" applyBorder="1"/>
    <xf numFmtId="171" fontId="6" fillId="0" borderId="1" xfId="0" applyNumberFormat="1" applyFont="1" applyBorder="1"/>
    <xf numFmtId="171" fontId="9" fillId="0" borderId="0" xfId="0" applyNumberFormat="1" applyFont="1"/>
    <xf numFmtId="172" fontId="4" fillId="0" borderId="0" xfId="3" applyNumberFormat="1" applyFont="1" applyBorder="1" applyAlignment="1">
      <alignment vertical="center"/>
    </xf>
    <xf numFmtId="1" fontId="9" fillId="13" borderId="56" xfId="3" applyNumberFormat="1" applyFont="1" applyFill="1" applyBorder="1" applyAlignment="1">
      <alignment horizontal="center" vertical="center"/>
    </xf>
    <xf numFmtId="0" fontId="4" fillId="0" borderId="34" xfId="0" applyFont="1" applyBorder="1" applyAlignment="1">
      <alignment vertical="center" wrapText="1"/>
    </xf>
    <xf numFmtId="165" fontId="4" fillId="3" borderId="53" xfId="3" applyFont="1" applyFill="1" applyBorder="1" applyAlignment="1">
      <alignment vertical="center"/>
    </xf>
    <xf numFmtId="171" fontId="0" fillId="0" borderId="0" xfId="0" applyNumberFormat="1" applyAlignment="1">
      <alignment vertical="center"/>
    </xf>
    <xf numFmtId="0" fontId="6" fillId="3" borderId="34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vertical="center" wrapText="1"/>
    </xf>
    <xf numFmtId="165" fontId="9" fillId="3" borderId="2" xfId="3" applyFont="1" applyFill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171" fontId="4" fillId="0" borderId="1" xfId="0" applyNumberFormat="1" applyFont="1" applyBorder="1"/>
    <xf numFmtId="49" fontId="6" fillId="3" borderId="1" xfId="0" applyNumberFormat="1" applyFont="1" applyFill="1" applyBorder="1"/>
    <xf numFmtId="49" fontId="4" fillId="0" borderId="1" xfId="0" applyNumberFormat="1" applyFont="1" applyBorder="1"/>
    <xf numFmtId="10" fontId="4" fillId="0" borderId="1" xfId="0" applyNumberFormat="1" applyFont="1" applyBorder="1"/>
    <xf numFmtId="4" fontId="4" fillId="0" borderId="1" xfId="0" applyNumberFormat="1" applyFont="1" applyBorder="1" applyAlignment="1">
      <alignment vertical="center"/>
    </xf>
    <xf numFmtId="41" fontId="6" fillId="0" borderId="31" xfId="0" applyNumberFormat="1" applyFont="1" applyBorder="1" applyAlignment="1">
      <alignment vertical="center"/>
    </xf>
    <xf numFmtId="166" fontId="6" fillId="0" borderId="0" xfId="3" applyNumberFormat="1" applyFont="1" applyBorder="1" applyAlignment="1">
      <alignment horizontal="center" vertical="center"/>
    </xf>
    <xf numFmtId="165" fontId="4" fillId="0" borderId="0" xfId="3" applyFont="1" applyBorder="1" applyAlignment="1">
      <alignment horizontal="center" vertical="center"/>
    </xf>
    <xf numFmtId="3" fontId="6" fillId="13" borderId="1" xfId="0" applyNumberFormat="1" applyFont="1" applyFill="1" applyBorder="1" applyAlignment="1">
      <alignment vertical="center"/>
    </xf>
    <xf numFmtId="1" fontId="6" fillId="0" borderId="1" xfId="0" applyNumberFormat="1" applyFont="1" applyBorder="1" applyAlignment="1">
      <alignment horizontal="center" vertical="center"/>
    </xf>
    <xf numFmtId="165" fontId="4" fillId="0" borderId="11" xfId="3" applyFont="1" applyBorder="1" applyAlignment="1">
      <alignment vertical="center"/>
    </xf>
    <xf numFmtId="0" fontId="4" fillId="13" borderId="0" xfId="0" applyFont="1" applyFill="1" applyAlignment="1">
      <alignment horizontal="center" vertical="center"/>
    </xf>
    <xf numFmtId="165" fontId="9" fillId="0" borderId="0" xfId="3" applyFont="1" applyFill="1" applyBorder="1" applyAlignment="1">
      <alignment horizontal="center" vertical="center"/>
    </xf>
    <xf numFmtId="1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0" borderId="58" xfId="0" applyFont="1" applyBorder="1" applyAlignment="1">
      <alignment vertical="center"/>
    </xf>
    <xf numFmtId="1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165" fontId="4" fillId="0" borderId="8" xfId="3" applyFont="1" applyBorder="1" applyAlignment="1">
      <alignment vertical="center"/>
    </xf>
    <xf numFmtId="0" fontId="4" fillId="0" borderId="19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165" fontId="6" fillId="0" borderId="5" xfId="3" applyFont="1" applyFill="1" applyBorder="1" applyAlignment="1">
      <alignment horizontal="center" vertical="center" wrapText="1"/>
    </xf>
    <xf numFmtId="165" fontId="6" fillId="0" borderId="7" xfId="3" applyFont="1" applyFill="1" applyBorder="1" applyAlignment="1">
      <alignment horizontal="center" vertical="center" wrapText="1"/>
    </xf>
    <xf numFmtId="0" fontId="30" fillId="0" borderId="5" xfId="4" applyFont="1" applyBorder="1" applyAlignment="1">
      <alignment horizontal="center" vertical="center" wrapText="1"/>
    </xf>
    <xf numFmtId="0" fontId="30" fillId="0" borderId="6" xfId="4" applyFont="1" applyBorder="1" applyAlignment="1">
      <alignment horizontal="center" vertical="center" wrapText="1"/>
    </xf>
    <xf numFmtId="0" fontId="30" fillId="0" borderId="7" xfId="4" applyFont="1" applyBorder="1" applyAlignment="1">
      <alignment horizontal="center" vertical="center" wrapText="1"/>
    </xf>
    <xf numFmtId="14" fontId="32" fillId="13" borderId="22" xfId="4" applyNumberFormat="1" applyFont="1" applyFill="1" applyBorder="1" applyAlignment="1">
      <alignment horizontal="center" vertical="center"/>
    </xf>
    <xf numFmtId="0" fontId="32" fillId="13" borderId="23" xfId="4" applyFont="1" applyFill="1" applyBorder="1" applyAlignment="1">
      <alignment horizontal="center" vertical="center"/>
    </xf>
    <xf numFmtId="0" fontId="18" fillId="8" borderId="5" xfId="0" applyFont="1" applyFill="1" applyBorder="1" applyAlignment="1">
      <alignment horizontal="center" vertical="center"/>
    </xf>
    <xf numFmtId="0" fontId="18" fillId="8" borderId="6" xfId="0" applyFont="1" applyFill="1" applyBorder="1" applyAlignment="1">
      <alignment horizontal="center" vertical="center"/>
    </xf>
    <xf numFmtId="0" fontId="18" fillId="8" borderId="7" xfId="0" applyFont="1" applyFill="1" applyBorder="1" applyAlignment="1">
      <alignment horizontal="center" vertical="center"/>
    </xf>
    <xf numFmtId="165" fontId="7" fillId="8" borderId="5" xfId="3" applyFont="1" applyFill="1" applyBorder="1" applyAlignment="1">
      <alignment horizontal="center" vertical="center"/>
    </xf>
    <xf numFmtId="165" fontId="7" fillId="8" borderId="6" xfId="3" applyFont="1" applyFill="1" applyBorder="1" applyAlignment="1">
      <alignment horizontal="center" vertical="center"/>
    </xf>
    <xf numFmtId="165" fontId="7" fillId="8" borderId="7" xfId="3" applyFont="1" applyFill="1" applyBorder="1" applyAlignment="1">
      <alignment horizontal="center" vertical="center"/>
    </xf>
    <xf numFmtId="165" fontId="6" fillId="0" borderId="5" xfId="3" applyFont="1" applyBorder="1" applyAlignment="1">
      <alignment horizontal="left" vertical="center"/>
    </xf>
    <xf numFmtId="165" fontId="6" fillId="0" borderId="6" xfId="3" applyFont="1" applyBorder="1" applyAlignment="1">
      <alignment horizontal="left" vertical="center"/>
    </xf>
    <xf numFmtId="165" fontId="6" fillId="0" borderId="7" xfId="3" applyFont="1" applyBorder="1" applyAlignment="1">
      <alignment horizontal="left" vertical="center"/>
    </xf>
    <xf numFmtId="41" fontId="6" fillId="0" borderId="5" xfId="0" applyNumberFormat="1" applyFont="1" applyBorder="1" applyAlignment="1">
      <alignment horizontal="left" vertical="center"/>
    </xf>
    <xf numFmtId="41" fontId="6" fillId="0" borderId="57" xfId="0" applyNumberFormat="1" applyFont="1" applyBorder="1" applyAlignment="1">
      <alignment horizontal="left" vertical="center"/>
    </xf>
    <xf numFmtId="0" fontId="18" fillId="0" borderId="17" xfId="4" applyFont="1" applyBorder="1" applyAlignment="1">
      <alignment horizontal="center" vertical="center"/>
    </xf>
    <xf numFmtId="0" fontId="18" fillId="0" borderId="18" xfId="4" applyFont="1" applyBorder="1" applyAlignment="1">
      <alignment horizontal="center" vertical="center"/>
    </xf>
    <xf numFmtId="0" fontId="18" fillId="8" borderId="17" xfId="0" applyFont="1" applyFill="1" applyBorder="1" applyAlignment="1">
      <alignment horizontal="center" vertical="center"/>
    </xf>
    <xf numFmtId="0" fontId="18" fillId="8" borderId="18" xfId="0" applyFont="1" applyFill="1" applyBorder="1" applyAlignment="1">
      <alignment horizontal="center" vertical="center"/>
    </xf>
    <xf numFmtId="0" fontId="18" fillId="8" borderId="10" xfId="0" applyFont="1" applyFill="1" applyBorder="1" applyAlignment="1">
      <alignment horizontal="center" vertical="center"/>
    </xf>
    <xf numFmtId="0" fontId="7" fillId="10" borderId="21" xfId="0" applyFont="1" applyFill="1" applyBorder="1" applyAlignment="1">
      <alignment horizontal="left" vertical="center"/>
    </xf>
    <xf numFmtId="0" fontId="7" fillId="10" borderId="22" xfId="0" applyFont="1" applyFill="1" applyBorder="1" applyAlignment="1">
      <alignment horizontal="left" vertical="center"/>
    </xf>
    <xf numFmtId="0" fontId="7" fillId="10" borderId="23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10" fillId="5" borderId="5" xfId="0" applyFont="1" applyFill="1" applyBorder="1" applyAlignment="1">
      <alignment horizontal="left" vertical="center" wrapText="1"/>
    </xf>
    <xf numFmtId="0" fontId="10" fillId="5" borderId="6" xfId="0" applyFont="1" applyFill="1" applyBorder="1" applyAlignment="1">
      <alignment horizontal="left" vertical="center" wrapText="1"/>
    </xf>
    <xf numFmtId="9" fontId="10" fillId="0" borderId="17" xfId="2" applyFont="1" applyBorder="1" applyAlignment="1">
      <alignment horizontal="center"/>
    </xf>
    <xf numFmtId="9" fontId="10" fillId="0" borderId="18" xfId="2" applyFont="1" applyBorder="1" applyAlignment="1">
      <alignment horizontal="center"/>
    </xf>
    <xf numFmtId="9" fontId="10" fillId="0" borderId="10" xfId="2" applyFont="1" applyBorder="1" applyAlignment="1">
      <alignment horizontal="center"/>
    </xf>
    <xf numFmtId="0" fontId="7" fillId="10" borderId="5" xfId="0" applyFont="1" applyFill="1" applyBorder="1" applyAlignment="1">
      <alignment horizontal="center" vertical="center"/>
    </xf>
    <xf numFmtId="0" fontId="7" fillId="10" borderId="6" xfId="0" applyFont="1" applyFill="1" applyBorder="1" applyAlignment="1">
      <alignment horizontal="center" vertical="center"/>
    </xf>
  </cellXfs>
  <cellStyles count="12">
    <cellStyle name="Hiperlink" xfId="1" builtinId="8"/>
    <cellStyle name="Normal" xfId="0" builtinId="0"/>
    <cellStyle name="Normal 2" xfId="7" xr:uid="{00000000-0005-0000-0000-000002000000}"/>
    <cellStyle name="Normal 3" xfId="4" xr:uid="{00000000-0005-0000-0000-000003000000}"/>
    <cellStyle name="Normal 4" xfId="10" xr:uid="{00000000-0005-0000-0000-000004000000}"/>
    <cellStyle name="Porcentagem" xfId="2" builtinId="5"/>
    <cellStyle name="Porcentagem 2" xfId="8" xr:uid="{00000000-0005-0000-0000-000006000000}"/>
    <cellStyle name="Porcentagem 2 2" xfId="11" xr:uid="{00000000-0005-0000-0000-000007000000}"/>
    <cellStyle name="Porcentagem 3" xfId="9" xr:uid="{00000000-0005-0000-0000-000008000000}"/>
    <cellStyle name="Separador de milhares 3" xfId="5" xr:uid="{00000000-0005-0000-0000-000009000000}"/>
    <cellStyle name="Vírgula" xfId="3" builtinId="3"/>
    <cellStyle name="Vírgula 2" xfId="6" xr:uid="{00000000-0005-0000-0000-00000B000000}"/>
  </cellStyles>
  <dxfs count="0"/>
  <tableStyles count="0" defaultTableStyle="TableStyleMedium2" defaultPivotStyle="PivotStyleLight16"/>
  <colors>
    <mruColors>
      <color rgb="FFFF3399"/>
      <color rgb="FFFFFF99"/>
      <color rgb="FF00FF00"/>
      <color rgb="FFFF66FF"/>
      <color rgb="FF66FFFF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971551</xdr:colOff>
      <xdr:row>1</xdr:row>
      <xdr:rowOff>9525</xdr:rowOff>
    </xdr:from>
    <xdr:to>
      <xdr:col>0</xdr:col>
      <xdr:colOff>2990851</xdr:colOff>
      <xdr:row>1</xdr:row>
      <xdr:rowOff>276225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71551" y="304800"/>
          <a:ext cx="2019300" cy="266700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/>
            <a:t>PAE 8697-2025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4</xdr:row>
      <xdr:rowOff>28575</xdr:rowOff>
    </xdr:from>
    <xdr:to>
      <xdr:col>0</xdr:col>
      <xdr:colOff>1419225</xdr:colOff>
      <xdr:row>6</xdr:row>
      <xdr:rowOff>66675</xdr:rowOff>
    </xdr:to>
    <xdr:pic>
      <xdr:nvPicPr>
        <xdr:cNvPr id="6506" name="Picture 2">
          <a:extLst>
            <a:ext uri="{FF2B5EF4-FFF2-40B4-BE49-F238E27FC236}">
              <a16:creationId xmlns:a16="http://schemas.microsoft.com/office/drawing/2014/main" id="{00000000-0008-0000-0800-00006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419100"/>
          <a:ext cx="12858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7</xdr:row>
      <xdr:rowOff>9525</xdr:rowOff>
    </xdr:from>
    <xdr:to>
      <xdr:col>0</xdr:col>
      <xdr:colOff>2124075</xdr:colOff>
      <xdr:row>9</xdr:row>
      <xdr:rowOff>57150</xdr:rowOff>
    </xdr:to>
    <xdr:pic>
      <xdr:nvPicPr>
        <xdr:cNvPr id="6507" name="Picture 1">
          <a:extLst>
            <a:ext uri="{FF2B5EF4-FFF2-40B4-BE49-F238E27FC236}">
              <a16:creationId xmlns:a16="http://schemas.microsoft.com/office/drawing/2014/main" id="{00000000-0008-0000-0800-00006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85825"/>
          <a:ext cx="20383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02"/>
  <sheetViews>
    <sheetView tabSelected="1" view="pageBreakPreview" topLeftCell="A271" zoomScaleNormal="100" zoomScaleSheetLayoutView="100" workbookViewId="0">
      <selection activeCell="C297" sqref="C297"/>
    </sheetView>
  </sheetViews>
  <sheetFormatPr defaultRowHeight="12.75" x14ac:dyDescent="0.2"/>
  <cols>
    <col min="1" max="1" width="45" style="6" customWidth="1"/>
    <col min="2" max="2" width="13.7109375" style="6" bestFit="1" customWidth="1"/>
    <col min="3" max="3" width="20.5703125" style="6" customWidth="1"/>
    <col min="4" max="4" width="14.7109375" style="7" customWidth="1"/>
    <col min="5" max="5" width="13.7109375" style="7" customWidth="1"/>
    <col min="6" max="6" width="14.85546875" style="7" customWidth="1"/>
    <col min="7" max="7" width="18.28515625" style="7" customWidth="1"/>
    <col min="8" max="9" width="12.85546875" style="6" bestFit="1" customWidth="1"/>
    <col min="10" max="10" width="10.5703125" style="6" bestFit="1" customWidth="1"/>
    <col min="11" max="11" width="9.140625" style="6"/>
    <col min="12" max="12" width="10.5703125" style="6" bestFit="1" customWidth="1"/>
    <col min="13" max="16384" width="9.140625" style="6"/>
  </cols>
  <sheetData>
    <row r="1" spans="1:7" s="173" customFormat="1" ht="23.25" customHeight="1" thickBot="1" x14ac:dyDescent="0.25">
      <c r="A1" s="376" t="s">
        <v>175</v>
      </c>
      <c r="B1" s="377"/>
      <c r="C1" s="377"/>
      <c r="D1" s="377"/>
      <c r="E1" s="377"/>
      <c r="F1" s="377"/>
      <c r="G1" s="378"/>
    </row>
    <row r="2" spans="1:7" s="173" customFormat="1" ht="23.25" customHeight="1" thickBot="1" x14ac:dyDescent="0.25">
      <c r="A2" s="283" t="s">
        <v>172</v>
      </c>
      <c r="B2" s="243" t="s">
        <v>173</v>
      </c>
      <c r="C2" s="290"/>
      <c r="D2" s="291"/>
      <c r="E2" s="285" t="s">
        <v>174</v>
      </c>
      <c r="F2" s="379">
        <v>46059</v>
      </c>
      <c r="G2" s="380"/>
    </row>
    <row r="3" spans="1:7" s="5" customFormat="1" ht="18.75" thickBot="1" x14ac:dyDescent="0.25">
      <c r="A3" s="381" t="s">
        <v>355</v>
      </c>
      <c r="B3" s="382"/>
      <c r="C3" s="382"/>
      <c r="D3" s="382"/>
      <c r="E3" s="382"/>
      <c r="F3" s="382"/>
      <c r="G3" s="383"/>
    </row>
    <row r="4" spans="1:7" s="2" customFormat="1" ht="10.9" customHeight="1" thickBot="1" x14ac:dyDescent="0.25">
      <c r="A4" s="65"/>
      <c r="B4" s="57"/>
      <c r="C4" s="57"/>
      <c r="D4" s="66"/>
      <c r="E4" s="66"/>
      <c r="F4" s="66"/>
      <c r="G4" s="67"/>
    </row>
    <row r="5" spans="1:7" s="2" customFormat="1" ht="15.75" customHeight="1" thickBot="1" x14ac:dyDescent="0.25">
      <c r="A5" s="384" t="s">
        <v>130</v>
      </c>
      <c r="B5" s="385"/>
      <c r="C5" s="385"/>
      <c r="D5" s="385"/>
      <c r="E5" s="385"/>
      <c r="F5" s="385"/>
      <c r="G5" s="386"/>
    </row>
    <row r="6" spans="1:7" s="2" customFormat="1" ht="16.5" thickBot="1" x14ac:dyDescent="0.25">
      <c r="A6" s="225" t="s">
        <v>214</v>
      </c>
      <c r="B6" s="374" t="s">
        <v>215</v>
      </c>
      <c r="C6" s="375"/>
      <c r="D6" s="374" t="s">
        <v>216</v>
      </c>
      <c r="E6" s="375"/>
      <c r="F6" s="374" t="s">
        <v>217</v>
      </c>
      <c r="G6" s="375"/>
    </row>
    <row r="7" spans="1:7" s="8" customFormat="1" ht="15.75" customHeight="1" x14ac:dyDescent="0.2">
      <c r="A7" s="53" t="str">
        <f>A41</f>
        <v>1. Mão-de-obra</v>
      </c>
      <c r="B7" s="226">
        <f>+F114</f>
        <v>23904.881920706597</v>
      </c>
      <c r="C7" s="229">
        <f>SUM(C8:C13)</f>
        <v>0.14804991487049218</v>
      </c>
      <c r="D7" s="226">
        <f>B7</f>
        <v>23904.881920706597</v>
      </c>
      <c r="E7" s="229">
        <f>SUM(E8:E13)</f>
        <v>0.15749362251710911</v>
      </c>
      <c r="F7" s="226">
        <f>F115</f>
        <v>18912.268384373292</v>
      </c>
      <c r="G7" s="229">
        <f>SUM(G8:G13)</f>
        <v>0.12012675112243106</v>
      </c>
    </row>
    <row r="8" spans="1:7" s="2" customFormat="1" ht="15.75" customHeight="1" x14ac:dyDescent="0.2">
      <c r="A8" s="27" t="s">
        <v>189</v>
      </c>
      <c r="B8" s="227">
        <f>F55</f>
        <v>13356.369593231575</v>
      </c>
      <c r="C8" s="230">
        <f t="shared" ref="C8:C15" si="0">IFERROR(B8/$B$26,0)</f>
        <v>8.2719897459268207E-2</v>
      </c>
      <c r="D8" s="227">
        <f t="shared" ref="D8:D22" si="1">B8</f>
        <v>13356.369593231575</v>
      </c>
      <c r="E8" s="230">
        <f t="shared" ref="E8:E15" si="2">IFERROR(D8/$D$26,0)</f>
        <v>8.7996378224872177E-2</v>
      </c>
      <c r="F8" s="227">
        <f>F61</f>
        <v>10300.040128353972</v>
      </c>
      <c r="G8" s="230">
        <f t="shared" ref="G8:G15" si="3">IFERROR(F8/$F$26,0)</f>
        <v>6.5423688576257022E-2</v>
      </c>
    </row>
    <row r="9" spans="1:7" s="2" customFormat="1" ht="15.75" customHeight="1" x14ac:dyDescent="0.2">
      <c r="A9" s="363" t="s">
        <v>368</v>
      </c>
      <c r="B9" s="227">
        <f>F77</f>
        <v>8461.6943274750338</v>
      </c>
      <c r="C9" s="230">
        <f t="shared" si="0"/>
        <v>5.2405744106924876E-2</v>
      </c>
      <c r="D9" s="227">
        <f>B9</f>
        <v>8461.6943274750338</v>
      </c>
      <c r="E9" s="230">
        <f t="shared" si="2"/>
        <v>5.5748566200285329E-2</v>
      </c>
      <c r="F9" s="227">
        <f>F83</f>
        <v>6525.4102560193296</v>
      </c>
      <c r="G9" s="230">
        <f t="shared" si="3"/>
        <v>4.144803351269534E-2</v>
      </c>
    </row>
    <row r="10" spans="1:7" s="2" customFormat="1" ht="15.75" customHeight="1" x14ac:dyDescent="0.2">
      <c r="A10" s="27" t="str">
        <f>A86</f>
        <v>1.3. Vale Transporte</v>
      </c>
      <c r="B10" s="227">
        <f>F92</f>
        <v>493.51799999999997</v>
      </c>
      <c r="C10" s="230">
        <f t="shared" si="0"/>
        <v>3.0565011000437442E-3</v>
      </c>
      <c r="D10" s="227">
        <f t="shared" si="1"/>
        <v>493.51799999999997</v>
      </c>
      <c r="E10" s="230">
        <f t="shared" si="2"/>
        <v>3.2514671210348788E-3</v>
      </c>
      <c r="F10" s="227">
        <f>D10</f>
        <v>493.51799999999997</v>
      </c>
      <c r="G10" s="230">
        <f t="shared" si="3"/>
        <v>3.1347225385943279E-3</v>
      </c>
    </row>
    <row r="11" spans="1:7" s="2" customFormat="1" ht="15.75" customHeight="1" x14ac:dyDescent="0.2">
      <c r="A11" s="27" t="str">
        <f>A94</f>
        <v>1.4. Vale-refeição (diário)</v>
      </c>
      <c r="B11" s="227">
        <f>F100</f>
        <v>1185.6000000000001</v>
      </c>
      <c r="C11" s="230">
        <f t="shared" si="0"/>
        <v>7.3427670403346254E-3</v>
      </c>
      <c r="D11" s="227">
        <f t="shared" si="1"/>
        <v>1185.6000000000001</v>
      </c>
      <c r="E11" s="230">
        <f t="shared" si="2"/>
        <v>7.8111424886203804E-3</v>
      </c>
      <c r="F11" s="227">
        <f t="shared" ref="F11:F22" si="4">D11</f>
        <v>1185.6000000000001</v>
      </c>
      <c r="G11" s="230">
        <f t="shared" si="3"/>
        <v>7.5306818429265723E-3</v>
      </c>
    </row>
    <row r="12" spans="1:7" s="2" customFormat="1" ht="15.75" customHeight="1" x14ac:dyDescent="0.2">
      <c r="A12" s="27" t="str">
        <f>A102</f>
        <v>1.5. Auxílio Alimentação (mensal)</v>
      </c>
      <c r="B12" s="227">
        <f>F106</f>
        <v>331.2</v>
      </c>
      <c r="C12" s="230">
        <f t="shared" si="0"/>
        <v>2.0512183230084577E-3</v>
      </c>
      <c r="D12" s="227">
        <f t="shared" si="1"/>
        <v>331.2</v>
      </c>
      <c r="E12" s="230">
        <f t="shared" si="2"/>
        <v>2.182060047428365E-3</v>
      </c>
      <c r="F12" s="227">
        <f t="shared" si="4"/>
        <v>331.2</v>
      </c>
      <c r="G12" s="230">
        <f t="shared" si="3"/>
        <v>2.103712741546289E-3</v>
      </c>
    </row>
    <row r="13" spans="1:7" s="2" customFormat="1" ht="15.75" customHeight="1" x14ac:dyDescent="0.2">
      <c r="A13" s="27" t="str">
        <f>A109</f>
        <v>1.6. Seguro de vida</v>
      </c>
      <c r="B13" s="227">
        <f>F112</f>
        <v>76.5</v>
      </c>
      <c r="C13" s="230">
        <f t="shared" si="0"/>
        <v>4.7378684091227966E-4</v>
      </c>
      <c r="D13" s="227">
        <f>B13</f>
        <v>76.5</v>
      </c>
      <c r="E13" s="230">
        <f t="shared" si="2"/>
        <v>5.0400843486796479E-4</v>
      </c>
      <c r="F13" s="227">
        <f t="shared" si="4"/>
        <v>76.5</v>
      </c>
      <c r="G13" s="230">
        <f t="shared" si="3"/>
        <v>4.8591191041150704E-4</v>
      </c>
    </row>
    <row r="14" spans="1:7" s="8" customFormat="1" ht="15.75" customHeight="1" x14ac:dyDescent="0.2">
      <c r="A14" s="53" t="str">
        <f>A117</f>
        <v>2. Uniformes e Equiptos. Proteção Individual</v>
      </c>
      <c r="B14" s="228">
        <f>+F138</f>
        <v>2967.4800000000005</v>
      </c>
      <c r="C14" s="231">
        <f t="shared" si="0"/>
        <v>1.8378470257129045E-2</v>
      </c>
      <c r="D14" s="228">
        <f t="shared" si="1"/>
        <v>2967.4800000000005</v>
      </c>
      <c r="E14" s="231">
        <f t="shared" si="2"/>
        <v>1.9550783664078281E-2</v>
      </c>
      <c r="F14" s="228">
        <f t="shared" si="4"/>
        <v>2967.4800000000005</v>
      </c>
      <c r="G14" s="231">
        <f t="shared" si="3"/>
        <v>1.8848808835397895E-2</v>
      </c>
    </row>
    <row r="15" spans="1:7" s="8" customFormat="1" ht="15.75" customHeight="1" x14ac:dyDescent="0.2">
      <c r="A15" s="177" t="str">
        <f>A140</f>
        <v>3. Veículos e Equipamentos</v>
      </c>
      <c r="B15" s="228">
        <f>+F223</f>
        <v>94264.489379318693</v>
      </c>
      <c r="C15" s="231">
        <f t="shared" si="0"/>
        <v>0.58380751154557575</v>
      </c>
      <c r="D15" s="228">
        <f t="shared" si="1"/>
        <v>94264.489379318693</v>
      </c>
      <c r="E15" s="231">
        <f t="shared" si="2"/>
        <v>0.62104702948625234</v>
      </c>
      <c r="F15" s="228">
        <f t="shared" si="4"/>
        <v>94264.489379318693</v>
      </c>
      <c r="G15" s="231">
        <f t="shared" si="3"/>
        <v>0.59874821069633932</v>
      </c>
    </row>
    <row r="16" spans="1:7" s="2" customFormat="1" ht="15.75" customHeight="1" x14ac:dyDescent="0.2">
      <c r="A16" s="36" t="str">
        <f>A142</f>
        <v>3.1. Depreciação</v>
      </c>
      <c r="B16" s="227">
        <f>F157</f>
        <v>13451.555090000002</v>
      </c>
      <c r="C16" s="232">
        <f t="shared" ref="C16:C23" si="5">IFERROR(B16/$B$26,0)</f>
        <v>8.3309409038543752E-2</v>
      </c>
      <c r="D16" s="227">
        <f t="shared" si="1"/>
        <v>13451.555090000002</v>
      </c>
      <c r="E16" s="232">
        <f t="shared" ref="E16:E22" si="6">IFERROR(D16/$D$26,0)</f>
        <v>8.8623493169295506E-2</v>
      </c>
      <c r="F16" s="227">
        <f t="shared" si="4"/>
        <v>13451.555090000002</v>
      </c>
      <c r="G16" s="232">
        <f t="shared" ref="G16:G22" si="7">IFERROR(F16/$F$26,0)</f>
        <v>8.5441448781536367E-2</v>
      </c>
    </row>
    <row r="17" spans="1:11" s="2" customFormat="1" ht="15.75" customHeight="1" x14ac:dyDescent="0.2">
      <c r="A17" s="36" t="str">
        <f>A159</f>
        <v>3.2. Remuneração do Capital</v>
      </c>
      <c r="B17" s="227">
        <f>F174</f>
        <v>21876.525314250001</v>
      </c>
      <c r="C17" s="232">
        <f t="shared" si="5"/>
        <v>0.13548771004935981</v>
      </c>
      <c r="D17" s="227">
        <f t="shared" si="1"/>
        <v>21876.525314250001</v>
      </c>
      <c r="E17" s="232">
        <f t="shared" si="6"/>
        <v>0.14413010828737979</v>
      </c>
      <c r="F17" s="227">
        <f t="shared" si="4"/>
        <v>21876.525314250001</v>
      </c>
      <c r="G17" s="232">
        <f t="shared" si="7"/>
        <v>0.13895508769428641</v>
      </c>
    </row>
    <row r="18" spans="1:11" s="2" customFormat="1" ht="15.75" customHeight="1" x14ac:dyDescent="0.2">
      <c r="A18" s="36" t="str">
        <f>A177</f>
        <v>3.3. Impostos e Seguros e outros</v>
      </c>
      <c r="B18" s="227">
        <f>F185</f>
        <v>3070.8783333333336</v>
      </c>
      <c r="C18" s="232">
        <f t="shared" si="5"/>
        <v>1.9018846331711983E-2</v>
      </c>
      <c r="D18" s="227">
        <f t="shared" si="1"/>
        <v>3070.8783333333336</v>
      </c>
      <c r="E18" s="232">
        <f t="shared" si="6"/>
        <v>2.0232007613768335E-2</v>
      </c>
      <c r="F18" s="227">
        <f t="shared" si="4"/>
        <v>3070.8783333333336</v>
      </c>
      <c r="G18" s="232">
        <f t="shared" si="7"/>
        <v>1.9505573301847122E-2</v>
      </c>
    </row>
    <row r="19" spans="1:11" s="2" customFormat="1" ht="15.75" customHeight="1" x14ac:dyDescent="0.2">
      <c r="A19" s="36" t="str">
        <f>A187</f>
        <v>3.4. Consumos</v>
      </c>
      <c r="B19" s="227">
        <f>F204</f>
        <v>29437.460289855073</v>
      </c>
      <c r="C19" s="232">
        <f t="shared" si="5"/>
        <v>0.18231478843413224</v>
      </c>
      <c r="D19" s="227">
        <f t="shared" si="1"/>
        <v>29437.460289855073</v>
      </c>
      <c r="E19" s="232">
        <f t="shared" si="6"/>
        <v>0.19394416061670222</v>
      </c>
      <c r="F19" s="227">
        <f t="shared" si="4"/>
        <v>29437.460289855073</v>
      </c>
      <c r="G19" s="232">
        <f t="shared" si="7"/>
        <v>0.18698055643276279</v>
      </c>
    </row>
    <row r="20" spans="1:11" s="2" customFormat="1" ht="15.75" customHeight="1" x14ac:dyDescent="0.2">
      <c r="A20" s="36" t="str">
        <f>A207</f>
        <v>3.6. Manutenção</v>
      </c>
      <c r="B20" s="227">
        <f>F213</f>
        <v>14688</v>
      </c>
      <c r="C20" s="232">
        <f t="shared" si="5"/>
        <v>9.0967073455157699E-2</v>
      </c>
      <c r="D20" s="227">
        <f t="shared" si="1"/>
        <v>14688</v>
      </c>
      <c r="E20" s="232">
        <f t="shared" si="6"/>
        <v>9.6769619494649239E-2</v>
      </c>
      <c r="F20" s="227">
        <f t="shared" si="4"/>
        <v>14688</v>
      </c>
      <c r="G20" s="232">
        <f t="shared" si="7"/>
        <v>9.3295086799009344E-2</v>
      </c>
    </row>
    <row r="21" spans="1:11" s="2" customFormat="1" ht="15.75" customHeight="1" x14ac:dyDescent="0.2">
      <c r="A21" s="36" t="str">
        <f>A215</f>
        <v>3.7. Pneus</v>
      </c>
      <c r="B21" s="227">
        <f>F221</f>
        <v>11740.070351880282</v>
      </c>
      <c r="C21" s="232">
        <f t="shared" si="5"/>
        <v>7.2709684236670249E-2</v>
      </c>
      <c r="D21" s="227">
        <f t="shared" si="1"/>
        <v>11740.070351880282</v>
      </c>
      <c r="E21" s="232">
        <f t="shared" si="6"/>
        <v>7.7347640304457219E-2</v>
      </c>
      <c r="F21" s="227">
        <f t="shared" si="4"/>
        <v>11740.070351880282</v>
      </c>
      <c r="G21" s="232">
        <f t="shared" si="7"/>
        <v>7.4570457686897268E-2</v>
      </c>
    </row>
    <row r="22" spans="1:11" s="8" customFormat="1" ht="15.75" customHeight="1" x14ac:dyDescent="0.2">
      <c r="A22" s="177" t="str">
        <f>A225</f>
        <v>4. Ferramentas e Materiais de Consumo</v>
      </c>
      <c r="B22" s="228">
        <f>+F233</f>
        <v>37.644999999999996</v>
      </c>
      <c r="C22" s="231">
        <f t="shared" si="5"/>
        <v>2.3314647877310807E-4</v>
      </c>
      <c r="D22" s="228">
        <f t="shared" si="1"/>
        <v>37.644999999999996</v>
      </c>
      <c r="E22" s="231">
        <f t="shared" si="6"/>
        <v>2.4801826837391545E-4</v>
      </c>
      <c r="F22" s="228">
        <f t="shared" si="4"/>
        <v>37.644999999999996</v>
      </c>
      <c r="G22" s="231">
        <f t="shared" si="7"/>
        <v>2.3911312245021151E-4</v>
      </c>
    </row>
    <row r="23" spans="1:11" s="8" customFormat="1" ht="15.75" customHeight="1" x14ac:dyDescent="0.2">
      <c r="A23" s="177" t="str">
        <f>A238</f>
        <v>5. Benefícios e Desp. Ind. - BDI - LUCRO REAL</v>
      </c>
      <c r="B23" s="228">
        <f>+F244</f>
        <v>40290.520019758405</v>
      </c>
      <c r="C23" s="231">
        <f t="shared" si="5"/>
        <v>0.24953095684803001</v>
      </c>
      <c r="D23" s="234"/>
      <c r="E23" s="284"/>
      <c r="F23" s="234"/>
      <c r="G23" s="284"/>
    </row>
    <row r="24" spans="1:11" s="8" customFormat="1" ht="15.75" customHeight="1" x14ac:dyDescent="0.2">
      <c r="A24" s="233" t="str">
        <f>A252</f>
        <v>6. Benefícios e Desp. Ind. - BDI - LUCRO PRESUMIDO</v>
      </c>
      <c r="B24" s="234"/>
      <c r="C24" s="235"/>
      <c r="D24" s="228">
        <f>F258</f>
        <v>30608.677765386383</v>
      </c>
      <c r="E24" s="231">
        <f>IFERROR(D24/$D$26,0)</f>
        <v>0.20166054606418646</v>
      </c>
      <c r="F24" s="236"/>
      <c r="G24" s="237"/>
    </row>
    <row r="25" spans="1:11" s="8" customFormat="1" ht="15.75" customHeight="1" thickBot="1" x14ac:dyDescent="0.25">
      <c r="A25" s="233" t="str">
        <f>A266</f>
        <v>7. Benef. Desp. Ind. + Impostos - SIMPLES NACIONAL</v>
      </c>
      <c r="B25" s="238"/>
      <c r="C25" s="239"/>
      <c r="D25" s="240"/>
      <c r="E25" s="241"/>
      <c r="F25" s="242">
        <f>F272+F283</f>
        <v>41254.06058499853</v>
      </c>
      <c r="G25" s="224">
        <f>IFERROR(F25/$F$26,0)</f>
        <v>0.26203711622338155</v>
      </c>
    </row>
    <row r="26" spans="1:11" s="2" customFormat="1" ht="15.75" customHeight="1" thickBot="1" x14ac:dyDescent="0.25">
      <c r="A26" s="26" t="s">
        <v>151</v>
      </c>
      <c r="B26" s="282">
        <f>B7+B14+B15+B22+B23</f>
        <v>161465.0163197837</v>
      </c>
      <c r="C26" s="60">
        <f>C7+C14+C15+C22+C23</f>
        <v>1.0000000000000002</v>
      </c>
      <c r="D26" s="282">
        <f>D7+D14+D15+D22+D24</f>
        <v>151783.17406541167</v>
      </c>
      <c r="E26" s="60">
        <f>E7+E14+E15+E22+E24</f>
        <v>1.0000000000000002</v>
      </c>
      <c r="F26" s="282">
        <f>F7+F14+F15+F22+F25</f>
        <v>157435.94334869052</v>
      </c>
      <c r="G26" s="60">
        <f>G7+G14+G15+G22+G25</f>
        <v>1</v>
      </c>
      <c r="H26" s="8"/>
      <c r="I26" s="8"/>
      <c r="J26" s="8"/>
      <c r="K26" s="8"/>
    </row>
    <row r="27" spans="1:11" s="2" customFormat="1" ht="15.75" customHeight="1" thickBot="1" x14ac:dyDescent="0.25">
      <c r="A27" s="26" t="s">
        <v>281</v>
      </c>
      <c r="B27" s="282">
        <f>F250</f>
        <v>129.17201305582697</v>
      </c>
      <c r="C27" s="60"/>
      <c r="D27" s="282">
        <f>F264</f>
        <v>121.42653925232933</v>
      </c>
      <c r="E27" s="60"/>
      <c r="F27" s="282">
        <f>F292</f>
        <v>125.94875467895244</v>
      </c>
      <c r="G27" s="60"/>
      <c r="H27" s="8"/>
      <c r="I27" s="8"/>
      <c r="J27" s="8"/>
      <c r="K27" s="8"/>
    </row>
    <row r="28" spans="1:11" ht="13.5" thickBot="1" x14ac:dyDescent="0.25">
      <c r="A28" s="183"/>
      <c r="B28" s="286"/>
      <c r="D28" s="286"/>
      <c r="E28" s="286"/>
      <c r="F28" s="287"/>
      <c r="G28" s="6"/>
      <c r="H28" s="8"/>
      <c r="I28" s="8"/>
      <c r="J28" s="8"/>
      <c r="K28" s="8"/>
    </row>
    <row r="29" spans="1:11" s="2" customFormat="1" ht="15" customHeight="1" thickBot="1" x14ac:dyDescent="0.25">
      <c r="A29" s="384" t="s">
        <v>61</v>
      </c>
      <c r="B29" s="385"/>
      <c r="C29" s="385"/>
      <c r="D29" s="385"/>
      <c r="E29" s="386"/>
      <c r="F29" s="56"/>
      <c r="H29" s="8"/>
      <c r="I29" s="8"/>
      <c r="J29" s="8"/>
      <c r="K29" s="8"/>
    </row>
    <row r="30" spans="1:11" s="2" customFormat="1" ht="15" customHeight="1" thickBot="1" x14ac:dyDescent="0.25">
      <c r="A30" s="141" t="s">
        <v>28</v>
      </c>
      <c r="B30" s="18"/>
      <c r="C30" s="18"/>
      <c r="D30" s="289" t="s">
        <v>29</v>
      </c>
      <c r="E30" s="289" t="s">
        <v>263</v>
      </c>
      <c r="F30" s="56"/>
      <c r="H30" s="8"/>
      <c r="I30" s="8"/>
      <c r="J30" s="8"/>
      <c r="K30" s="8"/>
    </row>
    <row r="31" spans="1:11" s="2" customFormat="1" ht="15" customHeight="1" x14ac:dyDescent="0.2">
      <c r="A31" s="244" t="s">
        <v>327</v>
      </c>
      <c r="B31" s="371" t="s">
        <v>371</v>
      </c>
      <c r="C31" s="37"/>
      <c r="D31" s="318">
        <v>2</v>
      </c>
      <c r="E31" s="293">
        <v>2967.35</v>
      </c>
      <c r="F31" s="56"/>
      <c r="H31" s="313"/>
      <c r="I31" s="8"/>
      <c r="J31" s="8"/>
      <c r="K31" s="8"/>
    </row>
    <row r="32" spans="1:11" s="2" customFormat="1" ht="15" customHeight="1" x14ac:dyDescent="0.2">
      <c r="A32" s="244" t="s">
        <v>341</v>
      </c>
      <c r="B32" s="371" t="s">
        <v>371</v>
      </c>
      <c r="C32" s="37"/>
      <c r="D32" s="318">
        <v>1</v>
      </c>
      <c r="E32" s="293">
        <v>3000</v>
      </c>
      <c r="F32" s="56"/>
      <c r="H32" s="313"/>
      <c r="I32" s="8"/>
      <c r="J32" s="8"/>
      <c r="K32" s="8"/>
    </row>
    <row r="33" spans="1:11" s="2" customFormat="1" ht="15" customHeight="1" thickBot="1" x14ac:dyDescent="0.25">
      <c r="A33" s="288" t="s">
        <v>37</v>
      </c>
      <c r="B33" s="38"/>
      <c r="C33" s="38"/>
      <c r="D33" s="39">
        <f>SUM(D31:D32)</f>
        <v>3</v>
      </c>
      <c r="E33" s="325"/>
      <c r="F33" s="56"/>
      <c r="H33" s="8"/>
      <c r="I33" s="8"/>
      <c r="J33" s="8"/>
      <c r="K33" s="8"/>
    </row>
    <row r="34" spans="1:11" s="2" customFormat="1" ht="15" customHeight="1" thickBot="1" x14ac:dyDescent="0.25">
      <c r="A34" s="54"/>
      <c r="B34" s="55"/>
      <c r="C34" s="31"/>
      <c r="D34" s="31"/>
      <c r="E34" s="56"/>
      <c r="F34" s="56"/>
      <c r="H34" s="8"/>
      <c r="I34" s="8"/>
      <c r="J34" s="8"/>
      <c r="K34" s="8"/>
    </row>
    <row r="35" spans="1:11" s="2" customFormat="1" ht="15" customHeight="1" thickBot="1" x14ac:dyDescent="0.25">
      <c r="A35" s="309" t="s">
        <v>36</v>
      </c>
      <c r="B35" s="310"/>
      <c r="C35" s="310"/>
      <c r="D35" s="310"/>
      <c r="E35" s="289" t="s">
        <v>29</v>
      </c>
      <c r="F35" s="184"/>
      <c r="G35" s="2" t="s">
        <v>348</v>
      </c>
      <c r="H35" s="8"/>
      <c r="I35" s="8"/>
      <c r="J35" s="8"/>
      <c r="K35" s="8"/>
    </row>
    <row r="36" spans="1:11" s="347" customFormat="1" ht="15" customHeight="1" x14ac:dyDescent="0.2">
      <c r="A36" s="347" t="s">
        <v>356</v>
      </c>
      <c r="E36" s="345">
        <v>2</v>
      </c>
      <c r="F36" s="184"/>
      <c r="G36" s="348">
        <v>658253</v>
      </c>
    </row>
    <row r="37" spans="1:11" s="2" customFormat="1" ht="15" customHeight="1" x14ac:dyDescent="0.2">
      <c r="A37" s="347" t="s">
        <v>318</v>
      </c>
      <c r="B37" s="31"/>
      <c r="C37" s="31"/>
      <c r="D37" s="6"/>
      <c r="E37" s="345">
        <v>2</v>
      </c>
      <c r="F37" s="184"/>
      <c r="G37" s="348">
        <v>170000</v>
      </c>
    </row>
    <row r="38" spans="1:11" s="2" customFormat="1" ht="15" customHeight="1" x14ac:dyDescent="0.2">
      <c r="A38" s="347" t="s">
        <v>357</v>
      </c>
      <c r="B38" s="31"/>
      <c r="C38" s="31"/>
      <c r="D38" s="6"/>
      <c r="E38" s="345">
        <v>2</v>
      </c>
      <c r="F38" s="184"/>
      <c r="G38" s="348">
        <v>170000</v>
      </c>
    </row>
    <row r="39" spans="1:11" s="2" customFormat="1" ht="15" customHeight="1" thickBot="1" x14ac:dyDescent="0.25">
      <c r="A39" s="347" t="s">
        <v>319</v>
      </c>
      <c r="B39" s="31"/>
      <c r="C39" s="31"/>
      <c r="D39" s="6"/>
      <c r="E39" s="345">
        <v>8</v>
      </c>
      <c r="F39" s="184"/>
      <c r="G39" s="348">
        <f>60000*4</f>
        <v>240000</v>
      </c>
    </row>
    <row r="40" spans="1:11" s="8" customFormat="1" ht="15.75" customHeight="1" thickBot="1" x14ac:dyDescent="0.25">
      <c r="A40" s="141" t="s">
        <v>186</v>
      </c>
      <c r="B40" s="292">
        <v>1</v>
      </c>
      <c r="C40" s="387" t="s">
        <v>268</v>
      </c>
      <c r="D40" s="388"/>
      <c r="E40" s="389"/>
      <c r="F40" s="185"/>
    </row>
    <row r="41" spans="1:11" ht="11.25" customHeight="1" x14ac:dyDescent="0.2">
      <c r="A41" s="186" t="s">
        <v>32</v>
      </c>
      <c r="D41" s="31"/>
      <c r="E41" s="31"/>
      <c r="F41" s="56"/>
      <c r="G41" s="6"/>
    </row>
    <row r="42" spans="1:11" ht="13.5" thickBot="1" x14ac:dyDescent="0.25">
      <c r="A42" s="186" t="s">
        <v>258</v>
      </c>
      <c r="D42" s="31"/>
      <c r="E42" s="31"/>
      <c r="F42" s="56"/>
      <c r="G42" s="6"/>
    </row>
    <row r="43" spans="1:11" s="9" customFormat="1" ht="13.15" customHeight="1" thickBot="1" x14ac:dyDescent="0.25">
      <c r="A43" s="32" t="s">
        <v>38</v>
      </c>
      <c r="B43" s="33" t="s">
        <v>39</v>
      </c>
      <c r="C43" s="33" t="s">
        <v>29</v>
      </c>
      <c r="D43" s="34" t="s">
        <v>147</v>
      </c>
      <c r="E43" s="34" t="s">
        <v>40</v>
      </c>
      <c r="F43" s="35" t="s">
        <v>41</v>
      </c>
    </row>
    <row r="44" spans="1:11" x14ac:dyDescent="0.2">
      <c r="A44" s="188" t="s">
        <v>159</v>
      </c>
      <c r="B44" s="10" t="s">
        <v>6</v>
      </c>
      <c r="C44" s="10">
        <v>1</v>
      </c>
      <c r="D44" s="11">
        <f>E31</f>
        <v>2967.35</v>
      </c>
      <c r="E44" s="11">
        <f>C44*D44</f>
        <v>2967.35</v>
      </c>
      <c r="F44" s="56"/>
      <c r="G44" s="6"/>
    </row>
    <row r="45" spans="1:11" x14ac:dyDescent="0.2">
      <c r="A45" s="188" t="s">
        <v>160</v>
      </c>
      <c r="B45" s="10" t="s">
        <v>6</v>
      </c>
      <c r="C45" s="10">
        <v>1</v>
      </c>
      <c r="D45" s="293">
        <v>1621</v>
      </c>
      <c r="E45" s="11"/>
      <c r="F45" s="56"/>
      <c r="G45" s="6"/>
    </row>
    <row r="46" spans="1:11" x14ac:dyDescent="0.2">
      <c r="A46" s="187" t="s">
        <v>25</v>
      </c>
      <c r="B46" s="12" t="s">
        <v>0</v>
      </c>
      <c r="C46" s="294">
        <v>8</v>
      </c>
      <c r="D46" s="13">
        <f>D44/220*2</f>
        <v>26.975909090909092</v>
      </c>
      <c r="E46" s="13">
        <f>C46*D46</f>
        <v>215.80727272727273</v>
      </c>
      <c r="F46" s="56"/>
    </row>
    <row r="47" spans="1:11" x14ac:dyDescent="0.2">
      <c r="A47" s="187" t="s">
        <v>26</v>
      </c>
      <c r="B47" s="12" t="s">
        <v>0</v>
      </c>
      <c r="C47" s="294"/>
      <c r="D47" s="13">
        <f>D44/220*1.5</f>
        <v>20.23193181818182</v>
      </c>
      <c r="E47" s="13">
        <f>C47*D47</f>
        <v>0</v>
      </c>
      <c r="F47" s="56"/>
    </row>
    <row r="48" spans="1:11" ht="13.15" customHeight="1" x14ac:dyDescent="0.2">
      <c r="A48" s="187" t="s">
        <v>136</v>
      </c>
      <c r="B48" s="12" t="s">
        <v>24</v>
      </c>
      <c r="D48" s="13">
        <f>64/301*(SUM(E46:E47))</f>
        <v>45.885931742675929</v>
      </c>
      <c r="E48" s="13">
        <f>D48</f>
        <v>45.885931742675929</v>
      </c>
      <c r="F48" s="56"/>
    </row>
    <row r="49" spans="1:7" x14ac:dyDescent="0.2">
      <c r="A49" s="187" t="s">
        <v>135</v>
      </c>
      <c r="B49" s="12"/>
      <c r="C49" s="295">
        <v>1</v>
      </c>
      <c r="D49" s="13"/>
      <c r="E49" s="13"/>
      <c r="F49" s="56"/>
      <c r="G49" s="6"/>
    </row>
    <row r="50" spans="1:7" x14ac:dyDescent="0.2">
      <c r="A50" s="187" t="s">
        <v>1</v>
      </c>
      <c r="B50" s="12" t="s">
        <v>2</v>
      </c>
      <c r="C50" s="319">
        <v>40</v>
      </c>
      <c r="D50" s="40">
        <f>D45</f>
        <v>1621</v>
      </c>
      <c r="E50" s="13">
        <f>C50*D50/100</f>
        <v>648.4</v>
      </c>
      <c r="F50" s="56"/>
      <c r="G50" s="6"/>
    </row>
    <row r="51" spans="1:7" s="8" customFormat="1" x14ac:dyDescent="0.2">
      <c r="A51" s="189" t="s">
        <v>3</v>
      </c>
      <c r="B51" s="178"/>
      <c r="C51" s="178"/>
      <c r="D51" s="23"/>
      <c r="E51" s="45">
        <f>SUM(E44:E50)</f>
        <v>3877.4432044699488</v>
      </c>
      <c r="F51" s="190"/>
    </row>
    <row r="52" spans="1:7" x14ac:dyDescent="0.2">
      <c r="A52" s="187" t="s">
        <v>4</v>
      </c>
      <c r="B52" s="12" t="s">
        <v>2</v>
      </c>
      <c r="C52" s="248">
        <v>72.231660000000005</v>
      </c>
      <c r="D52" s="13">
        <f>E51</f>
        <v>3877.4432044699488</v>
      </c>
      <c r="E52" s="13">
        <f>D52*C52/100</f>
        <v>2800.7415921458387</v>
      </c>
      <c r="F52" s="56"/>
      <c r="G52" s="6"/>
    </row>
    <row r="53" spans="1:7" s="8" customFormat="1" x14ac:dyDescent="0.2">
      <c r="A53" s="189" t="s">
        <v>267</v>
      </c>
      <c r="B53" s="147"/>
      <c r="C53" s="147"/>
      <c r="D53" s="148"/>
      <c r="E53" s="45">
        <f>E51+E52</f>
        <v>6678.1847966157875</v>
      </c>
      <c r="F53" s="190"/>
      <c r="G53" s="6"/>
    </row>
    <row r="54" spans="1:7" ht="13.5" thickBot="1" x14ac:dyDescent="0.25">
      <c r="A54" s="187" t="s">
        <v>5</v>
      </c>
      <c r="B54" s="174" t="s">
        <v>269</v>
      </c>
      <c r="C54" s="295">
        <f>D31</f>
        <v>2</v>
      </c>
      <c r="D54" s="13">
        <f>E53</f>
        <v>6678.1847966157875</v>
      </c>
      <c r="E54" s="13">
        <f>C54*D54</f>
        <v>13356.369593231575</v>
      </c>
      <c r="F54" s="56"/>
      <c r="G54" s="6"/>
    </row>
    <row r="55" spans="1:7" ht="13.5" thickBot="1" x14ac:dyDescent="0.25">
      <c r="A55" s="183"/>
      <c r="D55" s="179" t="s">
        <v>127</v>
      </c>
      <c r="E55" s="28">
        <f>$B$40</f>
        <v>1</v>
      </c>
      <c r="F55" s="52">
        <f>E54*E55</f>
        <v>13356.369593231575</v>
      </c>
      <c r="G55" s="6"/>
    </row>
    <row r="56" spans="1:7" s="4" customFormat="1" ht="11.25" customHeight="1" x14ac:dyDescent="0.2">
      <c r="A56" s="244"/>
      <c r="D56" s="245"/>
      <c r="E56" s="245"/>
      <c r="F56" s="246"/>
      <c r="G56" s="247"/>
    </row>
    <row r="57" spans="1:7" s="4" customFormat="1" ht="11.25" customHeight="1" x14ac:dyDescent="0.2">
      <c r="A57" s="186" t="s">
        <v>261</v>
      </c>
      <c r="D57" s="245"/>
      <c r="E57" s="245"/>
      <c r="F57" s="246"/>
      <c r="G57" s="247"/>
    </row>
    <row r="58" spans="1:7" s="4" customFormat="1" ht="11.25" customHeight="1" x14ac:dyDescent="0.2">
      <c r="A58" s="221" t="s">
        <v>4</v>
      </c>
      <c r="B58" s="174" t="s">
        <v>2</v>
      </c>
      <c r="C58" s="248">
        <v>32.82</v>
      </c>
      <c r="D58" s="249">
        <f>E51</f>
        <v>3877.4432044699488</v>
      </c>
      <c r="E58" s="249">
        <f>D58*C58/100</f>
        <v>1272.5768597070373</v>
      </c>
      <c r="F58" s="246"/>
      <c r="G58" s="247"/>
    </row>
    <row r="59" spans="1:7" s="4" customFormat="1" x14ac:dyDescent="0.2">
      <c r="A59" s="261" t="s">
        <v>267</v>
      </c>
      <c r="B59" s="44"/>
      <c r="C59" s="44"/>
      <c r="D59" s="45"/>
      <c r="E59" s="49">
        <f>E51+E58</f>
        <v>5150.0200641769861</v>
      </c>
      <c r="F59" s="246"/>
      <c r="G59" s="6"/>
    </row>
    <row r="60" spans="1:7" s="4" customFormat="1" ht="13.5" thickBot="1" x14ac:dyDescent="0.25">
      <c r="A60" s="192" t="s">
        <v>5</v>
      </c>
      <c r="B60" s="174" t="str">
        <f>B54</f>
        <v>Funcionário</v>
      </c>
      <c r="C60" s="174">
        <f>C54</f>
        <v>2</v>
      </c>
      <c r="D60" s="249">
        <f>E59</f>
        <v>5150.0200641769861</v>
      </c>
      <c r="E60" s="249">
        <f>C60*D60</f>
        <v>10300.040128353972</v>
      </c>
      <c r="F60" s="246"/>
      <c r="G60" s="6"/>
    </row>
    <row r="61" spans="1:7" s="4" customFormat="1" ht="13.9" customHeight="1" thickBot="1" x14ac:dyDescent="0.25">
      <c r="A61" s="244"/>
      <c r="D61" s="250" t="s">
        <v>127</v>
      </c>
      <c r="E61" s="28">
        <f>$B$40</f>
        <v>1</v>
      </c>
      <c r="F61" s="52">
        <f>E60*E61</f>
        <v>10300.040128353972</v>
      </c>
      <c r="G61" s="247"/>
    </row>
    <row r="62" spans="1:7" s="4" customFormat="1" ht="11.25" customHeight="1" x14ac:dyDescent="0.2">
      <c r="A62" s="244"/>
      <c r="D62" s="245"/>
      <c r="E62" s="245"/>
      <c r="F62" s="246"/>
      <c r="G62" s="247"/>
    </row>
    <row r="63" spans="1:7" s="4" customFormat="1" ht="11.25" customHeight="1" thickBot="1" x14ac:dyDescent="0.25">
      <c r="A63" s="186" t="s">
        <v>342</v>
      </c>
      <c r="B63" s="6"/>
      <c r="C63" s="6"/>
      <c r="D63" s="31"/>
      <c r="E63" s="31"/>
      <c r="F63" s="56"/>
      <c r="G63" s="247"/>
    </row>
    <row r="64" spans="1:7" s="4" customFormat="1" ht="11.25" customHeight="1" thickBot="1" x14ac:dyDescent="0.25">
      <c r="A64" s="32" t="s">
        <v>38</v>
      </c>
      <c r="B64" s="33" t="s">
        <v>39</v>
      </c>
      <c r="C64" s="33" t="s">
        <v>29</v>
      </c>
      <c r="D64" s="34" t="s">
        <v>147</v>
      </c>
      <c r="E64" s="34" t="s">
        <v>40</v>
      </c>
      <c r="F64" s="35" t="s">
        <v>41</v>
      </c>
      <c r="G64" s="247"/>
    </row>
    <row r="65" spans="1:7" s="4" customFormat="1" ht="11.25" customHeight="1" x14ac:dyDescent="0.2">
      <c r="A65" s="188" t="s">
        <v>159</v>
      </c>
      <c r="B65" s="10" t="s">
        <v>6</v>
      </c>
      <c r="C65" s="10">
        <v>1</v>
      </c>
      <c r="D65" s="11">
        <f>E32</f>
        <v>3000</v>
      </c>
      <c r="E65" s="11">
        <f>C65*D65</f>
        <v>3000</v>
      </c>
      <c r="F65" s="56"/>
      <c r="G65" s="247"/>
    </row>
    <row r="66" spans="1:7" s="4" customFormat="1" ht="11.25" customHeight="1" x14ac:dyDescent="0.2">
      <c r="A66" s="188" t="s">
        <v>160</v>
      </c>
      <c r="B66" s="10" t="s">
        <v>6</v>
      </c>
      <c r="C66" s="10">
        <v>1</v>
      </c>
      <c r="D66" s="293">
        <f>D45</f>
        <v>1621</v>
      </c>
      <c r="E66" s="11"/>
      <c r="F66" s="56"/>
      <c r="G66" s="247"/>
    </row>
    <row r="67" spans="1:7" s="4" customFormat="1" ht="11.25" customHeight="1" x14ac:dyDescent="0.2">
      <c r="A67" s="187" t="s">
        <v>25</v>
      </c>
      <c r="B67" s="12" t="s">
        <v>0</v>
      </c>
      <c r="C67" s="294">
        <v>8</v>
      </c>
      <c r="D67" s="13">
        <f>D65/220*2</f>
        <v>27.272727272727273</v>
      </c>
      <c r="E67" s="13">
        <f>C67*D67</f>
        <v>218.18181818181819</v>
      </c>
      <c r="F67" s="56"/>
      <c r="G67" s="247"/>
    </row>
    <row r="68" spans="1:7" s="4" customFormat="1" ht="11.25" customHeight="1" x14ac:dyDescent="0.2">
      <c r="A68" s="187" t="s">
        <v>26</v>
      </c>
      <c r="B68" s="12" t="s">
        <v>0</v>
      </c>
      <c r="C68" s="294"/>
      <c r="D68" s="13">
        <f>D65/220*1.5</f>
        <v>20.454545454545453</v>
      </c>
      <c r="E68" s="13">
        <f>C68*D68</f>
        <v>0</v>
      </c>
      <c r="F68" s="56"/>
      <c r="G68" s="247"/>
    </row>
    <row r="69" spans="1:7" s="4" customFormat="1" ht="11.25" customHeight="1" x14ac:dyDescent="0.2">
      <c r="A69" s="187" t="s">
        <v>136</v>
      </c>
      <c r="B69" s="12" t="s">
        <v>24</v>
      </c>
      <c r="C69" s="6"/>
      <c r="D69" s="13">
        <f>64/301*(SUM(E67:E68))</f>
        <v>46.390818483841741</v>
      </c>
      <c r="E69" s="13">
        <f>D69</f>
        <v>46.390818483841741</v>
      </c>
      <c r="F69" s="56"/>
      <c r="G69" s="247"/>
    </row>
    <row r="70" spans="1:7" s="4" customFormat="1" ht="11.25" customHeight="1" x14ac:dyDescent="0.2">
      <c r="A70" s="187" t="s">
        <v>135</v>
      </c>
      <c r="B70" s="12"/>
      <c r="C70" s="295">
        <v>1</v>
      </c>
      <c r="D70" s="13"/>
      <c r="E70" s="13"/>
      <c r="F70" s="56"/>
      <c r="G70" s="247"/>
    </row>
    <row r="71" spans="1:7" s="4" customFormat="1" ht="11.25" customHeight="1" x14ac:dyDescent="0.2">
      <c r="A71" s="187" t="s">
        <v>1</v>
      </c>
      <c r="B71" s="12" t="s">
        <v>2</v>
      </c>
      <c r="C71" s="319">
        <v>40</v>
      </c>
      <c r="D71" s="40">
        <f>D66</f>
        <v>1621</v>
      </c>
      <c r="E71" s="13">
        <f>C71*D71/100</f>
        <v>648.4</v>
      </c>
      <c r="F71" s="56"/>
      <c r="G71" s="247"/>
    </row>
    <row r="72" spans="1:7" s="4" customFormat="1" ht="11.25" customHeight="1" x14ac:dyDescent="0.2">
      <c r="A72" s="192" t="s">
        <v>343</v>
      </c>
      <c r="B72" s="181"/>
      <c r="C72" s="364"/>
      <c r="D72" s="365"/>
      <c r="E72" s="13">
        <v>1000</v>
      </c>
      <c r="F72" s="56"/>
      <c r="G72" s="247"/>
    </row>
    <row r="73" spans="1:7" s="4" customFormat="1" ht="11.25" customHeight="1" x14ac:dyDescent="0.2">
      <c r="A73" s="189" t="s">
        <v>3</v>
      </c>
      <c r="B73" s="178"/>
      <c r="C73" s="178"/>
      <c r="D73" s="23"/>
      <c r="E73" s="45">
        <f>SUM(E65:E72)</f>
        <v>4912.9726366656596</v>
      </c>
      <c r="F73" s="190"/>
      <c r="G73" s="247"/>
    </row>
    <row r="74" spans="1:7" s="4" customFormat="1" ht="11.25" customHeight="1" x14ac:dyDescent="0.2">
      <c r="A74" s="187" t="s">
        <v>4</v>
      </c>
      <c r="B74" s="12" t="s">
        <v>2</v>
      </c>
      <c r="C74" s="248">
        <v>72.231660000000005</v>
      </c>
      <c r="D74" s="13">
        <f>E73</f>
        <v>4912.9726366656596</v>
      </c>
      <c r="E74" s="13">
        <f>D74*C74/100</f>
        <v>3548.7216908093746</v>
      </c>
      <c r="F74" s="56"/>
      <c r="G74" s="247"/>
    </row>
    <row r="75" spans="1:7" s="4" customFormat="1" ht="11.25" customHeight="1" x14ac:dyDescent="0.2">
      <c r="A75" s="189" t="s">
        <v>267</v>
      </c>
      <c r="B75" s="147"/>
      <c r="C75" s="147"/>
      <c r="D75" s="148"/>
      <c r="E75" s="45">
        <f>E73+E74</f>
        <v>8461.6943274750338</v>
      </c>
      <c r="F75" s="190"/>
      <c r="G75" s="247"/>
    </row>
    <row r="76" spans="1:7" s="4" customFormat="1" ht="11.25" customHeight="1" thickBot="1" x14ac:dyDescent="0.25">
      <c r="A76" s="187" t="s">
        <v>5</v>
      </c>
      <c r="B76" s="174" t="s">
        <v>269</v>
      </c>
      <c r="C76" s="296">
        <v>1</v>
      </c>
      <c r="D76" s="13">
        <f>E75</f>
        <v>8461.6943274750338</v>
      </c>
      <c r="E76" s="13">
        <f>C76*D76</f>
        <v>8461.6943274750338</v>
      </c>
      <c r="F76" s="56"/>
      <c r="G76" s="247"/>
    </row>
    <row r="77" spans="1:7" s="4" customFormat="1" ht="11.25" customHeight="1" thickBot="1" x14ac:dyDescent="0.25">
      <c r="A77" s="183"/>
      <c r="B77" s="6"/>
      <c r="C77" s="6"/>
      <c r="D77" s="179" t="s">
        <v>127</v>
      </c>
      <c r="E77" s="28">
        <f>$B$40</f>
        <v>1</v>
      </c>
      <c r="F77" s="52">
        <f>E76*E77</f>
        <v>8461.6943274750338</v>
      </c>
      <c r="G77" s="247"/>
    </row>
    <row r="78" spans="1:7" s="4" customFormat="1" ht="11.25" customHeight="1" x14ac:dyDescent="0.2">
      <c r="A78" s="244"/>
      <c r="D78" s="245"/>
      <c r="E78" s="245"/>
      <c r="F78" s="246"/>
      <c r="G78" s="247"/>
    </row>
    <row r="79" spans="1:7" s="4" customFormat="1" ht="11.25" customHeight="1" x14ac:dyDescent="0.2">
      <c r="A79" s="186" t="s">
        <v>326</v>
      </c>
      <c r="D79" s="245"/>
      <c r="E79" s="245"/>
      <c r="F79" s="246"/>
      <c r="G79" s="247"/>
    </row>
    <row r="80" spans="1:7" s="4" customFormat="1" ht="11.25" customHeight="1" x14ac:dyDescent="0.2">
      <c r="A80" s="221" t="s">
        <v>4</v>
      </c>
      <c r="B80" s="174" t="s">
        <v>2</v>
      </c>
      <c r="C80" s="248">
        <v>32.82</v>
      </c>
      <c r="D80" s="249">
        <f>E73</f>
        <v>4912.9726366656596</v>
      </c>
      <c r="E80" s="249">
        <f>D80*C80/100</f>
        <v>1612.4376193536696</v>
      </c>
      <c r="F80" s="246"/>
      <c r="G80" s="247"/>
    </row>
    <row r="81" spans="1:11" s="4" customFormat="1" ht="11.25" customHeight="1" x14ac:dyDescent="0.2">
      <c r="A81" s="261" t="s">
        <v>267</v>
      </c>
      <c r="B81" s="44"/>
      <c r="C81" s="44"/>
      <c r="D81" s="45"/>
      <c r="E81" s="49">
        <f>E73+E80</f>
        <v>6525.4102560193296</v>
      </c>
      <c r="F81" s="246"/>
      <c r="G81" s="247"/>
    </row>
    <row r="82" spans="1:11" s="4" customFormat="1" ht="11.25" customHeight="1" thickBot="1" x14ac:dyDescent="0.25">
      <c r="A82" s="192" t="s">
        <v>5</v>
      </c>
      <c r="B82" s="174" t="str">
        <f>B76</f>
        <v>Funcionário</v>
      </c>
      <c r="C82" s="174">
        <f>C76</f>
        <v>1</v>
      </c>
      <c r="D82" s="249">
        <f>E81</f>
        <v>6525.4102560193296</v>
      </c>
      <c r="E82" s="249">
        <f>C82*D82</f>
        <v>6525.4102560193296</v>
      </c>
      <c r="F82" s="246"/>
      <c r="G82" s="247"/>
    </row>
    <row r="83" spans="1:11" s="4" customFormat="1" ht="11.25" customHeight="1" thickBot="1" x14ac:dyDescent="0.25">
      <c r="A83" s="244"/>
      <c r="D83" s="250" t="s">
        <v>127</v>
      </c>
      <c r="E83" s="28">
        <f>$B$40</f>
        <v>1</v>
      </c>
      <c r="F83" s="52">
        <f>E82*E83</f>
        <v>6525.4102560193296</v>
      </c>
      <c r="G83" s="247"/>
    </row>
    <row r="84" spans="1:11" s="4" customFormat="1" ht="11.25" customHeight="1" x14ac:dyDescent="0.2">
      <c r="A84" s="244"/>
      <c r="D84" s="245"/>
      <c r="E84" s="245"/>
      <c r="F84" s="246"/>
      <c r="G84" s="247"/>
    </row>
    <row r="85" spans="1:11" s="4" customFormat="1" ht="11.25" customHeight="1" x14ac:dyDescent="0.2">
      <c r="A85" s="244"/>
      <c r="D85" s="245"/>
      <c r="E85" s="245"/>
      <c r="F85" s="246"/>
      <c r="G85" s="247"/>
    </row>
    <row r="86" spans="1:11" ht="13.5" thickBot="1" x14ac:dyDescent="0.25">
      <c r="A86" s="186" t="s">
        <v>337</v>
      </c>
      <c r="B86" s="180"/>
      <c r="D86" s="6"/>
      <c r="E86" s="6"/>
      <c r="F86" s="56"/>
      <c r="G86" s="6"/>
    </row>
    <row r="87" spans="1:11" ht="13.5" thickBot="1" x14ac:dyDescent="0.25">
      <c r="A87" s="32" t="s">
        <v>38</v>
      </c>
      <c r="B87" s="33" t="s">
        <v>39</v>
      </c>
      <c r="C87" s="33" t="s">
        <v>29</v>
      </c>
      <c r="D87" s="34" t="s">
        <v>147</v>
      </c>
      <c r="E87" s="34" t="s">
        <v>40</v>
      </c>
      <c r="F87" s="35" t="s">
        <v>41</v>
      </c>
      <c r="G87" s="6"/>
    </row>
    <row r="88" spans="1:11" x14ac:dyDescent="0.2">
      <c r="A88" s="187" t="s">
        <v>58</v>
      </c>
      <c r="B88" s="12" t="s">
        <v>24</v>
      </c>
      <c r="C88" s="42">
        <v>1</v>
      </c>
      <c r="D88" s="297">
        <v>6.6</v>
      </c>
      <c r="E88" s="13"/>
      <c r="F88" s="56"/>
      <c r="G88" s="6"/>
    </row>
    <row r="89" spans="1:11" x14ac:dyDescent="0.2">
      <c r="A89" s="187" t="s">
        <v>59</v>
      </c>
      <c r="B89" s="12" t="s">
        <v>60</v>
      </c>
      <c r="C89" s="298">
        <v>26</v>
      </c>
      <c r="D89" s="13"/>
      <c r="E89" s="13"/>
      <c r="F89" s="56"/>
      <c r="G89" s="6"/>
    </row>
    <row r="90" spans="1:11" ht="25.5" x14ac:dyDescent="0.2">
      <c r="A90" s="346" t="s">
        <v>313</v>
      </c>
      <c r="B90" s="10" t="s">
        <v>7</v>
      </c>
      <c r="C90" s="25">
        <f>$C$89*2*(C54)</f>
        <v>104</v>
      </c>
      <c r="D90" s="11">
        <f>IFERROR((($C$89*2*$D$88)-(E31*0.06*C89/C89))/($C$89*2),"-")</f>
        <v>3.1761346153846151</v>
      </c>
      <c r="E90" s="11">
        <f>IFERROR(C90*D90,"-")</f>
        <v>330.31799999999998</v>
      </c>
      <c r="F90" s="56"/>
      <c r="G90" s="352" t="s">
        <v>369</v>
      </c>
      <c r="K90" s="314"/>
    </row>
    <row r="91" spans="1:11" ht="26.25" thickBot="1" x14ac:dyDescent="0.25">
      <c r="A91" s="346" t="s">
        <v>344</v>
      </c>
      <c r="B91" s="265" t="s">
        <v>7</v>
      </c>
      <c r="C91" s="25">
        <f>C89*2*1</f>
        <v>52</v>
      </c>
      <c r="D91" s="11">
        <f>IFERROR((($C$89*2*$D$88)-(E32*0.06*C91/C91))/($C$89*2),"-")</f>
        <v>3.1384615384615384</v>
      </c>
      <c r="E91" s="11">
        <f>C91*D91</f>
        <v>163.19999999999999</v>
      </c>
      <c r="F91" s="56"/>
      <c r="G91" s="6"/>
      <c r="K91" s="314"/>
    </row>
    <row r="92" spans="1:11" ht="13.5" thickBot="1" x14ac:dyDescent="0.25">
      <c r="A92" s="183"/>
      <c r="D92" s="31"/>
      <c r="E92" s="31"/>
      <c r="F92" s="15">
        <f>E90+E91</f>
        <v>493.51799999999997</v>
      </c>
      <c r="G92" s="6"/>
      <c r="J92" s="41"/>
    </row>
    <row r="93" spans="1:11" ht="11.25" customHeight="1" x14ac:dyDescent="0.2">
      <c r="A93" s="183"/>
      <c r="D93" s="31"/>
      <c r="E93" s="31"/>
      <c r="F93" s="56"/>
      <c r="G93" s="6"/>
    </row>
    <row r="94" spans="1:11" ht="13.5" thickBot="1" x14ac:dyDescent="0.25">
      <c r="A94" s="186" t="s">
        <v>338</v>
      </c>
      <c r="D94" s="31"/>
      <c r="E94" s="31"/>
      <c r="F94" s="193"/>
      <c r="G94" s="6"/>
    </row>
    <row r="95" spans="1:11" ht="13.5" thickBot="1" x14ac:dyDescent="0.25">
      <c r="A95" s="32" t="s">
        <v>38</v>
      </c>
      <c r="B95" s="33" t="s">
        <v>39</v>
      </c>
      <c r="C95" s="33" t="s">
        <v>29</v>
      </c>
      <c r="D95" s="34" t="s">
        <v>147</v>
      </c>
      <c r="E95" s="34" t="s">
        <v>40</v>
      </c>
      <c r="F95" s="35" t="s">
        <v>41</v>
      </c>
      <c r="G95" s="6"/>
    </row>
    <row r="96" spans="1:11" x14ac:dyDescent="0.2">
      <c r="A96" s="192" t="s">
        <v>187</v>
      </c>
      <c r="B96" s="174" t="s">
        <v>8</v>
      </c>
      <c r="C96" s="43">
        <f>C89*(D31)</f>
        <v>52</v>
      </c>
      <c r="D96" s="320">
        <v>19</v>
      </c>
      <c r="E96" s="28">
        <f>C96*D96</f>
        <v>988</v>
      </c>
      <c r="F96" s="193"/>
      <c r="G96" s="6"/>
    </row>
    <row r="97" spans="1:7" x14ac:dyDescent="0.2">
      <c r="A97" s="192" t="s">
        <v>182</v>
      </c>
      <c r="B97" s="174" t="s">
        <v>2</v>
      </c>
      <c r="C97" s="321">
        <v>0.2</v>
      </c>
      <c r="D97" s="28">
        <f>-D96*C97</f>
        <v>-3.8000000000000003</v>
      </c>
      <c r="E97" s="28">
        <f>D97*C96</f>
        <v>-197.60000000000002</v>
      </c>
      <c r="F97" s="193"/>
      <c r="G97" s="6"/>
    </row>
    <row r="98" spans="1:7" x14ac:dyDescent="0.2">
      <c r="A98" s="192" t="s">
        <v>345</v>
      </c>
      <c r="B98" s="174"/>
      <c r="C98" s="43">
        <f>C89*D32</f>
        <v>26</v>
      </c>
      <c r="D98" s="320">
        <v>19</v>
      </c>
      <c r="E98" s="28">
        <f>C98*D98</f>
        <v>494</v>
      </c>
      <c r="F98" s="193"/>
      <c r="G98" s="6"/>
    </row>
    <row r="99" spans="1:7" ht="13.5" thickBot="1" x14ac:dyDescent="0.25">
      <c r="A99" s="192" t="s">
        <v>182</v>
      </c>
      <c r="B99" s="174"/>
      <c r="C99" s="321">
        <v>0.2</v>
      </c>
      <c r="D99" s="28">
        <f>-(D98*0.2)</f>
        <v>-3.8000000000000003</v>
      </c>
      <c r="E99" s="28">
        <f>C98*D99</f>
        <v>-98.800000000000011</v>
      </c>
      <c r="F99" s="193"/>
      <c r="G99" s="6"/>
    </row>
    <row r="100" spans="1:7" ht="13.5" thickBot="1" x14ac:dyDescent="0.25">
      <c r="A100" s="183"/>
      <c r="D100" s="31"/>
      <c r="E100" s="31"/>
      <c r="F100" s="15">
        <f>SUM(E96:E99)</f>
        <v>1185.6000000000001</v>
      </c>
      <c r="G100" s="6"/>
    </row>
    <row r="101" spans="1:7" x14ac:dyDescent="0.2">
      <c r="A101" s="183"/>
      <c r="D101" s="31"/>
      <c r="E101" s="31"/>
      <c r="F101" s="56"/>
      <c r="G101" s="6"/>
    </row>
    <row r="102" spans="1:7" ht="13.5" thickBot="1" x14ac:dyDescent="0.25">
      <c r="A102" s="186" t="s">
        <v>339</v>
      </c>
      <c r="D102" s="31"/>
      <c r="E102" s="31"/>
      <c r="F102" s="193"/>
      <c r="G102" s="6"/>
    </row>
    <row r="103" spans="1:7" ht="13.5" thickBot="1" x14ac:dyDescent="0.25">
      <c r="A103" s="32" t="s">
        <v>38</v>
      </c>
      <c r="B103" s="33" t="s">
        <v>39</v>
      </c>
      <c r="C103" s="33" t="s">
        <v>29</v>
      </c>
      <c r="D103" s="34" t="s">
        <v>147</v>
      </c>
      <c r="E103" s="34" t="s">
        <v>40</v>
      </c>
      <c r="F103" s="35" t="s">
        <v>41</v>
      </c>
      <c r="G103" s="6"/>
    </row>
    <row r="104" spans="1:7" x14ac:dyDescent="0.2">
      <c r="A104" s="192" t="s">
        <v>346</v>
      </c>
      <c r="B104" s="12" t="s">
        <v>8</v>
      </c>
      <c r="C104" s="43">
        <f>D33</f>
        <v>3</v>
      </c>
      <c r="D104" s="320">
        <v>138</v>
      </c>
      <c r="E104" s="28">
        <f t="shared" ref="E104" si="8">C104*D104</f>
        <v>414</v>
      </c>
      <c r="F104" s="193"/>
      <c r="G104" s="6"/>
    </row>
    <row r="105" spans="1:7" ht="13.5" thickBot="1" x14ac:dyDescent="0.25">
      <c r="A105" s="187" t="str">
        <f>+A97</f>
        <v>Desconto previsto na CCT</v>
      </c>
      <c r="B105" s="174" t="s">
        <v>2</v>
      </c>
      <c r="C105" s="321">
        <v>0.2</v>
      </c>
      <c r="D105" s="28">
        <f>-D104*C105</f>
        <v>-27.6</v>
      </c>
      <c r="E105" s="28">
        <f>C104*D105</f>
        <v>-82.800000000000011</v>
      </c>
      <c r="F105" s="193"/>
      <c r="G105" s="6"/>
    </row>
    <row r="106" spans="1:7" ht="13.5" thickBot="1" x14ac:dyDescent="0.25">
      <c r="A106" s="183"/>
      <c r="D106" s="179" t="s">
        <v>127</v>
      </c>
      <c r="E106" s="28">
        <f>$B$40</f>
        <v>1</v>
      </c>
      <c r="F106" s="15">
        <f>SUM(E104:E105)*E106</f>
        <v>331.2</v>
      </c>
      <c r="G106" s="6"/>
    </row>
    <row r="107" spans="1:7" x14ac:dyDescent="0.2">
      <c r="A107" s="183"/>
      <c r="D107" s="31"/>
      <c r="E107" s="31"/>
      <c r="F107" s="56"/>
      <c r="G107" s="6"/>
    </row>
    <row r="108" spans="1:7" x14ac:dyDescent="0.2">
      <c r="A108" s="183"/>
      <c r="D108" s="179"/>
      <c r="E108" s="31"/>
      <c r="F108" s="193"/>
      <c r="G108" s="6"/>
    </row>
    <row r="109" spans="1:7" ht="13.5" thickBot="1" x14ac:dyDescent="0.25">
      <c r="A109" s="186" t="s">
        <v>340</v>
      </c>
      <c r="B109" s="4"/>
      <c r="C109" s="4"/>
      <c r="D109" s="245"/>
      <c r="E109" s="245"/>
      <c r="F109" s="193"/>
      <c r="G109" s="4"/>
    </row>
    <row r="110" spans="1:7" ht="13.5" thickBot="1" x14ac:dyDescent="0.25">
      <c r="A110" s="32" t="s">
        <v>38</v>
      </c>
      <c r="B110" s="33" t="s">
        <v>39</v>
      </c>
      <c r="C110" s="33" t="s">
        <v>29</v>
      </c>
      <c r="D110" s="34" t="s">
        <v>147</v>
      </c>
      <c r="E110" s="34" t="s">
        <v>40</v>
      </c>
      <c r="F110" s="35" t="s">
        <v>41</v>
      </c>
      <c r="G110" s="6"/>
    </row>
    <row r="111" spans="1:7" ht="13.5" thickBot="1" x14ac:dyDescent="0.25">
      <c r="A111" s="188" t="s">
        <v>346</v>
      </c>
      <c r="B111" s="174" t="s">
        <v>8</v>
      </c>
      <c r="C111" s="315">
        <f>D33</f>
        <v>3</v>
      </c>
      <c r="D111" s="320">
        <v>25.5</v>
      </c>
      <c r="E111" s="316">
        <f>C111*D111</f>
        <v>76.5</v>
      </c>
      <c r="F111" s="193"/>
      <c r="G111" s="6"/>
    </row>
    <row r="112" spans="1:7" ht="13.5" thickBot="1" x14ac:dyDescent="0.25">
      <c r="A112" s="244"/>
      <c r="B112" s="4"/>
      <c r="C112" s="245"/>
      <c r="D112" s="2"/>
      <c r="E112" s="317"/>
      <c r="F112" s="15">
        <f>ROUND(SUM(E111:E111),2)</f>
        <v>76.5</v>
      </c>
      <c r="G112" s="6"/>
    </row>
    <row r="113" spans="1:7" ht="13.5" thickBot="1" x14ac:dyDescent="0.25">
      <c r="A113" s="183"/>
      <c r="D113" s="31"/>
      <c r="E113" s="31"/>
      <c r="F113" s="56"/>
      <c r="G113" s="6"/>
    </row>
    <row r="114" spans="1:7" ht="13.5" thickBot="1" x14ac:dyDescent="0.25">
      <c r="A114" s="16" t="s">
        <v>226</v>
      </c>
      <c r="B114" s="17"/>
      <c r="C114" s="17"/>
      <c r="D114" s="18"/>
      <c r="E114" s="19"/>
      <c r="F114" s="15">
        <f>SUM(F44:F113)-F61-F83</f>
        <v>23904.881920706597</v>
      </c>
      <c r="G114" s="6"/>
    </row>
    <row r="115" spans="1:7" s="4" customFormat="1" ht="13.5" thickBot="1" x14ac:dyDescent="0.25">
      <c r="A115" s="16" t="s">
        <v>225</v>
      </c>
      <c r="B115" s="17"/>
      <c r="C115" s="17"/>
      <c r="D115" s="18"/>
      <c r="E115" s="19"/>
      <c r="F115" s="15">
        <f>SUM(F43:F113)-F55-F77</f>
        <v>18912.268384373292</v>
      </c>
      <c r="G115" s="247"/>
    </row>
    <row r="116" spans="1:7" x14ac:dyDescent="0.2">
      <c r="A116" s="183"/>
      <c r="D116" s="31"/>
      <c r="E116" s="31"/>
      <c r="F116" s="56"/>
      <c r="G116" s="6"/>
    </row>
    <row r="117" spans="1:7" x14ac:dyDescent="0.2">
      <c r="A117" s="186" t="s">
        <v>213</v>
      </c>
      <c r="D117" s="31"/>
      <c r="E117" s="31"/>
      <c r="F117" s="56"/>
      <c r="G117" s="6"/>
    </row>
    <row r="118" spans="1:7" ht="13.9" customHeight="1" thickBot="1" x14ac:dyDescent="0.25">
      <c r="A118" s="186" t="s">
        <v>347</v>
      </c>
      <c r="D118" s="31"/>
      <c r="E118" s="31"/>
      <c r="F118" s="56"/>
      <c r="G118" s="6"/>
    </row>
    <row r="119" spans="1:7" ht="24.75" thickBot="1" x14ac:dyDescent="0.25">
      <c r="A119" s="32" t="s">
        <v>38</v>
      </c>
      <c r="B119" s="33" t="s">
        <v>39</v>
      </c>
      <c r="C119" s="149" t="s">
        <v>328</v>
      </c>
      <c r="D119" s="34" t="s">
        <v>147</v>
      </c>
      <c r="E119" s="34" t="s">
        <v>40</v>
      </c>
      <c r="F119" s="35" t="s">
        <v>41</v>
      </c>
      <c r="G119" s="6"/>
    </row>
    <row r="120" spans="1:7" x14ac:dyDescent="0.2">
      <c r="A120" s="188" t="s">
        <v>372</v>
      </c>
      <c r="B120" s="10" t="s">
        <v>8</v>
      </c>
      <c r="C120" s="299">
        <v>4</v>
      </c>
      <c r="D120" s="293">
        <v>179.9</v>
      </c>
      <c r="E120" s="11">
        <f>C120*D120</f>
        <v>719.6</v>
      </c>
      <c r="F120" s="56"/>
      <c r="G120" s="6"/>
    </row>
    <row r="121" spans="1:7" x14ac:dyDescent="0.2">
      <c r="A121" s="192" t="s">
        <v>373</v>
      </c>
      <c r="B121" s="12" t="s">
        <v>8</v>
      </c>
      <c r="C121" s="300">
        <v>10</v>
      </c>
      <c r="D121" s="293">
        <v>139.91999999999999</v>
      </c>
      <c r="E121" s="11">
        <f t="shared" ref="E121:E132" si="9">C121*D121</f>
        <v>1399.1999999999998</v>
      </c>
      <c r="F121" s="56"/>
      <c r="G121" s="41"/>
    </row>
    <row r="122" spans="1:7" x14ac:dyDescent="0.2">
      <c r="A122" s="192" t="s">
        <v>374</v>
      </c>
      <c r="B122" s="12" t="s">
        <v>8</v>
      </c>
      <c r="C122" s="300">
        <v>20</v>
      </c>
      <c r="D122" s="293">
        <v>68</v>
      </c>
      <c r="E122" s="11">
        <f t="shared" si="9"/>
        <v>1360</v>
      </c>
      <c r="F122" s="56"/>
      <c r="G122" s="6"/>
    </row>
    <row r="123" spans="1:7" x14ac:dyDescent="0.2">
      <c r="A123" s="192" t="s">
        <v>375</v>
      </c>
      <c r="B123" s="174" t="s">
        <v>8</v>
      </c>
      <c r="C123" s="300">
        <v>20</v>
      </c>
      <c r="D123" s="293">
        <v>75</v>
      </c>
      <c r="E123" s="11">
        <f t="shared" si="9"/>
        <v>1500</v>
      </c>
      <c r="F123" s="56"/>
      <c r="G123" s="6"/>
    </row>
    <row r="124" spans="1:7" ht="25.5" x14ac:dyDescent="0.2">
      <c r="A124" s="372" t="s">
        <v>376</v>
      </c>
      <c r="B124" s="12" t="s">
        <v>33</v>
      </c>
      <c r="C124" s="300">
        <v>8</v>
      </c>
      <c r="D124" s="293">
        <v>130</v>
      </c>
      <c r="E124" s="11">
        <f t="shared" si="9"/>
        <v>1040</v>
      </c>
      <c r="F124" s="56"/>
      <c r="G124" s="6"/>
    </row>
    <row r="125" spans="1:7" x14ac:dyDescent="0.2">
      <c r="A125" s="192" t="s">
        <v>377</v>
      </c>
      <c r="B125" s="12" t="s">
        <v>8</v>
      </c>
      <c r="C125" s="300">
        <v>4</v>
      </c>
      <c r="D125" s="293">
        <v>273</v>
      </c>
      <c r="E125" s="11">
        <f t="shared" si="9"/>
        <v>1092</v>
      </c>
      <c r="F125" s="56"/>
      <c r="G125" s="6"/>
    </row>
    <row r="126" spans="1:7" x14ac:dyDescent="0.2">
      <c r="A126" s="192" t="s">
        <v>382</v>
      </c>
      <c r="B126" s="174" t="s">
        <v>39</v>
      </c>
      <c r="C126" s="300">
        <v>4</v>
      </c>
      <c r="D126" s="293">
        <v>47.5</v>
      </c>
      <c r="E126" s="11">
        <f t="shared" si="9"/>
        <v>190</v>
      </c>
      <c r="F126" s="56"/>
      <c r="G126" s="6"/>
    </row>
    <row r="127" spans="1:7" ht="25.5" x14ac:dyDescent="0.2">
      <c r="A127" s="372" t="s">
        <v>381</v>
      </c>
      <c r="B127" s="174" t="s">
        <v>8</v>
      </c>
      <c r="C127" s="300">
        <v>30</v>
      </c>
      <c r="D127" s="293">
        <v>32</v>
      </c>
      <c r="E127" s="11">
        <f t="shared" si="9"/>
        <v>960</v>
      </c>
      <c r="F127" s="56"/>
      <c r="G127" s="6"/>
    </row>
    <row r="128" spans="1:7" x14ac:dyDescent="0.2">
      <c r="A128" s="192" t="s">
        <v>378</v>
      </c>
      <c r="B128" s="174" t="s">
        <v>8</v>
      </c>
      <c r="C128" s="300">
        <v>24</v>
      </c>
      <c r="D128" s="293">
        <v>37</v>
      </c>
      <c r="E128" s="11">
        <f t="shared" si="9"/>
        <v>888</v>
      </c>
      <c r="F128" s="56"/>
      <c r="G128" s="6"/>
    </row>
    <row r="129" spans="1:9" x14ac:dyDescent="0.2">
      <c r="A129" s="192" t="s">
        <v>379</v>
      </c>
      <c r="B129" s="174" t="s">
        <v>8</v>
      </c>
      <c r="C129" s="300">
        <v>6</v>
      </c>
      <c r="D129" s="293">
        <v>11</v>
      </c>
      <c r="E129" s="11">
        <f t="shared" si="9"/>
        <v>66</v>
      </c>
      <c r="F129" s="56"/>
      <c r="G129" s="6"/>
    </row>
    <row r="130" spans="1:9" x14ac:dyDescent="0.2">
      <c r="A130" s="192" t="s">
        <v>380</v>
      </c>
      <c r="B130" s="174" t="s">
        <v>39</v>
      </c>
      <c r="C130" s="300">
        <v>6</v>
      </c>
      <c r="D130" s="293">
        <v>11</v>
      </c>
      <c r="E130" s="11">
        <f t="shared" si="9"/>
        <v>66</v>
      </c>
      <c r="F130" s="56"/>
      <c r="G130" s="6"/>
    </row>
    <row r="131" spans="1:9" x14ac:dyDescent="0.2">
      <c r="A131" s="192" t="s">
        <v>383</v>
      </c>
      <c r="B131" s="174" t="s">
        <v>39</v>
      </c>
      <c r="C131" s="300">
        <v>60</v>
      </c>
      <c r="D131" s="293">
        <v>2.02</v>
      </c>
      <c r="E131" s="11">
        <f t="shared" si="9"/>
        <v>121.2</v>
      </c>
      <c r="F131" s="56"/>
      <c r="G131" s="6"/>
    </row>
    <row r="132" spans="1:9" x14ac:dyDescent="0.2">
      <c r="A132" s="192" t="s">
        <v>325</v>
      </c>
      <c r="B132" s="174" t="s">
        <v>8</v>
      </c>
      <c r="C132" s="300">
        <v>24</v>
      </c>
      <c r="D132" s="293">
        <v>13.3</v>
      </c>
      <c r="E132" s="11">
        <f t="shared" si="9"/>
        <v>319.20000000000005</v>
      </c>
      <c r="F132" s="56"/>
      <c r="G132" s="6"/>
    </row>
    <row r="133" spans="1:9" x14ac:dyDescent="0.2">
      <c r="A133" s="187" t="s">
        <v>128</v>
      </c>
      <c r="B133" s="12" t="s">
        <v>73</v>
      </c>
      <c r="C133" s="50">
        <v>1</v>
      </c>
      <c r="D133" s="293"/>
      <c r="E133" s="11">
        <f>'Lavagem unif.'!J7</f>
        <v>179.06</v>
      </c>
      <c r="F133" s="56"/>
      <c r="G133" s="6"/>
    </row>
    <row r="134" spans="1:9" x14ac:dyDescent="0.2">
      <c r="A134" s="192" t="s">
        <v>314</v>
      </c>
      <c r="B134" s="12"/>
      <c r="C134" s="50"/>
      <c r="D134" s="293">
        <f>SUM(E120:E132)</f>
        <v>9721.2000000000007</v>
      </c>
      <c r="E134" s="11">
        <f>D134/12</f>
        <v>810.1</v>
      </c>
      <c r="F134" s="56"/>
      <c r="G134" s="6"/>
    </row>
    <row r="135" spans="1:9" ht="13.5" thickBot="1" x14ac:dyDescent="0.25">
      <c r="A135" s="187" t="s">
        <v>5</v>
      </c>
      <c r="B135" s="12" t="str">
        <f>B60</f>
        <v>Funcionário</v>
      </c>
      <c r="C135" s="362">
        <f>D33</f>
        <v>3</v>
      </c>
      <c r="D135" s="45">
        <f>E133+E134</f>
        <v>989.16000000000008</v>
      </c>
      <c r="E135" s="45">
        <f>C135*D135</f>
        <v>2967.4800000000005</v>
      </c>
      <c r="F135" s="56"/>
      <c r="G135" s="6"/>
    </row>
    <row r="136" spans="1:9" ht="13.5" thickBot="1" x14ac:dyDescent="0.25">
      <c r="A136" s="183"/>
      <c r="D136" s="179" t="s">
        <v>127</v>
      </c>
      <c r="E136" s="28">
        <f>$B$40</f>
        <v>1</v>
      </c>
      <c r="F136" s="52">
        <f>E135*E136</f>
        <v>2967.4800000000005</v>
      </c>
      <c r="G136" s="6"/>
    </row>
    <row r="137" spans="1:9" ht="11.25" customHeight="1" thickBot="1" x14ac:dyDescent="0.25">
      <c r="A137" s="183"/>
      <c r="D137" s="6"/>
      <c r="E137" s="31"/>
      <c r="F137" s="56"/>
      <c r="G137" s="6"/>
    </row>
    <row r="138" spans="1:9" ht="13.5" thickBot="1" x14ac:dyDescent="0.25">
      <c r="A138" s="16" t="s">
        <v>129</v>
      </c>
      <c r="B138" s="20"/>
      <c r="C138" s="20"/>
      <c r="D138" s="21"/>
      <c r="E138" s="22"/>
      <c r="F138" s="14">
        <f>F136</f>
        <v>2967.4800000000005</v>
      </c>
      <c r="G138" s="6"/>
    </row>
    <row r="139" spans="1:9" ht="11.25" customHeight="1" x14ac:dyDescent="0.2">
      <c r="A139" s="183"/>
      <c r="D139" s="31"/>
      <c r="E139" s="31"/>
      <c r="F139" s="56"/>
      <c r="G139" s="6"/>
    </row>
    <row r="140" spans="1:9" x14ac:dyDescent="0.2">
      <c r="A140" s="186" t="s">
        <v>34</v>
      </c>
      <c r="D140" s="31"/>
      <c r="E140" s="31"/>
      <c r="F140" s="56"/>
      <c r="G140" s="6"/>
    </row>
    <row r="141" spans="1:9" x14ac:dyDescent="0.2">
      <c r="A141" s="186"/>
      <c r="D141" s="31"/>
      <c r="E141" s="31"/>
      <c r="F141" s="56"/>
      <c r="G141" s="6"/>
    </row>
    <row r="142" spans="1:9" ht="13.5" thickBot="1" x14ac:dyDescent="0.25">
      <c r="A142" s="195" t="s">
        <v>315</v>
      </c>
      <c r="D142" s="31"/>
      <c r="E142" s="31"/>
      <c r="F142" s="56"/>
      <c r="G142" s="6"/>
    </row>
    <row r="143" spans="1:9" ht="13.5" thickBot="1" x14ac:dyDescent="0.25">
      <c r="A143" s="32" t="s">
        <v>38</v>
      </c>
      <c r="B143" s="33" t="s">
        <v>39</v>
      </c>
      <c r="C143" s="33" t="s">
        <v>29</v>
      </c>
      <c r="D143" s="34" t="s">
        <v>147</v>
      </c>
      <c r="E143" s="34" t="s">
        <v>40</v>
      </c>
      <c r="F143" s="35" t="s">
        <v>41</v>
      </c>
      <c r="G143" s="6"/>
    </row>
    <row r="144" spans="1:9" ht="38.25" x14ac:dyDescent="0.2">
      <c r="A144" s="350" t="s">
        <v>360</v>
      </c>
      <c r="B144" s="10" t="s">
        <v>8</v>
      </c>
      <c r="C144" s="10">
        <v>1</v>
      </c>
      <c r="D144" s="293">
        <f>G36</f>
        <v>658253</v>
      </c>
      <c r="E144" s="11">
        <f>C144*D144</f>
        <v>658253</v>
      </c>
      <c r="F144" s="56"/>
      <c r="G144" s="6"/>
      <c r="H144" s="41">
        <f>D144+D149</f>
        <v>1238253</v>
      </c>
      <c r="I144" s="41">
        <f>H144*2</f>
        <v>2476506</v>
      </c>
    </row>
    <row r="145" spans="1:7" x14ac:dyDescent="0.2">
      <c r="A145" s="187" t="s">
        <v>62</v>
      </c>
      <c r="B145" s="12" t="s">
        <v>63</v>
      </c>
      <c r="C145" s="319">
        <v>10</v>
      </c>
      <c r="D145" s="40"/>
      <c r="E145" s="13"/>
      <c r="F145" s="56"/>
      <c r="G145" s="6"/>
    </row>
    <row r="146" spans="1:7" x14ac:dyDescent="0.2">
      <c r="A146" s="187" t="s">
        <v>132</v>
      </c>
      <c r="B146" s="12" t="s">
        <v>63</v>
      </c>
      <c r="C146" s="319">
        <v>0</v>
      </c>
      <c r="D146" s="13"/>
      <c r="E146" s="13"/>
      <c r="F146" s="196"/>
      <c r="G146" s="6"/>
    </row>
    <row r="147" spans="1:7" x14ac:dyDescent="0.2">
      <c r="A147" s="187" t="s">
        <v>64</v>
      </c>
      <c r="B147" s="12" t="s">
        <v>2</v>
      </c>
      <c r="C147" s="58">
        <f>IFERROR(VLOOKUP(C145,'5. Depreciação'!A3:B17,2,FALSE),0)</f>
        <v>65.180000000000007</v>
      </c>
      <c r="D147" s="13">
        <f>E144</f>
        <v>658253</v>
      </c>
      <c r="E147" s="13">
        <f>C147*D147/100</f>
        <v>429049.30540000007</v>
      </c>
      <c r="F147" s="56"/>
      <c r="G147" s="6"/>
    </row>
    <row r="148" spans="1:7" ht="13.5" thickBot="1" x14ac:dyDescent="0.25">
      <c r="A148" s="197" t="s">
        <v>260</v>
      </c>
      <c r="B148" s="156" t="s">
        <v>6</v>
      </c>
      <c r="C148" s="156">
        <f>C145*12</f>
        <v>120</v>
      </c>
      <c r="D148" s="157">
        <f>IF(C146&lt;=C145,E147,0)</f>
        <v>429049.30540000007</v>
      </c>
      <c r="E148" s="157">
        <f>IFERROR(D148/C148,0)</f>
        <v>3575.410878333334</v>
      </c>
      <c r="F148" s="56"/>
      <c r="G148" s="6"/>
    </row>
    <row r="149" spans="1:7" ht="39" thickTop="1" x14ac:dyDescent="0.2">
      <c r="A149" s="349" t="s">
        <v>361</v>
      </c>
      <c r="B149" s="10" t="s">
        <v>8</v>
      </c>
      <c r="C149" s="10">
        <f>C144</f>
        <v>1</v>
      </c>
      <c r="D149" s="293">
        <f>G37+G38+G39</f>
        <v>580000</v>
      </c>
      <c r="E149" s="11">
        <f>C149*D149</f>
        <v>580000</v>
      </c>
      <c r="F149" s="56"/>
      <c r="G149" s="6"/>
    </row>
    <row r="150" spans="1:7" x14ac:dyDescent="0.2">
      <c r="A150" s="192" t="s">
        <v>190</v>
      </c>
      <c r="B150" s="12" t="s">
        <v>63</v>
      </c>
      <c r="C150" s="319">
        <v>10</v>
      </c>
      <c r="D150" s="13"/>
      <c r="E150" s="13"/>
      <c r="F150" s="56"/>
      <c r="G150" s="6"/>
    </row>
    <row r="151" spans="1:7" x14ac:dyDescent="0.2">
      <c r="A151" s="192" t="s">
        <v>191</v>
      </c>
      <c r="B151" s="12" t="s">
        <v>63</v>
      </c>
      <c r="C151" s="319">
        <v>0</v>
      </c>
      <c r="D151" s="13"/>
      <c r="E151" s="13"/>
      <c r="F151" s="196"/>
      <c r="G151" s="6"/>
    </row>
    <row r="152" spans="1:7" x14ac:dyDescent="0.2">
      <c r="A152" s="192" t="s">
        <v>192</v>
      </c>
      <c r="B152" s="12" t="s">
        <v>2</v>
      </c>
      <c r="C152" s="59">
        <f>IFERROR(VLOOKUP(C150,'5. Depreciação'!A$3:B$17,2,FALSE),0)</f>
        <v>65.180000000000007</v>
      </c>
      <c r="D152" s="13">
        <f>E149</f>
        <v>580000</v>
      </c>
      <c r="E152" s="13">
        <f>C152*D152/100</f>
        <v>378044.00000000006</v>
      </c>
      <c r="F152" s="56"/>
      <c r="G152" s="6"/>
    </row>
    <row r="153" spans="1:7" x14ac:dyDescent="0.2">
      <c r="A153" s="189" t="s">
        <v>193</v>
      </c>
      <c r="B153" s="44" t="s">
        <v>6</v>
      </c>
      <c r="C153" s="44">
        <f>C150*12</f>
        <v>120</v>
      </c>
      <c r="D153" s="45">
        <f>IF(C151&lt;=C150,E152,0)</f>
        <v>378044.00000000006</v>
      </c>
      <c r="E153" s="45">
        <f>IFERROR(D153/C153,0)</f>
        <v>3150.3666666666672</v>
      </c>
      <c r="F153" s="56"/>
      <c r="G153" s="6"/>
    </row>
    <row r="154" spans="1:7" x14ac:dyDescent="0.2">
      <c r="A154" s="189" t="s">
        <v>188</v>
      </c>
      <c r="B154" s="147"/>
      <c r="C154" s="147"/>
      <c r="D154" s="148"/>
      <c r="E154" s="45">
        <f>E148+E153</f>
        <v>6725.7775450000008</v>
      </c>
      <c r="F154" s="56"/>
      <c r="G154" s="6"/>
    </row>
    <row r="155" spans="1:7" x14ac:dyDescent="0.2">
      <c r="A155" s="189" t="s">
        <v>155</v>
      </c>
      <c r="B155" s="44" t="s">
        <v>329</v>
      </c>
      <c r="C155" s="366">
        <f>E36</f>
        <v>2</v>
      </c>
      <c r="D155" s="45">
        <f>E154</f>
        <v>6725.7775450000008</v>
      </c>
      <c r="E155" s="49">
        <f>C155*D155</f>
        <v>13451.555090000002</v>
      </c>
      <c r="F155" s="56"/>
      <c r="G155" s="6"/>
    </row>
    <row r="156" spans="1:7" ht="13.5" thickBot="1" x14ac:dyDescent="0.25">
      <c r="A156" s="186"/>
      <c r="B156" s="178"/>
      <c r="C156" s="369"/>
      <c r="D156" s="23"/>
      <c r="E156" s="23"/>
      <c r="F156" s="56"/>
      <c r="G156" s="6"/>
    </row>
    <row r="157" spans="1:7" ht="13.5" thickBot="1" x14ac:dyDescent="0.25">
      <c r="A157" s="189" t="s">
        <v>351</v>
      </c>
      <c r="B157" s="154"/>
      <c r="C157" s="154"/>
      <c r="D157" s="179" t="s">
        <v>127</v>
      </c>
      <c r="E157" s="28">
        <f>$B$40</f>
        <v>1</v>
      </c>
      <c r="F157" s="14">
        <f>+E155</f>
        <v>13451.555090000002</v>
      </c>
      <c r="G157" s="6"/>
    </row>
    <row r="158" spans="1:7" x14ac:dyDescent="0.2">
      <c r="A158" s="198"/>
      <c r="B158" s="154"/>
      <c r="C158" s="154"/>
      <c r="D158" s="179"/>
      <c r="E158" s="31"/>
      <c r="F158" s="31"/>
      <c r="G158" s="6"/>
    </row>
    <row r="159" spans="1:7" ht="13.5" thickBot="1" x14ac:dyDescent="0.25">
      <c r="A159" s="195" t="s">
        <v>316</v>
      </c>
      <c r="D159" s="31"/>
      <c r="E159" s="31"/>
      <c r="F159" s="56"/>
      <c r="G159" s="6"/>
    </row>
    <row r="160" spans="1:7" ht="13.5" thickBot="1" x14ac:dyDescent="0.25">
      <c r="A160" s="32" t="s">
        <v>38</v>
      </c>
      <c r="B160" s="33" t="s">
        <v>39</v>
      </c>
      <c r="C160" s="33" t="s">
        <v>29</v>
      </c>
      <c r="D160" s="34" t="s">
        <v>147</v>
      </c>
      <c r="E160" s="34" t="s">
        <v>40</v>
      </c>
      <c r="F160" s="35" t="s">
        <v>41</v>
      </c>
      <c r="G160" s="6"/>
    </row>
    <row r="161" spans="1:7" ht="38.25" x14ac:dyDescent="0.2">
      <c r="A161" s="350" t="s">
        <v>358</v>
      </c>
      <c r="B161" s="10" t="s">
        <v>8</v>
      </c>
      <c r="C161" s="10">
        <v>1</v>
      </c>
      <c r="D161" s="11">
        <f>D144</f>
        <v>658253</v>
      </c>
      <c r="E161" s="11">
        <f>C161*D161</f>
        <v>658253</v>
      </c>
      <c r="F161" s="196"/>
      <c r="G161" s="6"/>
    </row>
    <row r="162" spans="1:7" x14ac:dyDescent="0.2">
      <c r="A162" s="187" t="s">
        <v>134</v>
      </c>
      <c r="B162" s="12" t="s">
        <v>2</v>
      </c>
      <c r="C162" s="294">
        <v>15</v>
      </c>
      <c r="D162" s="13"/>
      <c r="E162" s="13"/>
      <c r="F162" s="196"/>
      <c r="G162" s="6"/>
    </row>
    <row r="163" spans="1:7" x14ac:dyDescent="0.2">
      <c r="A163" s="187" t="s">
        <v>133</v>
      </c>
      <c r="B163" s="12" t="s">
        <v>24</v>
      </c>
      <c r="C163" s="63">
        <f>IFERROR(IF(C146&lt;=C145,E144-(C147/(100*C145)*C146)*E144,E144-E147),0)</f>
        <v>658253</v>
      </c>
      <c r="D163" s="13"/>
      <c r="E163" s="13"/>
      <c r="F163" s="196"/>
      <c r="G163" s="6"/>
    </row>
    <row r="164" spans="1:7" x14ac:dyDescent="0.2">
      <c r="A164" s="187" t="s">
        <v>68</v>
      </c>
      <c r="B164" s="12" t="s">
        <v>24</v>
      </c>
      <c r="C164" s="40">
        <f>IFERROR(IF(C146&gt;=C145,C163,((((C163)-(E144-E147))*(((C145-C146)+1)/(2*(C145-C146))))+(E144-E147))),0)</f>
        <v>465180.81256999995</v>
      </c>
      <c r="D164" s="13"/>
      <c r="E164" s="13"/>
      <c r="F164" s="196"/>
      <c r="G164" s="6"/>
    </row>
    <row r="165" spans="1:7" ht="13.5" thickBot="1" x14ac:dyDescent="0.25">
      <c r="A165" s="197" t="s">
        <v>69</v>
      </c>
      <c r="B165" s="156" t="s">
        <v>24</v>
      </c>
      <c r="C165" s="156"/>
      <c r="D165" s="158">
        <f>C162*C164/12/100</f>
        <v>5814.7601571249998</v>
      </c>
      <c r="E165" s="157">
        <f>D165</f>
        <v>5814.7601571249998</v>
      </c>
      <c r="F165" s="196"/>
      <c r="G165" s="6"/>
    </row>
    <row r="166" spans="1:7" ht="39" thickTop="1" x14ac:dyDescent="0.2">
      <c r="A166" s="349" t="str">
        <f>A149</f>
        <v>Custo de aquisição sistema Roll On / Roll Of 35m³, Reboque Julieta truck 3 eixos, 04 (quatro) contêineres de 35m³</v>
      </c>
      <c r="B166" s="10" t="s">
        <v>8</v>
      </c>
      <c r="C166" s="10">
        <f>C149</f>
        <v>1</v>
      </c>
      <c r="D166" s="11">
        <f>D149</f>
        <v>580000</v>
      </c>
      <c r="E166" s="11">
        <f>C166*D166</f>
        <v>580000</v>
      </c>
      <c r="F166" s="196"/>
      <c r="G166" s="6"/>
    </row>
    <row r="167" spans="1:7" x14ac:dyDescent="0.2">
      <c r="A167" s="187" t="s">
        <v>134</v>
      </c>
      <c r="B167" s="12" t="s">
        <v>2</v>
      </c>
      <c r="C167" s="338">
        <f>C162</f>
        <v>15</v>
      </c>
      <c r="D167" s="13"/>
      <c r="E167" s="13"/>
      <c r="F167" s="196"/>
      <c r="G167" s="6"/>
    </row>
    <row r="168" spans="1:7" x14ac:dyDescent="0.2">
      <c r="A168" s="187" t="s">
        <v>133</v>
      </c>
      <c r="B168" s="12" t="s">
        <v>24</v>
      </c>
      <c r="C168" s="63">
        <f>IFERROR(IF(C151&lt;=C150,E149-(C152/(100*C150)*C151)*E149,E149-E152),0)</f>
        <v>580000</v>
      </c>
      <c r="D168" s="13"/>
      <c r="E168" s="13"/>
      <c r="F168" s="196"/>
      <c r="G168" s="6"/>
    </row>
    <row r="169" spans="1:7" x14ac:dyDescent="0.2">
      <c r="A169" s="187" t="s">
        <v>68</v>
      </c>
      <c r="B169" s="12" t="s">
        <v>24</v>
      </c>
      <c r="C169" s="40">
        <f>IFERROR(IF(C151&gt;=C150,C168,((((C168)-(E149-E152))*(((C150-C151)+1)/(2*(C150-C151))))+(E149-E152))),0)</f>
        <v>409880.19999999995</v>
      </c>
      <c r="D169" s="13"/>
      <c r="E169" s="13"/>
      <c r="F169" s="196"/>
      <c r="G169" s="6"/>
    </row>
    <row r="170" spans="1:7" x14ac:dyDescent="0.2">
      <c r="A170" s="199" t="str">
        <f>A153</f>
        <v>Depr. mensal do conjunto</v>
      </c>
      <c r="B170" s="44" t="s">
        <v>24</v>
      </c>
      <c r="C170" s="44"/>
      <c r="D170" s="48">
        <f>C167*C169/12/100</f>
        <v>5123.5024999999996</v>
      </c>
      <c r="E170" s="45">
        <f>D170</f>
        <v>5123.5024999999996</v>
      </c>
      <c r="F170" s="196"/>
      <c r="G170" s="6"/>
    </row>
    <row r="171" spans="1:7" x14ac:dyDescent="0.2">
      <c r="A171" s="191" t="s">
        <v>181</v>
      </c>
      <c r="B171" s="178"/>
      <c r="C171" s="178"/>
      <c r="D171" s="23"/>
      <c r="E171" s="49">
        <f>E165+E170</f>
        <v>10938.262657125</v>
      </c>
      <c r="F171" s="196"/>
      <c r="G171" s="6"/>
    </row>
    <row r="172" spans="1:7" x14ac:dyDescent="0.2">
      <c r="A172" s="189" t="s">
        <v>330</v>
      </c>
      <c r="B172" s="44" t="s">
        <v>329</v>
      </c>
      <c r="C172" s="367">
        <f>C155</f>
        <v>2</v>
      </c>
      <c r="D172" s="45">
        <f>E171</f>
        <v>10938.262657125</v>
      </c>
      <c r="E172" s="49">
        <f>C172*D172</f>
        <v>21876.525314250001</v>
      </c>
      <c r="F172" s="196"/>
      <c r="G172" s="6"/>
    </row>
    <row r="173" spans="1:7" ht="13.5" thickBot="1" x14ac:dyDescent="0.25">
      <c r="A173" s="189"/>
      <c r="B173" s="178"/>
      <c r="C173" s="370"/>
      <c r="D173" s="23"/>
      <c r="E173" s="49"/>
      <c r="F173" s="196"/>
      <c r="G173" s="6"/>
    </row>
    <row r="174" spans="1:7" ht="13.5" thickBot="1" x14ac:dyDescent="0.25">
      <c r="A174" s="189" t="s">
        <v>352</v>
      </c>
      <c r="C174" s="181"/>
      <c r="D174" s="179" t="s">
        <v>127</v>
      </c>
      <c r="E174" s="28">
        <f>$B$40</f>
        <v>1</v>
      </c>
      <c r="F174" s="14">
        <f>(E172)*E174</f>
        <v>21876.525314250001</v>
      </c>
      <c r="G174" s="41"/>
    </row>
    <row r="175" spans="1:7" x14ac:dyDescent="0.2">
      <c r="A175" s="183"/>
      <c r="C175" s="181"/>
      <c r="D175" s="179"/>
      <c r="E175" s="31"/>
      <c r="F175" s="31"/>
      <c r="G175" s="41"/>
    </row>
    <row r="176" spans="1:7" ht="11.25" customHeight="1" x14ac:dyDescent="0.2">
      <c r="A176" s="183"/>
      <c r="D176" s="31"/>
      <c r="E176" s="31"/>
      <c r="F176" s="56"/>
      <c r="G176" s="41"/>
    </row>
    <row r="177" spans="1:8" ht="13.5" thickBot="1" x14ac:dyDescent="0.25">
      <c r="A177" s="186" t="s">
        <v>323</v>
      </c>
      <c r="D177" s="31"/>
      <c r="E177" s="31"/>
      <c r="F177" s="56"/>
      <c r="G177" s="6"/>
    </row>
    <row r="178" spans="1:8" ht="13.5" thickBot="1" x14ac:dyDescent="0.25">
      <c r="A178" s="32" t="s">
        <v>38</v>
      </c>
      <c r="B178" s="33" t="s">
        <v>39</v>
      </c>
      <c r="C178" s="33" t="s">
        <v>362</v>
      </c>
      <c r="D178" s="34" t="s">
        <v>147</v>
      </c>
      <c r="E178" s="34" t="s">
        <v>40</v>
      </c>
      <c r="F178" s="35" t="s">
        <v>41</v>
      </c>
      <c r="G178" s="6"/>
    </row>
    <row r="179" spans="1:8" x14ac:dyDescent="0.2">
      <c r="A179" s="194" t="s">
        <v>9</v>
      </c>
      <c r="B179" s="10" t="s">
        <v>8</v>
      </c>
      <c r="C179" s="11">
        <v>2</v>
      </c>
      <c r="D179" s="11">
        <f>0.01*((($E$144+E149)))</f>
        <v>12382.53</v>
      </c>
      <c r="E179" s="11">
        <f>C179*D179</f>
        <v>24765.06</v>
      </c>
      <c r="F179" s="56"/>
      <c r="G179" s="6"/>
    </row>
    <row r="180" spans="1:8" x14ac:dyDescent="0.2">
      <c r="A180" s="192" t="s">
        <v>264</v>
      </c>
      <c r="B180" s="12" t="s">
        <v>8</v>
      </c>
      <c r="C180" s="11">
        <v>2</v>
      </c>
      <c r="D180" s="301">
        <v>167.74</v>
      </c>
      <c r="E180" s="13">
        <f>C180*D180</f>
        <v>335.48</v>
      </c>
      <c r="F180" s="56"/>
      <c r="G180" s="6"/>
    </row>
    <row r="181" spans="1:8" ht="25.5" x14ac:dyDescent="0.2">
      <c r="A181" s="192" t="s">
        <v>322</v>
      </c>
      <c r="B181" s="174" t="s">
        <v>8</v>
      </c>
      <c r="C181" s="11">
        <v>2</v>
      </c>
      <c r="D181" s="301">
        <f>150*12</f>
        <v>1800</v>
      </c>
      <c r="E181" s="13">
        <f t="shared" ref="E181:E182" si="10">C181*D181</f>
        <v>3600</v>
      </c>
      <c r="F181" s="56"/>
      <c r="G181" s="352" t="s">
        <v>331</v>
      </c>
    </row>
    <row r="182" spans="1:8" x14ac:dyDescent="0.2">
      <c r="A182" s="192" t="s">
        <v>324</v>
      </c>
      <c r="B182" s="174" t="s">
        <v>8</v>
      </c>
      <c r="C182" s="11">
        <v>1</v>
      </c>
      <c r="D182" s="301">
        <v>150</v>
      </c>
      <c r="E182" s="13">
        <f t="shared" si="10"/>
        <v>150</v>
      </c>
      <c r="F182" s="56"/>
      <c r="G182" s="6"/>
    </row>
    <row r="183" spans="1:8" x14ac:dyDescent="0.2">
      <c r="A183" s="187" t="s">
        <v>10</v>
      </c>
      <c r="B183" s="12" t="s">
        <v>8</v>
      </c>
      <c r="C183" s="11">
        <v>2</v>
      </c>
      <c r="D183" s="351">
        <v>4000</v>
      </c>
      <c r="E183" s="13">
        <f>C183*D183</f>
        <v>8000</v>
      </c>
      <c r="F183" s="200"/>
      <c r="G183" s="6"/>
    </row>
    <row r="184" spans="1:8" ht="13.5" thickBot="1" x14ac:dyDescent="0.25">
      <c r="A184" s="189" t="s">
        <v>11</v>
      </c>
      <c r="B184" s="44" t="s">
        <v>6</v>
      </c>
      <c r="C184" s="44">
        <v>12</v>
      </c>
      <c r="D184" s="45">
        <f>SUM(E179:E183)</f>
        <v>36850.54</v>
      </c>
      <c r="E184" s="45">
        <f>D184/C184</f>
        <v>3070.8783333333336</v>
      </c>
      <c r="F184" s="56"/>
      <c r="G184" s="6"/>
    </row>
    <row r="185" spans="1:8" ht="13.5" thickBot="1" x14ac:dyDescent="0.25">
      <c r="A185" s="183"/>
      <c r="D185" s="179" t="s">
        <v>127</v>
      </c>
      <c r="E185" s="28">
        <f>$B$40</f>
        <v>1</v>
      </c>
      <c r="F185" s="52">
        <f>E184*E185</f>
        <v>3070.8783333333336</v>
      </c>
      <c r="G185" s="6"/>
    </row>
    <row r="186" spans="1:8" ht="11.25" customHeight="1" x14ac:dyDescent="0.2">
      <c r="A186" s="183"/>
      <c r="D186" s="31"/>
      <c r="E186" s="31"/>
      <c r="F186" s="56"/>
      <c r="G186" s="6"/>
    </row>
    <row r="187" spans="1:8" x14ac:dyDescent="0.2">
      <c r="A187" s="186" t="s">
        <v>317</v>
      </c>
      <c r="B187" s="182"/>
      <c r="D187" s="31"/>
      <c r="E187" s="31"/>
      <c r="F187" s="56"/>
      <c r="G187" s="6"/>
    </row>
    <row r="188" spans="1:8" x14ac:dyDescent="0.2">
      <c r="A188" s="189" t="s">
        <v>336</v>
      </c>
      <c r="B188" s="361">
        <v>11120</v>
      </c>
      <c r="D188" s="31"/>
      <c r="E188" s="31"/>
      <c r="F188" s="56"/>
      <c r="G188" s="4" t="s">
        <v>384</v>
      </c>
    </row>
    <row r="189" spans="1:8" ht="13.5" thickBot="1" x14ac:dyDescent="0.25">
      <c r="A189" s="183"/>
      <c r="B189" s="182"/>
      <c r="D189" s="31"/>
      <c r="E189" s="31"/>
      <c r="F189" s="56"/>
      <c r="G189" s="6">
        <f xml:space="preserve"> 40*(124+15)*2</f>
        <v>11120</v>
      </c>
      <c r="H189" s="4" t="s">
        <v>386</v>
      </c>
    </row>
    <row r="190" spans="1:8" ht="13.5" thickBot="1" x14ac:dyDescent="0.25">
      <c r="A190" s="32" t="s">
        <v>38</v>
      </c>
      <c r="B190" s="33" t="s">
        <v>39</v>
      </c>
      <c r="C190" s="33" t="s">
        <v>363</v>
      </c>
      <c r="D190" s="34" t="s">
        <v>147</v>
      </c>
      <c r="E190" s="34" t="s">
        <v>40</v>
      </c>
      <c r="F190" s="35" t="s">
        <v>41</v>
      </c>
      <c r="G190" s="6"/>
    </row>
    <row r="191" spans="1:8" x14ac:dyDescent="0.2">
      <c r="A191" s="194" t="s">
        <v>12</v>
      </c>
      <c r="B191" s="10" t="s">
        <v>13</v>
      </c>
      <c r="C191" s="302">
        <v>2.2999999999999998</v>
      </c>
      <c r="D191" s="303">
        <v>5.58</v>
      </c>
      <c r="E191" s="11"/>
      <c r="F191" s="56"/>
      <c r="G191" s="6"/>
    </row>
    <row r="192" spans="1:8" x14ac:dyDescent="0.2">
      <c r="A192" s="187" t="s">
        <v>14</v>
      </c>
      <c r="B192" s="12" t="s">
        <v>15</v>
      </c>
      <c r="C192" s="42">
        <f>B188</f>
        <v>11120</v>
      </c>
      <c r="D192" s="153">
        <f>IFERROR(+D191/C191,"-")</f>
        <v>2.4260869565217393</v>
      </c>
      <c r="E192" s="13">
        <f>IFERROR(C192*D192,"-")</f>
        <v>26978.08695652174</v>
      </c>
      <c r="F192" s="56"/>
      <c r="G192" s="6"/>
    </row>
    <row r="193" spans="1:7" x14ac:dyDescent="0.2">
      <c r="A193" s="192" t="s">
        <v>385</v>
      </c>
      <c r="B193" s="174" t="s">
        <v>13</v>
      </c>
      <c r="C193" s="302">
        <v>270</v>
      </c>
      <c r="D193" s="303">
        <v>2.61</v>
      </c>
      <c r="E193" s="13"/>
      <c r="F193" s="56"/>
      <c r="G193" s="6"/>
    </row>
    <row r="194" spans="1:7" s="4" customFormat="1" x14ac:dyDescent="0.2">
      <c r="A194" s="192" t="s">
        <v>272</v>
      </c>
      <c r="B194" s="174" t="s">
        <v>273</v>
      </c>
      <c r="C194" s="326">
        <f>C192</f>
        <v>11120</v>
      </c>
      <c r="D194" s="327">
        <f>IFERROR(+D193/C193,"-")</f>
        <v>9.6666666666666654E-3</v>
      </c>
      <c r="E194" s="249">
        <f>IFERROR(C194*D194,"-")</f>
        <v>107.49333333333333</v>
      </c>
      <c r="F194" s="246"/>
    </row>
    <row r="195" spans="1:7" x14ac:dyDescent="0.2">
      <c r="A195" s="187" t="s">
        <v>148</v>
      </c>
      <c r="B195" s="12" t="s">
        <v>16</v>
      </c>
      <c r="C195" s="299">
        <v>2.5</v>
      </c>
      <c r="D195" s="301">
        <v>25</v>
      </c>
      <c r="E195" s="13"/>
      <c r="F195" s="56"/>
      <c r="G195" s="6"/>
    </row>
    <row r="196" spans="1:7" x14ac:dyDescent="0.2">
      <c r="A196" s="187" t="s">
        <v>17</v>
      </c>
      <c r="B196" s="12" t="s">
        <v>15</v>
      </c>
      <c r="C196" s="42">
        <f>C192</f>
        <v>11120</v>
      </c>
      <c r="D196" s="150">
        <f>+C195*D195/1000</f>
        <v>6.25E-2</v>
      </c>
      <c r="E196" s="13">
        <f>C196*D196</f>
        <v>695</v>
      </c>
      <c r="F196" s="56"/>
      <c r="G196" s="6"/>
    </row>
    <row r="197" spans="1:7" x14ac:dyDescent="0.2">
      <c r="A197" s="187" t="s">
        <v>149</v>
      </c>
      <c r="B197" s="12" t="s">
        <v>16</v>
      </c>
      <c r="C197" s="299">
        <v>0.3</v>
      </c>
      <c r="D197" s="301">
        <v>30</v>
      </c>
      <c r="E197" s="13"/>
      <c r="F197" s="56"/>
      <c r="G197" s="6"/>
    </row>
    <row r="198" spans="1:7" x14ac:dyDescent="0.2">
      <c r="A198" s="187" t="s">
        <v>18</v>
      </c>
      <c r="B198" s="12" t="s">
        <v>15</v>
      </c>
      <c r="C198" s="42">
        <f>C192</f>
        <v>11120</v>
      </c>
      <c r="D198" s="150">
        <f>+C197*D197/1000</f>
        <v>8.9999999999999993E-3</v>
      </c>
      <c r="E198" s="13">
        <f>C198*D198</f>
        <v>100.08</v>
      </c>
      <c r="F198" s="56"/>
      <c r="G198" s="6"/>
    </row>
    <row r="199" spans="1:7" x14ac:dyDescent="0.2">
      <c r="A199" s="187" t="s">
        <v>150</v>
      </c>
      <c r="B199" s="12" t="s">
        <v>16</v>
      </c>
      <c r="C199" s="299">
        <v>4</v>
      </c>
      <c r="D199" s="301">
        <v>20</v>
      </c>
      <c r="E199" s="13"/>
      <c r="F199" s="56"/>
      <c r="G199" s="6"/>
    </row>
    <row r="200" spans="1:7" x14ac:dyDescent="0.2">
      <c r="A200" s="187" t="s">
        <v>19</v>
      </c>
      <c r="B200" s="12" t="s">
        <v>15</v>
      </c>
      <c r="C200" s="42">
        <f>C192</f>
        <v>11120</v>
      </c>
      <c r="D200" s="150">
        <f>+C199*D199/1000</f>
        <v>0.08</v>
      </c>
      <c r="E200" s="13">
        <f>C200*D200</f>
        <v>889.6</v>
      </c>
      <c r="F200" s="56"/>
      <c r="G200" s="6"/>
    </row>
    <row r="201" spans="1:7" x14ac:dyDescent="0.2">
      <c r="A201" s="187" t="s">
        <v>20</v>
      </c>
      <c r="B201" s="12" t="s">
        <v>21</v>
      </c>
      <c r="C201" s="299">
        <v>2</v>
      </c>
      <c r="D201" s="301">
        <v>30</v>
      </c>
      <c r="E201" s="13"/>
      <c r="F201" s="56"/>
      <c r="G201" s="6"/>
    </row>
    <row r="202" spans="1:7" x14ac:dyDescent="0.2">
      <c r="A202" s="187" t="s">
        <v>22</v>
      </c>
      <c r="B202" s="12" t="s">
        <v>15</v>
      </c>
      <c r="C202" s="42">
        <f>C192</f>
        <v>11120</v>
      </c>
      <c r="D202" s="150">
        <f>+C201*D201/1000</f>
        <v>0.06</v>
      </c>
      <c r="E202" s="13">
        <f>C202*D202</f>
        <v>667.19999999999993</v>
      </c>
      <c r="F202" s="56"/>
      <c r="G202" s="6"/>
    </row>
    <row r="203" spans="1:7" ht="13.5" thickBot="1" x14ac:dyDescent="0.25">
      <c r="A203" s="189" t="s">
        <v>154</v>
      </c>
      <c r="B203" s="44" t="s">
        <v>71</v>
      </c>
      <c r="C203" s="151"/>
      <c r="D203" s="152">
        <f>IFERROR(D192+D194+D196+D198+D200+D202,0)</f>
        <v>2.6472536231884058</v>
      </c>
      <c r="E203" s="13"/>
      <c r="F203" s="56"/>
      <c r="G203" s="324"/>
    </row>
    <row r="204" spans="1:7" ht="13.5" thickBot="1" x14ac:dyDescent="0.25">
      <c r="A204" s="183"/>
      <c r="D204" s="31"/>
      <c r="E204" s="31"/>
      <c r="F204" s="14">
        <f>SUM(E191:E202)</f>
        <v>29437.460289855073</v>
      </c>
      <c r="G204" s="6"/>
    </row>
    <row r="205" spans="1:7" ht="11.25" customHeight="1" thickBot="1" x14ac:dyDescent="0.25">
      <c r="A205" s="390"/>
      <c r="B205" s="391"/>
      <c r="C205" s="357"/>
      <c r="D205" s="4"/>
      <c r="E205" s="245"/>
      <c r="F205" s="245"/>
      <c r="G205" s="246"/>
    </row>
    <row r="206" spans="1:7" ht="11.25" customHeight="1" x14ac:dyDescent="0.2">
      <c r="A206" s="358"/>
      <c r="B206" s="178"/>
      <c r="C206" s="359"/>
      <c r="D206" s="23"/>
      <c r="E206" s="360"/>
      <c r="F206" s="360"/>
      <c r="G206" s="246"/>
    </row>
    <row r="207" spans="1:7" ht="13.5" thickBot="1" x14ac:dyDescent="0.25">
      <c r="A207" s="186" t="s">
        <v>332</v>
      </c>
      <c r="D207" s="31"/>
      <c r="E207" s="31"/>
      <c r="F207" s="56"/>
      <c r="G207" s="6"/>
    </row>
    <row r="208" spans="1:7" ht="13.5" thickBot="1" x14ac:dyDescent="0.25">
      <c r="A208" s="32" t="s">
        <v>38</v>
      </c>
      <c r="B208" s="33" t="s">
        <v>39</v>
      </c>
      <c r="C208" s="33" t="s">
        <v>364</v>
      </c>
      <c r="D208" s="34" t="s">
        <v>147</v>
      </c>
      <c r="E208" s="34" t="s">
        <v>40</v>
      </c>
      <c r="F208" s="35" t="s">
        <v>41</v>
      </c>
      <c r="G208" s="6"/>
    </row>
    <row r="209" spans="1:8" x14ac:dyDescent="0.2">
      <c r="A209" s="194" t="s">
        <v>70</v>
      </c>
      <c r="B209" s="10" t="s">
        <v>71</v>
      </c>
      <c r="C209" s="42">
        <f>C192</f>
        <v>11120</v>
      </c>
      <c r="D209" s="293">
        <v>0.8</v>
      </c>
      <c r="E209" s="11">
        <f>C209*D209</f>
        <v>8896</v>
      </c>
      <c r="F209" s="56"/>
      <c r="G209" s="6"/>
    </row>
    <row r="210" spans="1:8" s="4" customFormat="1" ht="25.5" x14ac:dyDescent="0.2">
      <c r="A210" s="188" t="s">
        <v>270</v>
      </c>
      <c r="B210" s="265" t="s">
        <v>271</v>
      </c>
      <c r="C210" s="322">
        <v>8</v>
      </c>
      <c r="D210" s="323">
        <v>250</v>
      </c>
      <c r="E210" s="266">
        <f>C210*D210</f>
        <v>2000</v>
      </c>
      <c r="F210" s="246"/>
      <c r="G210" s="352" t="s">
        <v>365</v>
      </c>
    </row>
    <row r="211" spans="1:8" s="4" customFormat="1" x14ac:dyDescent="0.2">
      <c r="A211" s="368" t="s">
        <v>353</v>
      </c>
      <c r="B211" s="265" t="s">
        <v>6</v>
      </c>
      <c r="C211" s="322" t="s">
        <v>354</v>
      </c>
      <c r="D211" s="323">
        <v>600</v>
      </c>
      <c r="E211" s="266">
        <f>D211</f>
        <v>600</v>
      </c>
      <c r="F211" s="246"/>
      <c r="G211" s="6"/>
    </row>
    <row r="212" spans="1:8" ht="13.5" thickBot="1" x14ac:dyDescent="0.25">
      <c r="A212" s="221" t="s">
        <v>211</v>
      </c>
      <c r="B212" s="174" t="s">
        <v>212</v>
      </c>
      <c r="C212" s="301">
        <v>40</v>
      </c>
      <c r="D212" s="320">
        <f>(39.9*2)</f>
        <v>79.8</v>
      </c>
      <c r="E212" s="13">
        <f>C212*D212</f>
        <v>3192</v>
      </c>
      <c r="F212" s="56"/>
      <c r="G212" s="4" t="s">
        <v>366</v>
      </c>
      <c r="H212" s="4"/>
    </row>
    <row r="213" spans="1:8" ht="13.5" thickBot="1" x14ac:dyDescent="0.25">
      <c r="A213" s="183"/>
      <c r="D213" s="6"/>
      <c r="E213" s="31"/>
      <c r="F213" s="14">
        <f>SUM(E209:E212)</f>
        <v>14688</v>
      </c>
      <c r="G213" s="4"/>
    </row>
    <row r="214" spans="1:8" ht="11.25" customHeight="1" x14ac:dyDescent="0.2">
      <c r="A214" s="183"/>
      <c r="D214" s="31"/>
      <c r="E214" s="31"/>
      <c r="F214" s="56"/>
      <c r="G214" s="6"/>
    </row>
    <row r="215" spans="1:8" ht="13.5" thickBot="1" x14ac:dyDescent="0.25">
      <c r="A215" s="186" t="s">
        <v>333</v>
      </c>
      <c r="D215" s="31"/>
      <c r="E215" s="31"/>
      <c r="F215" s="56"/>
      <c r="G215" s="6"/>
    </row>
    <row r="216" spans="1:8" ht="13.5" thickBot="1" x14ac:dyDescent="0.25">
      <c r="A216" s="32" t="s">
        <v>38</v>
      </c>
      <c r="B216" s="33" t="s">
        <v>39</v>
      </c>
      <c r="C216" s="33" t="s">
        <v>29</v>
      </c>
      <c r="D216" s="34" t="s">
        <v>147</v>
      </c>
      <c r="E216" s="34" t="s">
        <v>40</v>
      </c>
      <c r="F216" s="35" t="s">
        <v>41</v>
      </c>
      <c r="G216" s="6"/>
      <c r="H216" s="7"/>
    </row>
    <row r="217" spans="1:8" x14ac:dyDescent="0.2">
      <c r="A217" s="188" t="s">
        <v>266</v>
      </c>
      <c r="B217" s="10" t="s">
        <v>8</v>
      </c>
      <c r="C217" s="304">
        <v>22</v>
      </c>
      <c r="D217" s="293">
        <v>2550</v>
      </c>
      <c r="E217" s="11">
        <f>C217*D217</f>
        <v>56100</v>
      </c>
      <c r="F217" s="56"/>
      <c r="G217" s="6"/>
      <c r="H217" s="7"/>
    </row>
    <row r="218" spans="1:8" x14ac:dyDescent="0.2">
      <c r="A218" s="194" t="s">
        <v>72</v>
      </c>
      <c r="B218" s="10" t="s">
        <v>8</v>
      </c>
      <c r="C218" s="304">
        <v>2</v>
      </c>
      <c r="D218" s="46"/>
      <c r="E218" s="11"/>
      <c r="F218" s="56"/>
      <c r="G218" s="6"/>
      <c r="H218" s="7"/>
    </row>
    <row r="219" spans="1:8" x14ac:dyDescent="0.2">
      <c r="A219" s="194" t="s">
        <v>42</v>
      </c>
      <c r="B219" s="10" t="s">
        <v>8</v>
      </c>
      <c r="C219" s="11">
        <f>C217*C218</f>
        <v>44</v>
      </c>
      <c r="D219" s="293">
        <v>710</v>
      </c>
      <c r="E219" s="11">
        <f>C219*D219</f>
        <v>31240</v>
      </c>
      <c r="F219" s="56"/>
      <c r="G219" s="6"/>
      <c r="H219" s="7"/>
    </row>
    <row r="220" spans="1:8" ht="13.5" thickBot="1" x14ac:dyDescent="0.25">
      <c r="A220" s="192" t="s">
        <v>265</v>
      </c>
      <c r="B220" s="12" t="s">
        <v>23</v>
      </c>
      <c r="C220" s="305">
        <v>82727</v>
      </c>
      <c r="D220" s="13">
        <f>E217+E219</f>
        <v>87340</v>
      </c>
      <c r="E220" s="13">
        <f>IFERROR(D220/C220,"-")</f>
        <v>1.0557617222913922</v>
      </c>
      <c r="F220" s="56"/>
      <c r="G220" s="6"/>
      <c r="H220" s="7"/>
    </row>
    <row r="221" spans="1:8" ht="13.5" thickBot="1" x14ac:dyDescent="0.25">
      <c r="A221" s="187" t="s">
        <v>35</v>
      </c>
      <c r="B221" s="12" t="s">
        <v>15</v>
      </c>
      <c r="C221" s="42">
        <f>B188</f>
        <v>11120</v>
      </c>
      <c r="D221" s="13">
        <f>E220</f>
        <v>1.0557617222913922</v>
      </c>
      <c r="E221" s="13">
        <f>IFERROR(C221*D221,0)</f>
        <v>11740.070351880282</v>
      </c>
      <c r="F221" s="14">
        <f>E221</f>
        <v>11740.070351880282</v>
      </c>
      <c r="G221" s="6"/>
      <c r="H221" s="7"/>
    </row>
    <row r="222" spans="1:8" ht="11.25" customHeight="1" thickBot="1" x14ac:dyDescent="0.25">
      <c r="A222" s="183"/>
      <c r="D222" s="31"/>
      <c r="E222" s="31"/>
      <c r="F222" s="56"/>
      <c r="G222" s="6"/>
      <c r="H222" s="7"/>
    </row>
    <row r="223" spans="1:8" ht="13.5" thickBot="1" x14ac:dyDescent="0.25">
      <c r="A223" s="16" t="s">
        <v>139</v>
      </c>
      <c r="B223" s="17"/>
      <c r="C223" s="17"/>
      <c r="D223" s="18"/>
      <c r="E223" s="19"/>
      <c r="F223" s="14">
        <f>+SUM(F144:F222)</f>
        <v>94264.489379318693</v>
      </c>
      <c r="G223" s="6"/>
    </row>
    <row r="224" spans="1:8" ht="11.25" customHeight="1" x14ac:dyDescent="0.2">
      <c r="A224" s="183"/>
      <c r="D224" s="31"/>
      <c r="E224" s="31"/>
      <c r="F224" s="56"/>
      <c r="G224" s="6"/>
    </row>
    <row r="225" spans="1:12" ht="13.5" thickBot="1" x14ac:dyDescent="0.25">
      <c r="A225" s="186" t="s">
        <v>43</v>
      </c>
      <c r="B225" s="8"/>
      <c r="C225" s="8"/>
      <c r="D225" s="24"/>
      <c r="E225" s="24"/>
      <c r="F225" s="201"/>
      <c r="G225" s="6"/>
    </row>
    <row r="226" spans="1:12" ht="13.5" thickBot="1" x14ac:dyDescent="0.25">
      <c r="A226" s="32" t="s">
        <v>38</v>
      </c>
      <c r="B226" s="33" t="s">
        <v>39</v>
      </c>
      <c r="C226" s="33" t="s">
        <v>367</v>
      </c>
      <c r="D226" s="34" t="s">
        <v>147</v>
      </c>
      <c r="E226" s="34" t="s">
        <v>40</v>
      </c>
      <c r="F226" s="35" t="s">
        <v>41</v>
      </c>
      <c r="G226" s="6"/>
      <c r="L226" s="4"/>
    </row>
    <row r="227" spans="1:12" x14ac:dyDescent="0.2">
      <c r="A227" s="192" t="s">
        <v>334</v>
      </c>
      <c r="B227" s="174" t="s">
        <v>185</v>
      </c>
      <c r="C227" s="306">
        <f>2/12</f>
        <v>0.16666666666666666</v>
      </c>
      <c r="D227" s="293">
        <v>41</v>
      </c>
      <c r="E227" s="13">
        <f>C227*D227</f>
        <v>6.833333333333333</v>
      </c>
      <c r="F227" s="202"/>
      <c r="G227" s="4"/>
    </row>
    <row r="228" spans="1:12" x14ac:dyDescent="0.2">
      <c r="A228" s="192" t="s">
        <v>350</v>
      </c>
      <c r="B228" s="174" t="s">
        <v>185</v>
      </c>
      <c r="C228" s="306">
        <v>0.16666666666666666</v>
      </c>
      <c r="D228" s="293">
        <v>120.87</v>
      </c>
      <c r="E228" s="13">
        <f>C228*D228</f>
        <v>20.145</v>
      </c>
      <c r="F228" s="202"/>
      <c r="G228" s="4"/>
    </row>
    <row r="229" spans="1:12" x14ac:dyDescent="0.2">
      <c r="A229" s="192" t="s">
        <v>335</v>
      </c>
      <c r="B229" s="174" t="s">
        <v>185</v>
      </c>
      <c r="C229" s="306">
        <f>2/12</f>
        <v>0.16666666666666666</v>
      </c>
      <c r="D229" s="293">
        <v>43</v>
      </c>
      <c r="E229" s="13">
        <f>C229*D229</f>
        <v>7.1666666666666661</v>
      </c>
      <c r="F229" s="202"/>
      <c r="G229" s="6"/>
    </row>
    <row r="230" spans="1:12" ht="13.5" thickBot="1" x14ac:dyDescent="0.25">
      <c r="A230" s="192" t="s">
        <v>194</v>
      </c>
      <c r="B230" s="174" t="s">
        <v>185</v>
      </c>
      <c r="C230" s="306">
        <f>2/12</f>
        <v>0.16666666666666666</v>
      </c>
      <c r="D230" s="293">
        <v>21</v>
      </c>
      <c r="E230" s="13">
        <f>C230*D230</f>
        <v>3.5</v>
      </c>
      <c r="F230" s="202"/>
      <c r="G230" s="6"/>
    </row>
    <row r="231" spans="1:12" ht="13.5" thickBot="1" x14ac:dyDescent="0.25">
      <c r="A231" s="186"/>
      <c r="B231" s="8"/>
      <c r="C231" s="8"/>
      <c r="D231" s="8"/>
      <c r="E231" s="24"/>
      <c r="F231" s="14">
        <f>SUM(E227:E230)</f>
        <v>37.644999999999996</v>
      </c>
      <c r="G231" s="6"/>
    </row>
    <row r="232" spans="1:12" ht="11.25" customHeight="1" thickBot="1" x14ac:dyDescent="0.25">
      <c r="A232" s="183"/>
      <c r="D232" s="31"/>
      <c r="E232" s="31"/>
      <c r="F232" s="56"/>
      <c r="G232" s="6"/>
    </row>
    <row r="233" spans="1:12" ht="13.5" thickBot="1" x14ac:dyDescent="0.25">
      <c r="A233" s="16" t="s">
        <v>140</v>
      </c>
      <c r="B233" s="17"/>
      <c r="C233" s="17"/>
      <c r="D233" s="18"/>
      <c r="E233" s="19"/>
      <c r="F233" s="14">
        <f>+F231</f>
        <v>37.644999999999996</v>
      </c>
      <c r="G233" s="6"/>
    </row>
    <row r="234" spans="1:12" ht="11.25" customHeight="1" thickBot="1" x14ac:dyDescent="0.25">
      <c r="A234" s="183"/>
      <c r="D234" s="31"/>
      <c r="E234" s="31"/>
      <c r="F234" s="56"/>
      <c r="G234" s="6"/>
    </row>
    <row r="235" spans="1:12" ht="17.25" customHeight="1" thickBot="1" x14ac:dyDescent="0.25">
      <c r="A235" s="16" t="s">
        <v>262</v>
      </c>
      <c r="B235" s="20"/>
      <c r="C235" s="20"/>
      <c r="D235" s="21"/>
      <c r="E235" s="22"/>
      <c r="F235" s="15">
        <f>+F114+F138+F223+F233</f>
        <v>121174.49630002529</v>
      </c>
      <c r="G235" s="6"/>
    </row>
    <row r="236" spans="1:12" s="4" customFormat="1" ht="17.25" customHeight="1" thickBot="1" x14ac:dyDescent="0.25">
      <c r="A236" s="16" t="s">
        <v>224</v>
      </c>
      <c r="B236" s="262"/>
      <c r="C236" s="262"/>
      <c r="D236" s="263"/>
      <c r="E236" s="264"/>
      <c r="F236" s="15">
        <f>+F115+F138+F223+F233</f>
        <v>116181.88276369199</v>
      </c>
      <c r="G236" s="247"/>
      <c r="I236" s="6"/>
      <c r="J236" s="6"/>
      <c r="K236" s="6"/>
      <c r="L236" s="6"/>
    </row>
    <row r="237" spans="1:12" ht="11.25" customHeight="1" x14ac:dyDescent="0.2">
      <c r="A237" s="183"/>
      <c r="D237" s="31"/>
      <c r="E237" s="31"/>
      <c r="F237" s="56"/>
      <c r="G237" s="6"/>
    </row>
    <row r="238" spans="1:12" x14ac:dyDescent="0.2">
      <c r="A238" s="186" t="s">
        <v>247</v>
      </c>
      <c r="D238" s="31"/>
      <c r="E238" s="31"/>
      <c r="F238" s="56"/>
      <c r="G238" s="6"/>
    </row>
    <row r="239" spans="1:12" ht="11.25" customHeight="1" thickBot="1" x14ac:dyDescent="0.25">
      <c r="A239" s="183"/>
      <c r="D239" s="31"/>
      <c r="E239" s="31"/>
      <c r="F239" s="56"/>
      <c r="G239" s="6"/>
    </row>
    <row r="240" spans="1:12" ht="13.5" thickBot="1" x14ac:dyDescent="0.25">
      <c r="A240" s="32" t="s">
        <v>38</v>
      </c>
      <c r="B240" s="33" t="s">
        <v>39</v>
      </c>
      <c r="C240" s="33" t="s">
        <v>29</v>
      </c>
      <c r="D240" s="34" t="s">
        <v>147</v>
      </c>
      <c r="E240" s="34" t="s">
        <v>40</v>
      </c>
      <c r="F240" s="35" t="s">
        <v>41</v>
      </c>
      <c r="G240" s="6"/>
    </row>
    <row r="241" spans="1:12" ht="13.5" thickBot="1" x14ac:dyDescent="0.25">
      <c r="A241" s="194" t="s">
        <v>27</v>
      </c>
      <c r="B241" s="10" t="s">
        <v>2</v>
      </c>
      <c r="C241" s="58">
        <f>'4.BDI'!C14*100</f>
        <v>33.25</v>
      </c>
      <c r="D241" s="11">
        <f>+F235</f>
        <v>121174.49630002529</v>
      </c>
      <c r="E241" s="11">
        <f>C241*D241/100</f>
        <v>40290.520019758405</v>
      </c>
      <c r="F241" s="56"/>
      <c r="G241" s="6"/>
    </row>
    <row r="242" spans="1:12" ht="13.5" thickBot="1" x14ac:dyDescent="0.25">
      <c r="A242" s="183"/>
      <c r="D242" s="31"/>
      <c r="E242" s="31"/>
      <c r="F242" s="14">
        <f>+E241</f>
        <v>40290.520019758405</v>
      </c>
      <c r="G242" s="6"/>
      <c r="I242" s="4"/>
      <c r="J242" s="4"/>
      <c r="K242" s="4"/>
      <c r="L242" s="4"/>
    </row>
    <row r="243" spans="1:12" ht="11.25" customHeight="1" thickBot="1" x14ac:dyDescent="0.25">
      <c r="A243" s="183"/>
      <c r="D243" s="31"/>
      <c r="E243" s="31"/>
      <c r="F243" s="56"/>
      <c r="G243" s="6"/>
      <c r="I243" s="4"/>
      <c r="J243" s="4"/>
      <c r="K243" s="4"/>
      <c r="L243" s="4"/>
    </row>
    <row r="244" spans="1:12" ht="13.5" thickBot="1" x14ac:dyDescent="0.25">
      <c r="A244" s="16" t="s">
        <v>234</v>
      </c>
      <c r="B244" s="20"/>
      <c r="C244" s="20"/>
      <c r="D244" s="21"/>
      <c r="E244" s="22"/>
      <c r="F244" s="15">
        <f>F242</f>
        <v>40290.520019758405</v>
      </c>
      <c r="G244" s="6"/>
      <c r="I244" s="4"/>
      <c r="J244" s="4"/>
      <c r="K244" s="4"/>
      <c r="L244" s="4"/>
    </row>
    <row r="245" spans="1:12" ht="13.5" thickBot="1" x14ac:dyDescent="0.25">
      <c r="A245" s="186"/>
      <c r="B245" s="8"/>
      <c r="C245" s="8"/>
      <c r="D245" s="24"/>
      <c r="E245" s="24"/>
      <c r="F245" s="201"/>
      <c r="G245" s="6"/>
      <c r="I245" s="4"/>
      <c r="J245" s="4"/>
      <c r="K245" s="4"/>
      <c r="L245" s="4"/>
    </row>
    <row r="246" spans="1:12" ht="24.75" customHeight="1" thickBot="1" x14ac:dyDescent="0.25">
      <c r="A246" s="16" t="s">
        <v>254</v>
      </c>
      <c r="B246" s="20"/>
      <c r="C246" s="20"/>
      <c r="D246" s="21"/>
      <c r="E246" s="22"/>
      <c r="F246" s="15">
        <f>F235+F244</f>
        <v>161465.0163197837</v>
      </c>
      <c r="G246" s="6"/>
      <c r="I246" s="4"/>
      <c r="J246" s="4"/>
      <c r="K246" s="4"/>
      <c r="L246" s="4"/>
    </row>
    <row r="247" spans="1:12" ht="12.6" customHeight="1" x14ac:dyDescent="0.2">
      <c r="A247" s="203"/>
      <c r="B247" s="29"/>
      <c r="C247" s="29"/>
      <c r="D247" s="30"/>
      <c r="E247" s="30"/>
      <c r="F247" s="204"/>
      <c r="G247" s="6"/>
      <c r="I247" s="4"/>
      <c r="J247" s="4"/>
      <c r="K247" s="4"/>
      <c r="L247" s="4"/>
    </row>
    <row r="248" spans="1:12" ht="16.149999999999999" customHeight="1" x14ac:dyDescent="0.2">
      <c r="A248" s="205" t="s">
        <v>255</v>
      </c>
      <c r="B248" s="139"/>
      <c r="C248" s="139"/>
      <c r="D248" s="307">
        <v>1250</v>
      </c>
      <c r="E248" s="175" t="s">
        <v>245</v>
      </c>
      <c r="F248" s="56"/>
      <c r="G248" s="6"/>
      <c r="I248" s="4"/>
      <c r="J248" s="4"/>
      <c r="K248" s="4"/>
      <c r="L248" s="4"/>
    </row>
    <row r="249" spans="1:12" ht="13.5" thickBot="1" x14ac:dyDescent="0.25">
      <c r="A249" s="183"/>
      <c r="D249" s="31"/>
      <c r="E249" s="31"/>
      <c r="F249" s="56"/>
      <c r="G249" s="6"/>
      <c r="I249" s="4"/>
      <c r="J249" s="4"/>
      <c r="K249" s="4"/>
      <c r="L249" s="4"/>
    </row>
    <row r="250" spans="1:12" ht="25.5" customHeight="1" thickBot="1" x14ac:dyDescent="0.25">
      <c r="A250" s="16" t="s">
        <v>256</v>
      </c>
      <c r="B250" s="17"/>
      <c r="C250" s="17"/>
      <c r="D250" s="18"/>
      <c r="E250" s="140" t="s">
        <v>246</v>
      </c>
      <c r="F250" s="222">
        <f>IFERROR(F246/D248,"-")</f>
        <v>129.17201305582697</v>
      </c>
      <c r="G250" s="6"/>
      <c r="I250" s="4"/>
      <c r="J250" s="4"/>
      <c r="K250" s="4"/>
      <c r="L250" s="4"/>
    </row>
    <row r="251" spans="1:12" s="4" customFormat="1" ht="12.6" customHeight="1" x14ac:dyDescent="0.2">
      <c r="A251" s="186"/>
      <c r="B251" s="8"/>
      <c r="C251" s="8"/>
      <c r="D251" s="24"/>
      <c r="E251" s="24"/>
      <c r="F251" s="190"/>
      <c r="G251" s="247"/>
    </row>
    <row r="252" spans="1:12" s="4" customFormat="1" x14ac:dyDescent="0.2">
      <c r="A252" s="186" t="s">
        <v>235</v>
      </c>
      <c r="D252" s="245"/>
      <c r="E252" s="245"/>
      <c r="F252" s="246"/>
      <c r="G252" s="247"/>
    </row>
    <row r="253" spans="1:12" s="4" customFormat="1" ht="11.25" customHeight="1" thickBot="1" x14ac:dyDescent="0.25">
      <c r="A253" s="244"/>
      <c r="D253" s="245"/>
      <c r="E253" s="245"/>
      <c r="F253" s="246"/>
      <c r="G253" s="247"/>
    </row>
    <row r="254" spans="1:12" s="4" customFormat="1" ht="13.5" thickBot="1" x14ac:dyDescent="0.25">
      <c r="A254" s="32" t="s">
        <v>38</v>
      </c>
      <c r="B254" s="33" t="s">
        <v>39</v>
      </c>
      <c r="C254" s="33" t="s">
        <v>29</v>
      </c>
      <c r="D254" s="34" t="s">
        <v>147</v>
      </c>
      <c r="E254" s="34" t="s">
        <v>40</v>
      </c>
      <c r="F254" s="35" t="s">
        <v>41</v>
      </c>
      <c r="G254" s="247"/>
    </row>
    <row r="255" spans="1:12" s="4" customFormat="1" ht="13.5" thickBot="1" x14ac:dyDescent="0.25">
      <c r="A255" s="188" t="s">
        <v>27</v>
      </c>
      <c r="B255" s="265" t="s">
        <v>2</v>
      </c>
      <c r="C255" s="248">
        <f>'4.BDI'!C27*100</f>
        <v>25.259999999999998</v>
      </c>
      <c r="D255" s="266">
        <f>F235</f>
        <v>121174.49630002529</v>
      </c>
      <c r="E255" s="266">
        <f>C255*D255/100</f>
        <v>30608.677765386383</v>
      </c>
      <c r="F255" s="246"/>
      <c r="G255" s="247"/>
    </row>
    <row r="256" spans="1:12" s="4" customFormat="1" ht="13.5" thickBot="1" x14ac:dyDescent="0.25">
      <c r="A256" s="244"/>
      <c r="D256" s="245"/>
      <c r="E256" s="245"/>
      <c r="F256" s="14">
        <f>+E255</f>
        <v>30608.677765386383</v>
      </c>
      <c r="G256" s="247"/>
    </row>
    <row r="257" spans="1:7" s="4" customFormat="1" ht="11.25" customHeight="1" thickBot="1" x14ac:dyDescent="0.25">
      <c r="A257" s="244"/>
      <c r="D257" s="245"/>
      <c r="E257" s="245"/>
      <c r="F257" s="246"/>
      <c r="G257" s="247"/>
    </row>
    <row r="258" spans="1:7" s="4" customFormat="1" ht="13.5" thickBot="1" x14ac:dyDescent="0.25">
      <c r="A258" s="16" t="s">
        <v>227</v>
      </c>
      <c r="B258" s="262"/>
      <c r="C258" s="262"/>
      <c r="D258" s="263"/>
      <c r="E258" s="264"/>
      <c r="F258" s="15">
        <f>F256</f>
        <v>30608.677765386383</v>
      </c>
      <c r="G258" s="247"/>
    </row>
    <row r="259" spans="1:7" s="4" customFormat="1" ht="13.5" thickBot="1" x14ac:dyDescent="0.25">
      <c r="A259" s="186"/>
      <c r="B259" s="8"/>
      <c r="C259" s="8"/>
      <c r="D259" s="24"/>
      <c r="E259" s="24"/>
      <c r="F259" s="201"/>
      <c r="G259" s="247"/>
    </row>
    <row r="260" spans="1:7" s="4" customFormat="1" ht="24.75" customHeight="1" thickBot="1" x14ac:dyDescent="0.25">
      <c r="A260" s="16" t="s">
        <v>228</v>
      </c>
      <c r="B260" s="262"/>
      <c r="C260" s="262"/>
      <c r="D260" s="263"/>
      <c r="E260" s="264"/>
      <c r="F260" s="15">
        <f>F235+F258</f>
        <v>151783.17406541167</v>
      </c>
      <c r="G260" s="247"/>
    </row>
    <row r="261" spans="1:7" s="4" customFormat="1" ht="12.6" customHeight="1" x14ac:dyDescent="0.2">
      <c r="A261" s="203"/>
      <c r="B261" s="29"/>
      <c r="C261" s="29"/>
      <c r="D261" s="30"/>
      <c r="E261" s="30"/>
      <c r="F261" s="204"/>
      <c r="G261" s="247"/>
    </row>
    <row r="262" spans="1:7" s="4" customFormat="1" ht="16.149999999999999" customHeight="1" x14ac:dyDescent="0.2">
      <c r="A262" s="205" t="s">
        <v>250</v>
      </c>
      <c r="B262" s="267"/>
      <c r="C262" s="267"/>
      <c r="D262" s="268">
        <f>D248</f>
        <v>1250</v>
      </c>
      <c r="E262" s="175" t="s">
        <v>245</v>
      </c>
      <c r="F262" s="246"/>
      <c r="G262" s="247"/>
    </row>
    <row r="263" spans="1:7" s="4" customFormat="1" ht="13.5" thickBot="1" x14ac:dyDescent="0.25">
      <c r="A263" s="244"/>
      <c r="D263" s="245"/>
      <c r="E263" s="245"/>
      <c r="F263" s="246"/>
      <c r="G263" s="247"/>
    </row>
    <row r="264" spans="1:7" s="4" customFormat="1" ht="25.5" customHeight="1" thickBot="1" x14ac:dyDescent="0.25">
      <c r="A264" s="16" t="s">
        <v>253</v>
      </c>
      <c r="B264" s="17"/>
      <c r="C264" s="17"/>
      <c r="D264" s="18"/>
      <c r="E264" s="140" t="s">
        <v>246</v>
      </c>
      <c r="F264" s="222">
        <f>IFERROR(F260/D262,"-")</f>
        <v>121.42653925232933</v>
      </c>
      <c r="G264" s="247"/>
    </row>
    <row r="265" spans="1:7" s="4" customFormat="1" x14ac:dyDescent="0.2">
      <c r="A265" s="269"/>
      <c r="B265" s="270"/>
      <c r="C265" s="270"/>
      <c r="D265" s="271"/>
      <c r="E265" s="271"/>
      <c r="F265" s="272"/>
      <c r="G265" s="247"/>
    </row>
    <row r="266" spans="1:7" s="4" customFormat="1" x14ac:dyDescent="0.2">
      <c r="A266" s="223" t="s">
        <v>248</v>
      </c>
      <c r="D266" s="245"/>
      <c r="E266" s="245"/>
      <c r="F266" s="246"/>
      <c r="G266" s="247"/>
    </row>
    <row r="267" spans="1:7" s="4" customFormat="1" ht="11.25" customHeight="1" thickBot="1" x14ac:dyDescent="0.25">
      <c r="A267" s="244"/>
      <c r="D267" s="245"/>
      <c r="E267" s="245"/>
      <c r="F267" s="246"/>
      <c r="G267" s="247"/>
    </row>
    <row r="268" spans="1:7" s="4" customFormat="1" ht="13.5" thickBot="1" x14ac:dyDescent="0.25">
      <c r="A268" s="32" t="s">
        <v>38</v>
      </c>
      <c r="B268" s="33" t="s">
        <v>39</v>
      </c>
      <c r="C268" s="33" t="s">
        <v>29</v>
      </c>
      <c r="D268" s="34" t="s">
        <v>147</v>
      </c>
      <c r="E268" s="34" t="s">
        <v>40</v>
      </c>
      <c r="F268" s="35" t="s">
        <v>41</v>
      </c>
      <c r="G268" s="247"/>
    </row>
    <row r="269" spans="1:7" s="4" customFormat="1" ht="13.5" thickBot="1" x14ac:dyDescent="0.25">
      <c r="A269" s="188" t="s">
        <v>229</v>
      </c>
      <c r="B269" s="265" t="s">
        <v>2</v>
      </c>
      <c r="C269" s="248">
        <f>'4.BDI'!C38*100</f>
        <v>16.93</v>
      </c>
      <c r="D269" s="266">
        <f>F236</f>
        <v>116181.88276369199</v>
      </c>
      <c r="E269" s="266">
        <f>C269*D269/100</f>
        <v>19669.592751893055</v>
      </c>
      <c r="F269" s="246"/>
      <c r="G269" s="247"/>
    </row>
    <row r="270" spans="1:7" s="4" customFormat="1" ht="13.5" thickBot="1" x14ac:dyDescent="0.25">
      <c r="A270" s="244"/>
      <c r="D270" s="245"/>
      <c r="E270" s="245"/>
      <c r="F270" s="14">
        <f>+E269</f>
        <v>19669.592751893055</v>
      </c>
      <c r="G270" s="247"/>
    </row>
    <row r="271" spans="1:7" s="4" customFormat="1" ht="11.25" customHeight="1" thickBot="1" x14ac:dyDescent="0.25">
      <c r="A271" s="244"/>
      <c r="D271" s="245"/>
      <c r="E271" s="245"/>
      <c r="F271" s="246"/>
      <c r="G271" s="247"/>
    </row>
    <row r="272" spans="1:7" s="4" customFormat="1" ht="13.5" thickBot="1" x14ac:dyDescent="0.25">
      <c r="A272" s="16" t="s">
        <v>230</v>
      </c>
      <c r="B272" s="262"/>
      <c r="C272" s="262"/>
      <c r="D272" s="263"/>
      <c r="E272" s="264"/>
      <c r="F272" s="15">
        <f>F270</f>
        <v>19669.592751893055</v>
      </c>
      <c r="G272" s="247"/>
    </row>
    <row r="273" spans="1:7" s="4" customFormat="1" ht="13.5" thickBot="1" x14ac:dyDescent="0.25">
      <c r="A273" s="186"/>
      <c r="B273" s="8"/>
      <c r="C273" s="8"/>
      <c r="D273" s="24"/>
      <c r="E273" s="24"/>
      <c r="F273" s="201"/>
      <c r="G273" s="247"/>
    </row>
    <row r="274" spans="1:7" s="4" customFormat="1" ht="24.75" customHeight="1" thickBot="1" x14ac:dyDescent="0.25">
      <c r="A274" s="16" t="s">
        <v>249</v>
      </c>
      <c r="B274" s="262"/>
      <c r="C274" s="262"/>
      <c r="D274" s="263"/>
      <c r="E274" s="264"/>
      <c r="F274" s="15">
        <f>D269+F272</f>
        <v>135851.47551558504</v>
      </c>
      <c r="G274" s="247"/>
    </row>
    <row r="275" spans="1:7" s="4" customFormat="1" ht="12.6" customHeight="1" x14ac:dyDescent="0.2">
      <c r="A275" s="203"/>
      <c r="B275" s="29"/>
      <c r="C275" s="29"/>
      <c r="D275" s="30"/>
      <c r="E275" s="30"/>
      <c r="F275" s="204"/>
      <c r="G275" s="247"/>
    </row>
    <row r="276" spans="1:7" s="4" customFormat="1" ht="12.6" customHeight="1" x14ac:dyDescent="0.2">
      <c r="A276" s="203" t="s">
        <v>257</v>
      </c>
      <c r="B276" s="29"/>
      <c r="C276" s="29"/>
      <c r="D276" s="30"/>
      <c r="E276" s="30"/>
      <c r="F276" s="204"/>
      <c r="G276" s="247"/>
    </row>
    <row r="277" spans="1:7" s="4" customFormat="1" x14ac:dyDescent="0.2">
      <c r="A277" s="261" t="s">
        <v>231</v>
      </c>
      <c r="D277" s="245"/>
      <c r="E277" s="245"/>
      <c r="F277" s="246"/>
      <c r="G277" s="247"/>
    </row>
    <row r="278" spans="1:7" s="4" customFormat="1" x14ac:dyDescent="0.2">
      <c r="A278" s="186" t="s">
        <v>232</v>
      </c>
      <c r="D278" s="245"/>
      <c r="E278" s="245"/>
      <c r="F278" s="246"/>
      <c r="G278" s="247"/>
    </row>
    <row r="279" spans="1:7" s="4" customFormat="1" x14ac:dyDescent="0.2">
      <c r="A279" s="311" t="s">
        <v>349</v>
      </c>
      <c r="D279" s="245"/>
      <c r="E279" s="245"/>
      <c r="F279" s="246"/>
      <c r="G279" s="247"/>
    </row>
    <row r="280" spans="1:7" s="4" customFormat="1" ht="11.25" customHeight="1" thickBot="1" x14ac:dyDescent="0.25">
      <c r="A280" s="273"/>
      <c r="D280" s="245"/>
      <c r="E280" s="245"/>
      <c r="F280" s="246"/>
      <c r="G280" s="247"/>
    </row>
    <row r="281" spans="1:7" s="4" customFormat="1" ht="13.5" thickBot="1" x14ac:dyDescent="0.25">
      <c r="A281" s="32" t="s">
        <v>38</v>
      </c>
      <c r="B281" s="33" t="s">
        <v>39</v>
      </c>
      <c r="C281" s="33" t="s">
        <v>29</v>
      </c>
      <c r="D281" s="34" t="s">
        <v>233</v>
      </c>
      <c r="E281" s="34" t="s">
        <v>40</v>
      </c>
      <c r="F281" s="35" t="s">
        <v>41</v>
      </c>
      <c r="G281" s="247"/>
    </row>
    <row r="282" spans="1:7" s="4" customFormat="1" ht="13.5" thickBot="1" x14ac:dyDescent="0.25">
      <c r="A282" s="274" t="s">
        <v>252</v>
      </c>
      <c r="B282" s="275" t="s">
        <v>2</v>
      </c>
      <c r="C282" s="308">
        <v>13.71</v>
      </c>
      <c r="D282" s="276">
        <f>F274</f>
        <v>135851.47551558504</v>
      </c>
      <c r="E282" s="266">
        <f>F288*(C282/100)</f>
        <v>21584.467833105475</v>
      </c>
      <c r="F282" s="272"/>
      <c r="G282" s="247"/>
    </row>
    <row r="283" spans="1:7" s="4" customFormat="1" ht="13.5" thickBot="1" x14ac:dyDescent="0.25">
      <c r="A283" s="244"/>
      <c r="B283" s="4" t="s">
        <v>309</v>
      </c>
      <c r="D283" s="245">
        <f>F274*12</f>
        <v>1630217.7061870205</v>
      </c>
      <c r="E283" s="245"/>
      <c r="F283" s="15">
        <f>E282</f>
        <v>21584.467833105475</v>
      </c>
      <c r="G283" s="247"/>
    </row>
    <row r="284" spans="1:7" s="4" customFormat="1" x14ac:dyDescent="0.2">
      <c r="A284" s="244"/>
      <c r="B284" s="4" t="s">
        <v>310</v>
      </c>
      <c r="C284" s="4">
        <v>16</v>
      </c>
      <c r="D284" s="245">
        <f>D283*C284/100</f>
        <v>260834.83298992328</v>
      </c>
      <c r="E284" s="245"/>
      <c r="F284" s="245"/>
      <c r="G284" s="247"/>
    </row>
    <row r="285" spans="1:7" s="4" customFormat="1" x14ac:dyDescent="0.2">
      <c r="A285" s="244"/>
      <c r="B285" s="4" t="s">
        <v>311</v>
      </c>
      <c r="C285" s="4">
        <v>35640</v>
      </c>
      <c r="D285" s="245">
        <f>D284-C285</f>
        <v>225194.83298992328</v>
      </c>
      <c r="E285" s="245"/>
      <c r="F285" s="245"/>
      <c r="G285" s="247"/>
    </row>
    <row r="286" spans="1:7" s="4" customFormat="1" x14ac:dyDescent="0.2">
      <c r="A286" s="244"/>
      <c r="B286" s="4" t="s">
        <v>312</v>
      </c>
      <c r="D286" s="344">
        <f>D285/D283*100</f>
        <v>13.813788927408979</v>
      </c>
      <c r="E286" s="245"/>
      <c r="F286" s="245"/>
      <c r="G286" s="247"/>
    </row>
    <row r="287" spans="1:7" s="4" customFormat="1" ht="13.5" thickBot="1" x14ac:dyDescent="0.25">
      <c r="A287" s="277"/>
      <c r="B287" s="278"/>
      <c r="C287" s="278"/>
      <c r="D287" s="279"/>
      <c r="E287" s="279"/>
      <c r="F287" s="280"/>
    </row>
    <row r="288" spans="1:7" s="4" customFormat="1" ht="24.75" customHeight="1" thickBot="1" x14ac:dyDescent="0.25">
      <c r="A288" s="16" t="s">
        <v>259</v>
      </c>
      <c r="B288" s="262"/>
      <c r="C288" s="262"/>
      <c r="D288" s="263"/>
      <c r="E288" s="264"/>
      <c r="F288" s="15">
        <f>D282/((100-C282)/100)</f>
        <v>157435.94334869055</v>
      </c>
    </row>
    <row r="289" spans="1:12" s="4" customFormat="1" ht="12.6" customHeight="1" x14ac:dyDescent="0.2">
      <c r="A289" s="203"/>
      <c r="B289" s="29"/>
      <c r="C289" s="29"/>
      <c r="D289" s="30"/>
      <c r="E289" s="30"/>
      <c r="F289" s="204"/>
    </row>
    <row r="290" spans="1:12" s="4" customFormat="1" ht="16.149999999999999" customHeight="1" x14ac:dyDescent="0.2">
      <c r="A290" s="205" t="s">
        <v>250</v>
      </c>
      <c r="B290" s="267"/>
      <c r="C290" s="267"/>
      <c r="D290" s="268">
        <f>D262</f>
        <v>1250</v>
      </c>
      <c r="E290" s="175" t="s">
        <v>245</v>
      </c>
      <c r="F290" s="246"/>
    </row>
    <row r="291" spans="1:12" s="4" customFormat="1" ht="13.5" thickBot="1" x14ac:dyDescent="0.25">
      <c r="A291" s="244"/>
      <c r="D291" s="245"/>
      <c r="E291" s="245"/>
      <c r="F291" s="246"/>
    </row>
    <row r="292" spans="1:12" s="4" customFormat="1" ht="25.5" customHeight="1" thickBot="1" x14ac:dyDescent="0.25">
      <c r="A292" s="16" t="s">
        <v>251</v>
      </c>
      <c r="B292" s="17"/>
      <c r="C292" s="17"/>
      <c r="D292" s="18"/>
      <c r="E292" s="140" t="s">
        <v>246</v>
      </c>
      <c r="F292" s="222">
        <f>IFERROR(F288/D290,"-")</f>
        <v>125.94875467895244</v>
      </c>
    </row>
    <row r="293" spans="1:12" s="4" customFormat="1" x14ac:dyDescent="0.2">
      <c r="D293" s="247"/>
      <c r="E293" s="247"/>
      <c r="F293" s="247"/>
      <c r="G293" s="247"/>
    </row>
    <row r="294" spans="1:12" s="4" customFormat="1" x14ac:dyDescent="0.2">
      <c r="D294" s="247"/>
      <c r="E294" s="247"/>
      <c r="F294" s="247"/>
      <c r="G294" s="247"/>
      <c r="I294" s="6"/>
      <c r="J294" s="6"/>
      <c r="K294" s="6"/>
      <c r="L294" s="6"/>
    </row>
    <row r="295" spans="1:12" s="4" customFormat="1" x14ac:dyDescent="0.2">
      <c r="D295" s="247"/>
      <c r="E295" s="247"/>
      <c r="F295" s="247"/>
      <c r="G295" s="247"/>
      <c r="I295" s="6"/>
      <c r="J295" s="6"/>
      <c r="K295" s="6"/>
      <c r="L295" s="6"/>
    </row>
    <row r="296" spans="1:12" s="4" customFormat="1" x14ac:dyDescent="0.2">
      <c r="D296" s="247"/>
      <c r="E296" s="247"/>
      <c r="F296" s="247"/>
      <c r="G296" s="247"/>
      <c r="I296" s="6"/>
      <c r="J296" s="6"/>
      <c r="K296" s="6"/>
      <c r="L296" s="6"/>
    </row>
    <row r="297" spans="1:12" s="4" customFormat="1" x14ac:dyDescent="0.2">
      <c r="D297" s="247"/>
      <c r="E297" s="247"/>
      <c r="F297" s="247"/>
      <c r="G297" s="247"/>
      <c r="I297" s="6"/>
      <c r="J297" s="6"/>
      <c r="K297" s="6"/>
      <c r="L297" s="6"/>
    </row>
    <row r="298" spans="1:12" s="4" customFormat="1" x14ac:dyDescent="0.2">
      <c r="D298" s="247"/>
      <c r="E298" s="247"/>
      <c r="F298" s="247"/>
      <c r="G298" s="247"/>
      <c r="I298" s="6"/>
      <c r="J298" s="6"/>
      <c r="K298" s="6"/>
      <c r="L298" s="6"/>
    </row>
    <row r="299" spans="1:12" s="4" customFormat="1" x14ac:dyDescent="0.2">
      <c r="B299" s="373"/>
      <c r="C299" s="373"/>
      <c r="D299" s="373"/>
      <c r="E299" s="247"/>
      <c r="F299" s="247"/>
      <c r="G299" s="247"/>
      <c r="I299" s="6"/>
      <c r="J299" s="6"/>
      <c r="K299" s="6"/>
      <c r="L299" s="6"/>
    </row>
    <row r="300" spans="1:12" s="4" customFormat="1" x14ac:dyDescent="0.2">
      <c r="B300" s="373"/>
      <c r="C300" s="373"/>
      <c r="D300" s="373"/>
      <c r="E300" s="247"/>
      <c r="F300" s="247"/>
      <c r="G300" s="247"/>
      <c r="I300" s="6"/>
      <c r="J300" s="6"/>
      <c r="K300" s="6"/>
      <c r="L300" s="6"/>
    </row>
    <row r="301" spans="1:12" s="4" customFormat="1" x14ac:dyDescent="0.2">
      <c r="B301" s="373"/>
      <c r="C301" s="373"/>
      <c r="D301" s="373"/>
      <c r="E301" s="247"/>
      <c r="F301" s="247"/>
      <c r="G301" s="247"/>
      <c r="I301" s="6"/>
      <c r="J301" s="6"/>
      <c r="K301" s="6"/>
      <c r="L301" s="6"/>
    </row>
    <row r="302" spans="1:12" s="4" customFormat="1" x14ac:dyDescent="0.2">
      <c r="D302" s="247"/>
      <c r="E302" s="247"/>
      <c r="F302" s="247"/>
      <c r="G302" s="247"/>
      <c r="I302" s="6"/>
      <c r="J302" s="6"/>
      <c r="K302" s="6"/>
      <c r="L302" s="6"/>
    </row>
  </sheetData>
  <mergeCells count="13">
    <mergeCell ref="B299:D299"/>
    <mergeCell ref="B300:D300"/>
    <mergeCell ref="B301:D301"/>
    <mergeCell ref="F6:G6"/>
    <mergeCell ref="A1:G1"/>
    <mergeCell ref="F2:G2"/>
    <mergeCell ref="A3:G3"/>
    <mergeCell ref="A5:G5"/>
    <mergeCell ref="C40:E40"/>
    <mergeCell ref="A29:E29"/>
    <mergeCell ref="B6:C6"/>
    <mergeCell ref="D6:E6"/>
    <mergeCell ref="A205:B205"/>
  </mergeCells>
  <phoneticPr fontId="12" type="noConversion"/>
  <hyperlinks>
    <hyperlink ref="A159" location="AbaRemun" display="3.1.2. Remuneração do Capital" xr:uid="{00000000-0004-0000-0000-000000000000}"/>
    <hyperlink ref="A142" location="AbaDeprec" display="3.1.1. Depreciação" xr:uid="{00000000-0004-0000-0000-000001000000}"/>
  </hyperlinks>
  <pageMargins left="0.39370078740157483" right="0" top="0.39370078740157483" bottom="0.39370078740157483" header="0" footer="0"/>
  <pageSetup paperSize="9" scale="72" fitToHeight="0" orientation="portrait" r:id="rId1"/>
  <headerFooter alignWithMargins="0">
    <oddFooter>&amp;R&amp;P de &amp;N</oddFooter>
  </headerFooter>
  <rowBreaks count="1" manualBreakCount="1">
    <brk id="77" max="6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1"/>
  <sheetViews>
    <sheetView zoomScale="130" zoomScaleNormal="130" workbookViewId="0">
      <selection activeCell="B5" sqref="B5"/>
    </sheetView>
  </sheetViews>
  <sheetFormatPr defaultRowHeight="14.25" x14ac:dyDescent="0.2"/>
  <cols>
    <col min="1" max="1" width="71.140625" style="61" bestFit="1" customWidth="1"/>
    <col min="2" max="2" width="14.5703125" style="61" customWidth="1"/>
    <col min="3" max="3" width="52.5703125" style="61" bestFit="1" customWidth="1"/>
    <col min="4" max="16384" width="9.140625" style="61"/>
  </cols>
  <sheetData>
    <row r="1" spans="1:3" x14ac:dyDescent="0.2">
      <c r="B1" s="328"/>
      <c r="C1" s="328"/>
    </row>
    <row r="2" spans="1:3" x14ac:dyDescent="0.2">
      <c r="B2" s="328"/>
      <c r="C2" s="328"/>
    </row>
    <row r="3" spans="1:3" x14ac:dyDescent="0.2">
      <c r="A3" s="329" t="s">
        <v>276</v>
      </c>
      <c r="B3" s="329">
        <v>22</v>
      </c>
    </row>
    <row r="4" spans="1:3" x14ac:dyDescent="0.2">
      <c r="A4" s="329" t="s">
        <v>277</v>
      </c>
      <c r="B4" s="329">
        <v>8</v>
      </c>
    </row>
    <row r="5" spans="1:3" x14ac:dyDescent="0.2">
      <c r="A5" s="329" t="s">
        <v>278</v>
      </c>
      <c r="B5" s="330">
        <f>B4/B3</f>
        <v>0.36363636363636365</v>
      </c>
    </row>
    <row r="6" spans="1:3" ht="15" x14ac:dyDescent="0.2">
      <c r="A6" s="329" t="s">
        <v>279</v>
      </c>
      <c r="B6" s="331">
        <f>B5/2</f>
        <v>0.18181818181818182</v>
      </c>
    </row>
    <row r="7" spans="1:3" x14ac:dyDescent="0.2">
      <c r="A7" s="332"/>
      <c r="B7" s="332"/>
    </row>
    <row r="8" spans="1:3" x14ac:dyDescent="0.2">
      <c r="A8" s="332" t="s">
        <v>280</v>
      </c>
      <c r="B8" s="333">
        <v>70000</v>
      </c>
    </row>
    <row r="9" spans="1:3" x14ac:dyDescent="0.2">
      <c r="A9" s="332" t="s">
        <v>274</v>
      </c>
      <c r="B9" s="334">
        <f>B8*B6</f>
        <v>12727.272727272728</v>
      </c>
    </row>
    <row r="10" spans="1:3" ht="15" x14ac:dyDescent="0.2">
      <c r="A10" s="332" t="s">
        <v>275</v>
      </c>
      <c r="B10" s="335">
        <f>B8+B9</f>
        <v>82727.272727272735</v>
      </c>
    </row>
    <row r="11" spans="1:3" x14ac:dyDescent="0.2">
      <c r="B11" s="5"/>
      <c r="C11" s="5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9"/>
  <sheetViews>
    <sheetView zoomScaleNormal="100" workbookViewId="0">
      <selection activeCell="E7" sqref="E7"/>
    </sheetView>
  </sheetViews>
  <sheetFormatPr defaultRowHeight="14.25" x14ac:dyDescent="0.2"/>
  <cols>
    <col min="1" max="1" width="26.5703125" style="208" customWidth="1"/>
    <col min="2" max="2" width="9.7109375" style="208" bestFit="1" customWidth="1"/>
    <col min="3" max="3" width="11.140625" style="208" customWidth="1"/>
    <col min="4" max="4" width="6.28515625" style="219" bestFit="1" customWidth="1"/>
    <col min="5" max="5" width="8.42578125" style="208" bestFit="1" customWidth="1"/>
    <col min="6" max="6" width="10.85546875" style="208" bestFit="1" customWidth="1"/>
    <col min="7" max="7" width="10.85546875" style="208" customWidth="1"/>
    <col min="8" max="10" width="8.7109375" style="208" bestFit="1" customWidth="1"/>
    <col min="11" max="11" width="9.140625" style="208"/>
    <col min="12" max="12" width="47.28515625" style="208" customWidth="1"/>
    <col min="13" max="13" width="10.28515625" style="208" bestFit="1" customWidth="1"/>
    <col min="14" max="14" width="9.140625" style="208"/>
    <col min="15" max="15" width="10.28515625" style="208" bestFit="1" customWidth="1"/>
    <col min="16" max="16384" width="9.140625" style="208"/>
  </cols>
  <sheetData>
    <row r="1" spans="1:10" ht="15" x14ac:dyDescent="0.25">
      <c r="A1" s="206" t="s">
        <v>209</v>
      </c>
      <c r="B1" s="206"/>
      <c r="C1" s="206"/>
      <c r="D1" s="207"/>
    </row>
    <row r="2" spans="1:10" ht="45" x14ac:dyDescent="0.25">
      <c r="A2" s="209" t="s">
        <v>75</v>
      </c>
      <c r="B2" s="210" t="s">
        <v>195</v>
      </c>
      <c r="C2" s="210" t="s">
        <v>196</v>
      </c>
      <c r="D2" s="210" t="s">
        <v>197</v>
      </c>
      <c r="E2" s="210" t="s">
        <v>198</v>
      </c>
      <c r="F2" s="210" t="s">
        <v>199</v>
      </c>
      <c r="G2" s="210" t="s">
        <v>200</v>
      </c>
      <c r="H2" s="210" t="s">
        <v>201</v>
      </c>
      <c r="I2" s="210" t="s">
        <v>202</v>
      </c>
      <c r="J2" s="210" t="s">
        <v>203</v>
      </c>
    </row>
    <row r="3" spans="1:10" x14ac:dyDescent="0.2">
      <c r="A3" s="211" t="s">
        <v>204</v>
      </c>
      <c r="B3" s="212">
        <v>1</v>
      </c>
      <c r="C3" s="213">
        <f>12/12</f>
        <v>1</v>
      </c>
      <c r="D3" s="214" t="s">
        <v>205</v>
      </c>
      <c r="E3" s="212">
        <v>20</v>
      </c>
      <c r="F3" s="215">
        <f>21/(E3*B3)</f>
        <v>1.05</v>
      </c>
      <c r="G3" s="215">
        <f>E3*F3*C3</f>
        <v>21</v>
      </c>
      <c r="H3" s="212">
        <v>150</v>
      </c>
      <c r="I3" s="216">
        <f>(G3*H3)/1000</f>
        <v>3.15</v>
      </c>
      <c r="J3" s="215">
        <f>I3*B$9</f>
        <v>37.799999999999997</v>
      </c>
    </row>
    <row r="4" spans="1:10" x14ac:dyDescent="0.2">
      <c r="A4" s="211" t="s">
        <v>206</v>
      </c>
      <c r="B4" s="212">
        <v>1</v>
      </c>
      <c r="C4" s="213">
        <f>12/12</f>
        <v>1</v>
      </c>
      <c r="D4" s="214" t="s">
        <v>205</v>
      </c>
      <c r="E4" s="212">
        <v>10</v>
      </c>
      <c r="F4" s="215">
        <f>21/(E4*B4)</f>
        <v>2.1</v>
      </c>
      <c r="G4" s="215">
        <f>E4*F4*C4</f>
        <v>21</v>
      </c>
      <c r="H4" s="212">
        <v>500</v>
      </c>
      <c r="I4" s="216">
        <f>(G4*H4)/1000</f>
        <v>10.5</v>
      </c>
      <c r="J4" s="215">
        <f>I4*B$9</f>
        <v>126</v>
      </c>
    </row>
    <row r="5" spans="1:10" x14ac:dyDescent="0.2">
      <c r="A5" s="211" t="s">
        <v>207</v>
      </c>
      <c r="B5" s="212">
        <v>6</v>
      </c>
      <c r="C5" s="213">
        <f>12/12</f>
        <v>1</v>
      </c>
      <c r="D5" s="214" t="s">
        <v>205</v>
      </c>
      <c r="E5" s="212">
        <v>4</v>
      </c>
      <c r="F5" s="215">
        <f>21/(E5*B5)</f>
        <v>0.875</v>
      </c>
      <c r="G5" s="215">
        <f>E5*F5*C5</f>
        <v>3.5</v>
      </c>
      <c r="H5" s="212">
        <v>30</v>
      </c>
      <c r="I5" s="216">
        <f>(G5*H5)/1000</f>
        <v>0.105</v>
      </c>
      <c r="J5" s="215">
        <f>I5*B$9</f>
        <v>1.26</v>
      </c>
    </row>
    <row r="6" spans="1:10" x14ac:dyDescent="0.2">
      <c r="A6" s="211" t="s">
        <v>208</v>
      </c>
      <c r="B6" s="212">
        <v>3</v>
      </c>
      <c r="C6" s="213">
        <f>5/12</f>
        <v>0.41666666666666669</v>
      </c>
      <c r="D6" s="214" t="s">
        <v>205</v>
      </c>
      <c r="E6" s="212">
        <v>4</v>
      </c>
      <c r="F6" s="215">
        <f>21/(E6*B6)</f>
        <v>1.75</v>
      </c>
      <c r="G6" s="215">
        <f>E6*F6*C6</f>
        <v>2.916666666666667</v>
      </c>
      <c r="H6" s="212">
        <v>400</v>
      </c>
      <c r="I6" s="216">
        <f>(G6*H6)/1000</f>
        <v>1.1666666666666667</v>
      </c>
      <c r="J6" s="215">
        <f>I6*B$9</f>
        <v>14</v>
      </c>
    </row>
    <row r="7" spans="1:10" ht="15" x14ac:dyDescent="0.25">
      <c r="A7" s="211"/>
      <c r="B7" s="214"/>
      <c r="C7" s="214"/>
      <c r="D7" s="214"/>
      <c r="E7" s="214"/>
      <c r="F7" s="214"/>
      <c r="G7" s="214"/>
      <c r="H7" s="211"/>
      <c r="I7" s="217">
        <f>SUM(I3:I6)</f>
        <v>14.921666666666667</v>
      </c>
      <c r="J7" s="218">
        <f>SUM(J3:J6)</f>
        <v>179.06</v>
      </c>
    </row>
    <row r="8" spans="1:10" x14ac:dyDescent="0.2">
      <c r="B8" s="219"/>
      <c r="C8" s="219"/>
    </row>
    <row r="9" spans="1:10" ht="15" x14ac:dyDescent="0.25">
      <c r="A9" s="209" t="s">
        <v>210</v>
      </c>
      <c r="B9" s="220">
        <v>12</v>
      </c>
      <c r="D9" s="208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20"/>
  <sheetViews>
    <sheetView showGridLines="0" zoomScale="140" zoomScaleNormal="140" workbookViewId="0">
      <pane ySplit="1" topLeftCell="A2" activePane="bottomLeft" state="frozen"/>
      <selection pane="bottomLeft" activeCell="B20" sqref="B20"/>
    </sheetView>
  </sheetViews>
  <sheetFormatPr defaultRowHeight="12.75" x14ac:dyDescent="0.2"/>
  <cols>
    <col min="1" max="1" width="46.85546875" style="161" customWidth="1"/>
    <col min="2" max="2" width="9.140625" style="172" customWidth="1"/>
    <col min="3" max="3" width="10" style="161" bestFit="1" customWidth="1"/>
    <col min="4" max="4" width="9.140625" style="161"/>
    <col min="5" max="5" width="16.85546875" style="161" bestFit="1" customWidth="1"/>
    <col min="6" max="6" width="9.140625" style="161"/>
    <col min="7" max="7" width="6.85546875" style="161" bestFit="1" customWidth="1"/>
    <col min="8" max="8" width="14.5703125" style="161" bestFit="1" customWidth="1"/>
    <col min="9" max="255" width="9.140625" style="161"/>
    <col min="256" max="256" width="46.85546875" style="161" customWidth="1"/>
    <col min="257" max="257" width="9.140625" style="161" customWidth="1"/>
    <col min="258" max="258" width="12.140625" style="161" bestFit="1" customWidth="1"/>
    <col min="259" max="259" width="10" style="161" bestFit="1" customWidth="1"/>
    <col min="260" max="511" width="9.140625" style="161"/>
    <col min="512" max="512" width="46.85546875" style="161" customWidth="1"/>
    <col min="513" max="513" width="9.140625" style="161" customWidth="1"/>
    <col min="514" max="514" width="12.140625" style="161" bestFit="1" customWidth="1"/>
    <col min="515" max="515" width="10" style="161" bestFit="1" customWidth="1"/>
    <col min="516" max="767" width="9.140625" style="161"/>
    <col min="768" max="768" width="46.85546875" style="161" customWidth="1"/>
    <col min="769" max="769" width="9.140625" style="161" customWidth="1"/>
    <col min="770" max="770" width="12.140625" style="161" bestFit="1" customWidth="1"/>
    <col min="771" max="771" width="10" style="161" bestFit="1" customWidth="1"/>
    <col min="772" max="1023" width="9.140625" style="161"/>
    <col min="1024" max="1024" width="46.85546875" style="161" customWidth="1"/>
    <col min="1025" max="1025" width="9.140625" style="161" customWidth="1"/>
    <col min="1026" max="1026" width="12.140625" style="161" bestFit="1" customWidth="1"/>
    <col min="1027" max="1027" width="10" style="161" bestFit="1" customWidth="1"/>
    <col min="1028" max="1279" width="9.140625" style="161"/>
    <col min="1280" max="1280" width="46.85546875" style="161" customWidth="1"/>
    <col min="1281" max="1281" width="9.140625" style="161" customWidth="1"/>
    <col min="1282" max="1282" width="12.140625" style="161" bestFit="1" customWidth="1"/>
    <col min="1283" max="1283" width="10" style="161" bestFit="1" customWidth="1"/>
    <col min="1284" max="1535" width="9.140625" style="161"/>
    <col min="1536" max="1536" width="46.85546875" style="161" customWidth="1"/>
    <col min="1537" max="1537" width="9.140625" style="161" customWidth="1"/>
    <col min="1538" max="1538" width="12.140625" style="161" bestFit="1" customWidth="1"/>
    <col min="1539" max="1539" width="10" style="161" bestFit="1" customWidth="1"/>
    <col min="1540" max="1791" width="9.140625" style="161"/>
    <col min="1792" max="1792" width="46.85546875" style="161" customWidth="1"/>
    <col min="1793" max="1793" width="9.140625" style="161" customWidth="1"/>
    <col min="1794" max="1794" width="12.140625" style="161" bestFit="1" customWidth="1"/>
    <col min="1795" max="1795" width="10" style="161" bestFit="1" customWidth="1"/>
    <col min="1796" max="2047" width="9.140625" style="161"/>
    <col min="2048" max="2048" width="46.85546875" style="161" customWidth="1"/>
    <col min="2049" max="2049" width="9.140625" style="161" customWidth="1"/>
    <col min="2050" max="2050" width="12.140625" style="161" bestFit="1" customWidth="1"/>
    <col min="2051" max="2051" width="10" style="161" bestFit="1" customWidth="1"/>
    <col min="2052" max="2303" width="9.140625" style="161"/>
    <col min="2304" max="2304" width="46.85546875" style="161" customWidth="1"/>
    <col min="2305" max="2305" width="9.140625" style="161" customWidth="1"/>
    <col min="2306" max="2306" width="12.140625" style="161" bestFit="1" customWidth="1"/>
    <col min="2307" max="2307" width="10" style="161" bestFit="1" customWidth="1"/>
    <col min="2308" max="2559" width="9.140625" style="161"/>
    <col min="2560" max="2560" width="46.85546875" style="161" customWidth="1"/>
    <col min="2561" max="2561" width="9.140625" style="161" customWidth="1"/>
    <col min="2562" max="2562" width="12.140625" style="161" bestFit="1" customWidth="1"/>
    <col min="2563" max="2563" width="10" style="161" bestFit="1" customWidth="1"/>
    <col min="2564" max="2815" width="9.140625" style="161"/>
    <col min="2816" max="2816" width="46.85546875" style="161" customWidth="1"/>
    <col min="2817" max="2817" width="9.140625" style="161" customWidth="1"/>
    <col min="2818" max="2818" width="12.140625" style="161" bestFit="1" customWidth="1"/>
    <col min="2819" max="2819" width="10" style="161" bestFit="1" customWidth="1"/>
    <col min="2820" max="3071" width="9.140625" style="161"/>
    <col min="3072" max="3072" width="46.85546875" style="161" customWidth="1"/>
    <col min="3073" max="3073" width="9.140625" style="161" customWidth="1"/>
    <col min="3074" max="3074" width="12.140625" style="161" bestFit="1" customWidth="1"/>
    <col min="3075" max="3075" width="10" style="161" bestFit="1" customWidth="1"/>
    <col min="3076" max="3327" width="9.140625" style="161"/>
    <col min="3328" max="3328" width="46.85546875" style="161" customWidth="1"/>
    <col min="3329" max="3329" width="9.140625" style="161" customWidth="1"/>
    <col min="3330" max="3330" width="12.140625" style="161" bestFit="1" customWidth="1"/>
    <col min="3331" max="3331" width="10" style="161" bestFit="1" customWidth="1"/>
    <col min="3332" max="3583" width="9.140625" style="161"/>
    <col min="3584" max="3584" width="46.85546875" style="161" customWidth="1"/>
    <col min="3585" max="3585" width="9.140625" style="161" customWidth="1"/>
    <col min="3586" max="3586" width="12.140625" style="161" bestFit="1" customWidth="1"/>
    <col min="3587" max="3587" width="10" style="161" bestFit="1" customWidth="1"/>
    <col min="3588" max="3839" width="9.140625" style="161"/>
    <col min="3840" max="3840" width="46.85546875" style="161" customWidth="1"/>
    <col min="3841" max="3841" width="9.140625" style="161" customWidth="1"/>
    <col min="3842" max="3842" width="12.140625" style="161" bestFit="1" customWidth="1"/>
    <col min="3843" max="3843" width="10" style="161" bestFit="1" customWidth="1"/>
    <col min="3844" max="4095" width="9.140625" style="161"/>
    <col min="4096" max="4096" width="46.85546875" style="161" customWidth="1"/>
    <col min="4097" max="4097" width="9.140625" style="161" customWidth="1"/>
    <col min="4098" max="4098" width="12.140625" style="161" bestFit="1" customWidth="1"/>
    <col min="4099" max="4099" width="10" style="161" bestFit="1" customWidth="1"/>
    <col min="4100" max="4351" width="9.140625" style="161"/>
    <col min="4352" max="4352" width="46.85546875" style="161" customWidth="1"/>
    <col min="4353" max="4353" width="9.140625" style="161" customWidth="1"/>
    <col min="4354" max="4354" width="12.140625" style="161" bestFit="1" customWidth="1"/>
    <col min="4355" max="4355" width="10" style="161" bestFit="1" customWidth="1"/>
    <col min="4356" max="4607" width="9.140625" style="161"/>
    <col min="4608" max="4608" width="46.85546875" style="161" customWidth="1"/>
    <col min="4609" max="4609" width="9.140625" style="161" customWidth="1"/>
    <col min="4610" max="4610" width="12.140625" style="161" bestFit="1" customWidth="1"/>
    <col min="4611" max="4611" width="10" style="161" bestFit="1" customWidth="1"/>
    <col min="4612" max="4863" width="9.140625" style="161"/>
    <col min="4864" max="4864" width="46.85546875" style="161" customWidth="1"/>
    <col min="4865" max="4865" width="9.140625" style="161" customWidth="1"/>
    <col min="4866" max="4866" width="12.140625" style="161" bestFit="1" customWidth="1"/>
    <col min="4867" max="4867" width="10" style="161" bestFit="1" customWidth="1"/>
    <col min="4868" max="5119" width="9.140625" style="161"/>
    <col min="5120" max="5120" width="46.85546875" style="161" customWidth="1"/>
    <col min="5121" max="5121" width="9.140625" style="161" customWidth="1"/>
    <col min="5122" max="5122" width="12.140625" style="161" bestFit="1" customWidth="1"/>
    <col min="5123" max="5123" width="10" style="161" bestFit="1" customWidth="1"/>
    <col min="5124" max="5375" width="9.140625" style="161"/>
    <col min="5376" max="5376" width="46.85546875" style="161" customWidth="1"/>
    <col min="5377" max="5377" width="9.140625" style="161" customWidth="1"/>
    <col min="5378" max="5378" width="12.140625" style="161" bestFit="1" customWidth="1"/>
    <col min="5379" max="5379" width="10" style="161" bestFit="1" customWidth="1"/>
    <col min="5380" max="5631" width="9.140625" style="161"/>
    <col min="5632" max="5632" width="46.85546875" style="161" customWidth="1"/>
    <col min="5633" max="5633" width="9.140625" style="161" customWidth="1"/>
    <col min="5634" max="5634" width="12.140625" style="161" bestFit="1" customWidth="1"/>
    <col min="5635" max="5635" width="10" style="161" bestFit="1" customWidth="1"/>
    <col min="5636" max="5887" width="9.140625" style="161"/>
    <col min="5888" max="5888" width="46.85546875" style="161" customWidth="1"/>
    <col min="5889" max="5889" width="9.140625" style="161" customWidth="1"/>
    <col min="5890" max="5890" width="12.140625" style="161" bestFit="1" customWidth="1"/>
    <col min="5891" max="5891" width="10" style="161" bestFit="1" customWidth="1"/>
    <col min="5892" max="6143" width="9.140625" style="161"/>
    <col min="6144" max="6144" width="46.85546875" style="161" customWidth="1"/>
    <col min="6145" max="6145" width="9.140625" style="161" customWidth="1"/>
    <col min="6146" max="6146" width="12.140625" style="161" bestFit="1" customWidth="1"/>
    <col min="6147" max="6147" width="10" style="161" bestFit="1" customWidth="1"/>
    <col min="6148" max="6399" width="9.140625" style="161"/>
    <col min="6400" max="6400" width="46.85546875" style="161" customWidth="1"/>
    <col min="6401" max="6401" width="9.140625" style="161" customWidth="1"/>
    <col min="6402" max="6402" width="12.140625" style="161" bestFit="1" customWidth="1"/>
    <col min="6403" max="6403" width="10" style="161" bestFit="1" customWidth="1"/>
    <col min="6404" max="6655" width="9.140625" style="161"/>
    <col min="6656" max="6656" width="46.85546875" style="161" customWidth="1"/>
    <col min="6657" max="6657" width="9.140625" style="161" customWidth="1"/>
    <col min="6658" max="6658" width="12.140625" style="161" bestFit="1" customWidth="1"/>
    <col min="6659" max="6659" width="10" style="161" bestFit="1" customWidth="1"/>
    <col min="6660" max="6911" width="9.140625" style="161"/>
    <col min="6912" max="6912" width="46.85546875" style="161" customWidth="1"/>
    <col min="6913" max="6913" width="9.140625" style="161" customWidth="1"/>
    <col min="6914" max="6914" width="12.140625" style="161" bestFit="1" customWidth="1"/>
    <col min="6915" max="6915" width="10" style="161" bestFit="1" customWidth="1"/>
    <col min="6916" max="7167" width="9.140625" style="161"/>
    <col min="7168" max="7168" width="46.85546875" style="161" customWidth="1"/>
    <col min="7169" max="7169" width="9.140625" style="161" customWidth="1"/>
    <col min="7170" max="7170" width="12.140625" style="161" bestFit="1" customWidth="1"/>
    <col min="7171" max="7171" width="10" style="161" bestFit="1" customWidth="1"/>
    <col min="7172" max="7423" width="9.140625" style="161"/>
    <col min="7424" max="7424" width="46.85546875" style="161" customWidth="1"/>
    <col min="7425" max="7425" width="9.140625" style="161" customWidth="1"/>
    <col min="7426" max="7426" width="12.140625" style="161" bestFit="1" customWidth="1"/>
    <col min="7427" max="7427" width="10" style="161" bestFit="1" customWidth="1"/>
    <col min="7428" max="7679" width="9.140625" style="161"/>
    <col min="7680" max="7680" width="46.85546875" style="161" customWidth="1"/>
    <col min="7681" max="7681" width="9.140625" style="161" customWidth="1"/>
    <col min="7682" max="7682" width="12.140625" style="161" bestFit="1" customWidth="1"/>
    <col min="7683" max="7683" width="10" style="161" bestFit="1" customWidth="1"/>
    <col min="7684" max="7935" width="9.140625" style="161"/>
    <col min="7936" max="7936" width="46.85546875" style="161" customWidth="1"/>
    <col min="7937" max="7937" width="9.140625" style="161" customWidth="1"/>
    <col min="7938" max="7938" width="12.140625" style="161" bestFit="1" customWidth="1"/>
    <col min="7939" max="7939" width="10" style="161" bestFit="1" customWidth="1"/>
    <col min="7940" max="8191" width="9.140625" style="161"/>
    <col min="8192" max="8192" width="46.85546875" style="161" customWidth="1"/>
    <col min="8193" max="8193" width="9.140625" style="161" customWidth="1"/>
    <col min="8194" max="8194" width="12.140625" style="161" bestFit="1" customWidth="1"/>
    <col min="8195" max="8195" width="10" style="161" bestFit="1" customWidth="1"/>
    <col min="8196" max="8447" width="9.140625" style="161"/>
    <col min="8448" max="8448" width="46.85546875" style="161" customWidth="1"/>
    <col min="8449" max="8449" width="9.140625" style="161" customWidth="1"/>
    <col min="8450" max="8450" width="12.140625" style="161" bestFit="1" customWidth="1"/>
    <col min="8451" max="8451" width="10" style="161" bestFit="1" customWidth="1"/>
    <col min="8452" max="8703" width="9.140625" style="161"/>
    <col min="8704" max="8704" width="46.85546875" style="161" customWidth="1"/>
    <col min="8705" max="8705" width="9.140625" style="161" customWidth="1"/>
    <col min="8706" max="8706" width="12.140625" style="161" bestFit="1" customWidth="1"/>
    <col min="8707" max="8707" width="10" style="161" bestFit="1" customWidth="1"/>
    <col min="8708" max="8959" width="9.140625" style="161"/>
    <col min="8960" max="8960" width="46.85546875" style="161" customWidth="1"/>
    <col min="8961" max="8961" width="9.140625" style="161" customWidth="1"/>
    <col min="8962" max="8962" width="12.140625" style="161" bestFit="1" customWidth="1"/>
    <col min="8963" max="8963" width="10" style="161" bestFit="1" customWidth="1"/>
    <col min="8964" max="9215" width="9.140625" style="161"/>
    <col min="9216" max="9216" width="46.85546875" style="161" customWidth="1"/>
    <col min="9217" max="9217" width="9.140625" style="161" customWidth="1"/>
    <col min="9218" max="9218" width="12.140625" style="161" bestFit="1" customWidth="1"/>
    <col min="9219" max="9219" width="10" style="161" bestFit="1" customWidth="1"/>
    <col min="9220" max="9471" width="9.140625" style="161"/>
    <col min="9472" max="9472" width="46.85546875" style="161" customWidth="1"/>
    <col min="9473" max="9473" width="9.140625" style="161" customWidth="1"/>
    <col min="9474" max="9474" width="12.140625" style="161" bestFit="1" customWidth="1"/>
    <col min="9475" max="9475" width="10" style="161" bestFit="1" customWidth="1"/>
    <col min="9476" max="9727" width="9.140625" style="161"/>
    <col min="9728" max="9728" width="46.85546875" style="161" customWidth="1"/>
    <col min="9729" max="9729" width="9.140625" style="161" customWidth="1"/>
    <col min="9730" max="9730" width="12.140625" style="161" bestFit="1" customWidth="1"/>
    <col min="9731" max="9731" width="10" style="161" bestFit="1" customWidth="1"/>
    <col min="9732" max="9983" width="9.140625" style="161"/>
    <col min="9984" max="9984" width="46.85546875" style="161" customWidth="1"/>
    <col min="9985" max="9985" width="9.140625" style="161" customWidth="1"/>
    <col min="9986" max="9986" width="12.140625" style="161" bestFit="1" customWidth="1"/>
    <col min="9987" max="9987" width="10" style="161" bestFit="1" customWidth="1"/>
    <col min="9988" max="10239" width="9.140625" style="161"/>
    <col min="10240" max="10240" width="46.85546875" style="161" customWidth="1"/>
    <col min="10241" max="10241" width="9.140625" style="161" customWidth="1"/>
    <col min="10242" max="10242" width="12.140625" style="161" bestFit="1" customWidth="1"/>
    <col min="10243" max="10243" width="10" style="161" bestFit="1" customWidth="1"/>
    <col min="10244" max="10495" width="9.140625" style="161"/>
    <col min="10496" max="10496" width="46.85546875" style="161" customWidth="1"/>
    <col min="10497" max="10497" width="9.140625" style="161" customWidth="1"/>
    <col min="10498" max="10498" width="12.140625" style="161" bestFit="1" customWidth="1"/>
    <col min="10499" max="10499" width="10" style="161" bestFit="1" customWidth="1"/>
    <col min="10500" max="10751" width="9.140625" style="161"/>
    <col min="10752" max="10752" width="46.85546875" style="161" customWidth="1"/>
    <col min="10753" max="10753" width="9.140625" style="161" customWidth="1"/>
    <col min="10754" max="10754" width="12.140625" style="161" bestFit="1" customWidth="1"/>
    <col min="10755" max="10755" width="10" style="161" bestFit="1" customWidth="1"/>
    <col min="10756" max="11007" width="9.140625" style="161"/>
    <col min="11008" max="11008" width="46.85546875" style="161" customWidth="1"/>
    <col min="11009" max="11009" width="9.140625" style="161" customWidth="1"/>
    <col min="11010" max="11010" width="12.140625" style="161" bestFit="1" customWidth="1"/>
    <col min="11011" max="11011" width="10" style="161" bestFit="1" customWidth="1"/>
    <col min="11012" max="11263" width="9.140625" style="161"/>
    <col min="11264" max="11264" width="46.85546875" style="161" customWidth="1"/>
    <col min="11265" max="11265" width="9.140625" style="161" customWidth="1"/>
    <col min="11266" max="11266" width="12.140625" style="161" bestFit="1" customWidth="1"/>
    <col min="11267" max="11267" width="10" style="161" bestFit="1" customWidth="1"/>
    <col min="11268" max="11519" width="9.140625" style="161"/>
    <col min="11520" max="11520" width="46.85546875" style="161" customWidth="1"/>
    <col min="11521" max="11521" width="9.140625" style="161" customWidth="1"/>
    <col min="11522" max="11522" width="12.140625" style="161" bestFit="1" customWidth="1"/>
    <col min="11523" max="11523" width="10" style="161" bestFit="1" customWidth="1"/>
    <col min="11524" max="11775" width="9.140625" style="161"/>
    <col min="11776" max="11776" width="46.85546875" style="161" customWidth="1"/>
    <col min="11777" max="11777" width="9.140625" style="161" customWidth="1"/>
    <col min="11778" max="11778" width="12.140625" style="161" bestFit="1" customWidth="1"/>
    <col min="11779" max="11779" width="10" style="161" bestFit="1" customWidth="1"/>
    <col min="11780" max="12031" width="9.140625" style="161"/>
    <col min="12032" max="12032" width="46.85546875" style="161" customWidth="1"/>
    <col min="12033" max="12033" width="9.140625" style="161" customWidth="1"/>
    <col min="12034" max="12034" width="12.140625" style="161" bestFit="1" customWidth="1"/>
    <col min="12035" max="12035" width="10" style="161" bestFit="1" customWidth="1"/>
    <col min="12036" max="12287" width="9.140625" style="161"/>
    <col min="12288" max="12288" width="46.85546875" style="161" customWidth="1"/>
    <col min="12289" max="12289" width="9.140625" style="161" customWidth="1"/>
    <col min="12290" max="12290" width="12.140625" style="161" bestFit="1" customWidth="1"/>
    <col min="12291" max="12291" width="10" style="161" bestFit="1" customWidth="1"/>
    <col min="12292" max="12543" width="9.140625" style="161"/>
    <col min="12544" max="12544" width="46.85546875" style="161" customWidth="1"/>
    <col min="12545" max="12545" width="9.140625" style="161" customWidth="1"/>
    <col min="12546" max="12546" width="12.140625" style="161" bestFit="1" customWidth="1"/>
    <col min="12547" max="12547" width="10" style="161" bestFit="1" customWidth="1"/>
    <col min="12548" max="12799" width="9.140625" style="161"/>
    <col min="12800" max="12800" width="46.85546875" style="161" customWidth="1"/>
    <col min="12801" max="12801" width="9.140625" style="161" customWidth="1"/>
    <col min="12802" max="12802" width="12.140625" style="161" bestFit="1" customWidth="1"/>
    <col min="12803" max="12803" width="10" style="161" bestFit="1" customWidth="1"/>
    <col min="12804" max="13055" width="9.140625" style="161"/>
    <col min="13056" max="13056" width="46.85546875" style="161" customWidth="1"/>
    <col min="13057" max="13057" width="9.140625" style="161" customWidth="1"/>
    <col min="13058" max="13058" width="12.140625" style="161" bestFit="1" customWidth="1"/>
    <col min="13059" max="13059" width="10" style="161" bestFit="1" customWidth="1"/>
    <col min="13060" max="13311" width="9.140625" style="161"/>
    <col min="13312" max="13312" width="46.85546875" style="161" customWidth="1"/>
    <col min="13313" max="13313" width="9.140625" style="161" customWidth="1"/>
    <col min="13314" max="13314" width="12.140625" style="161" bestFit="1" customWidth="1"/>
    <col min="13315" max="13315" width="10" style="161" bestFit="1" customWidth="1"/>
    <col min="13316" max="13567" width="9.140625" style="161"/>
    <col min="13568" max="13568" width="46.85546875" style="161" customWidth="1"/>
    <col min="13569" max="13569" width="9.140625" style="161" customWidth="1"/>
    <col min="13570" max="13570" width="12.140625" style="161" bestFit="1" customWidth="1"/>
    <col min="13571" max="13571" width="10" style="161" bestFit="1" customWidth="1"/>
    <col min="13572" max="13823" width="9.140625" style="161"/>
    <col min="13824" max="13824" width="46.85546875" style="161" customWidth="1"/>
    <col min="13825" max="13825" width="9.140625" style="161" customWidth="1"/>
    <col min="13826" max="13826" width="12.140625" style="161" bestFit="1" customWidth="1"/>
    <col min="13827" max="13827" width="10" style="161" bestFit="1" customWidth="1"/>
    <col min="13828" max="14079" width="9.140625" style="161"/>
    <col min="14080" max="14080" width="46.85546875" style="161" customWidth="1"/>
    <col min="14081" max="14081" width="9.140625" style="161" customWidth="1"/>
    <col min="14082" max="14082" width="12.140625" style="161" bestFit="1" customWidth="1"/>
    <col min="14083" max="14083" width="10" style="161" bestFit="1" customWidth="1"/>
    <col min="14084" max="14335" width="9.140625" style="161"/>
    <col min="14336" max="14336" width="46.85546875" style="161" customWidth="1"/>
    <col min="14337" max="14337" width="9.140625" style="161" customWidth="1"/>
    <col min="14338" max="14338" width="12.140625" style="161" bestFit="1" customWidth="1"/>
    <col min="14339" max="14339" width="10" style="161" bestFit="1" customWidth="1"/>
    <col min="14340" max="14591" width="9.140625" style="161"/>
    <col min="14592" max="14592" width="46.85546875" style="161" customWidth="1"/>
    <col min="14593" max="14593" width="9.140625" style="161" customWidth="1"/>
    <col min="14594" max="14594" width="12.140625" style="161" bestFit="1" customWidth="1"/>
    <col min="14595" max="14595" width="10" style="161" bestFit="1" customWidth="1"/>
    <col min="14596" max="14847" width="9.140625" style="161"/>
    <col min="14848" max="14848" width="46.85546875" style="161" customWidth="1"/>
    <col min="14849" max="14849" width="9.140625" style="161" customWidth="1"/>
    <col min="14850" max="14850" width="12.140625" style="161" bestFit="1" customWidth="1"/>
    <col min="14851" max="14851" width="10" style="161" bestFit="1" customWidth="1"/>
    <col min="14852" max="15103" width="9.140625" style="161"/>
    <col min="15104" max="15104" width="46.85546875" style="161" customWidth="1"/>
    <col min="15105" max="15105" width="9.140625" style="161" customWidth="1"/>
    <col min="15106" max="15106" width="12.140625" style="161" bestFit="1" customWidth="1"/>
    <col min="15107" max="15107" width="10" style="161" bestFit="1" customWidth="1"/>
    <col min="15108" max="15359" width="9.140625" style="161"/>
    <col min="15360" max="15360" width="46.85546875" style="161" customWidth="1"/>
    <col min="15361" max="15361" width="9.140625" style="161" customWidth="1"/>
    <col min="15362" max="15362" width="12.140625" style="161" bestFit="1" customWidth="1"/>
    <col min="15363" max="15363" width="10" style="161" bestFit="1" customWidth="1"/>
    <col min="15364" max="15615" width="9.140625" style="161"/>
    <col min="15616" max="15616" width="46.85546875" style="161" customWidth="1"/>
    <col min="15617" max="15617" width="9.140625" style="161" customWidth="1"/>
    <col min="15618" max="15618" width="12.140625" style="161" bestFit="1" customWidth="1"/>
    <col min="15619" max="15619" width="10" style="161" bestFit="1" customWidth="1"/>
    <col min="15620" max="15871" width="9.140625" style="161"/>
    <col min="15872" max="15872" width="46.85546875" style="161" customWidth="1"/>
    <col min="15873" max="15873" width="9.140625" style="161" customWidth="1"/>
    <col min="15874" max="15874" width="12.140625" style="161" bestFit="1" customWidth="1"/>
    <col min="15875" max="15875" width="10" style="161" bestFit="1" customWidth="1"/>
    <col min="15876" max="16127" width="9.140625" style="161"/>
    <col min="16128" max="16128" width="46.85546875" style="161" customWidth="1"/>
    <col min="16129" max="16129" width="9.140625" style="161" customWidth="1"/>
    <col min="16130" max="16130" width="12.140625" style="161" bestFit="1" customWidth="1"/>
    <col min="16131" max="16131" width="10" style="161" bestFit="1" customWidth="1"/>
    <col min="16132" max="16384" width="9.140625" style="161"/>
  </cols>
  <sheetData>
    <row r="1" spans="1:2" x14ac:dyDescent="0.2">
      <c r="A1" s="164" t="s">
        <v>178</v>
      </c>
      <c r="B1" s="165"/>
    </row>
    <row r="2" spans="1:2" x14ac:dyDescent="0.2">
      <c r="A2" s="162" t="s">
        <v>179</v>
      </c>
      <c r="B2" s="166">
        <f>SUM(B3:B14)</f>
        <v>12</v>
      </c>
    </row>
    <row r="3" spans="1:2" x14ac:dyDescent="0.2">
      <c r="A3" s="167" t="s">
        <v>161</v>
      </c>
      <c r="B3" s="163">
        <v>1</v>
      </c>
    </row>
    <row r="4" spans="1:2" x14ac:dyDescent="0.2">
      <c r="A4" s="167" t="s">
        <v>162</v>
      </c>
      <c r="B4" s="163">
        <v>1</v>
      </c>
    </row>
    <row r="5" spans="1:2" x14ac:dyDescent="0.2">
      <c r="A5" s="167" t="s">
        <v>163</v>
      </c>
      <c r="B5" s="163">
        <v>1</v>
      </c>
    </row>
    <row r="6" spans="1:2" x14ac:dyDescent="0.2">
      <c r="A6" s="167" t="s">
        <v>320</v>
      </c>
      <c r="B6" s="163">
        <v>1</v>
      </c>
    </row>
    <row r="7" spans="1:2" x14ac:dyDescent="0.2">
      <c r="A7" s="167" t="s">
        <v>183</v>
      </c>
      <c r="B7" s="163">
        <v>1</v>
      </c>
    </row>
    <row r="8" spans="1:2" x14ac:dyDescent="0.2">
      <c r="A8" s="167" t="s">
        <v>164</v>
      </c>
      <c r="B8" s="163">
        <v>1</v>
      </c>
    </row>
    <row r="9" spans="1:2" x14ac:dyDescent="0.2">
      <c r="A9" s="167" t="s">
        <v>165</v>
      </c>
      <c r="B9" s="163">
        <v>1</v>
      </c>
    </row>
    <row r="10" spans="1:2" x14ac:dyDescent="0.2">
      <c r="A10" s="167" t="s">
        <v>177</v>
      </c>
      <c r="B10" s="163">
        <v>1</v>
      </c>
    </row>
    <row r="11" spans="1:2" x14ac:dyDescent="0.2">
      <c r="A11" s="167" t="s">
        <v>166</v>
      </c>
      <c r="B11" s="163">
        <v>1</v>
      </c>
    </row>
    <row r="12" spans="1:2" x14ac:dyDescent="0.2">
      <c r="A12" s="167" t="s">
        <v>167</v>
      </c>
      <c r="B12" s="163">
        <v>1</v>
      </c>
    </row>
    <row r="13" spans="1:2" x14ac:dyDescent="0.2">
      <c r="A13" s="167" t="s">
        <v>321</v>
      </c>
      <c r="B13" s="163">
        <v>1</v>
      </c>
    </row>
    <row r="14" spans="1:2" x14ac:dyDescent="0.2">
      <c r="A14" s="167" t="s">
        <v>168</v>
      </c>
      <c r="B14" s="163">
        <v>1</v>
      </c>
    </row>
    <row r="15" spans="1:2" x14ac:dyDescent="0.2">
      <c r="A15" s="162" t="s">
        <v>169</v>
      </c>
      <c r="B15" s="166">
        <f>B16+B17</f>
        <v>2</v>
      </c>
    </row>
    <row r="16" spans="1:2" x14ac:dyDescent="0.2">
      <c r="A16" s="168" t="s">
        <v>171</v>
      </c>
      <c r="B16" s="163">
        <v>1</v>
      </c>
    </row>
    <row r="17" spans="1:2" x14ac:dyDescent="0.2">
      <c r="A17" s="168" t="s">
        <v>176</v>
      </c>
      <c r="B17" s="163">
        <v>1</v>
      </c>
    </row>
    <row r="18" spans="1:2" x14ac:dyDescent="0.2">
      <c r="A18" s="162" t="s">
        <v>170</v>
      </c>
      <c r="B18" s="166">
        <f>B2+B15</f>
        <v>14</v>
      </c>
    </row>
    <row r="19" spans="1:2" x14ac:dyDescent="0.2">
      <c r="A19" s="168" t="s">
        <v>180</v>
      </c>
      <c r="B19" s="169">
        <v>1</v>
      </c>
    </row>
    <row r="20" spans="1:2" x14ac:dyDescent="0.2">
      <c r="A20" s="170" t="s">
        <v>184</v>
      </c>
      <c r="B20" s="171">
        <f>B18-B19</f>
        <v>13</v>
      </c>
    </row>
  </sheetData>
  <pageMargins left="0.78740157480314965" right="0" top="0.39370078740157483" bottom="0.19685039370078741" header="0" footer="0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8"/>
  <sheetViews>
    <sheetView workbookViewId="0">
      <selection activeCell="A7" sqref="A7"/>
    </sheetView>
  </sheetViews>
  <sheetFormatPr defaultRowHeight="12.75" x14ac:dyDescent="0.2"/>
  <cols>
    <col min="1" max="1" width="39.28515625" style="161" customWidth="1"/>
    <col min="2" max="2" width="12.5703125" style="161" customWidth="1"/>
    <col min="3" max="16384" width="9.140625" style="161"/>
  </cols>
  <sheetData>
    <row r="1" spans="1:2" ht="18" x14ac:dyDescent="0.2">
      <c r="A1" s="392" t="s">
        <v>218</v>
      </c>
      <c r="B1" s="393"/>
    </row>
    <row r="2" spans="1:2" s="173" customFormat="1" ht="15" x14ac:dyDescent="0.2">
      <c r="A2" s="251" t="s">
        <v>75</v>
      </c>
      <c r="B2" s="252" t="s">
        <v>219</v>
      </c>
    </row>
    <row r="3" spans="1:2" s="173" customFormat="1" ht="14.25" x14ac:dyDescent="0.2">
      <c r="A3" s="253" t="s">
        <v>31</v>
      </c>
      <c r="B3" s="254">
        <v>0.08</v>
      </c>
    </row>
    <row r="4" spans="1:2" s="173" customFormat="1" ht="14.25" x14ac:dyDescent="0.2">
      <c r="A4" s="255" t="s">
        <v>220</v>
      </c>
      <c r="B4" s="256">
        <v>0.1111</v>
      </c>
    </row>
    <row r="5" spans="1:2" s="173" customFormat="1" ht="14.25" x14ac:dyDescent="0.2">
      <c r="A5" s="255" t="s">
        <v>221</v>
      </c>
      <c r="B5" s="256">
        <v>8.3299999999999999E-2</v>
      </c>
    </row>
    <row r="6" spans="1:2" s="173" customFormat="1" ht="14.25" x14ac:dyDescent="0.2">
      <c r="A6" s="255" t="s">
        <v>370</v>
      </c>
      <c r="B6" s="256">
        <v>3.2000000000000001E-2</v>
      </c>
    </row>
    <row r="7" spans="1:2" s="173" customFormat="1" ht="14.25" x14ac:dyDescent="0.2">
      <c r="A7" s="257" t="s">
        <v>222</v>
      </c>
      <c r="B7" s="258">
        <f>(B4+B5)*(B3+B6)</f>
        <v>2.1772800000000002E-2</v>
      </c>
    </row>
    <row r="8" spans="1:2" s="173" customFormat="1" ht="15" x14ac:dyDescent="0.25">
      <c r="A8" s="259" t="s">
        <v>223</v>
      </c>
      <c r="B8" s="260">
        <f>SUM(B3:B7)</f>
        <v>0.32817279999999999</v>
      </c>
    </row>
  </sheetData>
  <mergeCells count="1">
    <mergeCell ref="A1:B1"/>
  </mergeCells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53"/>
  <sheetViews>
    <sheetView topLeftCell="A12" zoomScaleNormal="100" workbookViewId="0">
      <selection activeCell="C36" sqref="C36"/>
    </sheetView>
  </sheetViews>
  <sheetFormatPr defaultRowHeight="12.75" x14ac:dyDescent="0.2"/>
  <cols>
    <col min="1" max="1" width="13.5703125" style="1" customWidth="1"/>
    <col min="2" max="2" width="39.5703125" style="1" bestFit="1" customWidth="1"/>
    <col min="3" max="3" width="14.5703125" style="1" customWidth="1"/>
    <col min="4" max="4" width="53.85546875" style="1" customWidth="1"/>
    <col min="5" max="10" width="9.140625" style="1"/>
    <col min="11" max="11" width="11" style="1" bestFit="1" customWidth="1"/>
    <col min="12" max="16384" width="9.140625" style="1"/>
  </cols>
  <sheetData>
    <row r="1" spans="1:6" ht="18" x14ac:dyDescent="0.2">
      <c r="A1" s="394" t="s">
        <v>141</v>
      </c>
      <c r="B1" s="395"/>
      <c r="C1" s="396"/>
      <c r="D1" s="64"/>
      <c r="E1" s="64"/>
      <c r="F1" s="64"/>
    </row>
    <row r="2" spans="1:6" ht="54" x14ac:dyDescent="0.2">
      <c r="A2" s="72" t="s">
        <v>74</v>
      </c>
      <c r="B2" s="73" t="s">
        <v>75</v>
      </c>
      <c r="C2" s="74" t="s">
        <v>76</v>
      </c>
      <c r="D2" s="337" t="s">
        <v>359</v>
      </c>
    </row>
    <row r="3" spans="1:6" ht="15" x14ac:dyDescent="0.2">
      <c r="A3" s="72" t="s">
        <v>77</v>
      </c>
      <c r="B3" s="73" t="s">
        <v>30</v>
      </c>
      <c r="C3" s="312">
        <v>0.2</v>
      </c>
      <c r="D3" s="77" t="s">
        <v>289</v>
      </c>
    </row>
    <row r="4" spans="1:6" ht="30" x14ac:dyDescent="0.2">
      <c r="A4" s="72" t="s">
        <v>78</v>
      </c>
      <c r="B4" s="73" t="s">
        <v>79</v>
      </c>
      <c r="C4" s="312">
        <v>1.4999999999999999E-2</v>
      </c>
      <c r="D4" s="336" t="s">
        <v>290</v>
      </c>
    </row>
    <row r="5" spans="1:6" ht="45" x14ac:dyDescent="0.2">
      <c r="A5" s="72" t="s">
        <v>80</v>
      </c>
      <c r="B5" s="73" t="s">
        <v>81</v>
      </c>
      <c r="C5" s="312">
        <v>0.01</v>
      </c>
      <c r="D5" s="336" t="s">
        <v>291</v>
      </c>
    </row>
    <row r="6" spans="1:6" ht="30" x14ac:dyDescent="0.2">
      <c r="A6" s="72" t="s">
        <v>82</v>
      </c>
      <c r="B6" s="73" t="s">
        <v>83</v>
      </c>
      <c r="C6" s="312">
        <v>2E-3</v>
      </c>
      <c r="D6" s="336" t="s">
        <v>282</v>
      </c>
    </row>
    <row r="7" spans="1:6" ht="30" x14ac:dyDescent="0.2">
      <c r="A7" s="72" t="s">
        <v>84</v>
      </c>
      <c r="B7" s="73" t="s">
        <v>85</v>
      </c>
      <c r="C7" s="312">
        <v>6.0000000000000001E-3</v>
      </c>
      <c r="D7" s="336" t="s">
        <v>292</v>
      </c>
    </row>
    <row r="8" spans="1:6" ht="15" x14ac:dyDescent="0.2">
      <c r="A8" s="72" t="s">
        <v>86</v>
      </c>
      <c r="B8" s="73" t="s">
        <v>87</v>
      </c>
      <c r="C8" s="312">
        <v>2.5000000000000001E-2</v>
      </c>
      <c r="D8" s="77" t="s">
        <v>283</v>
      </c>
    </row>
    <row r="9" spans="1:6" ht="15" x14ac:dyDescent="0.2">
      <c r="A9" s="72" t="s">
        <v>88</v>
      </c>
      <c r="B9" s="73" t="s">
        <v>89</v>
      </c>
      <c r="C9" s="312">
        <v>0.03</v>
      </c>
      <c r="D9" s="77" t="s">
        <v>293</v>
      </c>
    </row>
    <row r="10" spans="1:6" ht="30" x14ac:dyDescent="0.2">
      <c r="A10" s="72" t="s">
        <v>90</v>
      </c>
      <c r="B10" s="73" t="s">
        <v>31</v>
      </c>
      <c r="C10" s="312">
        <v>0.08</v>
      </c>
      <c r="D10" s="336" t="s">
        <v>294</v>
      </c>
    </row>
    <row r="11" spans="1:6" ht="15" x14ac:dyDescent="0.2">
      <c r="A11" s="72" t="s">
        <v>91</v>
      </c>
      <c r="B11" s="77" t="s">
        <v>92</v>
      </c>
      <c r="C11" s="78">
        <f>SUM(C3:C10)</f>
        <v>0.36800000000000005</v>
      </c>
      <c r="D11" s="77"/>
    </row>
    <row r="12" spans="1:6" ht="15" x14ac:dyDescent="0.2">
      <c r="A12" s="79"/>
      <c r="B12" s="80"/>
      <c r="C12" s="81"/>
      <c r="D12" s="75"/>
    </row>
    <row r="13" spans="1:6" ht="15" x14ac:dyDescent="0.2">
      <c r="A13" s="72" t="s">
        <v>93</v>
      </c>
      <c r="B13" s="82" t="s">
        <v>94</v>
      </c>
      <c r="C13" s="312">
        <v>6.5699999999999995E-2</v>
      </c>
      <c r="D13" s="77" t="s">
        <v>295</v>
      </c>
    </row>
    <row r="14" spans="1:6" ht="15" x14ac:dyDescent="0.2">
      <c r="A14" s="72" t="s">
        <v>95</v>
      </c>
      <c r="B14" s="82" t="s">
        <v>96</v>
      </c>
      <c r="C14" s="312">
        <v>8.3299999999999999E-2</v>
      </c>
      <c r="D14" s="77" t="s">
        <v>284</v>
      </c>
    </row>
    <row r="15" spans="1:6" ht="30" x14ac:dyDescent="0.2">
      <c r="A15" s="72" t="s">
        <v>138</v>
      </c>
      <c r="B15" s="82" t="s">
        <v>98</v>
      </c>
      <c r="C15" s="312">
        <v>5.9999999999999995E-4</v>
      </c>
      <c r="D15" s="336" t="s">
        <v>285</v>
      </c>
    </row>
    <row r="16" spans="1:6" ht="30" x14ac:dyDescent="0.2">
      <c r="A16" s="72" t="s">
        <v>97</v>
      </c>
      <c r="B16" s="82" t="s">
        <v>100</v>
      </c>
      <c r="C16" s="312">
        <v>8.2000000000000007E-3</v>
      </c>
      <c r="D16" s="336" t="s">
        <v>285</v>
      </c>
    </row>
    <row r="17" spans="1:8" ht="30" x14ac:dyDescent="0.2">
      <c r="A17" s="72" t="s">
        <v>99</v>
      </c>
      <c r="B17" s="82" t="s">
        <v>102</v>
      </c>
      <c r="C17" s="312">
        <v>3.0999999999999999E-3</v>
      </c>
      <c r="D17" s="336" t="s">
        <v>285</v>
      </c>
    </row>
    <row r="18" spans="1:8" ht="14.25" x14ac:dyDescent="0.2">
      <c r="A18" s="72" t="s">
        <v>101</v>
      </c>
      <c r="B18" s="82" t="s">
        <v>103</v>
      </c>
      <c r="C18" s="312">
        <v>1.66E-2</v>
      </c>
      <c r="D18" s="83"/>
    </row>
    <row r="19" spans="1:8" ht="15" x14ac:dyDescent="0.2">
      <c r="A19" s="72" t="s">
        <v>104</v>
      </c>
      <c r="B19" s="77" t="s">
        <v>105</v>
      </c>
      <c r="C19" s="78">
        <f>SUM(C13:C18)</f>
        <v>0.17749999999999999</v>
      </c>
      <c r="D19" s="83"/>
    </row>
    <row r="20" spans="1:8" ht="15" x14ac:dyDescent="0.2">
      <c r="A20" s="79"/>
      <c r="B20" s="80"/>
      <c r="C20" s="81"/>
      <c r="D20" s="75"/>
    </row>
    <row r="21" spans="1:8" ht="15" x14ac:dyDescent="0.2">
      <c r="A21" s="72" t="s">
        <v>106</v>
      </c>
      <c r="B21" s="73" t="s">
        <v>107</v>
      </c>
      <c r="C21" s="312">
        <v>2.9000000000000001E-2</v>
      </c>
      <c r="D21" s="77" t="s">
        <v>296</v>
      </c>
      <c r="E21" s="84"/>
    </row>
    <row r="22" spans="1:8" ht="15" x14ac:dyDescent="0.2">
      <c r="A22" s="72" t="s">
        <v>137</v>
      </c>
      <c r="B22" s="73" t="s">
        <v>109</v>
      </c>
      <c r="C22" s="312">
        <v>4.5400000000000003E-2</v>
      </c>
      <c r="D22" s="90"/>
      <c r="H22" s="85"/>
    </row>
    <row r="23" spans="1:8" ht="14.25" x14ac:dyDescent="0.2">
      <c r="A23" s="72" t="s">
        <v>108</v>
      </c>
      <c r="B23" s="73" t="s">
        <v>111</v>
      </c>
      <c r="C23" s="76">
        <f>C21*C22</f>
        <v>1.3166000000000002E-3</v>
      </c>
      <c r="D23" s="75"/>
      <c r="E23" s="84"/>
    </row>
    <row r="24" spans="1:8" ht="15" x14ac:dyDescent="0.2">
      <c r="A24" s="72" t="s">
        <v>110</v>
      </c>
      <c r="B24" s="73" t="s">
        <v>113</v>
      </c>
      <c r="C24" s="312">
        <v>3.15E-2</v>
      </c>
      <c r="D24" s="90" t="s">
        <v>286</v>
      </c>
      <c r="G24" s="84"/>
    </row>
    <row r="25" spans="1:8" ht="14.25" x14ac:dyDescent="0.2">
      <c r="A25" s="72" t="s">
        <v>112</v>
      </c>
      <c r="B25" s="73" t="s">
        <v>114</v>
      </c>
      <c r="C25" s="312">
        <v>2E-3</v>
      </c>
      <c r="D25" s="83"/>
    </row>
    <row r="26" spans="1:8" ht="15" x14ac:dyDescent="0.2">
      <c r="A26" s="72" t="s">
        <v>115</v>
      </c>
      <c r="B26" s="77" t="s">
        <v>116</v>
      </c>
      <c r="C26" s="78">
        <f>SUM(C21:C25)</f>
        <v>0.10921660000000001</v>
      </c>
      <c r="D26" s="83"/>
    </row>
    <row r="27" spans="1:8" ht="15" x14ac:dyDescent="0.2">
      <c r="A27" s="79"/>
      <c r="B27" s="80"/>
      <c r="C27" s="81"/>
      <c r="D27" s="75"/>
    </row>
    <row r="28" spans="1:8" ht="14.25" x14ac:dyDescent="0.2">
      <c r="A28" s="72" t="s">
        <v>117</v>
      </c>
      <c r="B28" s="73" t="s">
        <v>118</v>
      </c>
      <c r="C28" s="76">
        <f>ROUND(C11*C19,4)</f>
        <v>6.5299999999999997E-2</v>
      </c>
      <c r="D28" s="75"/>
    </row>
    <row r="29" spans="1:8" ht="28.5" x14ac:dyDescent="0.2">
      <c r="A29" s="72" t="s">
        <v>119</v>
      </c>
      <c r="B29" s="86" t="s">
        <v>158</v>
      </c>
      <c r="C29" s="76">
        <f>ROUND((C21*C10),4)</f>
        <v>2.3E-3</v>
      </c>
      <c r="D29" s="83"/>
    </row>
    <row r="30" spans="1:8" ht="15" x14ac:dyDescent="0.2">
      <c r="A30" s="72" t="s">
        <v>120</v>
      </c>
      <c r="B30" s="77" t="s">
        <v>121</v>
      </c>
      <c r="C30" s="78">
        <f>SUM(C28:C29)</f>
        <v>6.7599999999999993E-2</v>
      </c>
      <c r="D30" s="83"/>
    </row>
    <row r="31" spans="1:8" ht="15.75" thickBot="1" x14ac:dyDescent="0.25">
      <c r="A31" s="87"/>
      <c r="B31" s="88" t="s">
        <v>122</v>
      </c>
      <c r="C31" s="89">
        <f>C30+C26+C19+C11</f>
        <v>0.72231660000000009</v>
      </c>
      <c r="D31" s="92"/>
    </row>
    <row r="32" spans="1:8" ht="15" x14ac:dyDescent="0.2">
      <c r="A32" s="75"/>
      <c r="B32" s="90"/>
      <c r="C32" s="91"/>
      <c r="D32" s="94"/>
    </row>
    <row r="33" spans="1:4" ht="14.25" x14ac:dyDescent="0.2">
      <c r="A33" s="75"/>
      <c r="B33" s="75" t="s">
        <v>287</v>
      </c>
      <c r="C33" s="93"/>
      <c r="D33" s="75"/>
    </row>
    <row r="34" spans="1:4" ht="14.25" x14ac:dyDescent="0.2">
      <c r="A34" s="75"/>
      <c r="B34" s="75"/>
      <c r="C34" s="93"/>
      <c r="D34" s="75"/>
    </row>
    <row r="35" spans="1:4" ht="14.25" x14ac:dyDescent="0.2">
      <c r="A35" s="75"/>
      <c r="B35" s="75"/>
      <c r="C35" s="93"/>
      <c r="D35" s="75"/>
    </row>
    <row r="36" spans="1:4" ht="14.25" x14ac:dyDescent="0.2">
      <c r="A36" s="75"/>
      <c r="B36" s="75"/>
      <c r="C36" s="93"/>
      <c r="D36" s="75"/>
    </row>
    <row r="37" spans="1:4" ht="15" x14ac:dyDescent="0.2">
      <c r="A37" s="75"/>
      <c r="B37" s="90"/>
      <c r="C37" s="91"/>
      <c r="D37" s="83"/>
    </row>
    <row r="38" spans="1:4" ht="15" x14ac:dyDescent="0.2">
      <c r="A38" s="83"/>
      <c r="B38" s="90"/>
      <c r="C38" s="91"/>
    </row>
    <row r="39" spans="1:4" ht="16.5" x14ac:dyDescent="0.2">
      <c r="A39" s="95"/>
    </row>
    <row r="40" spans="1:4" x14ac:dyDescent="0.2">
      <c r="A40" s="96"/>
      <c r="B40" s="97"/>
      <c r="C40" s="97"/>
    </row>
    <row r="41" spans="1:4" ht="14.25" x14ac:dyDescent="0.2">
      <c r="A41" s="75"/>
      <c r="B41" s="98"/>
      <c r="C41" s="97"/>
    </row>
    <row r="42" spans="1:4" ht="14.25" x14ac:dyDescent="0.2">
      <c r="A42" s="75"/>
      <c r="B42" s="98"/>
      <c r="C42" s="75"/>
    </row>
    <row r="43" spans="1:4" ht="14.25" x14ac:dyDescent="0.2">
      <c r="A43" s="75"/>
      <c r="B43" s="93"/>
      <c r="C43" s="97"/>
    </row>
    <row r="44" spans="1:4" ht="14.25" x14ac:dyDescent="0.2">
      <c r="A44" s="75"/>
      <c r="B44" s="98"/>
      <c r="C44" s="75"/>
    </row>
    <row r="45" spans="1:4" ht="14.25" x14ac:dyDescent="0.2">
      <c r="A45" s="75"/>
      <c r="B45" s="93"/>
      <c r="C45" s="97"/>
    </row>
    <row r="46" spans="1:4" ht="14.25" x14ac:dyDescent="0.2">
      <c r="A46" s="75"/>
      <c r="B46" s="98"/>
      <c r="C46" s="75"/>
    </row>
    <row r="47" spans="1:4" ht="14.25" x14ac:dyDescent="0.2">
      <c r="A47" s="75"/>
      <c r="B47" s="93"/>
      <c r="C47" s="97"/>
    </row>
    <row r="48" spans="1:4" ht="14.25" x14ac:dyDescent="0.2">
      <c r="A48" s="75"/>
      <c r="B48" s="98"/>
      <c r="C48" s="75"/>
    </row>
    <row r="49" spans="1:3" ht="14.25" x14ac:dyDescent="0.2">
      <c r="A49" s="75"/>
      <c r="B49" s="93"/>
      <c r="C49" s="97"/>
    </row>
    <row r="50" spans="1:3" ht="16.5" x14ac:dyDescent="0.2">
      <c r="A50" s="95"/>
    </row>
    <row r="53" spans="1:3" x14ac:dyDescent="0.2">
      <c r="A53" s="99"/>
    </row>
  </sheetData>
  <mergeCells count="1">
    <mergeCell ref="A1:C1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40"/>
  <sheetViews>
    <sheetView zoomScaleNormal="100" workbookViewId="0">
      <selection activeCell="H27" sqref="H27"/>
    </sheetView>
  </sheetViews>
  <sheetFormatPr defaultRowHeight="12.75" x14ac:dyDescent="0.2"/>
  <cols>
    <col min="1" max="1" width="41.85546875" bestFit="1" customWidth="1"/>
    <col min="2" max="2" width="5.5703125" bestFit="1" customWidth="1"/>
    <col min="4" max="4" width="9.7109375" bestFit="1" customWidth="1"/>
    <col min="5" max="5" width="8" style="51" bestFit="1" customWidth="1"/>
    <col min="6" max="6" width="9.7109375" bestFit="1" customWidth="1"/>
  </cols>
  <sheetData>
    <row r="1" spans="1:8" s="61" customFormat="1" ht="16.5" thickBot="1" x14ac:dyDescent="0.25">
      <c r="A1" s="160" t="s">
        <v>236</v>
      </c>
      <c r="B1" s="57"/>
      <c r="C1" s="57"/>
      <c r="D1" s="57"/>
      <c r="E1" s="57"/>
      <c r="F1" s="57"/>
    </row>
    <row r="2" spans="1:8" s="61" customFormat="1" ht="15.75" x14ac:dyDescent="0.2">
      <c r="A2" s="397" t="s">
        <v>237</v>
      </c>
      <c r="B2" s="398"/>
      <c r="C2" s="398"/>
      <c r="D2" s="398"/>
      <c r="E2" s="398"/>
      <c r="F2" s="399"/>
    </row>
    <row r="3" spans="1:8" ht="16.5" thickBot="1" x14ac:dyDescent="0.25">
      <c r="A3" s="142"/>
      <c r="B3" s="143"/>
      <c r="C3" s="143"/>
      <c r="D3" s="143"/>
      <c r="E3" s="143"/>
      <c r="F3" s="144"/>
    </row>
    <row r="4" spans="1:8" ht="15" x14ac:dyDescent="0.25">
      <c r="A4" s="102"/>
      <c r="B4" s="5"/>
      <c r="C4" s="5"/>
      <c r="D4" s="404" t="s">
        <v>152</v>
      </c>
      <c r="E4" s="405"/>
      <c r="F4" s="406"/>
      <c r="G4" s="61"/>
      <c r="H4" s="61"/>
    </row>
    <row r="5" spans="1:8" ht="15" thickBot="1" x14ac:dyDescent="0.25">
      <c r="A5" s="101"/>
      <c r="B5" s="61"/>
      <c r="C5" s="61"/>
      <c r="D5" s="103" t="s">
        <v>123</v>
      </c>
      <c r="E5" s="104" t="s">
        <v>124</v>
      </c>
      <c r="F5" s="105" t="s">
        <v>125</v>
      </c>
      <c r="G5" s="61"/>
      <c r="H5" s="61"/>
    </row>
    <row r="6" spans="1:8" ht="14.25" x14ac:dyDescent="0.2">
      <c r="A6" s="106" t="s">
        <v>44</v>
      </c>
      <c r="B6" s="107" t="s">
        <v>45</v>
      </c>
      <c r="C6" s="108">
        <v>0.05</v>
      </c>
      <c r="D6" s="129">
        <v>2.9700000000000001E-2</v>
      </c>
      <c r="E6" s="130">
        <v>5.0799999999999998E-2</v>
      </c>
      <c r="F6" s="131">
        <v>6.2700000000000006E-2</v>
      </c>
      <c r="G6" s="61"/>
      <c r="H6" s="61"/>
    </row>
    <row r="7" spans="1:8" ht="14.25" x14ac:dyDescent="0.2">
      <c r="A7" s="110" t="s">
        <v>46</v>
      </c>
      <c r="B7" s="111" t="s">
        <v>47</v>
      </c>
      <c r="C7" s="112">
        <v>1.2999999999999999E-2</v>
      </c>
      <c r="D7" s="129">
        <f>0.3%+0.56%</f>
        <v>8.6E-3</v>
      </c>
      <c r="E7" s="130">
        <f>0.48%+0.85%</f>
        <v>1.3299999999999999E-2</v>
      </c>
      <c r="F7" s="131">
        <f>0.82%+0.89%</f>
        <v>1.7099999999999997E-2</v>
      </c>
      <c r="G7" s="61"/>
      <c r="H7" s="61"/>
    </row>
    <row r="8" spans="1:8" ht="14.25" x14ac:dyDescent="0.2">
      <c r="A8" s="110" t="s">
        <v>48</v>
      </c>
      <c r="B8" s="111" t="s">
        <v>49</v>
      </c>
      <c r="C8" s="112">
        <v>0.1</v>
      </c>
      <c r="D8" s="129">
        <v>7.7799999999999994E-2</v>
      </c>
      <c r="E8" s="130">
        <v>0.1085</v>
      </c>
      <c r="F8" s="131">
        <v>0.13550000000000001</v>
      </c>
      <c r="G8" s="61"/>
      <c r="H8" s="61"/>
    </row>
    <row r="9" spans="1:8" ht="14.25" x14ac:dyDescent="0.2">
      <c r="A9" s="110" t="s">
        <v>50</v>
      </c>
      <c r="B9" s="111" t="s">
        <v>51</v>
      </c>
      <c r="C9" s="113">
        <f>(1+E9)^(E10/252)-1</f>
        <v>0</v>
      </c>
      <c r="D9" s="129" t="s">
        <v>156</v>
      </c>
      <c r="E9" s="114"/>
      <c r="F9" s="109"/>
      <c r="G9" s="61"/>
      <c r="H9" s="61"/>
    </row>
    <row r="10" spans="1:8" ht="14.25" x14ac:dyDescent="0.2">
      <c r="A10" s="110" t="s">
        <v>52</v>
      </c>
      <c r="B10" s="400" t="s">
        <v>53</v>
      </c>
      <c r="C10" s="112">
        <v>0.03</v>
      </c>
      <c r="D10" s="159" t="s">
        <v>126</v>
      </c>
      <c r="E10" s="115"/>
      <c r="F10" s="116"/>
      <c r="G10" s="61"/>
      <c r="H10" s="61"/>
    </row>
    <row r="11" spans="1:8" ht="15" thickBot="1" x14ac:dyDescent="0.25">
      <c r="A11" s="117" t="s">
        <v>54</v>
      </c>
      <c r="B11" s="401"/>
      <c r="C11" s="118">
        <v>9.2499999999999999E-2</v>
      </c>
      <c r="D11" s="100"/>
      <c r="E11" s="119"/>
      <c r="F11" s="116"/>
      <c r="G11" s="61"/>
      <c r="H11" s="61"/>
    </row>
    <row r="12" spans="1:8" ht="14.25" x14ac:dyDescent="0.2">
      <c r="A12" s="120" t="s">
        <v>55</v>
      </c>
      <c r="B12" s="121"/>
      <c r="C12" s="122"/>
      <c r="D12" s="100"/>
      <c r="E12" s="119"/>
      <c r="F12" s="116"/>
      <c r="G12" s="61"/>
      <c r="H12" s="61"/>
    </row>
    <row r="13" spans="1:8" ht="15" thickBot="1" x14ac:dyDescent="0.25">
      <c r="A13" s="123" t="s">
        <v>56</v>
      </c>
      <c r="B13" s="124"/>
      <c r="C13" s="125"/>
      <c r="D13" s="100"/>
      <c r="E13" s="119"/>
      <c r="F13" s="116"/>
      <c r="G13" s="61"/>
      <c r="H13" s="61"/>
    </row>
    <row r="14" spans="1:8" ht="15.75" thickBot="1" x14ac:dyDescent="0.25">
      <c r="A14" s="126" t="s">
        <v>57</v>
      </c>
      <c r="B14" s="127"/>
      <c r="C14" s="128">
        <f>ROUND((((1+C6+C7)*(1+C8)*(1+C9))/(1-(C10+C11))-1),4)</f>
        <v>0.33250000000000002</v>
      </c>
      <c r="D14" s="132">
        <v>0.21429999999999999</v>
      </c>
      <c r="E14" s="133">
        <v>0.2717</v>
      </c>
      <c r="F14" s="134">
        <v>0.3362</v>
      </c>
      <c r="G14" s="61"/>
      <c r="H14" s="61"/>
    </row>
    <row r="15" spans="1:8" ht="14.25" x14ac:dyDescent="0.2">
      <c r="A15" s="61"/>
      <c r="B15" s="61"/>
      <c r="C15" s="61"/>
      <c r="D15" s="61"/>
      <c r="E15" s="62"/>
      <c r="F15" s="61"/>
      <c r="G15" s="61"/>
      <c r="H15" s="61"/>
    </row>
    <row r="16" spans="1:8" s="2" customFormat="1" ht="15.6" customHeight="1" thickBot="1" x14ac:dyDescent="0.25">
      <c r="A16" s="160" t="s">
        <v>238</v>
      </c>
      <c r="B16" s="57"/>
      <c r="C16" s="57"/>
      <c r="D16" s="57"/>
      <c r="E16" s="57"/>
      <c r="F16" s="57"/>
      <c r="G16" s="3"/>
    </row>
    <row r="17" spans="1:8" ht="15.75" x14ac:dyDescent="0.2">
      <c r="A17" s="397" t="s">
        <v>237</v>
      </c>
      <c r="B17" s="398"/>
      <c r="C17" s="398"/>
      <c r="D17" s="398"/>
      <c r="E17" s="398"/>
      <c r="F17" s="399"/>
    </row>
    <row r="18" spans="1:8" ht="16.5" thickBot="1" x14ac:dyDescent="0.25">
      <c r="A18" s="142"/>
      <c r="B18" s="143"/>
      <c r="C18" s="143"/>
      <c r="D18" s="143"/>
      <c r="E18" s="143"/>
      <c r="F18" s="144"/>
    </row>
    <row r="19" spans="1:8" ht="14.25" x14ac:dyDescent="0.2">
      <c r="A19" s="106" t="s">
        <v>44</v>
      </c>
      <c r="B19" s="107" t="s">
        <v>45</v>
      </c>
      <c r="C19" s="108">
        <v>0.05</v>
      </c>
      <c r="D19" s="129"/>
      <c r="E19" s="130"/>
      <c r="F19" s="131"/>
      <c r="G19" s="61"/>
      <c r="H19" s="61"/>
    </row>
    <row r="20" spans="1:8" ht="14.25" x14ac:dyDescent="0.2">
      <c r="A20" s="110" t="s">
        <v>46</v>
      </c>
      <c r="B20" s="111" t="s">
        <v>47</v>
      </c>
      <c r="C20" s="112">
        <v>1.2999999999999999E-2</v>
      </c>
      <c r="D20" s="129"/>
      <c r="E20" s="130"/>
      <c r="F20" s="131"/>
      <c r="G20" s="61"/>
      <c r="H20" s="61"/>
    </row>
    <row r="21" spans="1:8" ht="14.25" x14ac:dyDescent="0.2">
      <c r="A21" s="110" t="s">
        <v>48</v>
      </c>
      <c r="B21" s="111" t="s">
        <v>49</v>
      </c>
      <c r="C21" s="112">
        <v>0.1</v>
      </c>
      <c r="D21" s="129"/>
      <c r="E21" s="130"/>
      <c r="F21" s="131"/>
      <c r="G21" s="61"/>
      <c r="H21" s="61"/>
    </row>
    <row r="22" spans="1:8" ht="14.25" x14ac:dyDescent="0.2">
      <c r="A22" s="110" t="s">
        <v>50</v>
      </c>
      <c r="B22" s="111" t="s">
        <v>51</v>
      </c>
      <c r="C22" s="113">
        <v>0</v>
      </c>
      <c r="D22" s="129"/>
      <c r="E22" s="130"/>
      <c r="F22" s="109"/>
      <c r="G22" s="61"/>
      <c r="H22" s="61"/>
    </row>
    <row r="23" spans="1:8" ht="14.25" x14ac:dyDescent="0.2">
      <c r="A23" s="110" t="s">
        <v>52</v>
      </c>
      <c r="B23" s="400" t="s">
        <v>53</v>
      </c>
      <c r="C23" s="112">
        <v>0.03</v>
      </c>
      <c r="D23" s="159"/>
      <c r="E23" s="281" t="s">
        <v>239</v>
      </c>
      <c r="F23" s="116"/>
      <c r="G23" s="61"/>
      <c r="H23" s="61"/>
    </row>
    <row r="24" spans="1:8" ht="15" thickBot="1" x14ac:dyDescent="0.25">
      <c r="A24" s="117" t="s">
        <v>54</v>
      </c>
      <c r="B24" s="401"/>
      <c r="C24" s="118">
        <v>3.6499999999999998E-2</v>
      </c>
      <c r="D24" s="100"/>
      <c r="E24" s="119"/>
      <c r="F24" s="116"/>
      <c r="G24" s="61"/>
      <c r="H24" s="61"/>
    </row>
    <row r="25" spans="1:8" ht="14.25" x14ac:dyDescent="0.2">
      <c r="A25" s="120" t="s">
        <v>55</v>
      </c>
      <c r="B25" s="121"/>
      <c r="C25" s="122"/>
      <c r="D25" s="100"/>
      <c r="E25" s="119"/>
      <c r="F25" s="116"/>
      <c r="G25" s="61"/>
      <c r="H25" s="61"/>
    </row>
    <row r="26" spans="1:8" ht="15" thickBot="1" x14ac:dyDescent="0.25">
      <c r="A26" s="123" t="s">
        <v>56</v>
      </c>
      <c r="B26" s="124"/>
      <c r="C26" s="125"/>
      <c r="D26" s="100"/>
      <c r="E26" s="119"/>
      <c r="F26" s="116"/>
      <c r="G26" s="61"/>
      <c r="H26" s="61"/>
    </row>
    <row r="27" spans="1:8" ht="15.75" thickBot="1" x14ac:dyDescent="0.25">
      <c r="A27" s="126" t="s">
        <v>57</v>
      </c>
      <c r="B27" s="127"/>
      <c r="C27" s="128">
        <f>ROUND((((1+C19+C20)*(1+C21)*(1+C22))/(1-(C23+C24))-1),4)</f>
        <v>0.25259999999999999</v>
      </c>
      <c r="D27" s="132"/>
      <c r="E27" s="133"/>
      <c r="F27" s="134"/>
      <c r="G27" s="61"/>
      <c r="H27" s="61"/>
    </row>
    <row r="29" spans="1:8" s="2" customFormat="1" ht="15.6" customHeight="1" thickBot="1" x14ac:dyDescent="0.25">
      <c r="A29" s="160" t="s">
        <v>240</v>
      </c>
      <c r="B29" s="57"/>
      <c r="C29" s="57"/>
      <c r="D29" s="57"/>
      <c r="E29" s="57"/>
      <c r="F29" s="57"/>
      <c r="G29" s="3"/>
    </row>
    <row r="30" spans="1:8" ht="15.75" x14ac:dyDescent="0.2">
      <c r="A30" s="397" t="s">
        <v>241</v>
      </c>
      <c r="B30" s="398"/>
      <c r="C30" s="398"/>
      <c r="D30" s="398"/>
      <c r="E30" s="398"/>
      <c r="F30" s="399"/>
    </row>
    <row r="31" spans="1:8" ht="16.5" thickBot="1" x14ac:dyDescent="0.25">
      <c r="A31" s="142"/>
      <c r="B31" s="143"/>
      <c r="C31" s="143"/>
      <c r="D31" s="143"/>
      <c r="E31" s="143"/>
      <c r="F31" s="144"/>
    </row>
    <row r="32" spans="1:8" ht="14.25" x14ac:dyDescent="0.2">
      <c r="A32" s="106" t="s">
        <v>44</v>
      </c>
      <c r="B32" s="107" t="s">
        <v>45</v>
      </c>
      <c r="C32" s="108">
        <v>0.05</v>
      </c>
      <c r="D32" s="129"/>
      <c r="E32" s="130"/>
      <c r="F32" s="131"/>
      <c r="G32" s="61"/>
      <c r="H32" s="61"/>
    </row>
    <row r="33" spans="1:8" ht="14.25" x14ac:dyDescent="0.2">
      <c r="A33" s="110" t="s">
        <v>46</v>
      </c>
      <c r="B33" s="111" t="s">
        <v>47</v>
      </c>
      <c r="C33" s="112">
        <v>1.2999999999999999E-2</v>
      </c>
      <c r="D33" s="129"/>
      <c r="E33" s="130"/>
      <c r="F33" s="131"/>
      <c r="G33" s="61"/>
      <c r="H33" s="61"/>
    </row>
    <row r="34" spans="1:8" ht="14.25" x14ac:dyDescent="0.2">
      <c r="A34" s="110" t="s">
        <v>48</v>
      </c>
      <c r="B34" s="111" t="s">
        <v>49</v>
      </c>
      <c r="C34" s="112">
        <v>0.1</v>
      </c>
      <c r="D34" s="129"/>
      <c r="E34" s="130"/>
      <c r="F34" s="131"/>
      <c r="G34" s="61"/>
      <c r="H34" s="61"/>
    </row>
    <row r="35" spans="1:8" ht="15" thickBot="1" x14ac:dyDescent="0.25">
      <c r="A35" s="110" t="s">
        <v>50</v>
      </c>
      <c r="B35" s="111" t="s">
        <v>51</v>
      </c>
      <c r="C35" s="112">
        <v>0</v>
      </c>
      <c r="D35" s="129"/>
      <c r="E35" s="130"/>
      <c r="F35" s="131"/>
      <c r="G35" s="61"/>
      <c r="H35" s="61"/>
    </row>
    <row r="36" spans="1:8" ht="14.25" x14ac:dyDescent="0.2">
      <c r="A36" s="120" t="s">
        <v>242</v>
      </c>
      <c r="B36" s="121"/>
      <c r="C36" s="122"/>
      <c r="D36" s="129"/>
      <c r="E36" s="130"/>
      <c r="F36" s="131"/>
      <c r="G36" s="61"/>
      <c r="H36" s="61"/>
    </row>
    <row r="37" spans="1:8" ht="15" thickBot="1" x14ac:dyDescent="0.25">
      <c r="A37" s="123" t="s">
        <v>243</v>
      </c>
      <c r="B37" s="124"/>
      <c r="C37" s="125"/>
      <c r="D37" s="129"/>
      <c r="E37" s="130"/>
      <c r="F37" s="131"/>
      <c r="G37" s="61"/>
      <c r="H37" s="61"/>
    </row>
    <row r="38" spans="1:8" ht="30.75" customHeight="1" thickBot="1" x14ac:dyDescent="0.25">
      <c r="A38" s="402" t="s">
        <v>244</v>
      </c>
      <c r="B38" s="403"/>
      <c r="C38" s="128">
        <f>ROUND((((1+C32+C33)*(1+C34)*(1+C35))-1),4)</f>
        <v>0.16930000000000001</v>
      </c>
      <c r="D38" s="132"/>
      <c r="E38" s="133"/>
      <c r="F38" s="134"/>
      <c r="G38" s="61"/>
      <c r="H38" s="61"/>
    </row>
    <row r="40" spans="1:8" x14ac:dyDescent="0.2">
      <c r="A40" t="s">
        <v>288</v>
      </c>
    </row>
  </sheetData>
  <mergeCells count="7">
    <mergeCell ref="A2:F2"/>
    <mergeCell ref="A17:F17"/>
    <mergeCell ref="B23:B24"/>
    <mergeCell ref="A30:F30"/>
    <mergeCell ref="A38:B38"/>
    <mergeCell ref="B10:B11"/>
    <mergeCell ref="D4:F4"/>
  </mergeCells>
  <pageMargins left="0.90551181102362199" right="0.51181102362204722" top="0.74803149606299213" bottom="0.74803149606299213" header="0.31496062992125984" footer="0.31496062992125984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17"/>
  <sheetViews>
    <sheetView workbookViewId="0">
      <selection activeCell="B13" sqref="B13"/>
    </sheetView>
  </sheetViews>
  <sheetFormatPr defaultRowHeight="19.5" customHeight="1" x14ac:dyDescent="0.2"/>
  <cols>
    <col min="1" max="1" width="24.5703125" style="1" customWidth="1"/>
    <col min="2" max="2" width="20.85546875" style="1" customWidth="1"/>
    <col min="3" max="16384" width="9.140625" style="1"/>
  </cols>
  <sheetData>
    <row r="1" spans="1:3" ht="19.5" customHeight="1" thickBot="1" x14ac:dyDescent="0.25">
      <c r="A1" s="407" t="s">
        <v>142</v>
      </c>
      <c r="B1" s="408"/>
    </row>
    <row r="2" spans="1:3" s="47" customFormat="1" ht="19.5" customHeight="1" x14ac:dyDescent="0.2">
      <c r="A2" s="145" t="s">
        <v>131</v>
      </c>
      <c r="B2" s="146" t="s">
        <v>157</v>
      </c>
    </row>
    <row r="3" spans="1:3" ht="19.5" customHeight="1" x14ac:dyDescent="0.2">
      <c r="A3" s="69">
        <v>1</v>
      </c>
      <c r="B3" s="68">
        <v>33.629999999999995</v>
      </c>
    </row>
    <row r="4" spans="1:3" ht="19.5" customHeight="1" x14ac:dyDescent="0.2">
      <c r="A4" s="69">
        <v>2</v>
      </c>
      <c r="B4" s="68">
        <v>43.13</v>
      </c>
    </row>
    <row r="5" spans="1:3" ht="19.5" customHeight="1" x14ac:dyDescent="0.2">
      <c r="A5" s="69">
        <v>3</v>
      </c>
      <c r="B5" s="68">
        <v>48.68</v>
      </c>
    </row>
    <row r="6" spans="1:3" ht="19.5" customHeight="1" x14ac:dyDescent="0.2">
      <c r="A6" s="69">
        <v>4</v>
      </c>
      <c r="B6" s="68">
        <v>52.62</v>
      </c>
    </row>
    <row r="7" spans="1:3" ht="19.5" customHeight="1" x14ac:dyDescent="0.2">
      <c r="A7" s="145">
        <v>5</v>
      </c>
      <c r="B7" s="176">
        <v>55</v>
      </c>
    </row>
    <row r="8" spans="1:3" ht="19.5" customHeight="1" x14ac:dyDescent="0.2">
      <c r="A8" s="69">
        <v>6</v>
      </c>
      <c r="B8" s="68">
        <v>58.18</v>
      </c>
    </row>
    <row r="9" spans="1:3" ht="19.5" customHeight="1" x14ac:dyDescent="0.2">
      <c r="A9" s="69">
        <v>7</v>
      </c>
      <c r="B9" s="68">
        <v>60.29</v>
      </c>
    </row>
    <row r="10" spans="1:3" ht="19.5" customHeight="1" x14ac:dyDescent="0.2">
      <c r="A10" s="69">
        <v>8</v>
      </c>
      <c r="B10" s="68">
        <v>62.12</v>
      </c>
    </row>
    <row r="11" spans="1:3" ht="19.5" customHeight="1" x14ac:dyDescent="0.2">
      <c r="A11" s="69">
        <v>9</v>
      </c>
      <c r="B11" s="68">
        <v>63.73</v>
      </c>
    </row>
    <row r="12" spans="1:3" ht="19.5" customHeight="1" x14ac:dyDescent="0.2">
      <c r="A12" s="145">
        <v>10</v>
      </c>
      <c r="B12" s="176">
        <v>65.180000000000007</v>
      </c>
      <c r="C12" s="155"/>
    </row>
    <row r="13" spans="1:3" ht="19.5" customHeight="1" x14ac:dyDescent="0.2">
      <c r="A13" s="69">
        <v>11</v>
      </c>
      <c r="B13" s="68">
        <v>66.47999999999999</v>
      </c>
      <c r="C13" s="155"/>
    </row>
    <row r="14" spans="1:3" ht="19.5" customHeight="1" x14ac:dyDescent="0.2">
      <c r="A14" s="69">
        <v>12</v>
      </c>
      <c r="B14" s="68">
        <v>67.67</v>
      </c>
    </row>
    <row r="15" spans="1:3" ht="19.5" customHeight="1" x14ac:dyDescent="0.2">
      <c r="A15" s="69">
        <v>13</v>
      </c>
      <c r="B15" s="68">
        <v>68.77</v>
      </c>
    </row>
    <row r="16" spans="1:3" ht="19.5" customHeight="1" x14ac:dyDescent="0.2">
      <c r="A16" s="69">
        <v>14</v>
      </c>
      <c r="B16" s="68">
        <v>69.789999999999992</v>
      </c>
    </row>
    <row r="17" spans="1:2" ht="19.5" customHeight="1" thickBot="1" x14ac:dyDescent="0.25">
      <c r="A17" s="70">
        <v>15</v>
      </c>
      <c r="B17" s="71">
        <v>70.73</v>
      </c>
    </row>
  </sheetData>
  <mergeCells count="1">
    <mergeCell ref="A1:B1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31"/>
  <sheetViews>
    <sheetView topLeftCell="A7" workbookViewId="0">
      <selection activeCell="C23" sqref="C23"/>
    </sheetView>
  </sheetViews>
  <sheetFormatPr defaultRowHeight="12.75" x14ac:dyDescent="0.2"/>
  <cols>
    <col min="1" max="1" width="70.42578125" style="1" customWidth="1"/>
    <col min="2" max="2" width="15.5703125" style="1" customWidth="1"/>
    <col min="3" max="3" width="21.42578125" style="1" customWidth="1"/>
    <col min="4" max="4" width="13.140625" style="1" bestFit="1" customWidth="1"/>
    <col min="5" max="5" width="12" style="1" bestFit="1" customWidth="1"/>
    <col min="6" max="16384" width="9.140625" style="1"/>
  </cols>
  <sheetData>
    <row r="1" spans="1:1" ht="18" x14ac:dyDescent="0.25">
      <c r="A1" s="138" t="s">
        <v>146</v>
      </c>
    </row>
    <row r="2" spans="1:1" x14ac:dyDescent="0.2">
      <c r="A2" s="135"/>
    </row>
    <row r="3" spans="1:1" x14ac:dyDescent="0.2">
      <c r="A3" s="135" t="s">
        <v>153</v>
      </c>
    </row>
    <row r="4" spans="1:1" x14ac:dyDescent="0.2">
      <c r="A4" s="135"/>
    </row>
    <row r="5" spans="1:1" x14ac:dyDescent="0.2">
      <c r="A5" s="135"/>
    </row>
    <row r="6" spans="1:1" x14ac:dyDescent="0.2">
      <c r="A6" s="135"/>
    </row>
    <row r="7" spans="1:1" x14ac:dyDescent="0.2">
      <c r="A7" s="135"/>
    </row>
    <row r="8" spans="1:1" x14ac:dyDescent="0.2">
      <c r="A8" s="135"/>
    </row>
    <row r="9" spans="1:1" x14ac:dyDescent="0.2">
      <c r="A9" s="135"/>
    </row>
    <row r="10" spans="1:1" x14ac:dyDescent="0.2">
      <c r="A10" s="135"/>
    </row>
    <row r="11" spans="1:1" x14ac:dyDescent="0.2">
      <c r="A11" s="135"/>
    </row>
    <row r="12" spans="1:1" ht="19.5" x14ac:dyDescent="0.35">
      <c r="A12" s="136" t="s">
        <v>143</v>
      </c>
    </row>
    <row r="13" spans="1:1" ht="15" x14ac:dyDescent="0.2">
      <c r="A13" s="136" t="s">
        <v>65</v>
      </c>
    </row>
    <row r="14" spans="1:1" ht="15" x14ac:dyDescent="0.2">
      <c r="A14" s="136" t="s">
        <v>67</v>
      </c>
    </row>
    <row r="15" spans="1:1" ht="19.5" x14ac:dyDescent="0.35">
      <c r="A15" s="136" t="s">
        <v>144</v>
      </c>
    </row>
    <row r="16" spans="1:1" ht="19.5" x14ac:dyDescent="0.35">
      <c r="A16" s="136" t="s">
        <v>145</v>
      </c>
    </row>
    <row r="17" spans="1:4" ht="15.75" thickBot="1" x14ac:dyDescent="0.25">
      <c r="A17" s="137" t="s">
        <v>66</v>
      </c>
    </row>
    <row r="20" spans="1:4" ht="15" x14ac:dyDescent="0.2">
      <c r="A20" s="339" t="s">
        <v>297</v>
      </c>
      <c r="B20" s="340"/>
      <c r="C20" s="340"/>
    </row>
    <row r="21" spans="1:4" ht="15" x14ac:dyDescent="0.2">
      <c r="A21" s="339" t="s">
        <v>298</v>
      </c>
      <c r="B21" s="353">
        <v>658253</v>
      </c>
      <c r="C21" s="353">
        <v>580000</v>
      </c>
    </row>
    <row r="22" spans="1:4" ht="15" x14ac:dyDescent="0.2">
      <c r="A22" s="339" t="s">
        <v>299</v>
      </c>
      <c r="B22" s="353">
        <f>'Transporte RSU - Rejeito'!D144-'Transporte RSU - Rejeito'!E147</f>
        <v>229203.69459999993</v>
      </c>
      <c r="C22" s="353">
        <f>580000-'Transporte RSU - Rejeito'!E152</f>
        <v>201955.99999999994</v>
      </c>
    </row>
    <row r="23" spans="1:4" ht="15" x14ac:dyDescent="0.2">
      <c r="A23" s="339" t="s">
        <v>300</v>
      </c>
      <c r="B23" s="341">
        <f>B21-B22</f>
        <v>429049.30540000007</v>
      </c>
      <c r="C23" s="341">
        <f>C21-C22</f>
        <v>378044.00000000006</v>
      </c>
    </row>
    <row r="24" spans="1:4" ht="15" x14ac:dyDescent="0.2">
      <c r="A24" s="339" t="s">
        <v>301</v>
      </c>
      <c r="B24" s="354">
        <f>B25-B26</f>
        <v>10</v>
      </c>
      <c r="C24" s="354">
        <f>C25-C26</f>
        <v>10</v>
      </c>
    </row>
    <row r="25" spans="1:4" ht="15" x14ac:dyDescent="0.2">
      <c r="A25" s="339" t="s">
        <v>302</v>
      </c>
      <c r="B25" s="355">
        <f>'Transporte RSU - Rejeito'!C145</f>
        <v>10</v>
      </c>
      <c r="C25" s="355">
        <f>'Transporte RSU - Rejeito'!C150</f>
        <v>10</v>
      </c>
    </row>
    <row r="26" spans="1:4" ht="15" x14ac:dyDescent="0.2">
      <c r="A26" s="339" t="s">
        <v>303</v>
      </c>
      <c r="B26" s="355">
        <f>'Transporte RSU - Rejeito'!C146</f>
        <v>0</v>
      </c>
      <c r="C26" s="355">
        <f>'Transporte RSU - Rejeito'!C151</f>
        <v>0</v>
      </c>
    </row>
    <row r="27" spans="1:4" ht="15" x14ac:dyDescent="0.2">
      <c r="A27" s="339" t="s">
        <v>304</v>
      </c>
      <c r="B27" s="355">
        <f>B24+1</f>
        <v>11</v>
      </c>
      <c r="C27" s="355">
        <f>C24+1</f>
        <v>11</v>
      </c>
    </row>
    <row r="28" spans="1:4" ht="15" x14ac:dyDescent="0.2">
      <c r="A28" s="339" t="s">
        <v>305</v>
      </c>
      <c r="B28" s="355">
        <f>2*B24</f>
        <v>20</v>
      </c>
      <c r="C28" s="355">
        <f>2*C24</f>
        <v>20</v>
      </c>
    </row>
    <row r="29" spans="1:4" ht="15" x14ac:dyDescent="0.2">
      <c r="A29" s="339" t="s">
        <v>306</v>
      </c>
      <c r="B29" s="341">
        <f>(B23*(B27/B28))+B22</f>
        <v>465180.81256999995</v>
      </c>
      <c r="C29" s="341">
        <f>(C23*(C27/C28))+C22</f>
        <v>409880.19999999995</v>
      </c>
    </row>
    <row r="30" spans="1:4" ht="15" x14ac:dyDescent="0.2">
      <c r="A30" s="339" t="s">
        <v>307</v>
      </c>
      <c r="B30" s="356">
        <v>0.15</v>
      </c>
      <c r="C30" s="356">
        <v>0.15</v>
      </c>
    </row>
    <row r="31" spans="1:4" ht="15" x14ac:dyDescent="0.2">
      <c r="A31" s="339" t="s">
        <v>308</v>
      </c>
      <c r="B31" s="342">
        <f>B29*B30/12</f>
        <v>5814.7601571249988</v>
      </c>
      <c r="C31" s="342">
        <f t="shared" ref="C31" si="0">C29*C30/12</f>
        <v>5123.5024999999996</v>
      </c>
      <c r="D31" s="343"/>
    </row>
  </sheetData>
  <pageMargins left="0.90551181102362199" right="0.51181102362204722" top="0.74803149606299213" bottom="0.74803149606299213" header="0.31496062992125984" footer="0.31496062992125984"/>
  <pageSetup paperSize="9" orientation="portrait" verticalDpi="597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4</vt:i4>
      </vt:variant>
    </vt:vector>
  </HeadingPairs>
  <TitlesOfParts>
    <vt:vector size="13" baseType="lpstr">
      <vt:lpstr>Transporte RSU - Rejeito</vt:lpstr>
      <vt:lpstr>Pneus</vt:lpstr>
      <vt:lpstr>Lavagem unif.</vt:lpstr>
      <vt:lpstr>Feriados</vt:lpstr>
      <vt:lpstr>Encargos Simples</vt:lpstr>
      <vt:lpstr>2.Encargos Sociais</vt:lpstr>
      <vt:lpstr>4.BDI</vt:lpstr>
      <vt:lpstr>5. Depreciação</vt:lpstr>
      <vt:lpstr>6.Remuneração de capital</vt:lpstr>
      <vt:lpstr>AbaDeprec</vt:lpstr>
      <vt:lpstr>AbaRemun</vt:lpstr>
      <vt:lpstr>'2.Encargos Sociais'!Area_de_impressao</vt:lpstr>
      <vt:lpstr>'Transporte RSU - Rejeito'!Area_de_impressao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Beatris Regina Vogel</cp:lastModifiedBy>
  <cp:lastPrinted>2026-02-06T16:33:53Z</cp:lastPrinted>
  <dcterms:created xsi:type="dcterms:W3CDTF">2000-12-13T10:02:50Z</dcterms:created>
  <dcterms:modified xsi:type="dcterms:W3CDTF">2026-04-06T11:36:41Z</dcterms:modified>
</cp:coreProperties>
</file>