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nato\Downloads\"/>
    </mc:Choice>
  </mc:AlternateContent>
  <bookViews>
    <workbookView xWindow="0" yWindow="0" windowWidth="20490" windowHeight="7650" tabRatio="802"/>
  </bookViews>
  <sheets>
    <sheet name="1. Coleta Domiciliar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</sheets>
  <definedNames>
    <definedName name="AbaDeprec">'5. Depreciação'!$A$1</definedName>
    <definedName name="AbaRemun">'6.Remuneração de capital'!$A$1</definedName>
    <definedName name="_xlnm.Print_Area" localSheetId="1">'2.Encargos Sociais'!$A$1:$C$39</definedName>
    <definedName name="_xlnm.Print_Titles" localSheetId="0">'1. Coleta Domiciliar'!$1:$8</definedName>
  </definedNames>
  <calcPr calcId="162913"/>
</workbook>
</file>

<file path=xl/calcChain.xml><?xml version="1.0" encoding="utf-8"?>
<calcChain xmlns="http://schemas.openxmlformats.org/spreadsheetml/2006/main">
  <c r="A38" i="2" l="1"/>
  <c r="D95" i="2"/>
  <c r="C137" i="2" l="1"/>
  <c r="C136" i="2" l="1"/>
  <c r="C188" i="2"/>
  <c r="C165" i="2" l="1"/>
  <c r="C14" i="4" l="1"/>
  <c r="C12" i="4"/>
  <c r="E13" i="4"/>
  <c r="C13" i="4" s="1"/>
  <c r="E14" i="4"/>
  <c r="E12" i="4"/>
  <c r="C60" i="2"/>
  <c r="C83" i="2" s="1"/>
  <c r="C122" i="2"/>
  <c r="C111" i="2"/>
  <c r="C84" i="2"/>
  <c r="C96" i="2"/>
  <c r="C95" i="2"/>
  <c r="E95" i="2" s="1"/>
  <c r="A21" i="2"/>
  <c r="D224" i="2"/>
  <c r="D143" i="2"/>
  <c r="E120" i="2"/>
  <c r="C154" i="2" l="1"/>
  <c r="C153" i="2"/>
  <c r="C155" i="2"/>
  <c r="A32" i="2" l="1"/>
  <c r="A31" i="2"/>
  <c r="A23" i="2"/>
  <c r="A22" i="2"/>
  <c r="A16" i="2"/>
  <c r="C148" i="2" l="1"/>
  <c r="D173" i="2"/>
  <c r="D171" i="2"/>
  <c r="D169" i="2"/>
  <c r="D167" i="2"/>
  <c r="E106" i="2" l="1"/>
  <c r="E107" i="2"/>
  <c r="E108" i="2"/>
  <c r="E109" i="2"/>
  <c r="D54" i="2" l="1"/>
  <c r="E54" i="2" s="1"/>
  <c r="D53" i="2"/>
  <c r="E53" i="2" s="1"/>
  <c r="D68" i="2"/>
  <c r="E68" i="2" s="1"/>
  <c r="D55" i="2" l="1"/>
  <c r="E55" i="2" s="1"/>
  <c r="D69" i="2"/>
  <c r="E69" i="2" s="1"/>
  <c r="D70" i="2" s="1"/>
  <c r="E70" i="2" s="1"/>
  <c r="A30" i="2" l="1"/>
  <c r="A29" i="2"/>
  <c r="A28" i="2"/>
  <c r="A27" i="2"/>
  <c r="A26" i="2"/>
  <c r="A25" i="2"/>
  <c r="A24" i="2"/>
  <c r="A20" i="2"/>
  <c r="A19" i="2"/>
  <c r="A18" i="2"/>
  <c r="A17" i="2"/>
  <c r="C20" i="8"/>
  <c r="E206" i="2"/>
  <c r="E112" i="2"/>
  <c r="E61" i="2"/>
  <c r="C15" i="4"/>
  <c r="C20" i="4" s="1"/>
  <c r="C17" i="8"/>
  <c r="C25" i="5"/>
  <c r="E66" i="2"/>
  <c r="C186" i="2"/>
  <c r="E186" i="2" s="1"/>
  <c r="C167" i="2"/>
  <c r="E167" i="2" s="1"/>
  <c r="D165" i="2"/>
  <c r="D174" i="2" s="1"/>
  <c r="E133" i="2"/>
  <c r="C202" i="2"/>
  <c r="C204" i="2" s="1"/>
  <c r="E204" i="2" s="1"/>
  <c r="E205" i="2" s="1"/>
  <c r="A39" i="2"/>
  <c r="A43" i="2"/>
  <c r="E52" i="2"/>
  <c r="D83" i="2" s="1"/>
  <c r="A95" i="2"/>
  <c r="A90" i="2"/>
  <c r="A96" i="2" s="1"/>
  <c r="E110" i="2"/>
  <c r="D117" i="2"/>
  <c r="E117" i="2" s="1"/>
  <c r="D118" i="2"/>
  <c r="E118" i="2" s="1"/>
  <c r="D119" i="2"/>
  <c r="E119" i="2" s="1"/>
  <c r="E121" i="2"/>
  <c r="E184" i="2"/>
  <c r="E155" i="2"/>
  <c r="E154" i="2"/>
  <c r="D84" i="2" l="1"/>
  <c r="C71" i="2"/>
  <c r="D72" i="2" s="1"/>
  <c r="E72" i="2" s="1"/>
  <c r="E73" i="2" s="1"/>
  <c r="C27" i="5"/>
  <c r="C28" i="5" s="1"/>
  <c r="C26" i="5"/>
  <c r="C31" i="8" s="1"/>
  <c r="D136" i="2"/>
  <c r="E136" i="2" s="1"/>
  <c r="C171" i="2"/>
  <c r="E171" i="2" s="1"/>
  <c r="C173" i="2"/>
  <c r="E173" i="2" s="1"/>
  <c r="E90" i="2"/>
  <c r="E165" i="2"/>
  <c r="D111" i="2"/>
  <c r="E89" i="2"/>
  <c r="E40" i="2"/>
  <c r="E83" i="2"/>
  <c r="E96" i="2"/>
  <c r="D56" i="2"/>
  <c r="E56" i="2" s="1"/>
  <c r="E57" i="2" s="1"/>
  <c r="D58" i="2" s="1"/>
  <c r="C169" i="2"/>
  <c r="E169" i="2" s="1"/>
  <c r="C179" i="2"/>
  <c r="E179" i="2" s="1"/>
  <c r="F180" i="2" s="1"/>
  <c r="E29" i="2" s="1"/>
  <c r="E202" i="2"/>
  <c r="E203" i="2" s="1"/>
  <c r="F206" i="2" s="1"/>
  <c r="F208" i="2" s="1"/>
  <c r="E31" i="2" s="1"/>
  <c r="E143" i="2"/>
  <c r="D187" i="2"/>
  <c r="E187" i="2" s="1"/>
  <c r="D188" i="2" s="1"/>
  <c r="E188" i="2" s="1"/>
  <c r="E84" i="2"/>
  <c r="D122" i="2"/>
  <c r="F189" i="2" l="1"/>
  <c r="E30" i="2" s="1"/>
  <c r="C30" i="8"/>
  <c r="C33" i="5"/>
  <c r="C27" i="8" s="1"/>
  <c r="C35" i="8" s="1"/>
  <c r="D137" i="2"/>
  <c r="E137" i="2" s="1"/>
  <c r="D138" i="2" s="1"/>
  <c r="E153" i="2"/>
  <c r="D156" i="2" s="1"/>
  <c r="E156" i="2" s="1"/>
  <c r="F157" i="2" s="1"/>
  <c r="E27" i="2" s="1"/>
  <c r="C145" i="2"/>
  <c r="C146" i="2" s="1"/>
  <c r="D147" i="2" s="1"/>
  <c r="E147" i="2" s="1"/>
  <c r="D148" i="2" s="1"/>
  <c r="C28" i="8"/>
  <c r="C19" i="8" s="1"/>
  <c r="C25" i="8" s="1"/>
  <c r="C34" i="8" s="1"/>
  <c r="F91" i="2"/>
  <c r="E20" i="2" s="1"/>
  <c r="F97" i="2"/>
  <c r="E122" i="2"/>
  <c r="F123" i="2" s="1"/>
  <c r="E111" i="2"/>
  <c r="F112" i="2" s="1"/>
  <c r="F85" i="2"/>
  <c r="E19" i="2" s="1"/>
  <c r="F175" i="2"/>
  <c r="E28" i="2" s="1"/>
  <c r="D74" i="2"/>
  <c r="E21" i="2" l="1"/>
  <c r="C29" i="8"/>
  <c r="C32" i="8" s="1"/>
  <c r="C36" i="8"/>
  <c r="E138" i="2"/>
  <c r="F139" i="2" s="1"/>
  <c r="E25" i="2" s="1"/>
  <c r="E148" i="2"/>
  <c r="F149" i="2" s="1"/>
  <c r="F125" i="2"/>
  <c r="E22" i="2" s="1"/>
  <c r="C37" i="8" l="1"/>
  <c r="C74" i="2" s="1"/>
  <c r="E26" i="2"/>
  <c r="E24" i="2" s="1"/>
  <c r="F195" i="2"/>
  <c r="E23" i="2" s="1"/>
  <c r="C58" i="2" l="1"/>
  <c r="E58" i="2" s="1"/>
  <c r="E59" i="2" s="1"/>
  <c r="D60" i="2" s="1"/>
  <c r="E60" i="2" s="1"/>
  <c r="F61" i="2" s="1"/>
  <c r="E17" i="2" s="1"/>
  <c r="E74" i="2"/>
  <c r="E75" i="2" s="1"/>
  <c r="D76" i="2" s="1"/>
  <c r="E76" i="2" s="1"/>
  <c r="F77" i="2" s="1"/>
  <c r="E18" i="2" l="1"/>
  <c r="F99" i="2"/>
  <c r="F210" i="2" s="1"/>
  <c r="D215" i="2" s="1"/>
  <c r="E215" i="2" s="1"/>
  <c r="F216" i="2" s="1"/>
  <c r="F218" i="2" s="1"/>
  <c r="E32" i="2" s="1"/>
  <c r="E16" i="2" l="1"/>
  <c r="E33" i="2" s="1"/>
  <c r="F221" i="2"/>
  <c r="F226" i="2" s="1"/>
  <c r="F16" i="2" l="1"/>
  <c r="F21" i="2"/>
  <c r="F31" i="2"/>
  <c r="F22" i="2"/>
  <c r="F17" i="2"/>
  <c r="F23" i="2"/>
  <c r="F30" i="2"/>
  <c r="F29" i="2"/>
  <c r="F18" i="2"/>
  <c r="F24" i="2"/>
  <c r="F25" i="2"/>
  <c r="F26" i="2"/>
  <c r="F20" i="2"/>
  <c r="F27" i="2"/>
  <c r="F19" i="2"/>
  <c r="F28" i="2"/>
  <c r="F32" i="2"/>
  <c r="F33" i="2" l="1"/>
</calcChain>
</file>

<file path=xl/comments1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6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2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3" authorId="0" shapeId="0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4" authorId="0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55" authorId="0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66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67" authorId="0" shapeId="0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69" authorId="0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70" authorId="0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1" authorId="0" shape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72" authorId="0" shape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74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6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1" authorId="0" shapeId="0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82" authorId="0" shapeId="0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83" authorId="0" shapeId="0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84" authorId="0" shape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89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90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95" authorId="0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96" authorId="0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06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7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8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9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9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0" authorId="0" shape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17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18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19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0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1" authorId="0" shape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33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34" authorId="0" shapeId="0">
      <text>
        <r>
          <rPr>
            <sz val="9"/>
            <color indexed="81"/>
            <rFont val="Tahoma"/>
            <family val="2"/>
          </rPr>
          <t>Informar a vida útil estimada para o Onibus, em anos</t>
        </r>
      </text>
    </comment>
    <comment ref="C135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36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8" authorId="0" shapeId="0">
      <text>
        <r>
          <rPr>
            <sz val="9"/>
            <color indexed="81"/>
            <rFont val="Tahoma"/>
            <family val="2"/>
          </rPr>
          <t>Informar a quantidade de veiculo utilizado</t>
        </r>
      </text>
    </comment>
    <comment ref="C144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4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155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161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64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64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66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66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168" authorId="0" shapeId="0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168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170" authorId="0" shapeId="0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170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172" authorId="0" shapeId="0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172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179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84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84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85" authorId="0" shapeId="0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186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187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A199" authorId="0" shapeId="0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2" authorId="0" shapeId="0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04" authorId="0" shapeId="0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15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24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<sst xmlns="http://schemas.openxmlformats.org/spreadsheetml/2006/main" count="429" uniqueCount="260">
  <si>
    <t>hora</t>
  </si>
  <si>
    <t>Adicional de Insalubridade</t>
  </si>
  <si>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</si>
  <si>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</si>
  <si>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</si>
  <si>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</si>
  <si>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</si>
  <si>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</si>
  <si>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</si>
  <si>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</si>
  <si>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</si>
  <si>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</si>
  <si>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</si>
  <si>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</si>
  <si>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</si>
  <si>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</si>
  <si>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</si>
  <si>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</si>
  <si>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</si>
  <si>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</si>
  <si>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</si>
  <si>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</si>
  <si>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</si>
  <si>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</si>
  <si>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Calça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</si>
  <si>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</si>
  <si>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</si>
  <si>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</si>
  <si>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</si>
  <si>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</si>
  <si>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</si>
  <si>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</si>
  <si>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</si>
  <si>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</si>
  <si>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</si>
  <si>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</si>
  <si>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</si>
  <si>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</si>
  <si>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</si>
  <si>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</si>
  <si>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</si>
  <si>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</si>
  <si>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</si>
  <si>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</si>
  <si>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</si>
  <si>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</si>
  <si>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</si>
  <si>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cj</t>
  </si>
  <si>
    <t>Total de mão-de-obra (postos de trabalho)</t>
  </si>
  <si>
    <t>Custo mensal com implantação</t>
  </si>
  <si>
    <t>3.1.6. Pneus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</si>
  <si>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</si>
  <si>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</si>
  <si>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</si>
  <si>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</si>
  <si>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Custo de recapagem</t>
  </si>
  <si>
    <t>Total por Coletor</t>
  </si>
  <si>
    <t>Coletor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</si>
  <si>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</si>
  <si>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</si>
  <si>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</si>
  <si>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</si>
  <si>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</si>
  <si>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</si>
  <si>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</si>
  <si>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</si>
  <si>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</si>
  <si>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</si>
  <si>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</si>
  <si>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</si>
  <si>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</si>
  <si>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</si>
  <si>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Vale Transporte</t>
  </si>
  <si>
    <t>Dias Trabalhados por mês</t>
  </si>
  <si>
    <t>dia</t>
  </si>
  <si>
    <t>Custo Mensal com Mão-de-obra (R$/mês)</t>
  </si>
  <si>
    <t>Meia de algodão com cano alto</t>
  </si>
  <si>
    <t>Quantitativos</t>
  </si>
  <si>
    <t>Vida útil do chassis</t>
  </si>
  <si>
    <t>anos</t>
  </si>
  <si>
    <t>Depreciação do chassis</t>
  </si>
  <si>
    <t>i = taxa de juros do mercado (sugere-se adotar a taxa SELIC)</t>
  </si>
  <si>
    <t>n = vida útil do bem em anos</t>
  </si>
  <si>
    <t>Custo do chassis</t>
  </si>
  <si>
    <t>3.1.2. Remuneração do Capital</t>
  </si>
  <si>
    <t>Im = investimento médio</t>
  </si>
  <si>
    <t>Investimento médio total do chassis</t>
  </si>
  <si>
    <t>Remuneração mensal de capital do chassis</t>
  </si>
  <si>
    <t>Custo de manutenção dos caminhões</t>
  </si>
  <si>
    <t>Quilometragem mensal</t>
  </si>
  <si>
    <t>R$/km rodado</t>
  </si>
  <si>
    <t>Número de recapagens por pneu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</si>
  <si>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</si>
  <si>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</si>
  <si>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</si>
  <si>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</si>
  <si>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</si>
  <si>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</si>
  <si>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</si>
  <si>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</si>
  <si>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</si>
  <si>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</si>
  <si>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</si>
  <si>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</si>
  <si>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</si>
  <si>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</si>
  <si>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</si>
  <si>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</si>
  <si>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</si>
  <si>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</si>
  <si>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</si>
  <si>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</si>
  <si>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</si>
  <si>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</si>
  <si>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</si>
  <si>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</si>
  <si>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</si>
  <si>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</si>
  <si>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</si>
  <si>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</si>
  <si>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</si>
  <si>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</si>
  <si>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</si>
  <si>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</si>
  <si>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</si>
  <si>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</si>
  <si>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</si>
  <si>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</si>
  <si>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</si>
  <si>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</si>
  <si>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</si>
  <si>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</si>
  <si>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</si>
  <si>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</si>
  <si>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</si>
  <si>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</si>
  <si>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</si>
  <si>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</si>
  <si>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</si>
  <si>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</si>
  <si>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</si>
  <si>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</si>
  <si>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</si>
  <si>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</si>
  <si>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</si>
  <si>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</si>
  <si>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</si>
  <si>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</si>
  <si>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</si>
  <si>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</si>
  <si>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</si>
  <si>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</si>
  <si>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</si>
  <si>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</si>
  <si>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</si>
  <si>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</si>
  <si>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</si>
  <si>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</si>
  <si>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</si>
  <si>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</si>
  <si>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</si>
  <si>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</si>
  <si>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</si>
  <si>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</si>
  <si>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</si>
  <si>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Higienização de uniformes e EPIs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</si>
  <si>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</si>
  <si>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</si>
  <si>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</si>
  <si>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</si>
  <si>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</si>
  <si>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Idade do veículo (ano)</t>
  </si>
  <si>
    <t>Idade do veículo</t>
  </si>
  <si>
    <t>Valor do veículo proposto (V0)</t>
  </si>
  <si>
    <t>Taxa de juros anual nominal</t>
  </si>
  <si>
    <t>Piso da categoria</t>
  </si>
  <si>
    <t>Base de cálculo da Insalubridade</t>
  </si>
  <si>
    <t>Descanso Semanal Remunerado (DSR) - hora extra</t>
  </si>
  <si>
    <t>C2</t>
  </si>
  <si>
    <t>B3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</si>
  <si>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</si>
  <si>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</si>
  <si>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</si>
  <si>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</si>
  <si>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</si>
  <si>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</si>
  <si>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</si>
  <si>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</si>
  <si>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</si>
  <si>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</si>
  <si>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</si>
  <si>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</si>
  <si>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</si>
  <si>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</si>
  <si>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</si>
  <si>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</si>
  <si>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</si>
  <si>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</si>
  <si>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</si>
  <si>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</si>
  <si>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</si>
  <si>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</si>
  <si>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</si>
  <si>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</si>
  <si>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</si>
  <si>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</si>
  <si>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</si>
  <si>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</si>
  <si>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</si>
  <si>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Total por Motorista</t>
  </si>
  <si>
    <t>Durabilidade (meses)</t>
  </si>
  <si>
    <t>Custo com consumos/km rodado</t>
  </si>
  <si>
    <t>Consumo</t>
  </si>
  <si>
    <t>Total da frota</t>
  </si>
  <si>
    <t>i</t>
  </si>
  <si>
    <t>3. Preencher somente células em amarelo</t>
  </si>
  <si>
    <t>Depreciação Média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</si>
  <si>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</si>
  <si>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</si>
  <si>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4. As células azuis deverão ter seus valores preenchidos em outra planilha do arquivo.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</si>
  <si>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</si>
  <si>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</si>
  <si>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</si>
  <si>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</si>
  <si>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</si>
  <si>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</si>
  <si>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</si>
  <si>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</si>
  <si>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</si>
  <si>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</si>
  <si>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</si>
  <si>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</si>
  <si>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</si>
  <si>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</si>
  <si>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</si>
  <si>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t>Rio Grande do Sul  - Transporte Escolar - CNAE 4924-8/00</t>
  </si>
  <si>
    <t>1.1. Monitor Escolar</t>
  </si>
  <si>
    <t>Monitor</t>
  </si>
  <si>
    <t>Camisa</t>
  </si>
  <si>
    <t>2.1. Uniformes e EPIs para Monitores</t>
  </si>
  <si>
    <t>Sapato</t>
  </si>
  <si>
    <t>Meia de Algodao com cano alto</t>
  </si>
  <si>
    <t xml:space="preserve">3.1. Veículo - Tipo </t>
  </si>
  <si>
    <t xml:space="preserve">Custo de aquisição </t>
  </si>
  <si>
    <t>Custo do jogo de pneus 275/80 R22.5</t>
  </si>
  <si>
    <t>Km</t>
  </si>
  <si>
    <t>4. Monitoramento da Frota</t>
  </si>
  <si>
    <t>5. Benefícios e Despesas Indiretas - BDI</t>
  </si>
  <si>
    <t>1.3. Vale Transporte</t>
  </si>
  <si>
    <t>1.4. Vale-refeição (diário)</t>
  </si>
  <si>
    <t>1.5. Auxílio Alimentação (mensal)</t>
  </si>
  <si>
    <t>PREÇO POR KM RODADO:  [A/B]</t>
  </si>
  <si>
    <t xml:space="preserve">Quantidade média de km por mês: </t>
  </si>
  <si>
    <r>
      <t>Custo jg. compl. + 1</t>
    </r>
    <r>
      <rPr>
        <sz val="10"/>
        <rFont val="Arial"/>
        <family val="2"/>
      </rPr>
      <t xml:space="preserve"> recap./ km rodado</t>
    </r>
  </si>
  <si>
    <t xml:space="preserve">Vistorias </t>
  </si>
  <si>
    <t>R$/km</t>
  </si>
  <si>
    <t>Depreciação mensal veículos</t>
  </si>
  <si>
    <t>1. Fretamento Intermunicipal - Secretaria da Saúde</t>
  </si>
  <si>
    <t xml:space="preserve">1.1. Motorista </t>
  </si>
  <si>
    <t>2.1. Uniformes e EPIs para Motoristas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</si>
</sst>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</numFmts>
  <fonts count="3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23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165" fontId="13" fillId="2" borderId="17" xfId="3" applyFont="1" applyFill="1" applyBorder="1" applyAlignment="1">
      <alignment horizontal="center" vertical="center"/>
    </xf>
    <xf numFmtId="165" fontId="13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5" fontId="6" fillId="0" borderId="19" xfId="3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12" fillId="0" borderId="1" xfId="3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65" fontId="3" fillId="2" borderId="4" xfId="3" applyNumberFormat="1" applyFont="1" applyFill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1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3" fillId="2" borderId="3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165" fontId="13" fillId="2" borderId="33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3" fontId="6" fillId="3" borderId="1" xfId="0" applyNumberFormat="1" applyFont="1" applyFill="1" applyBorder="1" applyAlignment="1">
      <alignment vertical="center"/>
    </xf>
    <xf numFmtId="164" fontId="3" fillId="0" borderId="34" xfId="0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0" fillId="0" borderId="38" xfId="0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0" fontId="6" fillId="0" borderId="1" xfId="0" applyNumberFormat="1" applyFont="1" applyBorder="1" applyAlignment="1">
      <alignment horizontal="center" vertical="center"/>
    </xf>
    <xf numFmtId="166" fontId="3" fillId="0" borderId="0" xfId="3" applyNumberFormat="1" applyFont="1" applyBorder="1" applyAlignment="1">
      <alignment horizontal="center" vertical="center"/>
    </xf>
    <xf numFmtId="0" fontId="18" fillId="0" borderId="14" xfId="0" applyFont="1" applyBorder="1"/>
    <xf numFmtId="0" fontId="6" fillId="0" borderId="0" xfId="0" applyFont="1" applyBorder="1"/>
    <xf numFmtId="0" fontId="18" fillId="0" borderId="47" xfId="0" applyFont="1" applyBorder="1"/>
    <xf numFmtId="0" fontId="18" fillId="3" borderId="20" xfId="0" applyFont="1" applyFill="1" applyBorder="1"/>
    <xf numFmtId="0" fontId="18" fillId="0" borderId="23" xfId="0" applyFont="1" applyBorder="1"/>
    <xf numFmtId="0" fontId="18" fillId="0" borderId="48" xfId="0" applyFont="1" applyBorder="1"/>
    <xf numFmtId="0" fontId="18" fillId="0" borderId="20" xfId="0" applyFont="1" applyBorder="1"/>
    <xf numFmtId="0" fontId="18" fillId="0" borderId="28" xfId="0" applyFont="1" applyBorder="1"/>
    <xf numFmtId="2" fontId="19" fillId="7" borderId="1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center" vertical="center"/>
    </xf>
    <xf numFmtId="0" fontId="19" fillId="0" borderId="23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10" fontId="19" fillId="0" borderId="20" xfId="0" applyNumberFormat="1" applyFont="1" applyBorder="1" applyAlignment="1">
      <alignment horizontal="right" vertical="center"/>
    </xf>
    <xf numFmtId="0" fontId="19" fillId="0" borderId="0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10" fontId="23" fillId="0" borderId="20" xfId="0" applyNumberFormat="1" applyFont="1" applyBorder="1" applyAlignment="1">
      <alignment horizontal="right" vertical="center"/>
    </xf>
    <xf numFmtId="0" fontId="19" fillId="5" borderId="23" xfId="0" applyFont="1" applyFill="1" applyBorder="1" applyAlignment="1">
      <alignment horizontal="left" vertical="center"/>
    </xf>
    <xf numFmtId="0" fontId="23" fillId="5" borderId="1" xfId="0" applyFont="1" applyFill="1" applyBorder="1" applyAlignment="1">
      <alignment horizontal="left" vertical="center"/>
    </xf>
    <xf numFmtId="10" fontId="23" fillId="5" borderId="20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10" fontId="6" fillId="0" borderId="0" xfId="0" applyNumberFormat="1" applyFont="1"/>
    <xf numFmtId="9" fontId="19" fillId="0" borderId="0" xfId="2" applyFont="1" applyBorder="1" applyAlignment="1">
      <alignment horizontal="right" vertical="center"/>
    </xf>
    <xf numFmtId="10" fontId="6" fillId="0" borderId="0" xfId="0" applyNumberFormat="1" applyFont="1" applyBorder="1"/>
    <xf numFmtId="0" fontId="19" fillId="0" borderId="1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/>
    </xf>
    <xf numFmtId="0" fontId="19" fillId="9" borderId="24" xfId="0" applyFont="1" applyFill="1" applyBorder="1" applyAlignment="1">
      <alignment horizontal="left" vertical="center"/>
    </xf>
    <xf numFmtId="0" fontId="23" fillId="9" borderId="36" xfId="0" applyFont="1" applyFill="1" applyBorder="1" applyAlignment="1">
      <alignment horizontal="left" vertical="center"/>
    </xf>
    <xf numFmtId="10" fontId="23" fillId="9" borderId="37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10" fontId="23" fillId="0" borderId="0" xfId="0" applyNumberFormat="1" applyFont="1" applyFill="1" applyBorder="1" applyAlignment="1">
      <alignment horizontal="right" vertical="center"/>
    </xf>
    <xf numFmtId="0" fontId="25" fillId="4" borderId="0" xfId="0" applyFont="1" applyFill="1" applyBorder="1" applyAlignment="1">
      <alignment horizontal="left" vertical="center"/>
    </xf>
    <xf numFmtId="10" fontId="19" fillId="0" borderId="0" xfId="0" applyNumberFormat="1" applyFont="1" applyFill="1" applyBorder="1" applyAlignment="1">
      <alignment horizontal="right" vertical="center"/>
    </xf>
    <xf numFmtId="0" fontId="19" fillId="4" borderId="0" xfId="0" applyFont="1" applyFill="1" applyBorder="1" applyAlignment="1">
      <alignment horizontal="left" vertical="center"/>
    </xf>
    <xf numFmtId="10" fontId="19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10" fontId="23" fillId="0" borderId="0" xfId="0" applyNumberFormat="1" applyFont="1" applyBorder="1" applyAlignment="1">
      <alignment horizontal="right" vertical="center"/>
    </xf>
    <xf numFmtId="0" fontId="26" fillId="0" borderId="0" xfId="0" applyFont="1" applyBorder="1" applyAlignment="1">
      <alignment horizontal="justify" vertical="center"/>
    </xf>
    <xf numFmtId="0" fontId="8" fillId="0" borderId="0" xfId="1" applyFont="1" applyBorder="1" applyAlignment="1" applyProtection="1">
      <alignment horizontal="left" vertical="center"/>
    </xf>
    <xf numFmtId="0" fontId="27" fillId="0" borderId="0" xfId="0" applyFont="1" applyBorder="1"/>
    <xf numFmtId="0" fontId="19" fillId="0" borderId="0" xfId="0" applyFont="1" applyBorder="1" applyAlignment="1">
      <alignment horizontal="right" vertical="center"/>
    </xf>
    <xf numFmtId="0" fontId="8" fillId="0" borderId="0" xfId="1" applyFont="1" applyBorder="1" applyAlignment="1" applyProtection="1">
      <alignment vertical="center"/>
    </xf>
    <xf numFmtId="0" fontId="5" fillId="0" borderId="15" xfId="0" applyFont="1" applyBorder="1"/>
    <xf numFmtId="0" fontId="5" fillId="0" borderId="23" xfId="0" applyFont="1" applyBorder="1"/>
    <xf numFmtId="0" fontId="5" fillId="3" borderId="20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49" xfId="0" applyFont="1" applyBorder="1"/>
    <xf numFmtId="0" fontId="5" fillId="3" borderId="50" xfId="0" applyFont="1" applyFill="1" applyBorder="1"/>
    <xf numFmtId="0" fontId="5" fillId="0" borderId="38" xfId="0" applyFont="1" applyBorder="1"/>
    <xf numFmtId="0" fontId="5" fillId="0" borderId="39" xfId="0" applyFont="1" applyBorder="1"/>
    <xf numFmtId="0" fontId="7" fillId="0" borderId="48" xfId="0" applyFont="1" applyBorder="1"/>
    <xf numFmtId="0" fontId="7" fillId="0" borderId="38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Fill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Fill="1" applyBorder="1" applyAlignment="1">
      <alignment vertical="center"/>
    </xf>
    <xf numFmtId="0" fontId="5" fillId="0" borderId="26" xfId="0" applyFont="1" applyFill="1" applyBorder="1" applyAlignment="1">
      <alignment vertical="center"/>
    </xf>
    <xf numFmtId="10" fontId="5" fillId="0" borderId="27" xfId="0" applyNumberFormat="1" applyFont="1" applyFill="1" applyBorder="1" applyAlignment="1">
      <alignment vertical="center"/>
    </xf>
    <xf numFmtId="0" fontId="5" fillId="0" borderId="28" xfId="0" applyFont="1" applyFill="1" applyBorder="1" applyAlignment="1">
      <alignment horizontal="left" vertical="center"/>
    </xf>
    <xf numFmtId="0" fontId="5" fillId="0" borderId="29" xfId="0" applyFont="1" applyFill="1" applyBorder="1" applyAlignment="1">
      <alignment horizontal="left" vertical="center"/>
    </xf>
    <xf numFmtId="0" fontId="5" fillId="0" borderId="30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52" xfId="0" applyFont="1" applyBorder="1"/>
    <xf numFmtId="0" fontId="20" fillId="0" borderId="52" xfId="0" applyFont="1" applyBorder="1" applyAlignment="1">
      <alignment horizontal="justify"/>
    </xf>
    <xf numFmtId="0" fontId="20" fillId="0" borderId="53" xfId="0" applyFont="1" applyBorder="1" applyAlignment="1">
      <alignment horizontal="justify"/>
    </xf>
    <xf numFmtId="0" fontId="17" fillId="10" borderId="51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165" fontId="6" fillId="3" borderId="9" xfId="3" applyNumberFormat="1" applyFont="1" applyFill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54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165" fontId="3" fillId="0" borderId="54" xfId="3" applyFont="1" applyBorder="1" applyAlignment="1">
      <alignment horizontal="center" vertical="center"/>
    </xf>
    <xf numFmtId="165" fontId="3" fillId="0" borderId="54" xfId="3" applyFont="1" applyFill="1" applyBorder="1" applyAlignment="1">
      <alignment horizontal="center" vertical="center"/>
    </xf>
    <xf numFmtId="0" fontId="5" fillId="0" borderId="23" xfId="0" applyFont="1" applyBorder="1" applyAlignment="1">
      <alignment horizontal="right"/>
    </xf>
    <xf numFmtId="0" fontId="4" fillId="0" borderId="0" xfId="0" applyFont="1" applyAlignment="1">
      <alignment vertical="center"/>
    </xf>
    <xf numFmtId="4" fontId="29" fillId="0" borderId="0" xfId="0" applyNumberFormat="1" applyFont="1" applyBorder="1" applyAlignment="1">
      <alignment vertical="center"/>
    </xf>
    <xf numFmtId="0" fontId="30" fillId="0" borderId="0" xfId="0" applyFont="1" applyAlignment="1">
      <alignment vertical="center"/>
    </xf>
    <xf numFmtId="4" fontId="30" fillId="0" borderId="0" xfId="0" applyNumberFormat="1" applyFont="1" applyBorder="1" applyAlignment="1">
      <alignment vertical="center"/>
    </xf>
    <xf numFmtId="0" fontId="5" fillId="0" borderId="20" xfId="0" applyFont="1" applyFill="1" applyBorder="1"/>
    <xf numFmtId="0" fontId="28" fillId="0" borderId="0" xfId="0" applyFont="1"/>
    <xf numFmtId="0" fontId="1" fillId="0" borderId="2" xfId="0" applyFont="1" applyBorder="1" applyAlignment="1">
      <alignment vertical="center"/>
    </xf>
    <xf numFmtId="169" fontId="7" fillId="0" borderId="20" xfId="0" applyNumberFormat="1" applyFont="1" applyBorder="1"/>
    <xf numFmtId="9" fontId="18" fillId="0" borderId="20" xfId="2" applyFont="1" applyBorder="1"/>
    <xf numFmtId="10" fontId="18" fillId="0" borderId="20" xfId="2" applyNumberFormat="1" applyFont="1" applyBorder="1"/>
    <xf numFmtId="9" fontId="7" fillId="0" borderId="31" xfId="2" applyFont="1" applyBorder="1"/>
    <xf numFmtId="0" fontId="5" fillId="0" borderId="55" xfId="0" applyFont="1" applyBorder="1"/>
    <xf numFmtId="0" fontId="1" fillId="0" borderId="1" xfId="0" applyFont="1" applyBorder="1" applyAlignment="1">
      <alignment vertical="center"/>
    </xf>
    <xf numFmtId="165" fontId="1" fillId="0" borderId="10" xfId="3" applyFont="1" applyBorder="1" applyAlignment="1">
      <alignment vertical="center"/>
    </xf>
    <xf numFmtId="0" fontId="1" fillId="0" borderId="8" xfId="0" applyFont="1" applyBorder="1" applyAlignment="1">
      <alignment vertical="center"/>
    </xf>
    <xf numFmtId="2" fontId="19" fillId="7" borderId="56" xfId="0" applyNumberFormat="1" applyFont="1" applyFill="1" applyBorder="1" applyAlignment="1">
      <alignment horizontal="right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0" fontId="17" fillId="8" borderId="25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17" fillId="8" borderId="21" xfId="0" applyFont="1" applyFill="1" applyBorder="1" applyAlignment="1">
      <alignment horizontal="center" vertical="center"/>
    </xf>
    <xf numFmtId="0" fontId="17" fillId="8" borderId="2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/>
    </xf>
    <xf numFmtId="0" fontId="17" fillId="10" borderId="46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60"/>
  <sheetViews>
    <sheetView tabSelected="1" view="pageBreakPreview" topLeftCell="A212" zoomScaleNormal="100" zoomScaleSheetLayoutView="100" workbookViewId="0">
      <selection activeCell="D221" sqref="D221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1.8554687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8.140625" style="8" customWidth="1"/>
    <col min="8" max="8" width="9.140625" style="7"/>
    <col min="9" max="9" width="14.5703125" style="7" customWidth="1"/>
    <col min="10" max="10" width="13.42578125" style="7" customWidth="1"/>
    <col min="11" max="16384" width="9.140625" style="7"/>
  </cols>
  <sheetData>
    <row r="1" spans="1:7" ht="15.75" hidden="1" x14ac:dyDescent="0.2">
      <c r="A1" s="276" t="s">
        <v>169</v>
      </c>
    </row>
    <row r="2" spans="1:7" ht="15.75" hidden="1" x14ac:dyDescent="0.2">
      <c r="A2" s="279" t="s">
        <v>217</v>
      </c>
    </row>
    <row r="3" spans="1:7" ht="15.75" hidden="1" x14ac:dyDescent="0.2">
      <c r="A3" s="279" t="s">
        <v>218</v>
      </c>
    </row>
    <row r="4" spans="1:7" ht="15.75" hidden="1" x14ac:dyDescent="0.2">
      <c r="A4" s="279" t="s">
        <v>220</v>
      </c>
    </row>
    <row r="5" spans="1:7" s="2" customFormat="1" ht="15.6" hidden="1" customHeight="1" x14ac:dyDescent="0.2">
      <c r="A5" s="278" t="s">
        <v>215</v>
      </c>
      <c r="C5" s="135"/>
      <c r="D5" s="135"/>
      <c r="E5" s="135"/>
      <c r="F5" s="135"/>
      <c r="G5" s="4"/>
    </row>
    <row r="6" spans="1:7" s="2" customFormat="1" ht="15.6" hidden="1" customHeight="1" x14ac:dyDescent="0.2">
      <c r="A6" s="277" t="s">
        <v>219</v>
      </c>
      <c r="B6" s="135"/>
      <c r="C6" s="135"/>
      <c r="D6" s="135"/>
      <c r="E6" s="135"/>
      <c r="F6" s="135"/>
      <c r="G6" s="4"/>
    </row>
    <row r="7" spans="1:7" s="2" customFormat="1" ht="15.6" hidden="1" customHeight="1" x14ac:dyDescent="0.2">
      <c r="A7" s="134"/>
      <c r="B7" s="135"/>
      <c r="C7" s="135"/>
      <c r="D7" s="135"/>
      <c r="E7" s="135"/>
      <c r="F7" s="135"/>
      <c r="G7" s="4"/>
    </row>
    <row r="8" spans="1:7" s="2" customFormat="1" ht="15.6" hidden="1" customHeight="1" x14ac:dyDescent="0.2">
      <c r="A8" s="279" t="s">
        <v>225</v>
      </c>
      <c r="B8" s="135"/>
      <c r="C8" s="135"/>
      <c r="D8" s="135"/>
      <c r="E8" s="135"/>
      <c r="F8" s="135"/>
      <c r="G8" s="4"/>
    </row>
    <row r="9" spans="1:7" s="2" customFormat="1" ht="15.6" hidden="1" customHeight="1" x14ac:dyDescent="0.2">
      <c r="A9" s="279" t="s">
        <v>222</v>
      </c>
      <c r="B9" s="135"/>
      <c r="C9" s="135"/>
      <c r="D9" s="135"/>
      <c r="E9" s="135"/>
      <c r="F9" s="135"/>
      <c r="G9" s="4"/>
    </row>
    <row r="10" spans="1:7" s="2" customFormat="1" ht="16.5" hidden="1" customHeight="1" thickBot="1" x14ac:dyDescent="0.25">
      <c r="A10" s="5"/>
      <c r="B10" s="3"/>
      <c r="C10" s="3"/>
      <c r="D10" s="4"/>
      <c r="E10" s="4"/>
      <c r="F10" s="4"/>
      <c r="G10" s="4"/>
    </row>
    <row r="11" spans="1:7" s="6" customFormat="1" ht="18" x14ac:dyDescent="0.2">
      <c r="A11" s="296" t="s">
        <v>257</v>
      </c>
      <c r="B11" s="297"/>
      <c r="C11" s="297"/>
      <c r="D11" s="297"/>
      <c r="E11" s="297"/>
      <c r="F11" s="298"/>
      <c r="G11" s="34"/>
    </row>
    <row r="12" spans="1:7" s="6" customFormat="1" ht="21.75" customHeight="1" x14ac:dyDescent="0.2">
      <c r="A12" s="299" t="s">
        <v>35</v>
      </c>
      <c r="B12" s="300"/>
      <c r="C12" s="300"/>
      <c r="D12" s="300"/>
      <c r="E12" s="300"/>
      <c r="F12" s="301"/>
      <c r="G12" s="34"/>
    </row>
    <row r="13" spans="1:7" s="2" customFormat="1" ht="10.9" customHeight="1" thickBot="1" x14ac:dyDescent="0.25">
      <c r="A13" s="146"/>
      <c r="B13" s="147"/>
      <c r="C13" s="147"/>
      <c r="D13" s="148"/>
      <c r="E13" s="148"/>
      <c r="F13" s="149"/>
      <c r="G13" s="4"/>
    </row>
    <row r="14" spans="1:7" s="2" customFormat="1" ht="15.75" customHeight="1" thickBot="1" x14ac:dyDescent="0.25">
      <c r="A14" s="305" t="s">
        <v>168</v>
      </c>
      <c r="B14" s="306"/>
      <c r="C14" s="306"/>
      <c r="D14" s="306"/>
      <c r="E14" s="306"/>
      <c r="F14" s="307"/>
      <c r="G14" s="4"/>
    </row>
    <row r="15" spans="1:7" s="2" customFormat="1" ht="15.75" customHeight="1" x14ac:dyDescent="0.2">
      <c r="A15" s="61" t="s">
        <v>167</v>
      </c>
      <c r="B15" s="37"/>
      <c r="C15" s="37"/>
      <c r="D15" s="252"/>
      <c r="E15" s="112" t="s">
        <v>30</v>
      </c>
      <c r="F15" s="38" t="s">
        <v>2</v>
      </c>
      <c r="G15" s="4"/>
    </row>
    <row r="16" spans="1:7" s="9" customFormat="1" ht="15.75" customHeight="1" x14ac:dyDescent="0.2">
      <c r="A16" s="121" t="str">
        <f>A48</f>
        <v>1. Mão-de-obra</v>
      </c>
      <c r="B16" s="122"/>
      <c r="C16" s="123"/>
      <c r="D16" s="123"/>
      <c r="E16" s="249">
        <f>+F99</f>
        <v>3912.7515663120003</v>
      </c>
      <c r="F16" s="124">
        <f t="shared" ref="F16:F32" si="0">IFERROR(E16/$E$33,0)</f>
        <v>0.34720853357495002</v>
      </c>
      <c r="G16" s="41"/>
    </row>
    <row r="17" spans="1:7" s="2" customFormat="1" ht="15.75" hidden="1" customHeight="1" x14ac:dyDescent="0.2">
      <c r="A17" s="46" t="str">
        <f>A50</f>
        <v>1.1. Monitor Escolar</v>
      </c>
      <c r="B17" s="42"/>
      <c r="C17" s="44"/>
      <c r="D17" s="44"/>
      <c r="E17" s="250">
        <f>F61</f>
        <v>0</v>
      </c>
      <c r="F17" s="55">
        <f t="shared" si="0"/>
        <v>0</v>
      </c>
      <c r="G17" s="4"/>
    </row>
    <row r="18" spans="1:7" s="2" customFormat="1" ht="15.75" customHeight="1" x14ac:dyDescent="0.2">
      <c r="A18" s="46" t="str">
        <f>A64</f>
        <v xml:space="preserve">1.1. Motorista </v>
      </c>
      <c r="B18" s="42"/>
      <c r="C18" s="44"/>
      <c r="D18" s="44"/>
      <c r="E18" s="250">
        <f>F77</f>
        <v>3646.3515663120002</v>
      </c>
      <c r="F18" s="55">
        <f t="shared" si="0"/>
        <v>0.32356881309263225</v>
      </c>
      <c r="G18" s="4"/>
    </row>
    <row r="19" spans="1:7" s="2" customFormat="1" ht="15.75" customHeight="1" x14ac:dyDescent="0.2">
      <c r="A19" s="46" t="str">
        <f>A79</f>
        <v>1.3. Vale Transporte</v>
      </c>
      <c r="B19" s="42"/>
      <c r="C19" s="44"/>
      <c r="D19" s="44"/>
      <c r="E19" s="250">
        <f>F85</f>
        <v>0</v>
      </c>
      <c r="F19" s="55">
        <f t="shared" si="0"/>
        <v>0</v>
      </c>
      <c r="G19" s="4"/>
    </row>
    <row r="20" spans="1:7" s="2" customFormat="1" ht="15.75" customHeight="1" x14ac:dyDescent="0.2">
      <c r="A20" s="46" t="str">
        <f>A87</f>
        <v>1.4. Vale-refeição (diário)</v>
      </c>
      <c r="B20" s="42"/>
      <c r="C20" s="44"/>
      <c r="D20" s="44"/>
      <c r="E20" s="250">
        <f>F91</f>
        <v>0</v>
      </c>
      <c r="F20" s="55">
        <f t="shared" si="0"/>
        <v>0</v>
      </c>
      <c r="G20" s="4"/>
    </row>
    <row r="21" spans="1:7" s="2" customFormat="1" ht="15.75" customHeight="1" x14ac:dyDescent="0.2">
      <c r="A21" s="46" t="str">
        <f>A93</f>
        <v>1.5. Auxílio Alimentação (mensal)</v>
      </c>
      <c r="B21" s="42"/>
      <c r="C21" s="44"/>
      <c r="D21" s="44"/>
      <c r="E21" s="250">
        <f>F97</f>
        <v>266.39999999999998</v>
      </c>
      <c r="F21" s="55">
        <f t="shared" si="0"/>
        <v>2.3639720482317755E-2</v>
      </c>
      <c r="G21" s="4"/>
    </row>
    <row r="22" spans="1:7" s="9" customFormat="1" ht="15.75" customHeight="1" x14ac:dyDescent="0.2">
      <c r="A22" s="294" t="str">
        <f>A101</f>
        <v>2. Uniformes e Equipamentos de Proteção Individual</v>
      </c>
      <c r="B22" s="295"/>
      <c r="C22" s="295"/>
      <c r="D22" s="123"/>
      <c r="E22" s="249">
        <f>+F125</f>
        <v>65.075000000000003</v>
      </c>
      <c r="F22" s="124">
        <f t="shared" si="0"/>
        <v>5.7746051440947001E-3</v>
      </c>
      <c r="G22" s="41"/>
    </row>
    <row r="23" spans="1:7" s="9" customFormat="1" ht="15.75" customHeight="1" x14ac:dyDescent="0.2">
      <c r="A23" s="132" t="str">
        <f>A127</f>
        <v>3. Veículos e Equipamentos</v>
      </c>
      <c r="B23" s="133"/>
      <c r="C23" s="123"/>
      <c r="D23" s="123"/>
      <c r="E23" s="249">
        <f>+F195</f>
        <v>5302.556188235294</v>
      </c>
      <c r="F23" s="124">
        <f t="shared" si="0"/>
        <v>0.47053658457832831</v>
      </c>
      <c r="G23" s="41"/>
    </row>
    <row r="24" spans="1:7" s="2" customFormat="1" ht="15.75" customHeight="1" x14ac:dyDescent="0.2">
      <c r="A24" s="62" t="str">
        <f>A129</f>
        <v xml:space="preserve">3.1. Veículo - Tipo </v>
      </c>
      <c r="B24" s="43"/>
      <c r="C24" s="44"/>
      <c r="D24" s="44"/>
      <c r="E24" s="250">
        <f>SUM(E25:E30)</f>
        <v>5302.556188235294</v>
      </c>
      <c r="F24" s="139">
        <f t="shared" si="0"/>
        <v>0.47053658457832831</v>
      </c>
      <c r="G24" s="4"/>
    </row>
    <row r="25" spans="1:7" s="2" customFormat="1" ht="15.75" customHeight="1" x14ac:dyDescent="0.2">
      <c r="A25" s="62" t="str">
        <f>A131</f>
        <v>3.1.1. Depreciação</v>
      </c>
      <c r="B25" s="43"/>
      <c r="C25" s="44"/>
      <c r="D25" s="44"/>
      <c r="E25" s="250">
        <f>F139</f>
        <v>600</v>
      </c>
      <c r="F25" s="139">
        <f t="shared" si="0"/>
        <v>5.3242613698913872E-2</v>
      </c>
      <c r="G25" s="4"/>
    </row>
    <row r="26" spans="1:7" s="2" customFormat="1" ht="15.75" customHeight="1" x14ac:dyDescent="0.2">
      <c r="A26" s="62" t="str">
        <f>A141</f>
        <v>3.1.2. Remuneração do Capital</v>
      </c>
      <c r="B26" s="43"/>
      <c r="C26" s="44"/>
      <c r="D26" s="44"/>
      <c r="E26" s="250">
        <f>F149</f>
        <v>476.47058823529409</v>
      </c>
      <c r="F26" s="139">
        <f t="shared" si="0"/>
        <v>4.2280899113843362E-2</v>
      </c>
      <c r="G26" s="4"/>
    </row>
    <row r="27" spans="1:7" s="2" customFormat="1" ht="15.75" customHeight="1" x14ac:dyDescent="0.2">
      <c r="A27" s="62" t="str">
        <f>A151</f>
        <v>3.1.3. Impostos e Seguros</v>
      </c>
      <c r="B27" s="43"/>
      <c r="C27" s="44"/>
      <c r="D27" s="44"/>
      <c r="E27" s="250">
        <f>F157</f>
        <v>171.49999999999997</v>
      </c>
      <c r="F27" s="139">
        <f t="shared" si="0"/>
        <v>1.5218513748939545E-2</v>
      </c>
      <c r="G27" s="4"/>
    </row>
    <row r="28" spans="1:7" s="2" customFormat="1" ht="15.75" customHeight="1" x14ac:dyDescent="0.2">
      <c r="A28" s="62" t="str">
        <f>A159</f>
        <v>3.1.4. Consumos</v>
      </c>
      <c r="B28" s="43"/>
      <c r="C28" s="44"/>
      <c r="D28" s="44"/>
      <c r="E28" s="250">
        <f>F175</f>
        <v>2340.6655999999998</v>
      </c>
      <c r="F28" s="139">
        <f t="shared" si="0"/>
        <v>0.20770525723189406</v>
      </c>
      <c r="G28" s="4"/>
    </row>
    <row r="29" spans="1:7" s="2" customFormat="1" ht="15.75" customHeight="1" x14ac:dyDescent="0.2">
      <c r="A29" s="62" t="str">
        <f>A177</f>
        <v>3.1.5. Manutenção</v>
      </c>
      <c r="B29" s="43"/>
      <c r="C29" s="44"/>
      <c r="D29" s="44"/>
      <c r="E29" s="250">
        <f>F180</f>
        <v>998.4</v>
      </c>
      <c r="F29" s="139">
        <f t="shared" si="0"/>
        <v>8.8595709194992683E-2</v>
      </c>
      <c r="G29" s="4"/>
    </row>
    <row r="30" spans="1:7" s="2" customFormat="1" ht="15.75" customHeight="1" x14ac:dyDescent="0.2">
      <c r="A30" s="62" t="str">
        <f>A182</f>
        <v>3.1.6. Pneus</v>
      </c>
      <c r="B30" s="43"/>
      <c r="C30" s="44"/>
      <c r="D30" s="44"/>
      <c r="E30" s="250">
        <f>F189</f>
        <v>715.52</v>
      </c>
      <c r="F30" s="139">
        <f t="shared" si="0"/>
        <v>6.3493591589744755E-2</v>
      </c>
      <c r="G30" s="4"/>
    </row>
    <row r="31" spans="1:7" s="9" customFormat="1" ht="15.75" customHeight="1" x14ac:dyDescent="0.2">
      <c r="A31" s="132" t="str">
        <f>A199</f>
        <v>4. Monitoramento da Frota</v>
      </c>
      <c r="B31" s="133"/>
      <c r="C31" s="123"/>
      <c r="D31" s="123"/>
      <c r="E31" s="249">
        <f>+F208</f>
        <v>0</v>
      </c>
      <c r="F31" s="124">
        <f t="shared" si="0"/>
        <v>0</v>
      </c>
      <c r="G31" s="41"/>
    </row>
    <row r="32" spans="1:7" s="9" customFormat="1" ht="15.75" customHeight="1" thickBot="1" x14ac:dyDescent="0.25">
      <c r="A32" s="132" t="str">
        <f>A212</f>
        <v>5. Benefícios e Despesas Indiretas - BDI</v>
      </c>
      <c r="B32" s="133"/>
      <c r="C32" s="123"/>
      <c r="D32" s="123"/>
      <c r="E32" s="251">
        <f>+F218</f>
        <v>1988.7860242994852</v>
      </c>
      <c r="F32" s="124">
        <f t="shared" si="0"/>
        <v>0.17648027670262703</v>
      </c>
      <c r="G32" s="41"/>
    </row>
    <row r="33" spans="1:7" s="2" customFormat="1" ht="15.75" customHeight="1" thickBot="1" x14ac:dyDescent="0.25">
      <c r="A33" s="39" t="s">
        <v>198</v>
      </c>
      <c r="B33" s="40"/>
      <c r="C33" s="24"/>
      <c r="D33" s="24"/>
      <c r="E33" s="111">
        <f>E16+E22+E23+E31+E32</f>
        <v>11269.168778846779</v>
      </c>
      <c r="F33" s="138">
        <f>F16+F22+F23+F31+F32</f>
        <v>1</v>
      </c>
      <c r="G33" s="4"/>
    </row>
    <row r="35" spans="1:7" ht="13.5" thickBot="1" x14ac:dyDescent="0.25"/>
    <row r="36" spans="1:7" s="2" customFormat="1" ht="15" customHeight="1" thickBot="1" x14ac:dyDescent="0.25">
      <c r="A36" s="305" t="s">
        <v>77</v>
      </c>
      <c r="B36" s="306"/>
      <c r="C36" s="306"/>
      <c r="D36" s="306"/>
      <c r="E36" s="307"/>
      <c r="F36" s="8"/>
      <c r="G36" s="4"/>
    </row>
    <row r="37" spans="1:7" s="2" customFormat="1" ht="15" customHeight="1" thickBot="1" x14ac:dyDescent="0.25">
      <c r="A37" s="302" t="s">
        <v>31</v>
      </c>
      <c r="B37" s="303"/>
      <c r="C37" s="303"/>
      <c r="D37" s="304"/>
      <c r="E37" s="45" t="s">
        <v>32</v>
      </c>
      <c r="F37" s="8"/>
      <c r="G37" s="4"/>
    </row>
    <row r="38" spans="1:7" s="2" customFormat="1" ht="15" hidden="1" customHeight="1" x14ac:dyDescent="0.2">
      <c r="A38" s="70" t="str">
        <f>+A50</f>
        <v>1.1. Monitor Escolar</v>
      </c>
      <c r="B38" s="71"/>
      <c r="C38" s="71"/>
      <c r="D38" s="72"/>
      <c r="E38" s="73">
        <v>0</v>
      </c>
      <c r="F38" s="8"/>
      <c r="G38" s="4"/>
    </row>
    <row r="39" spans="1:7" s="2" customFormat="1" ht="15" customHeight="1" x14ac:dyDescent="0.2">
      <c r="A39" s="64" t="str">
        <f>+A64</f>
        <v xml:space="preserve">1.1. Motorista </v>
      </c>
      <c r="B39" s="63"/>
      <c r="C39" s="63"/>
      <c r="D39" s="74"/>
      <c r="E39" s="67">
        <v>1</v>
      </c>
      <c r="F39" s="8"/>
      <c r="G39" s="4"/>
    </row>
    <row r="40" spans="1:7" s="2" customFormat="1" ht="15" customHeight="1" thickBot="1" x14ac:dyDescent="0.25">
      <c r="A40" s="68" t="s">
        <v>48</v>
      </c>
      <c r="B40" s="69"/>
      <c r="C40" s="69"/>
      <c r="D40" s="75"/>
      <c r="E40" s="76">
        <f>SUM(E38:E39)</f>
        <v>1</v>
      </c>
      <c r="F40" s="8"/>
      <c r="G40" s="4"/>
    </row>
    <row r="41" spans="1:7" s="2" customFormat="1" ht="15" customHeight="1" thickBot="1" x14ac:dyDescent="0.25">
      <c r="A41" s="125"/>
      <c r="B41" s="126"/>
      <c r="C41" s="56"/>
      <c r="D41" s="56"/>
      <c r="E41" s="127"/>
      <c r="F41" s="8"/>
      <c r="G41" s="4"/>
    </row>
    <row r="42" spans="1:7" s="2" customFormat="1" ht="15" customHeight="1" x14ac:dyDescent="0.2">
      <c r="A42" s="292" t="s">
        <v>46</v>
      </c>
      <c r="B42" s="293"/>
      <c r="C42" s="293"/>
      <c r="D42" s="293"/>
      <c r="E42" s="45" t="s">
        <v>32</v>
      </c>
      <c r="F42" s="7"/>
      <c r="G42" s="4"/>
    </row>
    <row r="43" spans="1:7" s="2" customFormat="1" ht="15" customHeight="1" thickBot="1" x14ac:dyDescent="0.25">
      <c r="A43" s="128" t="str">
        <f>+A129</f>
        <v xml:space="preserve">3.1. Veículo - Tipo </v>
      </c>
      <c r="B43" s="129"/>
      <c r="C43" s="129"/>
      <c r="D43" s="130"/>
      <c r="E43" s="131">
        <v>1</v>
      </c>
      <c r="F43" s="7"/>
      <c r="G43" s="4"/>
    </row>
    <row r="44" spans="1:7" s="2" customFormat="1" ht="15" customHeight="1" x14ac:dyDescent="0.2">
      <c r="A44" s="56"/>
      <c r="B44" s="56"/>
      <c r="C44" s="56"/>
      <c r="D44" s="51"/>
      <c r="E44" s="244"/>
      <c r="F44" s="7"/>
      <c r="G44" s="4"/>
    </row>
    <row r="45" spans="1:7" s="2" customFormat="1" ht="13.5" thickBot="1" x14ac:dyDescent="0.25">
      <c r="A45" s="56"/>
      <c r="B45" s="56"/>
      <c r="C45" s="56"/>
      <c r="D45" s="51"/>
      <c r="E45" s="65"/>
      <c r="F45" s="7"/>
      <c r="G45" s="4"/>
    </row>
    <row r="46" spans="1:7" s="9" customFormat="1" ht="15.75" customHeight="1" thickBot="1" x14ac:dyDescent="0.25">
      <c r="A46" s="253" t="s">
        <v>164</v>
      </c>
      <c r="B46" s="254">
        <v>0.6</v>
      </c>
      <c r="C46" s="33"/>
      <c r="D46" s="32"/>
      <c r="E46" s="151"/>
      <c r="G46" s="41"/>
    </row>
    <row r="47" spans="1:7" s="2" customFormat="1" ht="15.75" customHeight="1" x14ac:dyDescent="0.2">
      <c r="A47" s="56"/>
      <c r="B47" s="56"/>
      <c r="C47" s="56"/>
      <c r="D47" s="51"/>
      <c r="E47" s="65"/>
      <c r="F47" s="7"/>
      <c r="G47" s="4"/>
    </row>
    <row r="48" spans="1:7" ht="13.15" customHeight="1" x14ac:dyDescent="0.2">
      <c r="A48" s="9" t="s">
        <v>39</v>
      </c>
    </row>
    <row r="49" spans="1:7" ht="11.25" customHeight="1" x14ac:dyDescent="0.2"/>
    <row r="50" spans="1:7" ht="13.9" hidden="1" customHeight="1" thickBot="1" x14ac:dyDescent="0.25">
      <c r="A50" s="5" t="s">
        <v>236</v>
      </c>
    </row>
    <row r="51" spans="1:7" ht="13.9" hidden="1" customHeight="1" thickBot="1" x14ac:dyDescent="0.25">
      <c r="A51" s="57" t="s">
        <v>51</v>
      </c>
      <c r="B51" s="58" t="s">
        <v>52</v>
      </c>
      <c r="C51" s="58" t="s">
        <v>32</v>
      </c>
      <c r="D51" s="59" t="s">
        <v>194</v>
      </c>
      <c r="E51" s="59" t="s">
        <v>53</v>
      </c>
      <c r="F51" s="60" t="s">
        <v>54</v>
      </c>
    </row>
    <row r="52" spans="1:7" ht="13.15" hidden="1" customHeight="1" x14ac:dyDescent="0.2">
      <c r="A52" s="11" t="s">
        <v>175</v>
      </c>
      <c r="B52" s="12" t="s">
        <v>7</v>
      </c>
      <c r="C52" s="12">
        <v>1</v>
      </c>
      <c r="D52" s="84">
        <v>1612.85</v>
      </c>
      <c r="E52" s="13">
        <f>C52*D52</f>
        <v>1612.85</v>
      </c>
    </row>
    <row r="53" spans="1:7" hidden="1" x14ac:dyDescent="0.2">
      <c r="A53" s="14" t="s">
        <v>26</v>
      </c>
      <c r="B53" s="15" t="s">
        <v>0</v>
      </c>
      <c r="C53" s="85"/>
      <c r="D53" s="16">
        <f>D52/220*2</f>
        <v>14.662272727272727</v>
      </c>
      <c r="E53" s="16">
        <f>C53*D53</f>
        <v>0</v>
      </c>
    </row>
    <row r="54" spans="1:7" ht="13.15" hidden="1" customHeight="1" x14ac:dyDescent="0.2">
      <c r="A54" s="14" t="s">
        <v>27</v>
      </c>
      <c r="B54" s="15" t="s">
        <v>0</v>
      </c>
      <c r="C54" s="85">
        <v>0</v>
      </c>
      <c r="D54" s="16">
        <f>D52/220*1.5</f>
        <v>10.996704545454545</v>
      </c>
      <c r="E54" s="16">
        <f>C54*D54</f>
        <v>0</v>
      </c>
    </row>
    <row r="55" spans="1:7" ht="13.15" hidden="1" customHeight="1" x14ac:dyDescent="0.2">
      <c r="A55" s="14" t="s">
        <v>177</v>
      </c>
      <c r="B55" s="15" t="s">
        <v>25</v>
      </c>
      <c r="D55" s="16">
        <f>63/302*(SUM(E53:E54))</f>
        <v>0</v>
      </c>
      <c r="E55" s="16">
        <f>D55</f>
        <v>0</v>
      </c>
    </row>
    <row r="56" spans="1:7" hidden="1" x14ac:dyDescent="0.2">
      <c r="A56" s="14" t="s">
        <v>1</v>
      </c>
      <c r="B56" s="15" t="s">
        <v>2</v>
      </c>
      <c r="C56" s="15">
        <v>0</v>
      </c>
      <c r="D56" s="80">
        <f>SUM(E52:E55)</f>
        <v>1612.85</v>
      </c>
      <c r="E56" s="16">
        <f>C56*D56/100</f>
        <v>0</v>
      </c>
    </row>
    <row r="57" spans="1:7" hidden="1" x14ac:dyDescent="0.2">
      <c r="A57" s="113" t="s">
        <v>3</v>
      </c>
      <c r="B57" s="114"/>
      <c r="C57" s="114"/>
      <c r="D57" s="115"/>
      <c r="E57" s="116">
        <f>SUM(E52:E56)</f>
        <v>1612.85</v>
      </c>
    </row>
    <row r="58" spans="1:7" hidden="1" x14ac:dyDescent="0.2">
      <c r="A58" s="14" t="s">
        <v>4</v>
      </c>
      <c r="B58" s="15" t="s">
        <v>2</v>
      </c>
      <c r="C58" s="137">
        <f>'2.Encargos Sociais'!$C$37*100</f>
        <v>84.047626000000008</v>
      </c>
      <c r="D58" s="16">
        <f>E57</f>
        <v>1612.85</v>
      </c>
      <c r="E58" s="16">
        <f>D58*C58/100</f>
        <v>1355.562135941</v>
      </c>
    </row>
    <row r="59" spans="1:7" hidden="1" x14ac:dyDescent="0.2">
      <c r="A59" s="113" t="s">
        <v>56</v>
      </c>
      <c r="B59" s="114"/>
      <c r="C59" s="114"/>
      <c r="D59" s="115"/>
      <c r="E59" s="116">
        <f>E57+E58</f>
        <v>2968.4121359410001</v>
      </c>
    </row>
    <row r="60" spans="1:7" ht="13.5" hidden="1" thickBot="1" x14ac:dyDescent="0.25">
      <c r="A60" s="14" t="s">
        <v>5</v>
      </c>
      <c r="B60" s="15" t="s">
        <v>6</v>
      </c>
      <c r="C60" s="87">
        <f>E38</f>
        <v>0</v>
      </c>
      <c r="D60" s="16">
        <f>E59</f>
        <v>2968.4121359410001</v>
      </c>
      <c r="E60" s="16">
        <f>C60*D60</f>
        <v>0</v>
      </c>
      <c r="G60" s="4"/>
    </row>
    <row r="61" spans="1:7" ht="13.9" hidden="1" customHeight="1" thickBot="1" x14ac:dyDescent="0.25">
      <c r="D61" s="119" t="s">
        <v>163</v>
      </c>
      <c r="E61" s="47">
        <f>$B$46</f>
        <v>0.6</v>
      </c>
      <c r="F61" s="120">
        <f>E60*E61</f>
        <v>0</v>
      </c>
      <c r="G61" s="4"/>
    </row>
    <row r="62" spans="1:7" ht="11.25" hidden="1" customHeight="1" x14ac:dyDescent="0.2"/>
    <row r="63" spans="1:7" ht="11.25" customHeight="1" x14ac:dyDescent="0.2"/>
    <row r="64" spans="1:7" ht="13.5" thickBot="1" x14ac:dyDescent="0.25">
      <c r="A64" s="5" t="s">
        <v>258</v>
      </c>
    </row>
    <row r="65" spans="1:7" s="10" customFormat="1" ht="13.15" customHeight="1" thickBot="1" x14ac:dyDescent="0.25">
      <c r="A65" s="57" t="s">
        <v>51</v>
      </c>
      <c r="B65" s="58" t="s">
        <v>52</v>
      </c>
      <c r="C65" s="58" t="s">
        <v>32</v>
      </c>
      <c r="D65" s="59" t="s">
        <v>194</v>
      </c>
      <c r="E65" s="59" t="s">
        <v>53</v>
      </c>
      <c r="F65" s="60" t="s">
        <v>54</v>
      </c>
      <c r="G65" s="8"/>
    </row>
    <row r="66" spans="1:7" x14ac:dyDescent="0.2">
      <c r="A66" s="282" t="s">
        <v>223</v>
      </c>
      <c r="B66" s="12" t="s">
        <v>7</v>
      </c>
      <c r="C66" s="12">
        <v>1</v>
      </c>
      <c r="D66" s="84">
        <v>3302</v>
      </c>
      <c r="E66" s="13">
        <f>C66*D66</f>
        <v>3302</v>
      </c>
    </row>
    <row r="67" spans="1:7" x14ac:dyDescent="0.2">
      <c r="A67" s="282" t="s">
        <v>224</v>
      </c>
      <c r="B67" s="12" t="s">
        <v>7</v>
      </c>
      <c r="C67" s="12">
        <v>1</v>
      </c>
      <c r="D67" s="84">
        <v>1320</v>
      </c>
      <c r="E67" s="13"/>
    </row>
    <row r="68" spans="1:7" x14ac:dyDescent="0.2">
      <c r="A68" s="14" t="s">
        <v>26</v>
      </c>
      <c r="B68" s="15" t="s">
        <v>0</v>
      </c>
      <c r="C68" s="85"/>
      <c r="D68" s="16">
        <f>D66/220*2</f>
        <v>30.018181818181819</v>
      </c>
      <c r="E68" s="16">
        <f>C68*D68</f>
        <v>0</v>
      </c>
    </row>
    <row r="69" spans="1:7" x14ac:dyDescent="0.2">
      <c r="A69" s="14" t="s">
        <v>27</v>
      </c>
      <c r="B69" s="15" t="s">
        <v>0</v>
      </c>
      <c r="C69" s="85">
        <v>0</v>
      </c>
      <c r="D69" s="16">
        <f>D66/220*1.5</f>
        <v>22.513636363636365</v>
      </c>
      <c r="E69" s="16">
        <f>C69*D69</f>
        <v>0</v>
      </c>
    </row>
    <row r="70" spans="1:7" ht="13.15" customHeight="1" x14ac:dyDescent="0.2">
      <c r="A70" s="14" t="s">
        <v>177</v>
      </c>
      <c r="B70" s="15" t="s">
        <v>25</v>
      </c>
      <c r="D70" s="16">
        <f>63/302*(SUM(E68:E69))</f>
        <v>0</v>
      </c>
      <c r="E70" s="16">
        <f>D70</f>
        <v>0</v>
      </c>
    </row>
    <row r="71" spans="1:7" x14ac:dyDescent="0.2">
      <c r="A71" s="14" t="s">
        <v>176</v>
      </c>
      <c r="B71" s="15"/>
      <c r="C71" s="87">
        <f>SUM(E66:E70)</f>
        <v>3302</v>
      </c>
      <c r="D71" s="16"/>
      <c r="E71" s="16"/>
    </row>
    <row r="72" spans="1:7" x14ac:dyDescent="0.2">
      <c r="A72" s="14" t="s">
        <v>1</v>
      </c>
      <c r="B72" s="15" t="s">
        <v>2</v>
      </c>
      <c r="C72" s="83">
        <v>0</v>
      </c>
      <c r="D72" s="80">
        <f>C71*(C72/100)</f>
        <v>0</v>
      </c>
      <c r="E72" s="16">
        <f>D72</f>
        <v>0</v>
      </c>
    </row>
    <row r="73" spans="1:7" s="9" customFormat="1" x14ac:dyDescent="0.2">
      <c r="A73" s="100" t="s">
        <v>3</v>
      </c>
      <c r="B73" s="114"/>
      <c r="C73" s="114"/>
      <c r="D73" s="115"/>
      <c r="E73" s="102">
        <f>SUM(E66:E72)</f>
        <v>3302</v>
      </c>
      <c r="F73" s="41"/>
      <c r="G73" s="41"/>
    </row>
    <row r="74" spans="1:7" x14ac:dyDescent="0.2">
      <c r="A74" s="14" t="s">
        <v>4</v>
      </c>
      <c r="B74" s="15" t="s">
        <v>2</v>
      </c>
      <c r="C74" s="137">
        <f>'2.Encargos Sociais'!$C$37*100</f>
        <v>84.047626000000008</v>
      </c>
      <c r="D74" s="16">
        <f>E73</f>
        <v>3302</v>
      </c>
      <c r="E74" s="16">
        <f>D74*C74/100</f>
        <v>2775.2526105200004</v>
      </c>
    </row>
    <row r="75" spans="1:7" s="9" customFormat="1" x14ac:dyDescent="0.2">
      <c r="A75" s="100" t="s">
        <v>209</v>
      </c>
      <c r="B75" s="260"/>
      <c r="C75" s="260"/>
      <c r="D75" s="261"/>
      <c r="E75" s="102">
        <f>E73+E74</f>
        <v>6077.2526105200004</v>
      </c>
      <c r="F75" s="41"/>
      <c r="G75" s="41"/>
    </row>
    <row r="76" spans="1:7" ht="13.5" thickBot="1" x14ac:dyDescent="0.25">
      <c r="A76" s="14" t="s">
        <v>5</v>
      </c>
      <c r="B76" s="15" t="s">
        <v>6</v>
      </c>
      <c r="C76" s="83">
        <v>1</v>
      </c>
      <c r="D76" s="16">
        <f>E75</f>
        <v>6077.2526105200004</v>
      </c>
      <c r="E76" s="16">
        <f>C76*D76</f>
        <v>6077.2526105200004</v>
      </c>
    </row>
    <row r="77" spans="1:7" ht="13.5" thickBot="1" x14ac:dyDescent="0.25">
      <c r="D77" s="119" t="s">
        <v>163</v>
      </c>
      <c r="E77" s="47">
        <v>0.6</v>
      </c>
      <c r="F77" s="120">
        <f>E76*E77</f>
        <v>3646.3515663120002</v>
      </c>
    </row>
    <row r="78" spans="1:7" ht="11.25" customHeight="1" x14ac:dyDescent="0.2">
      <c r="G78" s="7"/>
    </row>
    <row r="79" spans="1:7" ht="13.5" thickBot="1" x14ac:dyDescent="0.25">
      <c r="A79" s="5" t="s">
        <v>248</v>
      </c>
      <c r="B79" s="90"/>
      <c r="D79" s="7"/>
      <c r="E79" s="7"/>
      <c r="G79" s="7"/>
    </row>
    <row r="80" spans="1:7" ht="13.5" thickBot="1" x14ac:dyDescent="0.25">
      <c r="A80" s="57" t="s">
        <v>51</v>
      </c>
      <c r="B80" s="58" t="s">
        <v>52</v>
      </c>
      <c r="C80" s="58" t="s">
        <v>32</v>
      </c>
      <c r="D80" s="59" t="s">
        <v>194</v>
      </c>
      <c r="E80" s="59" t="s">
        <v>53</v>
      </c>
      <c r="F80" s="60" t="s">
        <v>54</v>
      </c>
      <c r="G80" s="7"/>
    </row>
    <row r="81" spans="1:7" x14ac:dyDescent="0.2">
      <c r="A81" s="14" t="s">
        <v>72</v>
      </c>
      <c r="B81" s="15" t="s">
        <v>25</v>
      </c>
      <c r="C81" s="91">
        <v>1</v>
      </c>
      <c r="D81" s="89"/>
      <c r="E81" s="16"/>
      <c r="G81" s="7"/>
    </row>
    <row r="82" spans="1:7" x14ac:dyDescent="0.2">
      <c r="A82" s="14" t="s">
        <v>73</v>
      </c>
      <c r="B82" s="15" t="s">
        <v>74</v>
      </c>
      <c r="C82" s="88"/>
      <c r="D82" s="16"/>
      <c r="E82" s="16"/>
      <c r="G82" s="7"/>
    </row>
    <row r="83" spans="1:7" x14ac:dyDescent="0.2">
      <c r="A83" s="14" t="s">
        <v>57</v>
      </c>
      <c r="B83" s="15" t="s">
        <v>8</v>
      </c>
      <c r="C83" s="35">
        <f>$C$82*2*(C60)</f>
        <v>0</v>
      </c>
      <c r="D83" s="13" t="str">
        <f>IFERROR((($C$82*2*$D$81)-(E52*0.06*C82/26))/($C$82*2),"-")</f>
        <v>-</v>
      </c>
      <c r="E83" s="16" t="str">
        <f>IFERROR(C83*D83,"-")</f>
        <v>-</v>
      </c>
      <c r="G83" s="7"/>
    </row>
    <row r="84" spans="1:7" ht="13.5" thickBot="1" x14ac:dyDescent="0.25">
      <c r="A84" s="11" t="s">
        <v>36</v>
      </c>
      <c r="B84" s="12" t="s">
        <v>8</v>
      </c>
      <c r="C84" s="35">
        <f>$C$82*2*(C76)</f>
        <v>0</v>
      </c>
      <c r="D84" s="13" t="str">
        <f>IFERROR((($C$82*2*$D$81)-(E66*0.06*C82/26))/($C$82*2),"-")</f>
        <v>-</v>
      </c>
      <c r="E84" s="13" t="str">
        <f>IFERROR(C84*D84,"-")</f>
        <v>-</v>
      </c>
      <c r="G84" s="7"/>
    </row>
    <row r="85" spans="1:7" ht="13.5" thickBot="1" x14ac:dyDescent="0.25">
      <c r="F85" s="20">
        <f>SUM(E83:E84)</f>
        <v>0</v>
      </c>
      <c r="G85" s="7"/>
    </row>
    <row r="86" spans="1:7" ht="11.25" customHeight="1" x14ac:dyDescent="0.2">
      <c r="G86" s="7"/>
    </row>
    <row r="87" spans="1:7" ht="13.5" thickBot="1" x14ac:dyDescent="0.25">
      <c r="A87" s="5" t="s">
        <v>249</v>
      </c>
      <c r="F87" s="21"/>
      <c r="G87" s="7"/>
    </row>
    <row r="88" spans="1:7" ht="13.5" thickBot="1" x14ac:dyDescent="0.25">
      <c r="A88" s="57" t="s">
        <v>51</v>
      </c>
      <c r="B88" s="58" t="s">
        <v>52</v>
      </c>
      <c r="C88" s="58" t="s">
        <v>32</v>
      </c>
      <c r="D88" s="59" t="s">
        <v>194</v>
      </c>
      <c r="E88" s="59" t="s">
        <v>53</v>
      </c>
      <c r="F88" s="60" t="s">
        <v>54</v>
      </c>
      <c r="G88" s="7"/>
    </row>
    <row r="89" spans="1:7" hidden="1" x14ac:dyDescent="0.2">
      <c r="A89" s="288" t="s">
        <v>237</v>
      </c>
      <c r="B89" s="15" t="s">
        <v>9</v>
      </c>
      <c r="C89" s="99">
        <v>0</v>
      </c>
      <c r="D89" s="92">
        <v>0</v>
      </c>
      <c r="E89" s="47">
        <f>C89*D89</f>
        <v>0</v>
      </c>
      <c r="F89" s="21"/>
      <c r="G89" s="7"/>
    </row>
    <row r="90" spans="1:7" ht="13.5" thickBot="1" x14ac:dyDescent="0.25">
      <c r="A90" s="14" t="str">
        <f>+A84</f>
        <v>Motorista</v>
      </c>
      <c r="B90" s="15" t="s">
        <v>9</v>
      </c>
      <c r="C90" s="99">
        <v>0</v>
      </c>
      <c r="D90" s="92">
        <v>0</v>
      </c>
      <c r="E90" s="47">
        <f>C90*D90</f>
        <v>0</v>
      </c>
      <c r="F90" s="21"/>
      <c r="G90" s="7"/>
    </row>
    <row r="91" spans="1:7" ht="13.5" thickBot="1" x14ac:dyDescent="0.25">
      <c r="F91" s="20">
        <f>SUM(E89:E90)</f>
        <v>0</v>
      </c>
      <c r="G91" s="7"/>
    </row>
    <row r="92" spans="1:7" x14ac:dyDescent="0.2">
      <c r="G92" s="7"/>
    </row>
    <row r="93" spans="1:7" ht="13.5" thickBot="1" x14ac:dyDescent="0.25">
      <c r="A93" s="5" t="s">
        <v>250</v>
      </c>
      <c r="F93" s="21"/>
      <c r="G93" s="7"/>
    </row>
    <row r="94" spans="1:7" ht="13.5" thickBot="1" x14ac:dyDescent="0.25">
      <c r="A94" s="57" t="s">
        <v>51</v>
      </c>
      <c r="B94" s="58" t="s">
        <v>52</v>
      </c>
      <c r="C94" s="58" t="s">
        <v>32</v>
      </c>
      <c r="D94" s="59" t="s">
        <v>194</v>
      </c>
      <c r="E94" s="59" t="s">
        <v>53</v>
      </c>
      <c r="F94" s="60" t="s">
        <v>54</v>
      </c>
      <c r="G94" s="7"/>
    </row>
    <row r="95" spans="1:7" hidden="1" x14ac:dyDescent="0.2">
      <c r="A95" s="14" t="str">
        <f>+A89</f>
        <v>Monitor</v>
      </c>
      <c r="B95" s="15" t="s">
        <v>9</v>
      </c>
      <c r="C95" s="99">
        <f>E38</f>
        <v>0</v>
      </c>
      <c r="D95" s="92">
        <f>37*12</f>
        <v>444</v>
      </c>
      <c r="E95" s="47">
        <f>C95*D95</f>
        <v>0</v>
      </c>
      <c r="F95" s="21"/>
      <c r="G95" s="7"/>
    </row>
    <row r="96" spans="1:7" ht="13.5" thickBot="1" x14ac:dyDescent="0.25">
      <c r="A96" s="14" t="str">
        <f>+A90</f>
        <v>Motorista</v>
      </c>
      <c r="B96" s="15" t="s">
        <v>9</v>
      </c>
      <c r="C96" s="99">
        <f>E39</f>
        <v>1</v>
      </c>
      <c r="D96" s="92">
        <v>444</v>
      </c>
      <c r="E96" s="47">
        <f>C96*D96</f>
        <v>444</v>
      </c>
      <c r="F96" s="21"/>
      <c r="G96" s="7"/>
    </row>
    <row r="97" spans="1:7" ht="13.5" thickBot="1" x14ac:dyDescent="0.25">
      <c r="D97" s="119" t="s">
        <v>163</v>
      </c>
      <c r="E97" s="47">
        <v>0.6</v>
      </c>
      <c r="F97" s="20">
        <f>SUM(E95:E96)*E97</f>
        <v>266.39999999999998</v>
      </c>
      <c r="G97" s="7"/>
    </row>
    <row r="98" spans="1:7" ht="13.5" thickBot="1" x14ac:dyDescent="0.25">
      <c r="G98" s="7"/>
    </row>
    <row r="99" spans="1:7" ht="13.5" thickBot="1" x14ac:dyDescent="0.25">
      <c r="A99" s="22" t="s">
        <v>75</v>
      </c>
      <c r="B99" s="23"/>
      <c r="C99" s="23"/>
      <c r="D99" s="24"/>
      <c r="E99" s="25"/>
      <c r="F99" s="20">
        <f>F97+F91+F85+F77+F61</f>
        <v>3912.7515663120003</v>
      </c>
      <c r="G99" s="7"/>
    </row>
    <row r="101" spans="1:7" x14ac:dyDescent="0.2">
      <c r="A101" s="9" t="s">
        <v>37</v>
      </c>
      <c r="G101" s="7"/>
    </row>
    <row r="102" spans="1:7" ht="11.25" customHeight="1" x14ac:dyDescent="0.2">
      <c r="G102" s="7"/>
    </row>
    <row r="103" spans="1:7" ht="13.9" hidden="1" customHeight="1" x14ac:dyDescent="0.2">
      <c r="A103" s="5" t="s">
        <v>239</v>
      </c>
      <c r="G103" s="7"/>
    </row>
    <row r="104" spans="1:7" ht="11.25" hidden="1" customHeight="1" thickBot="1" x14ac:dyDescent="0.25">
      <c r="G104" s="7"/>
    </row>
    <row r="105" spans="1:7" ht="27.75" hidden="1" customHeight="1" thickBot="1" x14ac:dyDescent="0.25">
      <c r="A105" s="57" t="s">
        <v>51</v>
      </c>
      <c r="B105" s="58" t="s">
        <v>52</v>
      </c>
      <c r="C105" s="262" t="s">
        <v>210</v>
      </c>
      <c r="D105" s="59" t="s">
        <v>194</v>
      </c>
      <c r="E105" s="59" t="s">
        <v>53</v>
      </c>
      <c r="F105" s="60" t="s">
        <v>54</v>
      </c>
      <c r="G105" s="7"/>
    </row>
    <row r="106" spans="1:7" ht="13.15" hidden="1" customHeight="1" x14ac:dyDescent="0.2">
      <c r="A106" s="14" t="s">
        <v>24</v>
      </c>
      <c r="B106" s="15" t="s">
        <v>9</v>
      </c>
      <c r="C106" s="98">
        <v>6</v>
      </c>
      <c r="D106" s="84">
        <v>89.9</v>
      </c>
      <c r="E106" s="13">
        <f t="shared" ref="E106:E109" si="1">IFERROR(D106/C106,0)</f>
        <v>14.983333333333334</v>
      </c>
      <c r="G106" s="7"/>
    </row>
    <row r="107" spans="1:7" hidden="1" x14ac:dyDescent="0.2">
      <c r="A107" s="288" t="s">
        <v>238</v>
      </c>
      <c r="B107" s="15" t="s">
        <v>9</v>
      </c>
      <c r="C107" s="98">
        <v>4</v>
      </c>
      <c r="D107" s="84">
        <v>89.9</v>
      </c>
      <c r="E107" s="13">
        <f t="shared" si="1"/>
        <v>22.475000000000001</v>
      </c>
      <c r="G107" s="7"/>
    </row>
    <row r="108" spans="1:7" ht="13.9" hidden="1" customHeight="1" x14ac:dyDescent="0.2">
      <c r="A108" s="288" t="s">
        <v>240</v>
      </c>
      <c r="B108" s="15" t="s">
        <v>40</v>
      </c>
      <c r="C108" s="98">
        <v>6</v>
      </c>
      <c r="D108" s="84">
        <v>120</v>
      </c>
      <c r="E108" s="13">
        <f t="shared" si="1"/>
        <v>20</v>
      </c>
      <c r="G108" s="7"/>
    </row>
    <row r="109" spans="1:7" ht="13.15" hidden="1" customHeight="1" x14ac:dyDescent="0.2">
      <c r="A109" s="288" t="s">
        <v>76</v>
      </c>
      <c r="B109" s="15" t="s">
        <v>40</v>
      </c>
      <c r="C109" s="98">
        <v>1</v>
      </c>
      <c r="D109" s="84">
        <v>6</v>
      </c>
      <c r="E109" s="13">
        <f t="shared" si="1"/>
        <v>6</v>
      </c>
    </row>
    <row r="110" spans="1:7" hidden="1" x14ac:dyDescent="0.2">
      <c r="A110" s="14" t="s">
        <v>165</v>
      </c>
      <c r="B110" s="15" t="s">
        <v>92</v>
      </c>
      <c r="C110" s="117">
        <v>1</v>
      </c>
      <c r="D110" s="84">
        <v>45</v>
      </c>
      <c r="E110" s="16">
        <f t="shared" ref="E110:E111" si="2">C110*D110</f>
        <v>45</v>
      </c>
    </row>
    <row r="111" spans="1:7" ht="13.5" hidden="1" thickBot="1" x14ac:dyDescent="0.25">
      <c r="A111" s="14" t="s">
        <v>5</v>
      </c>
      <c r="B111" s="15" t="s">
        <v>6</v>
      </c>
      <c r="C111" s="66">
        <f>E38</f>
        <v>0</v>
      </c>
      <c r="D111" s="16">
        <f>+SUM(E106:E110)</f>
        <v>108.45833333333334</v>
      </c>
      <c r="E111" s="16">
        <f t="shared" si="2"/>
        <v>0</v>
      </c>
    </row>
    <row r="112" spans="1:7" ht="13.5" hidden="1" thickBot="1" x14ac:dyDescent="0.25">
      <c r="D112" s="119" t="s">
        <v>163</v>
      </c>
      <c r="E112" s="47">
        <f>$B$46</f>
        <v>0.6</v>
      </c>
      <c r="F112" s="120">
        <f>E111*E112</f>
        <v>0</v>
      </c>
    </row>
    <row r="113" spans="1:7" ht="11.25" hidden="1" customHeight="1" x14ac:dyDescent="0.2"/>
    <row r="114" spans="1:7" ht="13.9" customHeight="1" x14ac:dyDescent="0.2">
      <c r="A114" s="5" t="s">
        <v>259</v>
      </c>
    </row>
    <row r="115" spans="1:7" ht="11.25" customHeight="1" thickBot="1" x14ac:dyDescent="0.25"/>
    <row r="116" spans="1:7" ht="24.75" thickBot="1" x14ac:dyDescent="0.25">
      <c r="A116" s="57" t="s">
        <v>51</v>
      </c>
      <c r="B116" s="58" t="s">
        <v>52</v>
      </c>
      <c r="C116" s="262" t="s">
        <v>210</v>
      </c>
      <c r="D116" s="59" t="s">
        <v>194</v>
      </c>
      <c r="E116" s="59" t="s">
        <v>53</v>
      </c>
      <c r="F116" s="60" t="s">
        <v>54</v>
      </c>
    </row>
    <row r="117" spans="1:7" x14ac:dyDescent="0.2">
      <c r="A117" s="14" t="s">
        <v>24</v>
      </c>
      <c r="B117" s="15" t="s">
        <v>9</v>
      </c>
      <c r="C117" s="98">
        <v>6</v>
      </c>
      <c r="D117" s="16">
        <f>+D106</f>
        <v>89.9</v>
      </c>
      <c r="E117" s="13">
        <f t="shared" ref="E117:E120" si="3">IFERROR(D117/C117,0)</f>
        <v>14.983333333333334</v>
      </c>
    </row>
    <row r="118" spans="1:7" x14ac:dyDescent="0.2">
      <c r="A118" s="288" t="s">
        <v>238</v>
      </c>
      <c r="B118" s="15" t="s">
        <v>9</v>
      </c>
      <c r="C118" s="98">
        <v>4</v>
      </c>
      <c r="D118" s="16">
        <f>+D107</f>
        <v>89.9</v>
      </c>
      <c r="E118" s="13">
        <f t="shared" si="3"/>
        <v>22.475000000000001</v>
      </c>
    </row>
    <row r="119" spans="1:7" x14ac:dyDescent="0.2">
      <c r="A119" s="288" t="s">
        <v>240</v>
      </c>
      <c r="B119" s="15" t="s">
        <v>40</v>
      </c>
      <c r="C119" s="98">
        <v>6</v>
      </c>
      <c r="D119" s="16">
        <f>+D108</f>
        <v>120</v>
      </c>
      <c r="E119" s="13">
        <f t="shared" si="3"/>
        <v>20</v>
      </c>
    </row>
    <row r="120" spans="1:7" x14ac:dyDescent="0.2">
      <c r="A120" s="288" t="s">
        <v>241</v>
      </c>
      <c r="B120" s="15" t="s">
        <v>9</v>
      </c>
      <c r="C120" s="98">
        <v>1</v>
      </c>
      <c r="D120" s="16">
        <v>6</v>
      </c>
      <c r="E120" s="13">
        <f t="shared" si="3"/>
        <v>6</v>
      </c>
      <c r="G120" s="7"/>
    </row>
    <row r="121" spans="1:7" x14ac:dyDescent="0.2">
      <c r="A121" s="14" t="s">
        <v>165</v>
      </c>
      <c r="B121" s="15" t="s">
        <v>92</v>
      </c>
      <c r="C121" s="117">
        <v>1</v>
      </c>
      <c r="D121" s="84">
        <v>45</v>
      </c>
      <c r="E121" s="16">
        <f t="shared" ref="E121:E122" si="4">C121*D121</f>
        <v>45</v>
      </c>
      <c r="G121" s="7"/>
    </row>
    <row r="122" spans="1:7" ht="13.5" thickBot="1" x14ac:dyDescent="0.25">
      <c r="A122" s="14" t="s">
        <v>5</v>
      </c>
      <c r="B122" s="15" t="s">
        <v>6</v>
      </c>
      <c r="C122" s="66">
        <f>E39</f>
        <v>1</v>
      </c>
      <c r="D122" s="16">
        <f>+SUM(E117:E121)</f>
        <v>108.45833333333334</v>
      </c>
      <c r="E122" s="16">
        <f t="shared" si="4"/>
        <v>108.45833333333334</v>
      </c>
      <c r="G122" s="7"/>
    </row>
    <row r="123" spans="1:7" ht="13.5" thickBot="1" x14ac:dyDescent="0.25">
      <c r="D123" s="119" t="s">
        <v>163</v>
      </c>
      <c r="E123" s="47">
        <v>0.6</v>
      </c>
      <c r="F123" s="120">
        <f>E122*E123</f>
        <v>65.075000000000003</v>
      </c>
      <c r="G123" s="7"/>
    </row>
    <row r="124" spans="1:7" ht="11.25" customHeight="1" thickBot="1" x14ac:dyDescent="0.25">
      <c r="G124" s="7"/>
    </row>
    <row r="125" spans="1:7" ht="13.5" thickBot="1" x14ac:dyDescent="0.25">
      <c r="A125" s="22" t="s">
        <v>166</v>
      </c>
      <c r="B125" s="26"/>
      <c r="C125" s="26"/>
      <c r="D125" s="27"/>
      <c r="E125" s="28"/>
      <c r="F125" s="19">
        <f>+F112+F123</f>
        <v>65.075000000000003</v>
      </c>
      <c r="G125" s="7"/>
    </row>
    <row r="126" spans="1:7" ht="11.25" customHeight="1" x14ac:dyDescent="0.2">
      <c r="G126" s="7"/>
    </row>
    <row r="127" spans="1:7" x14ac:dyDescent="0.2">
      <c r="A127" s="9" t="s">
        <v>44</v>
      </c>
      <c r="G127" s="7"/>
    </row>
    <row r="128" spans="1:7" ht="11.25" customHeight="1" x14ac:dyDescent="0.2">
      <c r="B128" s="104"/>
      <c r="G128" s="7"/>
    </row>
    <row r="129" spans="1:10" x14ac:dyDescent="0.2">
      <c r="A129" s="5" t="s">
        <v>242</v>
      </c>
      <c r="G129" s="7"/>
    </row>
    <row r="130" spans="1:10" ht="11.25" customHeight="1" x14ac:dyDescent="0.2">
      <c r="G130" s="7"/>
    </row>
    <row r="131" spans="1:10" ht="13.5" thickBot="1" x14ac:dyDescent="0.25">
      <c r="A131" s="104" t="s">
        <v>38</v>
      </c>
      <c r="G131" s="7"/>
    </row>
    <row r="132" spans="1:10" ht="13.5" thickBot="1" x14ac:dyDescent="0.25">
      <c r="A132" s="57" t="s">
        <v>51</v>
      </c>
      <c r="B132" s="58" t="s">
        <v>52</v>
      </c>
      <c r="C132" s="58" t="s">
        <v>32</v>
      </c>
      <c r="D132" s="59" t="s">
        <v>194</v>
      </c>
      <c r="E132" s="59" t="s">
        <v>53</v>
      </c>
      <c r="F132" s="60" t="s">
        <v>54</v>
      </c>
      <c r="G132" s="7"/>
    </row>
    <row r="133" spans="1:10" x14ac:dyDescent="0.2">
      <c r="A133" s="282" t="s">
        <v>243</v>
      </c>
      <c r="B133" s="12" t="s">
        <v>9</v>
      </c>
      <c r="C133" s="268">
        <v>1</v>
      </c>
      <c r="D133" s="84">
        <v>120000</v>
      </c>
      <c r="E133" s="13">
        <f>C133*D133</f>
        <v>120000</v>
      </c>
      <c r="G133" s="7"/>
    </row>
    <row r="134" spans="1:10" x14ac:dyDescent="0.2">
      <c r="A134" s="14" t="s">
        <v>78</v>
      </c>
      <c r="B134" s="15" t="s">
        <v>79</v>
      </c>
      <c r="C134" s="83">
        <v>17</v>
      </c>
      <c r="D134" s="80"/>
      <c r="E134" s="16"/>
      <c r="G134" s="7"/>
    </row>
    <row r="135" spans="1:10" x14ac:dyDescent="0.2">
      <c r="A135" s="14" t="s">
        <v>172</v>
      </c>
      <c r="B135" s="15" t="s">
        <v>79</v>
      </c>
      <c r="C135" s="83">
        <v>0</v>
      </c>
      <c r="D135" s="16"/>
      <c r="E135" s="16"/>
      <c r="F135" s="18"/>
      <c r="I135" s="82"/>
      <c r="J135" s="82"/>
    </row>
    <row r="136" spans="1:10" x14ac:dyDescent="0.2">
      <c r="A136" s="14" t="s">
        <v>80</v>
      </c>
      <c r="B136" s="15" t="s">
        <v>2</v>
      </c>
      <c r="C136" s="137">
        <f>IFERROR(VLOOKUP(C134,'5. Depreciação'!A3:B19,2,FALSE),0)</f>
        <v>100</v>
      </c>
      <c r="D136" s="16">
        <f>E133</f>
        <v>120000</v>
      </c>
      <c r="E136" s="16">
        <f>C136*D136/100</f>
        <v>120000</v>
      </c>
    </row>
    <row r="137" spans="1:10" ht="13.5" thickBot="1" x14ac:dyDescent="0.25">
      <c r="A137" s="271" t="s">
        <v>256</v>
      </c>
      <c r="B137" s="272" t="s">
        <v>7</v>
      </c>
      <c r="C137" s="272">
        <f>120-(C135*12)</f>
        <v>120</v>
      </c>
      <c r="D137" s="273">
        <f>IF(C135&lt;=C134,E136,0)</f>
        <v>120000</v>
      </c>
      <c r="E137" s="273">
        <f>IFERROR(D137/C137,0)</f>
        <v>1000</v>
      </c>
    </row>
    <row r="138" spans="1:10" ht="14.25" thickTop="1" thickBot="1" x14ac:dyDescent="0.25">
      <c r="A138" s="100" t="s">
        <v>213</v>
      </c>
      <c r="B138" s="101" t="s">
        <v>9</v>
      </c>
      <c r="C138" s="83">
        <v>1</v>
      </c>
      <c r="D138" s="102">
        <f>E137</f>
        <v>1000</v>
      </c>
      <c r="E138" s="116">
        <f>C138*D138</f>
        <v>1000</v>
      </c>
    </row>
    <row r="139" spans="1:10" ht="13.5" thickBot="1" x14ac:dyDescent="0.25">
      <c r="A139" s="267"/>
      <c r="B139" s="267"/>
      <c r="C139" s="267"/>
      <c r="D139" s="119" t="s">
        <v>163</v>
      </c>
      <c r="E139" s="47">
        <v>0.6</v>
      </c>
      <c r="F139" s="19">
        <f>E138*E139</f>
        <v>600</v>
      </c>
    </row>
    <row r="140" spans="1:10" ht="11.25" customHeight="1" x14ac:dyDescent="0.2"/>
    <row r="141" spans="1:10" ht="13.5" thickBot="1" x14ac:dyDescent="0.25">
      <c r="A141" s="104" t="s">
        <v>84</v>
      </c>
    </row>
    <row r="142" spans="1:10" ht="13.5" thickBot="1" x14ac:dyDescent="0.25">
      <c r="A142" s="106" t="s">
        <v>51</v>
      </c>
      <c r="B142" s="107" t="s">
        <v>52</v>
      </c>
      <c r="C142" s="107" t="s">
        <v>32</v>
      </c>
      <c r="D142" s="59" t="s">
        <v>194</v>
      </c>
      <c r="E142" s="108" t="s">
        <v>53</v>
      </c>
      <c r="F142" s="60" t="s">
        <v>54</v>
      </c>
      <c r="I142" s="82"/>
      <c r="J142" s="82"/>
    </row>
    <row r="143" spans="1:10" x14ac:dyDescent="0.2">
      <c r="A143" s="14" t="s">
        <v>83</v>
      </c>
      <c r="B143" s="15" t="s">
        <v>9</v>
      </c>
      <c r="C143" s="268">
        <v>1</v>
      </c>
      <c r="D143" s="16">
        <f>D133</f>
        <v>120000</v>
      </c>
      <c r="E143" s="16">
        <f>C143*D143</f>
        <v>120000</v>
      </c>
      <c r="F143" s="18"/>
      <c r="I143" s="82"/>
      <c r="J143" s="82"/>
    </row>
    <row r="144" spans="1:10" x14ac:dyDescent="0.2">
      <c r="A144" s="14" t="s">
        <v>174</v>
      </c>
      <c r="B144" s="15" t="s">
        <v>2</v>
      </c>
      <c r="C144" s="83">
        <v>15</v>
      </c>
      <c r="D144" s="16"/>
      <c r="E144" s="16"/>
      <c r="F144" s="18"/>
      <c r="I144" s="82"/>
      <c r="J144" s="82"/>
    </row>
    <row r="145" spans="1:10" x14ac:dyDescent="0.2">
      <c r="A145" s="14" t="s">
        <v>173</v>
      </c>
      <c r="B145" s="15" t="s">
        <v>25</v>
      </c>
      <c r="C145" s="144">
        <f>IFERROR(IF(C135&lt;=C134,E133-(C136/(100*C134)*C135)*E133,E133-E136),0)</f>
        <v>120000</v>
      </c>
      <c r="D145" s="16"/>
      <c r="E145" s="16"/>
      <c r="F145" s="18"/>
      <c r="I145" s="82"/>
      <c r="J145" s="82"/>
    </row>
    <row r="146" spans="1:10" x14ac:dyDescent="0.2">
      <c r="A146" s="14" t="s">
        <v>86</v>
      </c>
      <c r="B146" s="15" t="s">
        <v>25</v>
      </c>
      <c r="C146" s="80">
        <f>IFERROR(IF(C135&gt;=C134,C145,((((C145)-(E133-E136))*(((C134-C135)+1)/(2*(C134-C135))))+(E133-E136))),0)</f>
        <v>63529.411764705881</v>
      </c>
      <c r="D146" s="16"/>
      <c r="E146" s="16"/>
      <c r="F146" s="18"/>
      <c r="I146" s="82"/>
      <c r="J146" s="82"/>
    </row>
    <row r="147" spans="1:10" ht="13.5" thickBot="1" x14ac:dyDescent="0.25">
      <c r="A147" s="271" t="s">
        <v>87</v>
      </c>
      <c r="B147" s="272" t="s">
        <v>25</v>
      </c>
      <c r="C147" s="272"/>
      <c r="D147" s="274">
        <f>C144*C146/12/100</f>
        <v>794.11764705882354</v>
      </c>
      <c r="E147" s="273">
        <f>D147</f>
        <v>794.11764705882354</v>
      </c>
      <c r="F147" s="18"/>
      <c r="I147" s="82"/>
      <c r="J147" s="82"/>
    </row>
    <row r="148" spans="1:10" ht="14.25" thickTop="1" thickBot="1" x14ac:dyDescent="0.25">
      <c r="A148" s="100" t="s">
        <v>213</v>
      </c>
      <c r="B148" s="101" t="s">
        <v>9</v>
      </c>
      <c r="C148" s="269">
        <f>C138</f>
        <v>1</v>
      </c>
      <c r="D148" s="102">
        <f>E147</f>
        <v>794.11764705882354</v>
      </c>
      <c r="E148" s="116">
        <f>C148*D148</f>
        <v>794.11764705882354</v>
      </c>
      <c r="F148" s="18"/>
      <c r="I148" s="82"/>
      <c r="J148" s="82"/>
    </row>
    <row r="149" spans="1:10" ht="13.5" thickBot="1" x14ac:dyDescent="0.25">
      <c r="C149" s="17"/>
      <c r="D149" s="119" t="s">
        <v>163</v>
      </c>
      <c r="E149" s="47">
        <v>0.6</v>
      </c>
      <c r="F149" s="19">
        <f>E148*E149</f>
        <v>476.47058823529409</v>
      </c>
      <c r="I149" s="82"/>
      <c r="J149" s="82"/>
    </row>
    <row r="150" spans="1:10" ht="11.25" customHeight="1" x14ac:dyDescent="0.2">
      <c r="I150" s="82"/>
      <c r="J150" s="82"/>
    </row>
    <row r="151" spans="1:10" ht="13.5" thickBot="1" x14ac:dyDescent="0.25">
      <c r="A151" s="7" t="s">
        <v>41</v>
      </c>
      <c r="I151" s="82"/>
      <c r="J151" s="82"/>
    </row>
    <row r="152" spans="1:10" ht="13.5" thickBot="1" x14ac:dyDescent="0.25">
      <c r="A152" s="57" t="s">
        <v>51</v>
      </c>
      <c r="B152" s="58" t="s">
        <v>52</v>
      </c>
      <c r="C152" s="58" t="s">
        <v>32</v>
      </c>
      <c r="D152" s="59" t="s">
        <v>194</v>
      </c>
      <c r="E152" s="59" t="s">
        <v>53</v>
      </c>
      <c r="F152" s="60" t="s">
        <v>54</v>
      </c>
      <c r="I152" s="82"/>
      <c r="J152" s="82"/>
    </row>
    <row r="153" spans="1:10" x14ac:dyDescent="0.2">
      <c r="A153" s="282" t="s">
        <v>254</v>
      </c>
      <c r="B153" s="12" t="s">
        <v>9</v>
      </c>
      <c r="C153" s="13">
        <f>C138</f>
        <v>1</v>
      </c>
      <c r="D153" s="13">
        <v>850</v>
      </c>
      <c r="E153" s="13">
        <f>C153*D153</f>
        <v>850</v>
      </c>
      <c r="I153" s="82"/>
      <c r="J153" s="82"/>
    </row>
    <row r="154" spans="1:10" x14ac:dyDescent="0.2">
      <c r="A154" s="14" t="s">
        <v>162</v>
      </c>
      <c r="B154" s="15" t="s">
        <v>9</v>
      </c>
      <c r="C154" s="13">
        <f>C138</f>
        <v>1</v>
      </c>
      <c r="D154" s="86">
        <v>280</v>
      </c>
      <c r="E154" s="16">
        <f>C154*D154</f>
        <v>280</v>
      </c>
      <c r="I154" s="82"/>
      <c r="J154" s="82"/>
    </row>
    <row r="155" spans="1:10" x14ac:dyDescent="0.2">
      <c r="A155" s="14" t="s">
        <v>10</v>
      </c>
      <c r="B155" s="15" t="s">
        <v>9</v>
      </c>
      <c r="C155" s="13">
        <f>C138</f>
        <v>1</v>
      </c>
      <c r="D155" s="86">
        <v>2300</v>
      </c>
      <c r="E155" s="16">
        <f>C155*D155</f>
        <v>2300</v>
      </c>
      <c r="F155" s="29"/>
      <c r="I155" s="82"/>
      <c r="J155" s="82"/>
    </row>
    <row r="156" spans="1:10" ht="13.5" thickBot="1" x14ac:dyDescent="0.25">
      <c r="A156" s="100" t="s">
        <v>11</v>
      </c>
      <c r="B156" s="101" t="s">
        <v>7</v>
      </c>
      <c r="C156" s="101">
        <v>12</v>
      </c>
      <c r="D156" s="102">
        <f>SUM(E153:E155)</f>
        <v>3430</v>
      </c>
      <c r="E156" s="102">
        <f>D156/C156</f>
        <v>285.83333333333331</v>
      </c>
      <c r="I156" s="82"/>
      <c r="J156" s="82"/>
    </row>
    <row r="157" spans="1:10" ht="13.5" thickBot="1" x14ac:dyDescent="0.25">
      <c r="D157" s="119" t="s">
        <v>163</v>
      </c>
      <c r="E157" s="47">
        <v>0.6</v>
      </c>
      <c r="F157" s="120">
        <f>E156*E157</f>
        <v>171.49999999999997</v>
      </c>
      <c r="I157" s="82"/>
      <c r="J157" s="82"/>
    </row>
    <row r="158" spans="1:10" ht="11.25" customHeight="1" x14ac:dyDescent="0.2">
      <c r="I158" s="82"/>
      <c r="J158" s="82"/>
    </row>
    <row r="159" spans="1:10" x14ac:dyDescent="0.2">
      <c r="A159" s="7" t="s">
        <v>42</v>
      </c>
      <c r="B159" s="30"/>
      <c r="I159" s="82"/>
      <c r="J159" s="82"/>
    </row>
    <row r="160" spans="1:10" x14ac:dyDescent="0.2">
      <c r="B160" s="30"/>
      <c r="I160" s="82"/>
      <c r="J160" s="82"/>
    </row>
    <row r="161" spans="1:10" x14ac:dyDescent="0.2">
      <c r="A161" s="100" t="s">
        <v>89</v>
      </c>
      <c r="B161" s="110">
        <v>1664</v>
      </c>
      <c r="I161" s="82"/>
      <c r="J161" s="82"/>
    </row>
    <row r="162" spans="1:10" ht="13.5" thickBot="1" x14ac:dyDescent="0.25">
      <c r="B162" s="30"/>
      <c r="I162" s="82"/>
      <c r="J162" s="82"/>
    </row>
    <row r="163" spans="1:10" ht="13.5" thickBot="1" x14ac:dyDescent="0.25">
      <c r="A163" s="57" t="s">
        <v>51</v>
      </c>
      <c r="B163" s="58" t="s">
        <v>52</v>
      </c>
      <c r="C163" s="58" t="s">
        <v>212</v>
      </c>
      <c r="D163" s="59" t="s">
        <v>194</v>
      </c>
      <c r="E163" s="59" t="s">
        <v>53</v>
      </c>
      <c r="F163" s="60" t="s">
        <v>54</v>
      </c>
      <c r="I163" s="82"/>
      <c r="J163" s="82"/>
    </row>
    <row r="164" spans="1:10" x14ac:dyDescent="0.2">
      <c r="A164" s="11" t="s">
        <v>12</v>
      </c>
      <c r="B164" s="12" t="s">
        <v>13</v>
      </c>
      <c r="C164" s="94">
        <v>8</v>
      </c>
      <c r="D164" s="95">
        <v>7.39</v>
      </c>
      <c r="E164" s="13"/>
      <c r="I164" s="82"/>
      <c r="J164" s="82"/>
    </row>
    <row r="165" spans="1:10" x14ac:dyDescent="0.2">
      <c r="A165" s="14" t="s">
        <v>14</v>
      </c>
      <c r="B165" s="15" t="s">
        <v>15</v>
      </c>
      <c r="C165" s="91">
        <f>B161</f>
        <v>1664</v>
      </c>
      <c r="D165" s="266">
        <f>IFERROR(+D164/C164,"-")</f>
        <v>0.92374999999999996</v>
      </c>
      <c r="E165" s="16">
        <f>IFERROR(C165*D165,"-")</f>
        <v>1537.12</v>
      </c>
      <c r="I165" s="82"/>
      <c r="J165" s="82"/>
    </row>
    <row r="166" spans="1:10" x14ac:dyDescent="0.2">
      <c r="A166" s="14" t="s">
        <v>195</v>
      </c>
      <c r="B166" s="15" t="s">
        <v>16</v>
      </c>
      <c r="C166" s="97">
        <v>1</v>
      </c>
      <c r="D166" s="86">
        <v>45</v>
      </c>
      <c r="E166" s="16"/>
      <c r="G166" s="109"/>
      <c r="H166" s="49"/>
      <c r="I166" s="82"/>
      <c r="J166" s="82"/>
    </row>
    <row r="167" spans="1:10" x14ac:dyDescent="0.2">
      <c r="A167" s="14" t="s">
        <v>17</v>
      </c>
      <c r="B167" s="15" t="s">
        <v>15</v>
      </c>
      <c r="C167" s="91">
        <f>C165</f>
        <v>1664</v>
      </c>
      <c r="D167" s="263">
        <f>+C166*D166/1000</f>
        <v>4.4999999999999998E-2</v>
      </c>
      <c r="E167" s="16">
        <f>C167*D167</f>
        <v>74.88</v>
      </c>
      <c r="G167" s="109"/>
      <c r="H167" s="49"/>
      <c r="I167" s="82"/>
      <c r="J167" s="82"/>
    </row>
    <row r="168" spans="1:10" x14ac:dyDescent="0.2">
      <c r="A168" s="14" t="s">
        <v>196</v>
      </c>
      <c r="B168" s="15" t="s">
        <v>16</v>
      </c>
      <c r="C168" s="97">
        <v>0.2</v>
      </c>
      <c r="D168" s="86">
        <v>60</v>
      </c>
      <c r="E168" s="16"/>
      <c r="G168" s="109"/>
      <c r="H168" s="49"/>
      <c r="I168" s="82"/>
      <c r="J168" s="82"/>
    </row>
    <row r="169" spans="1:10" x14ac:dyDescent="0.2">
      <c r="A169" s="14" t="s">
        <v>18</v>
      </c>
      <c r="B169" s="15" t="s">
        <v>15</v>
      </c>
      <c r="C169" s="91">
        <f>C165</f>
        <v>1664</v>
      </c>
      <c r="D169" s="263">
        <f>+C168*D168/1000</f>
        <v>1.2E-2</v>
      </c>
      <c r="E169" s="16">
        <f>C169*D169</f>
        <v>19.968</v>
      </c>
      <c r="G169" s="109"/>
      <c r="H169" s="49"/>
      <c r="I169" s="82"/>
      <c r="J169" s="82"/>
    </row>
    <row r="170" spans="1:10" x14ac:dyDescent="0.2">
      <c r="A170" s="14" t="s">
        <v>197</v>
      </c>
      <c r="B170" s="15" t="s">
        <v>16</v>
      </c>
      <c r="C170" s="97">
        <v>1</v>
      </c>
      <c r="D170" s="86">
        <v>55.9</v>
      </c>
      <c r="E170" s="16"/>
      <c r="G170" s="109"/>
      <c r="H170" s="49"/>
      <c r="I170" s="82"/>
      <c r="J170" s="82"/>
    </row>
    <row r="171" spans="1:10" x14ac:dyDescent="0.2">
      <c r="A171" s="14" t="s">
        <v>19</v>
      </c>
      <c r="B171" s="15" t="s">
        <v>15</v>
      </c>
      <c r="C171" s="91">
        <f>C165</f>
        <v>1664</v>
      </c>
      <c r="D171" s="263">
        <f>+C170*D170/1000</f>
        <v>5.5899999999999998E-2</v>
      </c>
      <c r="E171" s="16">
        <f>C171*D171</f>
        <v>93.017600000000002</v>
      </c>
      <c r="G171" s="109"/>
      <c r="H171" s="49"/>
      <c r="I171" s="82"/>
      <c r="J171" s="82"/>
    </row>
    <row r="172" spans="1:10" x14ac:dyDescent="0.2">
      <c r="A172" s="14" t="s">
        <v>20</v>
      </c>
      <c r="B172" s="15" t="s">
        <v>21</v>
      </c>
      <c r="C172" s="97">
        <v>1</v>
      </c>
      <c r="D172" s="86">
        <v>370</v>
      </c>
      <c r="E172" s="16"/>
      <c r="G172" s="109"/>
      <c r="H172" s="49"/>
      <c r="I172" s="82"/>
      <c r="J172" s="82"/>
    </row>
    <row r="173" spans="1:10" x14ac:dyDescent="0.2">
      <c r="A173" s="14" t="s">
        <v>22</v>
      </c>
      <c r="B173" s="15" t="s">
        <v>15</v>
      </c>
      <c r="C173" s="91">
        <f>C165</f>
        <v>1664</v>
      </c>
      <c r="D173" s="263">
        <f>+C172*D172/1000</f>
        <v>0.37</v>
      </c>
      <c r="E173" s="16">
        <f>C173*D173</f>
        <v>615.67999999999995</v>
      </c>
      <c r="G173" s="109"/>
      <c r="H173" s="49"/>
      <c r="I173" s="82"/>
      <c r="J173" s="82"/>
    </row>
    <row r="174" spans="1:10" ht="13.5" thickBot="1" x14ac:dyDescent="0.25">
      <c r="A174" s="100" t="s">
        <v>211</v>
      </c>
      <c r="B174" s="101" t="s">
        <v>90</v>
      </c>
      <c r="C174" s="264"/>
      <c r="D174" s="265">
        <f>IFERROR(D165+D167+D169+D171+D173,0)</f>
        <v>1.40665</v>
      </c>
      <c r="E174" s="16"/>
      <c r="G174" s="109"/>
      <c r="H174" s="49"/>
      <c r="I174" s="82"/>
      <c r="J174" s="82"/>
    </row>
    <row r="175" spans="1:10" ht="13.5" thickBot="1" x14ac:dyDescent="0.25">
      <c r="F175" s="19">
        <f>SUM(E164:E173)</f>
        <v>2340.6655999999998</v>
      </c>
      <c r="I175" s="82"/>
      <c r="J175" s="82"/>
    </row>
    <row r="176" spans="1:10" ht="11.25" customHeight="1" x14ac:dyDescent="0.2">
      <c r="I176" s="82"/>
      <c r="J176" s="82"/>
    </row>
    <row r="177" spans="1:10" ht="13.5" thickBot="1" x14ac:dyDescent="0.25">
      <c r="A177" s="7" t="s">
        <v>43</v>
      </c>
      <c r="I177" s="82"/>
      <c r="J177" s="82"/>
    </row>
    <row r="178" spans="1:10" ht="13.5" thickBot="1" x14ac:dyDescent="0.25">
      <c r="A178" s="57" t="s">
        <v>51</v>
      </c>
      <c r="B178" s="58" t="s">
        <v>52</v>
      </c>
      <c r="C178" s="58" t="s">
        <v>32</v>
      </c>
      <c r="D178" s="59" t="s">
        <v>194</v>
      </c>
      <c r="E178" s="59" t="s">
        <v>53</v>
      </c>
      <c r="F178" s="60" t="s">
        <v>54</v>
      </c>
      <c r="I178" s="82"/>
      <c r="J178" s="82"/>
    </row>
    <row r="179" spans="1:10" ht="13.5" thickBot="1" x14ac:dyDescent="0.25">
      <c r="A179" s="11" t="s">
        <v>88</v>
      </c>
      <c r="B179" s="12" t="s">
        <v>90</v>
      </c>
      <c r="C179" s="91">
        <f>C165</f>
        <v>1664</v>
      </c>
      <c r="D179" s="84">
        <v>0.6</v>
      </c>
      <c r="E179" s="13">
        <f>C179*D179</f>
        <v>998.4</v>
      </c>
      <c r="I179" s="82"/>
      <c r="J179" s="82"/>
    </row>
    <row r="180" spans="1:10" ht="13.5" thickBot="1" x14ac:dyDescent="0.25">
      <c r="F180" s="19">
        <f>E179</f>
        <v>998.4</v>
      </c>
      <c r="I180" s="82"/>
      <c r="J180" s="82"/>
    </row>
    <row r="181" spans="1:10" ht="11.25" customHeight="1" x14ac:dyDescent="0.2">
      <c r="I181" s="82"/>
      <c r="J181" s="82"/>
    </row>
    <row r="182" spans="1:10" ht="13.5" thickBot="1" x14ac:dyDescent="0.25">
      <c r="A182" s="7" t="s">
        <v>50</v>
      </c>
      <c r="I182" s="82"/>
      <c r="J182" s="82"/>
    </row>
    <row r="183" spans="1:10" ht="13.5" thickBot="1" x14ac:dyDescent="0.25">
      <c r="A183" s="57" t="s">
        <v>51</v>
      </c>
      <c r="B183" s="58" t="s">
        <v>52</v>
      </c>
      <c r="C183" s="58" t="s">
        <v>32</v>
      </c>
      <c r="D183" s="59" t="s">
        <v>194</v>
      </c>
      <c r="E183" s="59" t="s">
        <v>53</v>
      </c>
      <c r="F183" s="60" t="s">
        <v>54</v>
      </c>
      <c r="I183" s="82"/>
      <c r="J183" s="82"/>
    </row>
    <row r="184" spans="1:10" x14ac:dyDescent="0.2">
      <c r="A184" s="282" t="s">
        <v>244</v>
      </c>
      <c r="B184" s="12" t="s">
        <v>9</v>
      </c>
      <c r="C184" s="93">
        <v>6</v>
      </c>
      <c r="D184" s="84">
        <v>2000</v>
      </c>
      <c r="E184" s="13">
        <f>C184*D184</f>
        <v>12000</v>
      </c>
      <c r="I184" s="82"/>
      <c r="J184" s="82"/>
    </row>
    <row r="185" spans="1:10" x14ac:dyDescent="0.2">
      <c r="A185" s="11" t="s">
        <v>91</v>
      </c>
      <c r="B185" s="12" t="s">
        <v>9</v>
      </c>
      <c r="C185" s="93">
        <v>1</v>
      </c>
      <c r="D185" s="103">
        <v>150</v>
      </c>
      <c r="E185" s="13"/>
      <c r="I185" s="82"/>
      <c r="J185" s="82"/>
    </row>
    <row r="186" spans="1:10" x14ac:dyDescent="0.2">
      <c r="A186" s="11" t="s">
        <v>55</v>
      </c>
      <c r="B186" s="12" t="s">
        <v>9</v>
      </c>
      <c r="C186" s="13">
        <f>C184*C185</f>
        <v>6</v>
      </c>
      <c r="D186" s="84">
        <v>150</v>
      </c>
      <c r="E186" s="13">
        <f>C186*D186</f>
        <v>900</v>
      </c>
      <c r="I186" s="82"/>
      <c r="J186" s="82"/>
    </row>
    <row r="187" spans="1:10" x14ac:dyDescent="0.2">
      <c r="A187" s="288" t="s">
        <v>253</v>
      </c>
      <c r="B187" s="15" t="s">
        <v>23</v>
      </c>
      <c r="C187" s="96">
        <v>30000</v>
      </c>
      <c r="D187" s="16">
        <f>E184+E186</f>
        <v>12900</v>
      </c>
      <c r="E187" s="16">
        <f>IFERROR(D187/C187,"-")</f>
        <v>0.43</v>
      </c>
      <c r="I187" s="82"/>
      <c r="J187" s="82"/>
    </row>
    <row r="188" spans="1:10" ht="13.5" thickBot="1" x14ac:dyDescent="0.25">
      <c r="A188" s="14" t="s">
        <v>45</v>
      </c>
      <c r="B188" s="15" t="s">
        <v>15</v>
      </c>
      <c r="C188" s="91">
        <f>B161</f>
        <v>1664</v>
      </c>
      <c r="D188" s="16">
        <f>E187</f>
        <v>0.43</v>
      </c>
      <c r="E188" s="16">
        <f>IFERROR(C188*D188,0)</f>
        <v>715.52</v>
      </c>
      <c r="I188" s="82"/>
      <c r="J188" s="82"/>
    </row>
    <row r="189" spans="1:10" ht="13.5" thickBot="1" x14ac:dyDescent="0.25">
      <c r="F189" s="19">
        <f>E188</f>
        <v>715.52</v>
      </c>
      <c r="I189" s="82"/>
      <c r="J189" s="82"/>
    </row>
    <row r="190" spans="1:10" ht="11.25" customHeight="1" x14ac:dyDescent="0.2">
      <c r="I190" s="82"/>
      <c r="J190" s="82"/>
    </row>
    <row r="191" spans="1:10" ht="11.25" customHeight="1" x14ac:dyDescent="0.2">
      <c r="I191" s="82"/>
      <c r="J191" s="82"/>
    </row>
    <row r="192" spans="1:10" ht="11.25" customHeight="1" x14ac:dyDescent="0.2">
      <c r="I192" s="82"/>
      <c r="J192" s="82"/>
    </row>
    <row r="193" spans="1:10" ht="11.25" customHeight="1" x14ac:dyDescent="0.2">
      <c r="I193" s="82"/>
      <c r="J193" s="82"/>
    </row>
    <row r="194" spans="1:10" ht="11.25" customHeight="1" thickBot="1" x14ac:dyDescent="0.25">
      <c r="G194" s="7"/>
    </row>
    <row r="195" spans="1:10" ht="13.5" thickBot="1" x14ac:dyDescent="0.25">
      <c r="A195" s="22" t="s">
        <v>183</v>
      </c>
      <c r="B195" s="23"/>
      <c r="C195" s="23"/>
      <c r="D195" s="24"/>
      <c r="E195" s="25"/>
      <c r="F195" s="19">
        <f>+SUM(F133:F194)</f>
        <v>5302.556188235294</v>
      </c>
      <c r="G195" s="7"/>
    </row>
    <row r="196" spans="1:10" ht="11.25" hidden="1" customHeight="1" x14ac:dyDescent="0.2">
      <c r="G196" s="7"/>
    </row>
    <row r="197" spans="1:10" ht="11.25" hidden="1" customHeight="1" x14ac:dyDescent="0.2">
      <c r="G197" s="7"/>
    </row>
    <row r="198" spans="1:10" ht="11.25" hidden="1" customHeight="1" x14ac:dyDescent="0.2">
      <c r="G198" s="7"/>
    </row>
    <row r="199" spans="1:10" hidden="1" x14ac:dyDescent="0.2">
      <c r="A199" s="32" t="s">
        <v>246</v>
      </c>
      <c r="B199" s="32"/>
      <c r="C199" s="32"/>
      <c r="D199" s="33"/>
      <c r="E199" s="33"/>
      <c r="F199" s="31"/>
    </row>
    <row r="200" spans="1:10" ht="11.25" hidden="1" customHeight="1" thickBot="1" x14ac:dyDescent="0.25"/>
    <row r="201" spans="1:10" ht="13.5" hidden="1" thickBot="1" x14ac:dyDescent="0.25">
      <c r="A201" s="57" t="s">
        <v>51</v>
      </c>
      <c r="B201" s="58" t="s">
        <v>52</v>
      </c>
      <c r="C201" s="58" t="s">
        <v>32</v>
      </c>
      <c r="D201" s="59" t="s">
        <v>194</v>
      </c>
      <c r="E201" s="59" t="s">
        <v>53</v>
      </c>
      <c r="F201" s="60" t="s">
        <v>54</v>
      </c>
    </row>
    <row r="202" spans="1:10" hidden="1" x14ac:dyDescent="0.2">
      <c r="A202" s="14" t="s">
        <v>181</v>
      </c>
      <c r="B202" s="50" t="s">
        <v>47</v>
      </c>
      <c r="C202" s="66">
        <f>C133</f>
        <v>1</v>
      </c>
      <c r="D202" s="86">
        <v>0</v>
      </c>
      <c r="E202" s="16">
        <f>+D202*C202</f>
        <v>0</v>
      </c>
      <c r="F202" s="52"/>
    </row>
    <row r="203" spans="1:10" hidden="1" x14ac:dyDescent="0.2">
      <c r="A203" s="14" t="s">
        <v>49</v>
      </c>
      <c r="B203" s="50" t="s">
        <v>7</v>
      </c>
      <c r="C203" s="150">
        <v>60</v>
      </c>
      <c r="D203" s="77">
        <v>0</v>
      </c>
      <c r="E203" s="77">
        <f>+D203/C203</f>
        <v>0</v>
      </c>
      <c r="F203" s="52"/>
    </row>
    <row r="204" spans="1:10" hidden="1" x14ac:dyDescent="0.2">
      <c r="A204" s="14" t="s">
        <v>182</v>
      </c>
      <c r="B204" s="15" t="s">
        <v>9</v>
      </c>
      <c r="C204" s="66">
        <f>+C202</f>
        <v>1</v>
      </c>
      <c r="D204" s="86">
        <v>0</v>
      </c>
      <c r="E204" s="16">
        <f>C204*D204</f>
        <v>0</v>
      </c>
      <c r="F204" s="52"/>
    </row>
    <row r="205" spans="1:10" ht="13.5" hidden="1" thickBot="1" x14ac:dyDescent="0.25">
      <c r="A205" s="14" t="s">
        <v>29</v>
      </c>
      <c r="B205" s="50" t="s">
        <v>7</v>
      </c>
      <c r="C205" s="150">
        <v>1</v>
      </c>
      <c r="D205" s="77">
        <v>0</v>
      </c>
      <c r="E205" s="77">
        <f>+D205/C205</f>
        <v>0</v>
      </c>
      <c r="F205" s="52"/>
    </row>
    <row r="206" spans="1:10" ht="13.5" hidden="1" thickBot="1" x14ac:dyDescent="0.25">
      <c r="A206" s="78"/>
      <c r="B206" s="78"/>
      <c r="C206" s="78"/>
      <c r="D206" s="119" t="s">
        <v>163</v>
      </c>
      <c r="E206" s="47">
        <f>$B$46</f>
        <v>0.6</v>
      </c>
      <c r="F206" s="79">
        <f>(E203+E205)*E206</f>
        <v>0</v>
      </c>
    </row>
    <row r="207" spans="1:10" s="48" customFormat="1" ht="11.25" hidden="1" customHeight="1" thickBot="1" x14ac:dyDescent="0.25">
      <c r="A207" s="7"/>
      <c r="B207" s="7"/>
      <c r="C207" s="7"/>
      <c r="D207" s="8"/>
      <c r="E207" s="8"/>
      <c r="F207" s="8"/>
      <c r="G207" s="81"/>
    </row>
    <row r="208" spans="1:10" ht="13.5" hidden="1" thickBot="1" x14ac:dyDescent="0.25">
      <c r="A208" s="22" t="s">
        <v>180</v>
      </c>
      <c r="B208" s="23"/>
      <c r="C208" s="23"/>
      <c r="D208" s="24"/>
      <c r="E208" s="25"/>
      <c r="F208" s="19">
        <f>+F206</f>
        <v>0</v>
      </c>
    </row>
    <row r="209" spans="1:6" ht="11.25" customHeight="1" thickBot="1" x14ac:dyDescent="0.25"/>
    <row r="210" spans="1:6" ht="17.25" customHeight="1" thickBot="1" x14ac:dyDescent="0.25">
      <c r="A210" s="22" t="s">
        <v>184</v>
      </c>
      <c r="B210" s="26"/>
      <c r="C210" s="26"/>
      <c r="D210" s="27"/>
      <c r="E210" s="28"/>
      <c r="F210" s="20">
        <f>+F99+F125+F208+F195</f>
        <v>9280.3827545472941</v>
      </c>
    </row>
    <row r="211" spans="1:6" ht="11.25" customHeight="1" x14ac:dyDescent="0.2"/>
    <row r="212" spans="1:6" x14ac:dyDescent="0.2">
      <c r="A212" s="9" t="s">
        <v>247</v>
      </c>
    </row>
    <row r="213" spans="1:6" ht="11.25" customHeight="1" thickBot="1" x14ac:dyDescent="0.25"/>
    <row r="214" spans="1:6" ht="13.5" thickBot="1" x14ac:dyDescent="0.25">
      <c r="A214" s="57" t="s">
        <v>51</v>
      </c>
      <c r="B214" s="58" t="s">
        <v>52</v>
      </c>
      <c r="C214" s="58" t="s">
        <v>32</v>
      </c>
      <c r="D214" s="59" t="s">
        <v>194</v>
      </c>
      <c r="E214" s="59" t="s">
        <v>53</v>
      </c>
      <c r="F214" s="60" t="s">
        <v>54</v>
      </c>
    </row>
    <row r="215" spans="1:6" ht="13.5" thickBot="1" x14ac:dyDescent="0.25">
      <c r="A215" s="11" t="s">
        <v>28</v>
      </c>
      <c r="B215" s="12" t="s">
        <v>2</v>
      </c>
      <c r="C215" s="137">
        <v>21.43</v>
      </c>
      <c r="D215" s="13">
        <f>+F210</f>
        <v>9280.3827545472941</v>
      </c>
      <c r="E215" s="13">
        <f>C215*D215/100</f>
        <v>1988.7860242994852</v>
      </c>
    </row>
    <row r="216" spans="1:6" ht="13.5" thickBot="1" x14ac:dyDescent="0.25">
      <c r="F216" s="19">
        <f>+E215</f>
        <v>1988.7860242994852</v>
      </c>
    </row>
    <row r="217" spans="1:6" ht="11.25" customHeight="1" thickBot="1" x14ac:dyDescent="0.25"/>
    <row r="218" spans="1:6" ht="13.5" thickBot="1" x14ac:dyDescent="0.25">
      <c r="A218" s="22" t="s">
        <v>199</v>
      </c>
      <c r="B218" s="26"/>
      <c r="C218" s="26"/>
      <c r="D218" s="27"/>
      <c r="E218" s="28"/>
      <c r="F218" s="20">
        <f>F216</f>
        <v>1988.7860242994852</v>
      </c>
    </row>
    <row r="219" spans="1:6" x14ac:dyDescent="0.2">
      <c r="A219" s="32"/>
      <c r="B219" s="32"/>
      <c r="C219" s="32"/>
      <c r="D219" s="33"/>
      <c r="E219" s="33"/>
      <c r="F219" s="31"/>
    </row>
    <row r="220" spans="1:6" ht="11.25" customHeight="1" thickBot="1" x14ac:dyDescent="0.25"/>
    <row r="221" spans="1:6" ht="24.75" customHeight="1" thickBot="1" x14ac:dyDescent="0.25">
      <c r="A221" s="22" t="s">
        <v>185</v>
      </c>
      <c r="B221" s="26"/>
      <c r="C221" s="26"/>
      <c r="D221" s="27"/>
      <c r="E221" s="28"/>
      <c r="F221" s="20">
        <f>F210+F218</f>
        <v>11269.168778846779</v>
      </c>
    </row>
    <row r="222" spans="1:6" ht="12.6" customHeight="1" x14ac:dyDescent="0.2">
      <c r="A222" s="53"/>
      <c r="B222" s="53"/>
      <c r="C222" s="53"/>
      <c r="D222" s="54"/>
      <c r="E222" s="54"/>
      <c r="F222" s="54"/>
    </row>
    <row r="223" spans="1:6" ht="14.25" x14ac:dyDescent="0.2">
      <c r="A223" s="6"/>
      <c r="B223" s="6"/>
      <c r="C223" s="6"/>
      <c r="D223" s="34"/>
      <c r="E223" s="34"/>
    </row>
    <row r="224" spans="1:6" ht="16.149999999999999" customHeight="1" x14ac:dyDescent="0.2">
      <c r="A224" s="290" t="s">
        <v>252</v>
      </c>
      <c r="B224" s="245"/>
      <c r="C224" s="245"/>
      <c r="D224" s="246">
        <f>B161</f>
        <v>1664</v>
      </c>
      <c r="E224" s="289" t="s">
        <v>245</v>
      </c>
    </row>
    <row r="225" spans="1:7" ht="13.5" thickBot="1" x14ac:dyDescent="0.25"/>
    <row r="226" spans="1:7" ht="25.5" customHeight="1" thickBot="1" x14ac:dyDescent="0.25">
      <c r="A226" s="22" t="s">
        <v>251</v>
      </c>
      <c r="B226" s="23"/>
      <c r="C226" s="23"/>
      <c r="D226" s="24"/>
      <c r="E226" s="247" t="s">
        <v>255</v>
      </c>
      <c r="F226" s="248">
        <f>IFERROR(F221/D224,"-")</f>
        <v>6.7723370065184971</v>
      </c>
    </row>
    <row r="227" spans="1:7" ht="12.6" customHeight="1" x14ac:dyDescent="0.2">
      <c r="A227" s="32"/>
      <c r="B227" s="32"/>
      <c r="C227" s="32"/>
      <c r="D227" s="33"/>
      <c r="E227" s="33"/>
      <c r="F227" s="33"/>
    </row>
    <row r="228" spans="1:7" s="2" customFormat="1" ht="9.75" customHeight="1" x14ac:dyDescent="0.2">
      <c r="A228" s="36"/>
      <c r="B228" s="8"/>
      <c r="C228" s="8"/>
      <c r="D228" s="8"/>
      <c r="E228" s="8"/>
      <c r="F228" s="8"/>
      <c r="G228" s="4"/>
    </row>
    <row r="229" spans="1:7" s="2" customFormat="1" ht="9.75" customHeight="1" x14ac:dyDescent="0.2">
      <c r="A229" s="36"/>
      <c r="B229" s="8"/>
      <c r="C229" s="8"/>
      <c r="D229" s="8"/>
      <c r="E229" s="8"/>
      <c r="F229" s="8"/>
      <c r="G229" s="4"/>
    </row>
    <row r="230" spans="1:7" s="2" customFormat="1" ht="9.75" customHeight="1" x14ac:dyDescent="0.2">
      <c r="A230" s="36"/>
      <c r="B230" s="8"/>
      <c r="C230" s="8"/>
      <c r="D230" s="8"/>
      <c r="E230" s="8"/>
      <c r="F230" s="8"/>
      <c r="G230" s="4"/>
    </row>
    <row r="260" spans="4:7" ht="9" customHeight="1" x14ac:dyDescent="0.2">
      <c r="D260" s="7"/>
      <c r="E260" s="7"/>
      <c r="F260" s="7"/>
      <c r="G260" s="7"/>
    </row>
  </sheetData>
  <mergeCells count="7">
    <mergeCell ref="A42:D42"/>
    <mergeCell ref="A22:C22"/>
    <mergeCell ref="A11:F11"/>
    <mergeCell ref="A12:F12"/>
    <mergeCell ref="A37:D37"/>
    <mergeCell ref="A14:F14"/>
    <mergeCell ref="A36:E36"/>
  </mergeCells>
  <phoneticPr fontId="9" type="noConversion"/>
  <hyperlinks>
    <hyperlink ref="A141" location="AbaRemun" display="3.1.2. Remuneração do Capital"/>
    <hyperlink ref="A131" location="AbaDeprec" display="3.1.1. Depreciação"/>
  </hyperlink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4" manualBreakCount="4">
    <brk id="47" max="16383" man="1"/>
    <brk id="78" max="16383" man="1"/>
    <brk id="126" max="16383" man="1"/>
    <brk id="181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opLeftCell="A25" zoomScaleNormal="100" workbookViewId="0">
      <selection activeCell="D31" sqref="D31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53" customWidth="1"/>
    <col min="5" max="10" width="9.140625" style="1"/>
    <col min="11" max="11" width="11" style="1" bestFit="1" customWidth="1"/>
    <col min="12" max="16384" width="9.140625" style="1"/>
  </cols>
  <sheetData>
    <row r="1" spans="1:12" x14ac:dyDescent="0.2">
      <c r="A1" s="9" t="s">
        <v>169</v>
      </c>
    </row>
    <row r="2" spans="1:12" x14ac:dyDescent="0.2">
      <c r="A2" s="136" t="s">
        <v>205</v>
      </c>
    </row>
    <row r="3" spans="1:12" s="2" customFormat="1" ht="15.6" customHeight="1" x14ac:dyDescent="0.2">
      <c r="B3" s="135"/>
      <c r="C3" s="135"/>
      <c r="D3" s="135"/>
      <c r="E3" s="135"/>
      <c r="F3" s="135"/>
      <c r="G3" s="4"/>
    </row>
    <row r="4" spans="1:12" s="2" customFormat="1" ht="15.6" customHeight="1" x14ac:dyDescent="0.2">
      <c r="A4" s="279" t="s">
        <v>225</v>
      </c>
      <c r="B4" s="135"/>
      <c r="C4" s="135"/>
      <c r="D4" s="135"/>
      <c r="E4" s="135"/>
      <c r="F4" s="135"/>
      <c r="G4" s="4"/>
    </row>
    <row r="5" spans="1:12" s="2" customFormat="1" ht="16.5" customHeight="1" x14ac:dyDescent="0.2">
      <c r="A5" s="279" t="s">
        <v>222</v>
      </c>
      <c r="B5" s="3"/>
      <c r="C5" s="3"/>
      <c r="D5" s="4"/>
      <c r="E5" s="4"/>
      <c r="F5" s="4"/>
      <c r="G5" s="4"/>
    </row>
    <row r="6" spans="1:12" ht="13.5" thickBot="1" x14ac:dyDescent="0.25"/>
    <row r="7" spans="1:12" ht="18" x14ac:dyDescent="0.2">
      <c r="A7" s="308" t="s">
        <v>188</v>
      </c>
      <c r="B7" s="309"/>
      <c r="C7" s="310"/>
      <c r="D7" s="145"/>
      <c r="E7" s="145"/>
      <c r="F7" s="145"/>
    </row>
    <row r="8" spans="1:12" ht="14.25" x14ac:dyDescent="0.2">
      <c r="A8" s="162" t="s">
        <v>109</v>
      </c>
      <c r="B8" s="163" t="s">
        <v>110</v>
      </c>
      <c r="C8" s="164" t="s">
        <v>111</v>
      </c>
      <c r="D8" s="165"/>
    </row>
    <row r="9" spans="1:12" ht="14.25" x14ac:dyDescent="0.2">
      <c r="A9" s="162" t="s">
        <v>112</v>
      </c>
      <c r="B9" s="163" t="s">
        <v>33</v>
      </c>
      <c r="C9" s="166">
        <v>0.2</v>
      </c>
      <c r="D9" s="165"/>
      <c r="F9" s="153"/>
      <c r="G9" s="153"/>
      <c r="H9" s="153"/>
      <c r="I9" s="153"/>
      <c r="J9" s="153"/>
      <c r="K9" s="153"/>
      <c r="L9" s="153"/>
    </row>
    <row r="10" spans="1:12" ht="14.25" x14ac:dyDescent="0.2">
      <c r="A10" s="162" t="s">
        <v>113</v>
      </c>
      <c r="B10" s="163" t="s">
        <v>114</v>
      </c>
      <c r="C10" s="166">
        <v>1.4999999999999999E-2</v>
      </c>
      <c r="D10" s="165"/>
      <c r="F10" s="153"/>
      <c r="G10" s="153"/>
      <c r="H10" s="153"/>
      <c r="I10" s="153"/>
      <c r="J10" s="153"/>
      <c r="K10" s="153"/>
      <c r="L10" s="153"/>
    </row>
    <row r="11" spans="1:12" ht="14.25" x14ac:dyDescent="0.2">
      <c r="A11" s="162" t="s">
        <v>115</v>
      </c>
      <c r="B11" s="163" t="s">
        <v>116</v>
      </c>
      <c r="C11" s="166">
        <v>0.01</v>
      </c>
      <c r="D11" s="165"/>
      <c r="F11" s="153"/>
      <c r="G11" s="153"/>
      <c r="H11" s="153"/>
      <c r="I11" s="153"/>
      <c r="J11" s="153"/>
      <c r="K11" s="153"/>
      <c r="L11" s="153"/>
    </row>
    <row r="12" spans="1:12" ht="14.25" x14ac:dyDescent="0.2">
      <c r="A12" s="162" t="s">
        <v>117</v>
      </c>
      <c r="B12" s="163" t="s">
        <v>118</v>
      </c>
      <c r="C12" s="166">
        <v>2E-3</v>
      </c>
      <c r="D12" s="165"/>
      <c r="F12" s="153"/>
      <c r="G12" s="153"/>
      <c r="H12" s="153"/>
      <c r="I12" s="153"/>
      <c r="J12" s="153"/>
      <c r="K12" s="153"/>
      <c r="L12" s="153"/>
    </row>
    <row r="13" spans="1:12" ht="14.25" x14ac:dyDescent="0.2">
      <c r="A13" s="162" t="s">
        <v>119</v>
      </c>
      <c r="B13" s="163" t="s">
        <v>120</v>
      </c>
      <c r="C13" s="166">
        <v>6.0000000000000001E-3</v>
      </c>
      <c r="D13" s="165"/>
      <c r="F13" s="153"/>
      <c r="G13" s="153"/>
      <c r="H13" s="153"/>
      <c r="I13" s="153"/>
      <c r="J13" s="153"/>
      <c r="K13" s="153"/>
      <c r="L13" s="153"/>
    </row>
    <row r="14" spans="1:12" ht="14.25" x14ac:dyDescent="0.2">
      <c r="A14" s="162" t="s">
        <v>121</v>
      </c>
      <c r="B14" s="163" t="s">
        <v>122</v>
      </c>
      <c r="C14" s="166">
        <v>2.5000000000000001E-2</v>
      </c>
      <c r="D14" s="165"/>
      <c r="F14" s="153"/>
      <c r="G14" s="153"/>
      <c r="H14" s="153"/>
      <c r="I14" s="153"/>
      <c r="J14" s="153"/>
      <c r="K14" s="153"/>
      <c r="L14" s="153"/>
    </row>
    <row r="15" spans="1:12" ht="14.25" x14ac:dyDescent="0.2">
      <c r="A15" s="162" t="s">
        <v>123</v>
      </c>
      <c r="B15" s="163" t="s">
        <v>124</v>
      </c>
      <c r="C15" s="166">
        <v>0.03</v>
      </c>
      <c r="D15" s="165"/>
      <c r="F15" s="153"/>
      <c r="G15" s="153"/>
      <c r="H15" s="153"/>
      <c r="I15" s="153"/>
      <c r="J15" s="153"/>
      <c r="K15" s="153"/>
      <c r="L15" s="153"/>
    </row>
    <row r="16" spans="1:12" ht="14.25" x14ac:dyDescent="0.2">
      <c r="A16" s="162" t="s">
        <v>125</v>
      </c>
      <c r="B16" s="163" t="s">
        <v>34</v>
      </c>
      <c r="C16" s="166">
        <v>0.08</v>
      </c>
      <c r="D16" s="167"/>
      <c r="F16" s="153"/>
      <c r="G16" s="153"/>
      <c r="H16" s="153"/>
      <c r="I16" s="153"/>
      <c r="J16" s="153"/>
      <c r="K16" s="153"/>
      <c r="L16" s="153"/>
    </row>
    <row r="17" spans="1:12" ht="15" x14ac:dyDescent="0.2">
      <c r="A17" s="162" t="s">
        <v>126</v>
      </c>
      <c r="B17" s="168" t="s">
        <v>127</v>
      </c>
      <c r="C17" s="169">
        <f>SUM(C9:C16)</f>
        <v>0.36800000000000005</v>
      </c>
      <c r="D17" s="167"/>
      <c r="F17" s="153"/>
      <c r="G17" s="153"/>
      <c r="H17" s="153"/>
      <c r="I17" s="153"/>
      <c r="J17" s="153"/>
      <c r="K17" s="153"/>
      <c r="L17" s="153"/>
    </row>
    <row r="18" spans="1:12" ht="15" x14ac:dyDescent="0.2">
      <c r="A18" s="170"/>
      <c r="B18" s="171"/>
      <c r="C18" s="172"/>
      <c r="D18" s="167"/>
      <c r="F18" s="153"/>
      <c r="G18" s="153"/>
      <c r="H18" s="153"/>
      <c r="I18" s="153"/>
      <c r="J18" s="153"/>
      <c r="K18" s="153"/>
      <c r="L18" s="153"/>
    </row>
    <row r="19" spans="1:12" ht="14.25" x14ac:dyDescent="0.2">
      <c r="A19" s="162" t="s">
        <v>128</v>
      </c>
      <c r="B19" s="173" t="s">
        <v>129</v>
      </c>
      <c r="C19" s="166">
        <f>ROUND(IF('3.CAGED'!C28&gt;24,(1-12/'3.CAGED'!C28)*0.1111,0.1111-C28),4)</f>
        <v>0</v>
      </c>
      <c r="D19" s="167"/>
      <c r="F19" s="153"/>
      <c r="G19" s="153"/>
      <c r="H19" s="153"/>
      <c r="I19" s="153"/>
      <c r="J19" s="153"/>
      <c r="K19" s="153"/>
      <c r="L19" s="153"/>
    </row>
    <row r="20" spans="1:12" ht="14.25" x14ac:dyDescent="0.2">
      <c r="A20" s="162" t="s">
        <v>130</v>
      </c>
      <c r="B20" s="173" t="s">
        <v>131</v>
      </c>
      <c r="C20" s="166">
        <f>ROUND('3.CAGED'!C32/'3.CAGED'!C29,4)</f>
        <v>8.3299999999999999E-2</v>
      </c>
      <c r="D20" s="167"/>
      <c r="F20" s="153"/>
      <c r="G20" s="153"/>
      <c r="H20" s="153"/>
      <c r="I20" s="153"/>
      <c r="J20" s="153"/>
      <c r="K20" s="153"/>
      <c r="L20" s="153"/>
    </row>
    <row r="21" spans="1:12" ht="14.25" x14ac:dyDescent="0.2">
      <c r="A21" s="162" t="s">
        <v>179</v>
      </c>
      <c r="B21" s="173" t="s">
        <v>133</v>
      </c>
      <c r="C21" s="166">
        <v>5.9999999999999995E-4</v>
      </c>
      <c r="D21" s="167"/>
      <c r="F21" s="153"/>
      <c r="G21" s="153"/>
      <c r="H21" s="153"/>
      <c r="I21" s="153"/>
      <c r="J21" s="153"/>
      <c r="K21" s="153"/>
      <c r="L21" s="153"/>
    </row>
    <row r="22" spans="1:12" ht="14.25" x14ac:dyDescent="0.2">
      <c r="A22" s="162" t="s">
        <v>132</v>
      </c>
      <c r="B22" s="173" t="s">
        <v>135</v>
      </c>
      <c r="C22" s="166">
        <v>8.2000000000000007E-3</v>
      </c>
      <c r="D22" s="167"/>
      <c r="F22" s="153"/>
      <c r="G22" s="153"/>
      <c r="H22" s="153"/>
      <c r="I22" s="153"/>
      <c r="J22" s="153"/>
      <c r="K22" s="153"/>
      <c r="L22" s="153"/>
    </row>
    <row r="23" spans="1:12" ht="14.25" x14ac:dyDescent="0.2">
      <c r="A23" s="162" t="s">
        <v>134</v>
      </c>
      <c r="B23" s="173" t="s">
        <v>137</v>
      </c>
      <c r="C23" s="166">
        <v>3.0999999999999999E-3</v>
      </c>
      <c r="D23" s="167"/>
      <c r="F23" s="153"/>
      <c r="G23" s="153"/>
      <c r="H23" s="153"/>
      <c r="I23" s="153"/>
      <c r="J23" s="153"/>
      <c r="K23" s="153"/>
      <c r="L23" s="153"/>
    </row>
    <row r="24" spans="1:12" ht="14.25" x14ac:dyDescent="0.2">
      <c r="A24" s="162" t="s">
        <v>136</v>
      </c>
      <c r="B24" s="173" t="s">
        <v>138</v>
      </c>
      <c r="C24" s="166">
        <v>1.66E-2</v>
      </c>
      <c r="D24" s="167"/>
      <c r="F24" s="153"/>
      <c r="G24" s="153"/>
      <c r="H24" s="153"/>
      <c r="I24" s="153"/>
      <c r="J24" s="153"/>
      <c r="K24" s="153"/>
      <c r="L24" s="153"/>
    </row>
    <row r="25" spans="1:12" ht="15" x14ac:dyDescent="0.2">
      <c r="A25" s="162" t="s">
        <v>139</v>
      </c>
      <c r="B25" s="168" t="s">
        <v>140</v>
      </c>
      <c r="C25" s="169">
        <f>SUM(C19:C24)</f>
        <v>0.11180000000000001</v>
      </c>
      <c r="D25" s="174"/>
      <c r="F25" s="153"/>
      <c r="G25" s="153"/>
      <c r="H25" s="153"/>
      <c r="I25" s="153"/>
      <c r="J25" s="153"/>
      <c r="K25" s="153"/>
      <c r="L25" s="153"/>
    </row>
    <row r="26" spans="1:12" ht="15" x14ac:dyDescent="0.2">
      <c r="A26" s="170"/>
      <c r="B26" s="171"/>
      <c r="C26" s="172"/>
      <c r="D26" s="174"/>
      <c r="F26" s="153"/>
      <c r="G26" s="153"/>
      <c r="H26" s="153"/>
      <c r="I26" s="153"/>
      <c r="J26" s="153"/>
      <c r="K26" s="153"/>
      <c r="L26" s="153"/>
    </row>
    <row r="27" spans="1:12" ht="14.25" x14ac:dyDescent="0.2">
      <c r="A27" s="162" t="s">
        <v>141</v>
      </c>
      <c r="B27" s="163" t="s">
        <v>142</v>
      </c>
      <c r="C27" s="166">
        <f>ROUND(('3.CAGED'!C33) *'3.CAGED'!C26/'3.CAGED'!C29,4)</f>
        <v>0.1366</v>
      </c>
      <c r="D27" s="167"/>
      <c r="E27" s="175"/>
      <c r="F27" s="153"/>
      <c r="G27" s="153"/>
      <c r="H27" s="153"/>
      <c r="I27" s="153"/>
      <c r="J27" s="153"/>
      <c r="K27" s="153"/>
      <c r="L27" s="153"/>
    </row>
    <row r="28" spans="1:12" ht="14.25" x14ac:dyDescent="0.2">
      <c r="A28" s="162" t="s">
        <v>178</v>
      </c>
      <c r="B28" s="163" t="s">
        <v>144</v>
      </c>
      <c r="C28" s="166">
        <f>ROUND(IF('3.CAGED'!C28&gt;12,12/'3.CAGED'!C28*0.1111,0.1111),4)</f>
        <v>0.1111</v>
      </c>
      <c r="D28" s="167"/>
      <c r="F28" s="153"/>
      <c r="G28" s="153"/>
      <c r="H28" s="176"/>
      <c r="I28" s="153"/>
      <c r="J28" s="153"/>
      <c r="K28" s="153"/>
      <c r="L28" s="153"/>
    </row>
    <row r="29" spans="1:12" ht="14.25" x14ac:dyDescent="0.2">
      <c r="A29" s="162" t="s">
        <v>143</v>
      </c>
      <c r="B29" s="163" t="s">
        <v>146</v>
      </c>
      <c r="C29" s="166">
        <f>C27*C28</f>
        <v>1.517626E-2</v>
      </c>
      <c r="D29" s="167"/>
      <c r="E29" s="175"/>
      <c r="F29" s="153"/>
      <c r="G29" s="153"/>
      <c r="H29" s="153"/>
      <c r="I29" s="153"/>
      <c r="J29" s="153"/>
      <c r="K29" s="153"/>
      <c r="L29" s="153"/>
    </row>
    <row r="30" spans="1:12" ht="14.25" x14ac:dyDescent="0.2">
      <c r="A30" s="162" t="s">
        <v>145</v>
      </c>
      <c r="B30" s="163" t="s">
        <v>148</v>
      </c>
      <c r="C30" s="166">
        <f>ROUND(('3.CAGED'!C29+'3.CAGED'!C30+'3.CAGED'!C32)/'3.CAGED'!C27*'3.CAGED'!C34*'3.CAGED'!C35*'3.CAGED'!C26/'3.CAGED'!C29,4)</f>
        <v>3.44E-2</v>
      </c>
      <c r="D30" s="167"/>
      <c r="F30" s="153"/>
      <c r="G30" s="177"/>
      <c r="H30" s="153"/>
      <c r="I30" s="153"/>
      <c r="J30" s="153"/>
      <c r="K30" s="153"/>
      <c r="L30" s="153"/>
    </row>
    <row r="31" spans="1:12" ht="14.25" x14ac:dyDescent="0.2">
      <c r="A31" s="162" t="s">
        <v>147</v>
      </c>
      <c r="B31" s="163" t="s">
        <v>149</v>
      </c>
      <c r="C31" s="166">
        <f>ROUND(('3.CAGED'!C31/'3.CAGED'!C29)*'3.CAGED'!C26/12,4)</f>
        <v>1.14E-2</v>
      </c>
      <c r="D31" s="167"/>
      <c r="F31" s="153"/>
      <c r="G31" s="153"/>
      <c r="H31" s="153"/>
      <c r="I31" s="153"/>
      <c r="J31" s="153"/>
      <c r="K31" s="153"/>
      <c r="L31" s="153"/>
    </row>
    <row r="32" spans="1:12" ht="15" x14ac:dyDescent="0.2">
      <c r="A32" s="162" t="s">
        <v>150</v>
      </c>
      <c r="B32" s="168" t="s">
        <v>151</v>
      </c>
      <c r="C32" s="169">
        <f>SUM(C27:C31)</f>
        <v>0.30867626000000004</v>
      </c>
      <c r="D32" s="174"/>
      <c r="F32" s="153"/>
      <c r="G32" s="153"/>
      <c r="H32" s="153"/>
      <c r="I32" s="153"/>
      <c r="J32" s="153"/>
      <c r="K32" s="153"/>
      <c r="L32" s="153"/>
    </row>
    <row r="33" spans="1:12" ht="15" x14ac:dyDescent="0.2">
      <c r="A33" s="170"/>
      <c r="B33" s="171"/>
      <c r="C33" s="172"/>
      <c r="D33" s="174"/>
      <c r="F33" s="153"/>
      <c r="G33" s="153"/>
      <c r="H33" s="153"/>
      <c r="I33" s="153"/>
      <c r="J33" s="153"/>
      <c r="K33" s="153"/>
      <c r="L33" s="153"/>
    </row>
    <row r="34" spans="1:12" ht="14.25" x14ac:dyDescent="0.2">
      <c r="A34" s="162" t="s">
        <v>152</v>
      </c>
      <c r="B34" s="163" t="s">
        <v>153</v>
      </c>
      <c r="C34" s="166">
        <f>ROUND(C17*C25,4)</f>
        <v>4.1099999999999998E-2</v>
      </c>
      <c r="D34" s="167"/>
      <c r="F34" s="153"/>
      <c r="G34" s="153"/>
      <c r="H34" s="153"/>
      <c r="I34" s="153"/>
      <c r="J34" s="153"/>
      <c r="K34" s="153"/>
      <c r="L34" s="153"/>
    </row>
    <row r="35" spans="1:12" ht="28.5" x14ac:dyDescent="0.2">
      <c r="A35" s="162" t="s">
        <v>154</v>
      </c>
      <c r="B35" s="178" t="s">
        <v>221</v>
      </c>
      <c r="C35" s="166">
        <f>ROUND((C27*C16),4)</f>
        <v>1.09E-2</v>
      </c>
      <c r="D35" s="167"/>
      <c r="F35" s="153"/>
      <c r="G35" s="153"/>
      <c r="H35" s="153"/>
      <c r="I35" s="153"/>
      <c r="J35" s="153"/>
      <c r="K35" s="153"/>
      <c r="L35" s="153"/>
    </row>
    <row r="36" spans="1:12" ht="15" x14ac:dyDescent="0.2">
      <c r="A36" s="162" t="s">
        <v>155</v>
      </c>
      <c r="B36" s="168" t="s">
        <v>156</v>
      </c>
      <c r="C36" s="169">
        <f>SUM(C34:C35)</f>
        <v>5.1999999999999998E-2</v>
      </c>
      <c r="D36" s="179"/>
      <c r="F36" s="153"/>
      <c r="G36" s="153"/>
      <c r="H36" s="153"/>
      <c r="I36" s="153"/>
      <c r="J36" s="153"/>
      <c r="K36" s="153"/>
      <c r="L36" s="153"/>
    </row>
    <row r="37" spans="1:12" ht="15.75" thickBot="1" x14ac:dyDescent="0.25">
      <c r="A37" s="180"/>
      <c r="B37" s="181" t="s">
        <v>157</v>
      </c>
      <c r="C37" s="182">
        <f>C36+C32+C25+C17</f>
        <v>0.84047626000000009</v>
      </c>
      <c r="D37" s="179"/>
      <c r="F37" s="153"/>
      <c r="G37" s="153"/>
      <c r="H37" s="153"/>
      <c r="I37" s="153"/>
      <c r="J37" s="153"/>
      <c r="K37" s="153"/>
      <c r="L37" s="153"/>
    </row>
    <row r="38" spans="1:12" ht="15" x14ac:dyDescent="0.2">
      <c r="A38" s="167"/>
      <c r="B38" s="183"/>
      <c r="C38" s="184"/>
      <c r="D38" s="185"/>
      <c r="F38" s="153"/>
      <c r="G38" s="153"/>
      <c r="H38" s="153"/>
      <c r="I38" s="153"/>
      <c r="J38" s="153"/>
      <c r="K38" s="153"/>
      <c r="L38" s="153"/>
    </row>
    <row r="39" spans="1:12" ht="14.25" x14ac:dyDescent="0.2">
      <c r="A39" s="167"/>
      <c r="B39" s="167"/>
      <c r="C39" s="186"/>
      <c r="D39" s="187"/>
      <c r="F39" s="153"/>
      <c r="G39" s="153"/>
      <c r="H39" s="153"/>
      <c r="I39" s="153"/>
      <c r="J39" s="153"/>
      <c r="K39" s="153"/>
      <c r="L39" s="153"/>
    </row>
    <row r="40" spans="1:12" ht="14.25" x14ac:dyDescent="0.2">
      <c r="A40" s="165"/>
      <c r="B40" s="165"/>
      <c r="C40" s="188"/>
      <c r="D40" s="165"/>
      <c r="F40" s="153"/>
      <c r="G40" s="153"/>
      <c r="H40" s="153"/>
      <c r="I40" s="153"/>
      <c r="J40" s="153"/>
      <c r="K40" s="153"/>
      <c r="L40" s="153"/>
    </row>
    <row r="41" spans="1:12" ht="14.25" x14ac:dyDescent="0.2">
      <c r="A41" s="165"/>
      <c r="B41" s="165"/>
      <c r="C41" s="188"/>
      <c r="D41" s="165"/>
      <c r="F41" s="153"/>
      <c r="G41" s="153"/>
      <c r="H41" s="153"/>
      <c r="I41" s="153"/>
      <c r="J41" s="153"/>
      <c r="K41" s="153"/>
      <c r="L41" s="153"/>
    </row>
    <row r="42" spans="1:12" ht="14.25" x14ac:dyDescent="0.2">
      <c r="A42" s="165"/>
      <c r="B42" s="165"/>
      <c r="C42" s="188"/>
      <c r="D42" s="165"/>
      <c r="F42" s="153"/>
      <c r="G42" s="153"/>
      <c r="H42" s="153"/>
      <c r="I42" s="153"/>
      <c r="J42" s="153"/>
      <c r="K42" s="153"/>
      <c r="L42" s="153"/>
    </row>
    <row r="43" spans="1:12" ht="15" x14ac:dyDescent="0.2">
      <c r="A43" s="165"/>
      <c r="B43" s="189"/>
      <c r="C43" s="190"/>
      <c r="D43" s="165"/>
      <c r="F43" s="153"/>
      <c r="G43" s="153"/>
      <c r="H43" s="153"/>
      <c r="I43" s="153"/>
      <c r="J43" s="153"/>
      <c r="K43" s="153"/>
      <c r="L43" s="153"/>
    </row>
    <row r="44" spans="1:12" ht="15" x14ac:dyDescent="0.2">
      <c r="A44" s="179"/>
      <c r="B44" s="189"/>
      <c r="C44" s="190"/>
      <c r="D44" s="179"/>
      <c r="E44" s="153"/>
      <c r="F44" s="153"/>
      <c r="G44" s="153"/>
      <c r="H44" s="153"/>
      <c r="I44" s="153"/>
      <c r="J44" s="153"/>
      <c r="K44" s="153"/>
      <c r="L44" s="153"/>
    </row>
    <row r="45" spans="1:12" ht="16.5" x14ac:dyDescent="0.2">
      <c r="A45" s="191"/>
      <c r="B45" s="153"/>
      <c r="C45" s="153"/>
      <c r="E45" s="153"/>
      <c r="F45" s="153"/>
      <c r="G45" s="153"/>
      <c r="H45" s="153"/>
      <c r="I45" s="153"/>
      <c r="J45" s="153"/>
      <c r="K45" s="153"/>
      <c r="L45" s="153"/>
    </row>
    <row r="46" spans="1:12" x14ac:dyDescent="0.2">
      <c r="A46" s="192"/>
      <c r="B46" s="193"/>
      <c r="C46" s="193"/>
      <c r="E46" s="153"/>
      <c r="F46" s="153"/>
      <c r="G46" s="153"/>
      <c r="H46" s="153"/>
      <c r="I46" s="153"/>
      <c r="J46" s="153"/>
      <c r="K46" s="153"/>
      <c r="L46" s="153"/>
    </row>
    <row r="47" spans="1:12" ht="14.25" x14ac:dyDescent="0.2">
      <c r="A47" s="165"/>
      <c r="B47" s="194"/>
      <c r="C47" s="193"/>
      <c r="E47" s="153"/>
      <c r="F47" s="153"/>
      <c r="G47" s="153"/>
      <c r="H47" s="153"/>
      <c r="I47" s="153"/>
      <c r="J47" s="153"/>
      <c r="K47" s="153"/>
      <c r="L47" s="153"/>
    </row>
    <row r="48" spans="1:12" ht="14.25" x14ac:dyDescent="0.2">
      <c r="A48" s="165"/>
      <c r="B48" s="194"/>
      <c r="C48" s="165"/>
      <c r="E48" s="153"/>
      <c r="F48" s="153"/>
      <c r="G48" s="153"/>
      <c r="H48" s="153"/>
      <c r="I48" s="153"/>
      <c r="J48" s="153"/>
      <c r="K48" s="153"/>
      <c r="L48" s="153"/>
    </row>
    <row r="49" spans="1:12" ht="14.25" x14ac:dyDescent="0.2">
      <c r="A49" s="165"/>
      <c r="B49" s="188"/>
      <c r="C49" s="193"/>
      <c r="E49" s="153"/>
      <c r="F49" s="153"/>
      <c r="G49" s="153"/>
      <c r="H49" s="153"/>
      <c r="I49" s="153"/>
      <c r="J49" s="153"/>
      <c r="K49" s="153"/>
      <c r="L49" s="153"/>
    </row>
    <row r="50" spans="1:12" ht="14.25" x14ac:dyDescent="0.2">
      <c r="A50" s="165"/>
      <c r="B50" s="194"/>
      <c r="C50" s="165"/>
      <c r="E50" s="153"/>
      <c r="F50" s="153"/>
      <c r="G50" s="153"/>
      <c r="H50" s="153"/>
      <c r="I50" s="153"/>
      <c r="J50" s="153"/>
      <c r="K50" s="153"/>
      <c r="L50" s="153"/>
    </row>
    <row r="51" spans="1:12" ht="14.25" x14ac:dyDescent="0.2">
      <c r="A51" s="165"/>
      <c r="B51" s="188"/>
      <c r="C51" s="193"/>
      <c r="E51" s="153"/>
      <c r="F51" s="153"/>
      <c r="G51" s="153"/>
      <c r="H51" s="153"/>
      <c r="I51" s="153"/>
      <c r="J51" s="153"/>
      <c r="K51" s="153"/>
      <c r="L51" s="153"/>
    </row>
    <row r="52" spans="1:12" ht="14.25" x14ac:dyDescent="0.2">
      <c r="A52" s="165"/>
      <c r="B52" s="194"/>
      <c r="C52" s="165"/>
      <c r="E52" s="153"/>
      <c r="F52" s="153"/>
      <c r="G52" s="153"/>
      <c r="H52" s="153"/>
      <c r="I52" s="153"/>
      <c r="J52" s="153"/>
      <c r="K52" s="153"/>
      <c r="L52" s="153"/>
    </row>
    <row r="53" spans="1:12" ht="14.25" x14ac:dyDescent="0.2">
      <c r="A53" s="165"/>
      <c r="B53" s="188"/>
      <c r="C53" s="193"/>
      <c r="E53" s="153"/>
      <c r="F53" s="153"/>
      <c r="G53" s="153"/>
      <c r="H53" s="153"/>
      <c r="I53" s="153"/>
      <c r="J53" s="153"/>
      <c r="K53" s="153"/>
      <c r="L53" s="153"/>
    </row>
    <row r="54" spans="1:12" ht="14.25" x14ac:dyDescent="0.2">
      <c r="A54" s="165"/>
      <c r="B54" s="194"/>
      <c r="C54" s="165"/>
      <c r="E54" s="153"/>
      <c r="F54" s="153"/>
      <c r="G54" s="153"/>
      <c r="H54" s="153"/>
      <c r="I54" s="153"/>
      <c r="J54" s="153"/>
      <c r="K54" s="153"/>
      <c r="L54" s="153"/>
    </row>
    <row r="55" spans="1:12" ht="14.25" x14ac:dyDescent="0.2">
      <c r="A55" s="165"/>
      <c r="B55" s="188"/>
      <c r="C55" s="193"/>
      <c r="E55" s="153"/>
      <c r="F55" s="153"/>
      <c r="G55" s="153"/>
      <c r="H55" s="153"/>
      <c r="I55" s="153"/>
      <c r="J55" s="153"/>
      <c r="K55" s="153"/>
      <c r="L55" s="153"/>
    </row>
    <row r="56" spans="1:12" ht="16.5" x14ac:dyDescent="0.2">
      <c r="A56" s="191"/>
      <c r="B56" s="153"/>
      <c r="C56" s="153"/>
      <c r="E56" s="153"/>
      <c r="F56" s="153"/>
      <c r="G56" s="153"/>
      <c r="H56" s="153"/>
      <c r="I56" s="153"/>
      <c r="J56" s="153"/>
      <c r="K56" s="153"/>
      <c r="L56" s="153"/>
    </row>
    <row r="57" spans="1:12" x14ac:dyDescent="0.2">
      <c r="A57" s="153"/>
      <c r="B57" s="153"/>
      <c r="C57" s="153"/>
      <c r="E57" s="153"/>
      <c r="F57" s="153"/>
      <c r="G57" s="153"/>
      <c r="H57" s="153"/>
      <c r="I57" s="153"/>
      <c r="J57" s="153"/>
      <c r="K57" s="153"/>
      <c r="L57" s="153"/>
    </row>
    <row r="58" spans="1:12" x14ac:dyDescent="0.2">
      <c r="A58" s="153"/>
      <c r="B58" s="153"/>
      <c r="C58" s="153"/>
      <c r="E58" s="153"/>
      <c r="F58" s="153"/>
      <c r="G58" s="153"/>
      <c r="H58" s="153"/>
      <c r="I58" s="153"/>
      <c r="J58" s="153"/>
      <c r="K58" s="153"/>
      <c r="L58" s="153"/>
    </row>
    <row r="59" spans="1:12" x14ac:dyDescent="0.2">
      <c r="A59" s="195"/>
      <c r="B59" s="153"/>
      <c r="C59" s="153"/>
      <c r="E59" s="153"/>
      <c r="F59" s="153"/>
      <c r="G59" s="153"/>
      <c r="H59" s="153"/>
      <c r="I59" s="153"/>
      <c r="J59" s="153"/>
      <c r="K59" s="153"/>
      <c r="L59" s="153"/>
    </row>
    <row r="60" spans="1:12" x14ac:dyDescent="0.2">
      <c r="A60" s="153"/>
      <c r="B60" s="153"/>
      <c r="C60" s="153"/>
      <c r="E60" s="153"/>
    </row>
    <row r="61" spans="1:12" x14ac:dyDescent="0.2">
      <c r="A61" s="153"/>
      <c r="B61" s="153"/>
      <c r="C61" s="153"/>
      <c r="E61" s="153"/>
    </row>
    <row r="62" spans="1:12" x14ac:dyDescent="0.2">
      <c r="A62" s="153"/>
      <c r="B62" s="153"/>
      <c r="C62" s="153"/>
      <c r="E62" s="153"/>
    </row>
    <row r="63" spans="1:12" x14ac:dyDescent="0.2">
      <c r="A63" s="153"/>
      <c r="B63" s="153"/>
      <c r="C63" s="153"/>
      <c r="E63" s="153"/>
    </row>
    <row r="64" spans="1:12" x14ac:dyDescent="0.2">
      <c r="A64" s="153"/>
      <c r="B64" s="153"/>
      <c r="C64" s="153"/>
      <c r="E64" s="153"/>
    </row>
    <row r="65" spans="1:5" x14ac:dyDescent="0.2">
      <c r="A65" s="153"/>
      <c r="B65" s="153"/>
      <c r="C65" s="153"/>
      <c r="E65" s="153"/>
    </row>
    <row r="66" spans="1:5" x14ac:dyDescent="0.2">
      <c r="A66" s="153"/>
      <c r="B66" s="153"/>
      <c r="C66" s="153"/>
      <c r="E66" s="153"/>
    </row>
    <row r="67" spans="1:5" x14ac:dyDescent="0.2">
      <c r="A67" s="153"/>
      <c r="B67" s="153"/>
      <c r="C67" s="153"/>
      <c r="E67" s="153"/>
    </row>
    <row r="68" spans="1:5" x14ac:dyDescent="0.2">
      <c r="A68" s="153"/>
      <c r="B68" s="153"/>
      <c r="C68" s="153"/>
      <c r="E68" s="153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10" zoomScaleNormal="100" workbookViewId="0">
      <selection activeCell="B23" sqref="B23"/>
    </sheetView>
  </sheetViews>
  <sheetFormatPr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105" t="s">
        <v>200</v>
      </c>
    </row>
    <row r="3" spans="1:3" x14ac:dyDescent="0.2">
      <c r="A3" s="281" t="s">
        <v>233</v>
      </c>
    </row>
    <row r="5" spans="1:3" x14ac:dyDescent="0.2">
      <c r="A5" s="281" t="s">
        <v>232</v>
      </c>
    </row>
    <row r="6" spans="1:3" ht="13.5" thickBot="1" x14ac:dyDescent="0.25"/>
    <row r="7" spans="1:3" ht="18" x14ac:dyDescent="0.25">
      <c r="B7" s="311" t="s">
        <v>186</v>
      </c>
      <c r="C7" s="312"/>
    </row>
    <row r="8" spans="1:3" ht="15" x14ac:dyDescent="0.25">
      <c r="A8" s="153"/>
      <c r="B8" s="152" t="s">
        <v>235</v>
      </c>
      <c r="C8" s="196"/>
    </row>
    <row r="9" spans="1:3" ht="15" x14ac:dyDescent="0.25">
      <c r="A9" s="153"/>
      <c r="B9" s="154" t="s">
        <v>93</v>
      </c>
      <c r="C9" s="155">
        <v>808</v>
      </c>
    </row>
    <row r="10" spans="1:3" ht="15" x14ac:dyDescent="0.25">
      <c r="A10" s="153"/>
      <c r="B10" s="156" t="s">
        <v>94</v>
      </c>
      <c r="C10" s="155">
        <v>765</v>
      </c>
    </row>
    <row r="11" spans="1:3" ht="14.25" x14ac:dyDescent="0.2">
      <c r="A11" s="153"/>
      <c r="B11" s="197" t="s">
        <v>95</v>
      </c>
      <c r="C11" s="198">
        <v>5</v>
      </c>
    </row>
    <row r="12" spans="1:3" ht="14.25" x14ac:dyDescent="0.2">
      <c r="A12" s="153"/>
      <c r="B12" s="197" t="s">
        <v>96</v>
      </c>
      <c r="C12" s="198">
        <v>760</v>
      </c>
    </row>
    <row r="13" spans="1:3" ht="14.25" x14ac:dyDescent="0.2">
      <c r="A13" s="153"/>
      <c r="B13" s="197" t="s">
        <v>97</v>
      </c>
      <c r="C13" s="198">
        <v>0</v>
      </c>
    </row>
    <row r="14" spans="1:3" ht="14.25" x14ac:dyDescent="0.2">
      <c r="A14" s="153"/>
      <c r="B14" s="197" t="s">
        <v>98</v>
      </c>
      <c r="C14" s="198">
        <v>0</v>
      </c>
    </row>
    <row r="15" spans="1:3" ht="14.25" x14ac:dyDescent="0.2">
      <c r="A15" s="153"/>
      <c r="B15" s="197" t="s">
        <v>99</v>
      </c>
      <c r="C15" s="198">
        <v>0</v>
      </c>
    </row>
    <row r="16" spans="1:3" ht="14.25" x14ac:dyDescent="0.2">
      <c r="A16" s="153"/>
      <c r="B16" s="197" t="s">
        <v>100</v>
      </c>
      <c r="C16" s="198">
        <v>0</v>
      </c>
    </row>
    <row r="17" spans="1:5" ht="14.25" x14ac:dyDescent="0.2">
      <c r="A17" s="153"/>
      <c r="B17" s="197" t="s">
        <v>101</v>
      </c>
      <c r="C17" s="198">
        <v>0</v>
      </c>
    </row>
    <row r="18" spans="1:5" ht="14.25" x14ac:dyDescent="0.2">
      <c r="A18" s="153"/>
      <c r="B18" s="199" t="s">
        <v>102</v>
      </c>
      <c r="C18" s="200">
        <v>0</v>
      </c>
    </row>
    <row r="19" spans="1:5" ht="14.25" x14ac:dyDescent="0.2">
      <c r="A19" s="153"/>
      <c r="B19" s="287" t="s">
        <v>228</v>
      </c>
      <c r="C19" s="200">
        <v>0</v>
      </c>
    </row>
    <row r="20" spans="1:5" ht="15" x14ac:dyDescent="0.25">
      <c r="A20" s="153" t="s">
        <v>103</v>
      </c>
      <c r="B20" s="152" t="s">
        <v>104</v>
      </c>
      <c r="C20" s="196"/>
    </row>
    <row r="21" spans="1:5" ht="14.25" x14ac:dyDescent="0.2">
      <c r="A21" s="153"/>
      <c r="B21" s="201" t="s">
        <v>230</v>
      </c>
      <c r="C21" s="202">
        <v>657</v>
      </c>
    </row>
    <row r="22" spans="1:5" ht="14.25" x14ac:dyDescent="0.2">
      <c r="A22" s="153"/>
      <c r="B22" s="197" t="s">
        <v>231</v>
      </c>
      <c r="C22" s="198">
        <v>270</v>
      </c>
    </row>
    <row r="23" spans="1:5" ht="14.25" x14ac:dyDescent="0.2">
      <c r="B23" s="197" t="s">
        <v>229</v>
      </c>
      <c r="C23" s="280">
        <v>307</v>
      </c>
    </row>
    <row r="24" spans="1:5" ht="14.25" x14ac:dyDescent="0.2">
      <c r="B24" s="203"/>
      <c r="C24" s="204"/>
    </row>
    <row r="25" spans="1:5" s="105" customFormat="1" ht="15" x14ac:dyDescent="0.25">
      <c r="B25" s="154" t="s">
        <v>106</v>
      </c>
      <c r="C25" s="205">
        <f>MEDIAN(C21,C22)</f>
        <v>463.5</v>
      </c>
    </row>
    <row r="26" spans="1:5" ht="15" x14ac:dyDescent="0.25">
      <c r="B26" s="156" t="s">
        <v>226</v>
      </c>
      <c r="C26" s="285">
        <f>C12/C25</f>
        <v>1.6396979503775619</v>
      </c>
    </row>
    <row r="27" spans="1:5" ht="15" x14ac:dyDescent="0.25">
      <c r="B27" s="156" t="s">
        <v>227</v>
      </c>
      <c r="C27" s="285">
        <f>MEDIAN(C9,C10)/C25</f>
        <v>1.6968716289104639</v>
      </c>
      <c r="E27" s="270"/>
    </row>
    <row r="28" spans="1:5" s="105" customFormat="1" ht="15" x14ac:dyDescent="0.25">
      <c r="B28" s="156" t="s">
        <v>206</v>
      </c>
      <c r="C28" s="283">
        <f>12/C27</f>
        <v>7.0718372536554348</v>
      </c>
    </row>
    <row r="29" spans="1:5" ht="15" x14ac:dyDescent="0.25">
      <c r="B29" s="156" t="s">
        <v>105</v>
      </c>
      <c r="C29" s="158">
        <v>360</v>
      </c>
    </row>
    <row r="30" spans="1:5" ht="15" x14ac:dyDescent="0.25">
      <c r="B30" s="156" t="s">
        <v>201</v>
      </c>
      <c r="C30" s="158">
        <v>10</v>
      </c>
    </row>
    <row r="31" spans="1:5" ht="15" x14ac:dyDescent="0.25">
      <c r="B31" s="154" t="s">
        <v>202</v>
      </c>
      <c r="C31" s="157">
        <v>30</v>
      </c>
    </row>
    <row r="32" spans="1:5" ht="15" x14ac:dyDescent="0.25">
      <c r="B32" s="154" t="s">
        <v>203</v>
      </c>
      <c r="C32" s="157">
        <v>30</v>
      </c>
    </row>
    <row r="33" spans="2:4" s="105" customFormat="1" ht="15" x14ac:dyDescent="0.25">
      <c r="B33" s="154" t="s">
        <v>108</v>
      </c>
      <c r="C33" s="157">
        <f>30+(3*TRUNC(1/C27))</f>
        <v>30</v>
      </c>
    </row>
    <row r="34" spans="2:4" s="105" customFormat="1" ht="15" x14ac:dyDescent="0.25">
      <c r="B34" s="156" t="s">
        <v>34</v>
      </c>
      <c r="C34" s="284">
        <v>0.08</v>
      </c>
    </row>
    <row r="35" spans="2:4" s="105" customFormat="1" ht="15.75" thickBot="1" x14ac:dyDescent="0.3">
      <c r="B35" s="159" t="s">
        <v>107</v>
      </c>
      <c r="C35" s="286">
        <v>0.4</v>
      </c>
      <c r="D35" s="105" t="s">
        <v>234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topLeftCell="A7" zoomScaleNormal="100" workbookViewId="0">
      <selection activeCell="E15" sqref="E15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8" bestFit="1" customWidth="1"/>
    <col min="6" max="6" width="9.7109375" bestFit="1" customWidth="1"/>
  </cols>
  <sheetData>
    <row r="1" spans="1:8" s="142" customFormat="1" ht="14.25" x14ac:dyDescent="0.2">
      <c r="A1" s="9" t="s">
        <v>169</v>
      </c>
      <c r="B1" s="140"/>
      <c r="C1" s="140"/>
      <c r="E1" s="143"/>
    </row>
    <row r="2" spans="1:8" s="142" customFormat="1" ht="14.25" x14ac:dyDescent="0.2">
      <c r="A2" s="136" t="s">
        <v>207</v>
      </c>
      <c r="B2" s="140"/>
      <c r="C2" s="140"/>
      <c r="E2" s="143"/>
    </row>
    <row r="3" spans="1:8" s="142" customFormat="1" ht="14.25" x14ac:dyDescent="0.2">
      <c r="A3" s="7" t="s">
        <v>170</v>
      </c>
      <c r="B3" s="140"/>
      <c r="C3" s="140"/>
      <c r="E3" s="143"/>
    </row>
    <row r="4" spans="1:8" s="142" customFormat="1" ht="14.25" x14ac:dyDescent="0.2">
      <c r="A4" s="7"/>
      <c r="B4" s="140"/>
      <c r="C4" s="140"/>
      <c r="E4" s="143"/>
    </row>
    <row r="5" spans="1:8" s="2" customFormat="1" ht="15.6" customHeight="1" x14ac:dyDescent="0.2">
      <c r="A5" s="279" t="s">
        <v>225</v>
      </c>
      <c r="B5" s="135"/>
      <c r="C5" s="135"/>
      <c r="D5" s="135"/>
      <c r="E5" s="135"/>
      <c r="F5" s="135"/>
      <c r="G5" s="4"/>
    </row>
    <row r="6" spans="1:8" s="2" customFormat="1" ht="16.5" customHeight="1" x14ac:dyDescent="0.2">
      <c r="A6" s="279" t="s">
        <v>222</v>
      </c>
      <c r="B6" s="3"/>
      <c r="C6" s="3"/>
      <c r="D6" s="4"/>
      <c r="E6" s="4"/>
      <c r="F6" s="4"/>
      <c r="G6" s="4"/>
    </row>
    <row r="7" spans="1:8" s="142" customFormat="1" ht="15" thickBot="1" x14ac:dyDescent="0.25">
      <c r="B7" s="140"/>
      <c r="C7" s="140"/>
      <c r="E7" s="143"/>
    </row>
    <row r="8" spans="1:8" ht="15.75" x14ac:dyDescent="0.2">
      <c r="A8" s="318" t="s">
        <v>187</v>
      </c>
      <c r="B8" s="319"/>
      <c r="C8" s="319"/>
      <c r="D8" s="319"/>
      <c r="E8" s="319"/>
      <c r="F8" s="320"/>
    </row>
    <row r="9" spans="1:8" ht="16.5" thickBot="1" x14ac:dyDescent="0.25">
      <c r="A9" s="255"/>
      <c r="B9" s="256"/>
      <c r="C9" s="256"/>
      <c r="D9" s="256"/>
      <c r="E9" s="256"/>
      <c r="F9" s="257"/>
    </row>
    <row r="10" spans="1:8" ht="15" x14ac:dyDescent="0.25">
      <c r="A10" s="206"/>
      <c r="B10" s="141"/>
      <c r="C10" s="141"/>
      <c r="D10" s="315" t="s">
        <v>204</v>
      </c>
      <c r="E10" s="316"/>
      <c r="F10" s="317"/>
      <c r="G10" s="142"/>
      <c r="H10" s="142"/>
    </row>
    <row r="11" spans="1:8" ht="15" thickBot="1" x14ac:dyDescent="0.25">
      <c r="A11" s="203"/>
      <c r="B11" s="207"/>
      <c r="C11" s="207"/>
      <c r="D11" s="208" t="s">
        <v>158</v>
      </c>
      <c r="E11" s="209" t="s">
        <v>159</v>
      </c>
      <c r="F11" s="210" t="s">
        <v>160</v>
      </c>
      <c r="G11" s="142"/>
      <c r="H11" s="142"/>
    </row>
    <row r="12" spans="1:8" ht="15" thickBot="1" x14ac:dyDescent="0.25">
      <c r="A12" s="211" t="s">
        <v>58</v>
      </c>
      <c r="B12" s="212" t="s">
        <v>59</v>
      </c>
      <c r="C12" s="213">
        <f>E12</f>
        <v>4.6200000000000005E-2</v>
      </c>
      <c r="D12" s="234">
        <v>2.9700000000000001E-2</v>
      </c>
      <c r="E12" s="235">
        <f>(D12+F12)/2</f>
        <v>4.6200000000000005E-2</v>
      </c>
      <c r="F12" s="236">
        <v>6.2700000000000006E-2</v>
      </c>
      <c r="G12" s="142"/>
      <c r="H12" s="142"/>
    </row>
    <row r="13" spans="1:8" ht="15" thickBot="1" x14ac:dyDescent="0.25">
      <c r="A13" s="215" t="s">
        <v>60</v>
      </c>
      <c r="B13" s="216" t="s">
        <v>61</v>
      </c>
      <c r="C13" s="213">
        <f>E13</f>
        <v>0.02</v>
      </c>
      <c r="D13" s="234">
        <v>0.01</v>
      </c>
      <c r="E13" s="235">
        <f t="shared" ref="E13:E14" si="0">(D13+F13)/2</f>
        <v>0.02</v>
      </c>
      <c r="F13" s="236">
        <v>0.03</v>
      </c>
      <c r="G13" s="142"/>
      <c r="H13" s="142"/>
    </row>
    <row r="14" spans="1:8" ht="14.25" x14ac:dyDescent="0.2">
      <c r="A14" s="215" t="s">
        <v>62</v>
      </c>
      <c r="B14" s="216" t="s">
        <v>63</v>
      </c>
      <c r="C14" s="213">
        <f>E14</f>
        <v>0.1</v>
      </c>
      <c r="D14" s="234">
        <v>0.05</v>
      </c>
      <c r="E14" s="235">
        <f t="shared" si="0"/>
        <v>0.1</v>
      </c>
      <c r="F14" s="236">
        <v>0.15</v>
      </c>
      <c r="G14" s="142"/>
      <c r="H14" s="142"/>
    </row>
    <row r="15" spans="1:8" ht="14.25" x14ac:dyDescent="0.2">
      <c r="A15" s="215" t="s">
        <v>64</v>
      </c>
      <c r="B15" s="216" t="s">
        <v>65</v>
      </c>
      <c r="C15" s="218">
        <f>(1+E15)^(E16/252)-1</f>
        <v>8.3538636344395734E-3</v>
      </c>
      <c r="D15" s="234" t="s">
        <v>214</v>
      </c>
      <c r="E15" s="219">
        <v>0.15</v>
      </c>
      <c r="F15" s="214"/>
      <c r="G15" s="142"/>
      <c r="H15" s="142"/>
    </row>
    <row r="16" spans="1:8" ht="14.25" x14ac:dyDescent="0.2">
      <c r="A16" s="215" t="s">
        <v>66</v>
      </c>
      <c r="B16" s="313" t="s">
        <v>67</v>
      </c>
      <c r="C16" s="217">
        <v>0.05</v>
      </c>
      <c r="D16" s="275" t="s">
        <v>161</v>
      </c>
      <c r="E16" s="220">
        <v>15</v>
      </c>
      <c r="F16" s="221"/>
      <c r="G16" s="142"/>
      <c r="H16" s="142"/>
    </row>
    <row r="17" spans="1:8" ht="15" thickBot="1" x14ac:dyDescent="0.25">
      <c r="A17" s="222" t="s">
        <v>68</v>
      </c>
      <c r="B17" s="314"/>
      <c r="C17" s="223">
        <v>0.03</v>
      </c>
      <c r="D17" s="197"/>
      <c r="E17" s="224"/>
      <c r="F17" s="221"/>
      <c r="G17" s="142"/>
      <c r="H17" s="142"/>
    </row>
    <row r="18" spans="1:8" ht="14.25" x14ac:dyDescent="0.2">
      <c r="A18" s="225" t="s">
        <v>69</v>
      </c>
      <c r="B18" s="226"/>
      <c r="C18" s="227"/>
      <c r="D18" s="197"/>
      <c r="E18" s="224"/>
      <c r="F18" s="221"/>
      <c r="G18" s="142"/>
      <c r="H18" s="142"/>
    </row>
    <row r="19" spans="1:8" ht="15" thickBot="1" x14ac:dyDescent="0.25">
      <c r="A19" s="228" t="s">
        <v>70</v>
      </c>
      <c r="B19" s="229"/>
      <c r="C19" s="230"/>
      <c r="D19" s="197"/>
      <c r="E19" s="224"/>
      <c r="F19" s="221"/>
      <c r="G19" s="142"/>
      <c r="H19" s="142"/>
    </row>
    <row r="20" spans="1:8" ht="15.75" thickBot="1" x14ac:dyDescent="0.25">
      <c r="A20" s="231" t="s">
        <v>71</v>
      </c>
      <c r="B20" s="232"/>
      <c r="C20" s="233">
        <f>ROUND((((1+C12+C13)*(1+C14)*(1+C15))/(1-(C16+C17))-1),4)</f>
        <v>0.28549999999999998</v>
      </c>
      <c r="D20" s="237">
        <v>0.21429999999999999</v>
      </c>
      <c r="E20" s="238">
        <v>0.2717</v>
      </c>
      <c r="F20" s="239">
        <v>0.3362</v>
      </c>
      <c r="G20" s="142"/>
      <c r="H20" s="142"/>
    </row>
    <row r="21" spans="1:8" ht="14.25" x14ac:dyDescent="0.2">
      <c r="A21" s="142"/>
      <c r="B21" s="142"/>
      <c r="C21" s="142"/>
      <c r="D21" s="142"/>
      <c r="E21" s="143"/>
      <c r="F21" s="142"/>
      <c r="G21" s="142"/>
      <c r="H21" s="142"/>
    </row>
    <row r="22" spans="1:8" ht="14.25" x14ac:dyDescent="0.2">
      <c r="A22" s="142"/>
      <c r="B22" s="142"/>
      <c r="C22" s="142"/>
      <c r="D22" s="142"/>
      <c r="E22" s="143"/>
      <c r="F22" s="142"/>
      <c r="G22" s="142"/>
      <c r="H22" s="142"/>
    </row>
    <row r="23" spans="1:8" ht="14.25" x14ac:dyDescent="0.2">
      <c r="A23" s="142"/>
      <c r="B23" s="142"/>
      <c r="C23" s="142"/>
      <c r="D23" s="142"/>
      <c r="E23" s="143"/>
      <c r="F23" s="142"/>
      <c r="G23" s="142"/>
      <c r="H23" s="142"/>
    </row>
    <row r="24" spans="1:8" ht="14.25" x14ac:dyDescent="0.2">
      <c r="A24" s="142"/>
      <c r="B24" s="142"/>
      <c r="C24" s="142"/>
      <c r="D24" s="142"/>
      <c r="E24" s="143"/>
      <c r="F24" s="142"/>
      <c r="G24" s="142"/>
      <c r="H24" s="142"/>
    </row>
  </sheetData>
  <mergeCells count="3"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opLeftCell="A7" workbookViewId="0">
      <selection activeCell="B20" sqref="B20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3" ht="19.5" customHeight="1" thickBot="1" x14ac:dyDescent="0.25">
      <c r="A1" s="321" t="s">
        <v>189</v>
      </c>
      <c r="B1" s="322"/>
    </row>
    <row r="2" spans="1:3" s="105" customFormat="1" ht="19.5" customHeight="1" x14ac:dyDescent="0.2">
      <c r="A2" s="258" t="s">
        <v>171</v>
      </c>
      <c r="B2" s="259" t="s">
        <v>216</v>
      </c>
    </row>
    <row r="3" spans="1:3" ht="19.5" customHeight="1" x14ac:dyDescent="0.2">
      <c r="A3" s="161">
        <v>1</v>
      </c>
      <c r="B3" s="160">
        <v>10</v>
      </c>
    </row>
    <row r="4" spans="1:3" ht="19.5" customHeight="1" x14ac:dyDescent="0.2">
      <c r="A4" s="161">
        <v>2</v>
      </c>
      <c r="B4" s="160">
        <v>20</v>
      </c>
    </row>
    <row r="5" spans="1:3" ht="19.5" customHeight="1" x14ac:dyDescent="0.2">
      <c r="A5" s="161">
        <v>3</v>
      </c>
      <c r="B5" s="160">
        <v>30</v>
      </c>
    </row>
    <row r="6" spans="1:3" ht="19.5" customHeight="1" x14ac:dyDescent="0.2">
      <c r="A6" s="161">
        <v>4</v>
      </c>
      <c r="B6" s="160">
        <v>40</v>
      </c>
    </row>
    <row r="7" spans="1:3" ht="19.5" customHeight="1" x14ac:dyDescent="0.2">
      <c r="A7" s="161">
        <v>5</v>
      </c>
      <c r="B7" s="160">
        <v>50</v>
      </c>
    </row>
    <row r="8" spans="1:3" ht="19.5" customHeight="1" x14ac:dyDescent="0.2">
      <c r="A8" s="161">
        <v>6</v>
      </c>
      <c r="B8" s="160">
        <v>60</v>
      </c>
    </row>
    <row r="9" spans="1:3" ht="19.5" customHeight="1" x14ac:dyDescent="0.2">
      <c r="A9" s="161">
        <v>7</v>
      </c>
      <c r="B9" s="160">
        <v>70</v>
      </c>
    </row>
    <row r="10" spans="1:3" ht="19.5" customHeight="1" x14ac:dyDescent="0.2">
      <c r="A10" s="161">
        <v>8</v>
      </c>
      <c r="B10" s="160">
        <v>80</v>
      </c>
    </row>
    <row r="11" spans="1:3" ht="19.5" customHeight="1" x14ac:dyDescent="0.2">
      <c r="A11" s="161">
        <v>9</v>
      </c>
      <c r="B11" s="160">
        <v>90</v>
      </c>
    </row>
    <row r="12" spans="1:3" ht="19.5" customHeight="1" x14ac:dyDescent="0.2">
      <c r="A12" s="161">
        <v>10</v>
      </c>
      <c r="B12" s="160">
        <v>100</v>
      </c>
    </row>
    <row r="13" spans="1:3" ht="19.5" customHeight="1" x14ac:dyDescent="0.2">
      <c r="A13" s="161">
        <v>11</v>
      </c>
      <c r="B13" s="291">
        <v>100</v>
      </c>
    </row>
    <row r="14" spans="1:3" ht="19.5" customHeight="1" x14ac:dyDescent="0.2">
      <c r="A14" s="161">
        <v>12</v>
      </c>
      <c r="B14" s="291">
        <v>100</v>
      </c>
      <c r="C14" s="1">
        <v>0</v>
      </c>
    </row>
    <row r="15" spans="1:3" ht="19.5" customHeight="1" x14ac:dyDescent="0.2">
      <c r="A15" s="161">
        <v>13</v>
      </c>
      <c r="B15" s="291">
        <v>100</v>
      </c>
    </row>
    <row r="16" spans="1:3" ht="19.5" customHeight="1" x14ac:dyDescent="0.2">
      <c r="A16" s="161">
        <v>14</v>
      </c>
      <c r="B16" s="291">
        <v>100</v>
      </c>
    </row>
    <row r="17" spans="1:2" ht="19.5" customHeight="1" x14ac:dyDescent="0.2">
      <c r="A17" s="161">
        <v>15</v>
      </c>
      <c r="B17" s="291">
        <v>100</v>
      </c>
    </row>
    <row r="18" spans="1:2" ht="19.5" customHeight="1" x14ac:dyDescent="0.2">
      <c r="A18" s="161">
        <v>16</v>
      </c>
      <c r="B18" s="291">
        <v>100</v>
      </c>
    </row>
    <row r="19" spans="1:2" ht="19.5" customHeight="1" x14ac:dyDescent="0.2">
      <c r="A19" s="161">
        <v>17</v>
      </c>
      <c r="B19" s="291">
        <v>100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7" workbookViewId="0">
      <selection activeCell="A24" sqref="A24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43" t="s">
        <v>193</v>
      </c>
    </row>
    <row r="2" spans="1:1" x14ac:dyDescent="0.2">
      <c r="A2" s="240"/>
    </row>
    <row r="3" spans="1:1" x14ac:dyDescent="0.2">
      <c r="A3" s="240" t="s">
        <v>208</v>
      </c>
    </row>
    <row r="4" spans="1:1" x14ac:dyDescent="0.2">
      <c r="A4" s="240"/>
    </row>
    <row r="5" spans="1:1" x14ac:dyDescent="0.2">
      <c r="A5" s="240"/>
    </row>
    <row r="6" spans="1:1" x14ac:dyDescent="0.2">
      <c r="A6" s="240"/>
    </row>
    <row r="7" spans="1:1" x14ac:dyDescent="0.2">
      <c r="A7" s="240"/>
    </row>
    <row r="8" spans="1:1" x14ac:dyDescent="0.2">
      <c r="A8" s="240"/>
    </row>
    <row r="9" spans="1:1" x14ac:dyDescent="0.2">
      <c r="A9" s="240"/>
    </row>
    <row r="10" spans="1:1" x14ac:dyDescent="0.2">
      <c r="A10" s="240"/>
    </row>
    <row r="11" spans="1:1" x14ac:dyDescent="0.2">
      <c r="A11" s="240"/>
    </row>
    <row r="12" spans="1:1" ht="19.5" x14ac:dyDescent="0.35">
      <c r="A12" s="241" t="s">
        <v>190</v>
      </c>
    </row>
    <row r="13" spans="1:1" ht="15" x14ac:dyDescent="0.2">
      <c r="A13" s="241" t="s">
        <v>81</v>
      </c>
    </row>
    <row r="14" spans="1:1" ht="15" x14ac:dyDescent="0.2">
      <c r="A14" s="241" t="s">
        <v>85</v>
      </c>
    </row>
    <row r="15" spans="1:1" ht="19.5" x14ac:dyDescent="0.35">
      <c r="A15" s="241" t="s">
        <v>191</v>
      </c>
    </row>
    <row r="16" spans="1:1" ht="19.5" x14ac:dyDescent="0.35">
      <c r="A16" s="241" t="s">
        <v>192</v>
      </c>
    </row>
    <row r="17" spans="1:1" ht="15.75" thickBot="1" x14ac:dyDescent="0.25">
      <c r="A17" s="242" t="s">
        <v>82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AbaDeprec</vt:lpstr>
      <vt:lpstr>AbaRemun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Renato</cp:lastModifiedBy>
  <cp:lastPrinted>2017-08-10T17:29:27Z</cp:lastPrinted>
  <dcterms:created xsi:type="dcterms:W3CDTF">2000-12-13T10:02:50Z</dcterms:created>
  <dcterms:modified xsi:type="dcterms:W3CDTF">2026-04-24T19:14:58Z</dcterms:modified>
</cp:coreProperties>
</file>