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s\Desktop\2024\Casca\Resíduos Vegetais\"/>
    </mc:Choice>
  </mc:AlternateContent>
  <bookViews>
    <workbookView xWindow="0" yWindow="0" windowWidth="24000" windowHeight="9435" tabRatio="500"/>
  </bookViews>
  <sheets>
    <sheet name="Resumo" sheetId="2" r:id="rId1"/>
    <sheet name="1. Col Veg Vol e Int" sheetId="12" r:id="rId2"/>
    <sheet name="2.Encargos Sociais" sheetId="3" r:id="rId3"/>
    <sheet name="3.BDI" sheetId="5" r:id="rId4"/>
    <sheet name="4.Ton" sheetId="6" r:id="rId5"/>
    <sheet name="5.Horarios" sheetId="14" r:id="rId6"/>
    <sheet name="6.Rotas" sheetId="13" r:id="rId7"/>
    <sheet name="7. Depreciação" sheetId="10" r:id="rId8"/>
  </sheets>
  <definedNames>
    <definedName name="AbaDeprec">'7. Depreciação'!$A$1</definedName>
    <definedName name="AbaRemun" localSheetId="4">#REF!</definedName>
    <definedName name="AbaRemun" localSheetId="0">#REF!</definedName>
    <definedName name="AbaRemun">#REF!</definedName>
    <definedName name="_xlnm.Print_Area" localSheetId="1">'1. Col Veg Vol e Int'!$A$2:$F$290</definedName>
    <definedName name="_xlnm.Print_Area" localSheetId="2">'2.Encargos Sociais'!$A$1:$C$40</definedName>
    <definedName name="_xlnm.Print_Titles" localSheetId="1">'1. Col Veg Vol e Int'!$2:$9</definedName>
  </definedNames>
  <calcPr calcId="15251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251" i="12" l="1"/>
  <c r="I8" i="14"/>
  <c r="I7" i="14"/>
  <c r="R36" i="13" l="1"/>
  <c r="I9" i="14"/>
  <c r="I5" i="14"/>
  <c r="E254" i="12"/>
  <c r="E253" i="12"/>
  <c r="E252" i="12"/>
  <c r="E251" i="12"/>
  <c r="C191" i="12"/>
  <c r="C186" i="12"/>
  <c r="D114" i="12"/>
  <c r="D115" i="12"/>
  <c r="D113" i="12"/>
  <c r="E86" i="12"/>
  <c r="D121" i="12" l="1"/>
  <c r="D8" i="6" l="1"/>
  <c r="C108" i="12" l="1"/>
  <c r="I10" i="14" l="1"/>
  <c r="O7" i="14"/>
  <c r="K7" i="14"/>
  <c r="K8" i="14" s="1"/>
  <c r="I6" i="14"/>
  <c r="O5" i="14" s="1"/>
  <c r="K5" i="14"/>
  <c r="G29" i="14"/>
  <c r="G32" i="14" s="1"/>
  <c r="G34" i="14" s="1"/>
  <c r="G36" i="14" s="1"/>
  <c r="E101" i="12" s="1"/>
  <c r="E180" i="12" s="1"/>
  <c r="E198" i="12" s="1"/>
  <c r="G17" i="14"/>
  <c r="G20" i="14" s="1"/>
  <c r="G22" i="14" s="1"/>
  <c r="G24" i="14" s="1"/>
  <c r="B53" i="12" s="1"/>
  <c r="E67" i="12" s="1"/>
  <c r="N15" i="14"/>
  <c r="M15" i="14"/>
  <c r="L15" i="14"/>
  <c r="E65" i="13"/>
  <c r="E53" i="13"/>
  <c r="E41" i="13"/>
  <c r="K39" i="13"/>
  <c r="K42" i="13" s="1"/>
  <c r="S31" i="13" s="1"/>
  <c r="K31" i="13"/>
  <c r="K34" i="13" s="1"/>
  <c r="S29" i="13" s="1"/>
  <c r="E29" i="13"/>
  <c r="K15" i="13" s="1"/>
  <c r="K18" i="13" s="1"/>
  <c r="S25" i="13" s="1"/>
  <c r="K23" i="13"/>
  <c r="K26" i="13" s="1"/>
  <c r="S27" i="13" s="1"/>
  <c r="E17" i="13"/>
  <c r="K7" i="13" s="1"/>
  <c r="K10" i="13" s="1"/>
  <c r="D284" i="12"/>
  <c r="E264" i="12"/>
  <c r="D265" i="12" s="1"/>
  <c r="E265" i="12" s="1"/>
  <c r="E262" i="12"/>
  <c r="D263" i="12" s="1"/>
  <c r="E263" i="12" s="1"/>
  <c r="E250" i="12"/>
  <c r="E249" i="12"/>
  <c r="E248" i="12"/>
  <c r="C238" i="12"/>
  <c r="E238" i="12" s="1"/>
  <c r="E236" i="12"/>
  <c r="E230" i="12"/>
  <c r="D224" i="12"/>
  <c r="E224" i="12" s="1"/>
  <c r="D222" i="12"/>
  <c r="D220" i="12"/>
  <c r="D218" i="12"/>
  <c r="D216" i="12"/>
  <c r="D214" i="12"/>
  <c r="C204" i="12"/>
  <c r="E204" i="12" s="1"/>
  <c r="C203" i="12"/>
  <c r="E203" i="12" s="1"/>
  <c r="C202" i="12"/>
  <c r="C190" i="12"/>
  <c r="D189" i="12"/>
  <c r="D184" i="12"/>
  <c r="E184" i="12" s="1"/>
  <c r="C177" i="12"/>
  <c r="C176" i="12"/>
  <c r="C173" i="12"/>
  <c r="C189" i="12" s="1"/>
  <c r="C172" i="12"/>
  <c r="C171" i="12"/>
  <c r="E168" i="12"/>
  <c r="D158" i="12"/>
  <c r="E158" i="12" s="1"/>
  <c r="D157" i="12"/>
  <c r="C157" i="12"/>
  <c r="D156" i="12"/>
  <c r="C156" i="12"/>
  <c r="D155" i="12"/>
  <c r="C155" i="12"/>
  <c r="D154" i="12"/>
  <c r="C154" i="12"/>
  <c r="D153" i="12"/>
  <c r="C153" i="12"/>
  <c r="D152" i="12"/>
  <c r="C152" i="12"/>
  <c r="E145" i="12"/>
  <c r="E144" i="12"/>
  <c r="E143" i="12"/>
  <c r="E142" i="12"/>
  <c r="E141" i="12"/>
  <c r="E140" i="12"/>
  <c r="E139" i="12"/>
  <c r="E138" i="12"/>
  <c r="E137" i="12"/>
  <c r="E136" i="12"/>
  <c r="E135" i="12"/>
  <c r="E121" i="12"/>
  <c r="E115" i="12"/>
  <c r="A114" i="12"/>
  <c r="A121" i="12" s="1"/>
  <c r="A113" i="12"/>
  <c r="A126" i="12" s="1"/>
  <c r="C107" i="12"/>
  <c r="D96" i="12"/>
  <c r="E96" i="12" s="1"/>
  <c r="D93" i="12"/>
  <c r="E93" i="12" s="1"/>
  <c r="D92" i="12"/>
  <c r="E92" i="12" s="1"/>
  <c r="E90" i="12"/>
  <c r="D79" i="12"/>
  <c r="C79" i="12"/>
  <c r="D77" i="12"/>
  <c r="E77" i="12" s="1"/>
  <c r="D76" i="12"/>
  <c r="C76" i="12"/>
  <c r="D74" i="12"/>
  <c r="E74" i="12" s="1"/>
  <c r="D73" i="12"/>
  <c r="E73" i="12" s="1"/>
  <c r="C73" i="12"/>
  <c r="E71" i="12"/>
  <c r="D60" i="12"/>
  <c r="E60" i="12" s="1"/>
  <c r="D59" i="12"/>
  <c r="E59" i="12" s="1"/>
  <c r="E58" i="12"/>
  <c r="E50" i="12"/>
  <c r="A50" i="12"/>
  <c r="E45" i="12"/>
  <c r="C159" i="12" s="1"/>
  <c r="A45" i="12"/>
  <c r="E44" i="12"/>
  <c r="A44" i="12"/>
  <c r="E43" i="12"/>
  <c r="C113" i="12" s="1"/>
  <c r="E113" i="12" s="1"/>
  <c r="A43" i="12"/>
  <c r="A37" i="12"/>
  <c r="A36" i="12"/>
  <c r="A35" i="12"/>
  <c r="A34" i="12"/>
  <c r="A33" i="12"/>
  <c r="A32" i="12"/>
  <c r="A31" i="12"/>
  <c r="A30" i="12"/>
  <c r="A29" i="12"/>
  <c r="A28" i="12"/>
  <c r="A27" i="12"/>
  <c r="A26" i="12"/>
  <c r="A25" i="12"/>
  <c r="A24" i="12"/>
  <c r="A23" i="12"/>
  <c r="A22" i="12"/>
  <c r="A21" i="12"/>
  <c r="A20" i="12"/>
  <c r="A19" i="12"/>
  <c r="A18" i="12"/>
  <c r="D7" i="6"/>
  <c r="D9" i="6" s="1"/>
  <c r="D94" i="12" l="1"/>
  <c r="E94" i="12" s="1"/>
  <c r="E153" i="12"/>
  <c r="E147" i="12"/>
  <c r="E155" i="12"/>
  <c r="C114" i="12"/>
  <c r="E114" i="12" s="1"/>
  <c r="F116" i="12" s="1"/>
  <c r="E23" i="12" s="1"/>
  <c r="E76" i="12"/>
  <c r="E157" i="12"/>
  <c r="E189" i="12"/>
  <c r="E154" i="12"/>
  <c r="D146" i="12"/>
  <c r="E152" i="12"/>
  <c r="E156" i="12"/>
  <c r="D239" i="12"/>
  <c r="E239" i="12" s="1"/>
  <c r="D240" i="12" s="1"/>
  <c r="E79" i="12"/>
  <c r="D202" i="12"/>
  <c r="E202" i="12" s="1"/>
  <c r="D205" i="12" s="1"/>
  <c r="E205" i="12" s="1"/>
  <c r="S16" i="13"/>
  <c r="S18" i="13" s="1"/>
  <c r="S19" i="13" s="1"/>
  <c r="S7" i="13"/>
  <c r="S9" i="13" s="1"/>
  <c r="S10" i="13" s="1"/>
  <c r="S34" i="13"/>
  <c r="S33" i="13"/>
  <c r="F255" i="12"/>
  <c r="F257" i="12" s="1"/>
  <c r="E35" i="12" s="1"/>
  <c r="D61" i="12"/>
  <c r="E61" i="12" s="1"/>
  <c r="D62" i="12" s="1"/>
  <c r="E62" i="12" s="1"/>
  <c r="E63" i="12" s="1"/>
  <c r="D107" i="12" s="1"/>
  <c r="E107" i="12" s="1"/>
  <c r="E266" i="12"/>
  <c r="F266" i="12" s="1"/>
  <c r="F268" i="12" s="1"/>
  <c r="E36" i="12" s="1"/>
  <c r="E206" i="12"/>
  <c r="C146" i="12"/>
  <c r="E160" i="12"/>
  <c r="C120" i="12"/>
  <c r="E120" i="12" s="1"/>
  <c r="C126" i="12"/>
  <c r="E126" i="12" s="1"/>
  <c r="E128" i="12"/>
  <c r="E47" i="12"/>
  <c r="E97" i="12"/>
  <c r="D108" i="12" s="1"/>
  <c r="E108" i="12" s="1"/>
  <c r="A120" i="12"/>
  <c r="E122" i="12"/>
  <c r="D171" i="12"/>
  <c r="E171" i="12" s="1"/>
  <c r="D172" i="12" s="1"/>
  <c r="E172" i="12" s="1"/>
  <c r="E173" i="12"/>
  <c r="C16" i="5"/>
  <c r="C21" i="5" s="1"/>
  <c r="F14" i="5"/>
  <c r="E14" i="5"/>
  <c r="D14" i="5"/>
  <c r="C36" i="3"/>
  <c r="C33" i="3"/>
  <c r="C18" i="3"/>
  <c r="B210" i="12" l="1"/>
  <c r="C240" i="12" s="1"/>
  <c r="E240" i="12" s="1"/>
  <c r="F241" i="12" s="1"/>
  <c r="E34" i="12" s="1"/>
  <c r="D80" i="12"/>
  <c r="E80" i="12" s="1"/>
  <c r="D81" i="12" s="1"/>
  <c r="E81" i="12" s="1"/>
  <c r="E146" i="12"/>
  <c r="F147" i="12" s="1"/>
  <c r="F109" i="12"/>
  <c r="E22" i="12" s="1"/>
  <c r="D159" i="12"/>
  <c r="E159" i="12" s="1"/>
  <c r="F160" i="12" s="1"/>
  <c r="C187" i="12"/>
  <c r="D188" i="12" s="1"/>
  <c r="E188" i="12" s="1"/>
  <c r="F206" i="12"/>
  <c r="E31" i="12" s="1"/>
  <c r="C275" i="12"/>
  <c r="F122" i="12"/>
  <c r="D64" i="12"/>
  <c r="D176" i="12"/>
  <c r="E176" i="12" s="1"/>
  <c r="D177" i="12" s="1"/>
  <c r="E177" i="12" s="1"/>
  <c r="E178" i="12" s="1"/>
  <c r="D179" i="12" s="1"/>
  <c r="E179" i="12" s="1"/>
  <c r="F180" i="12" s="1"/>
  <c r="F128" i="12"/>
  <c r="E25" i="12" s="1"/>
  <c r="D98" i="12"/>
  <c r="C214" i="12" l="1"/>
  <c r="C231" i="12" s="1"/>
  <c r="E231" i="12" s="1"/>
  <c r="F232" i="12" s="1"/>
  <c r="E33" i="12" s="1"/>
  <c r="E24" i="12"/>
  <c r="F162" i="12"/>
  <c r="E26" i="12" s="1"/>
  <c r="E82" i="12"/>
  <c r="D83" i="12" s="1"/>
  <c r="C216" i="12"/>
  <c r="E216" i="12" s="1"/>
  <c r="E214" i="12"/>
  <c r="E29" i="12"/>
  <c r="C192" i="12"/>
  <c r="D193" i="12" s="1"/>
  <c r="E193" i="12" s="1"/>
  <c r="C26" i="3"/>
  <c r="C35" i="3" s="1"/>
  <c r="C37" i="3" s="1"/>
  <c r="C38" i="3" s="1"/>
  <c r="C218" i="12" l="1"/>
  <c r="E218" i="12" s="1"/>
  <c r="F226" i="12" s="1"/>
  <c r="E32" i="12" s="1"/>
  <c r="C222" i="12"/>
  <c r="E222" i="12" s="1"/>
  <c r="C220" i="12"/>
  <c r="E220" i="12" s="1"/>
  <c r="D195" i="12"/>
  <c r="E195" i="12" s="1"/>
  <c r="E196" i="12" s="1"/>
  <c r="C98" i="12"/>
  <c r="E98" i="12" s="1"/>
  <c r="E99" i="12" s="1"/>
  <c r="D100" i="12" s="1"/>
  <c r="E100" i="12" s="1"/>
  <c r="F101" i="12" s="1"/>
  <c r="C83" i="12"/>
  <c r="E83" i="12" s="1"/>
  <c r="E84" i="12" s="1"/>
  <c r="D85" i="12" s="1"/>
  <c r="E85" i="12" s="1"/>
  <c r="F86" i="12" s="1"/>
  <c r="E20" i="12" s="1"/>
  <c r="C64" i="12"/>
  <c r="E64" i="12" s="1"/>
  <c r="E65" i="12" s="1"/>
  <c r="D66" i="12" s="1"/>
  <c r="E66" i="12" s="1"/>
  <c r="F67" i="12" s="1"/>
  <c r="E19" i="12" s="1"/>
  <c r="E21" i="12" l="1"/>
  <c r="F130" i="12"/>
  <c r="E18" i="12" s="1"/>
  <c r="D197" i="12"/>
  <c r="E197" i="12" s="1"/>
  <c r="F198" i="12" s="1"/>
  <c r="E30" i="12" s="1"/>
  <c r="E28" i="12" s="1"/>
  <c r="F243" i="12" l="1"/>
  <c r="E27" i="12" s="1"/>
  <c r="F270" i="12" l="1"/>
  <c r="D275" i="12" s="1"/>
  <c r="E275" i="12" s="1"/>
  <c r="F276" i="12" s="1"/>
  <c r="F278" i="12" s="1"/>
  <c r="E37" i="12" s="1"/>
  <c r="E38" i="12" s="1"/>
  <c r="F281" i="12" l="1"/>
  <c r="C4" i="2" s="1"/>
  <c r="F22" i="12"/>
  <c r="F23" i="12"/>
  <c r="F35" i="12"/>
  <c r="F36" i="12"/>
  <c r="F34" i="12"/>
  <c r="F31" i="12"/>
  <c r="F26" i="12"/>
  <c r="F20" i="12"/>
  <c r="F33" i="12"/>
  <c r="F21" i="12"/>
  <c r="F24" i="12"/>
  <c r="F25" i="12"/>
  <c r="F19" i="12"/>
  <c r="F29" i="12"/>
  <c r="F32" i="12"/>
  <c r="F30" i="12"/>
  <c r="F27" i="12"/>
  <c r="F18" i="12"/>
  <c r="F28" i="12"/>
  <c r="F37" i="12"/>
  <c r="F38" i="12" l="1"/>
  <c r="C5" i="2" l="1"/>
</calcChain>
</file>

<file path=xl/comments1.xml><?xml version="1.0" encoding="utf-8"?>
<comments xmlns="http://schemas.openxmlformats.org/spreadsheetml/2006/main">
  <authors>
    <author/>
    <author>Clauber Bridi</author>
  </authors>
  <commentList>
    <comment ref="A16" authorId="0" shapeId="0">
      <text>
        <r>
          <rPr>
            <sz val="9"/>
            <color rgb="FF000000"/>
            <rFont val="Tahoma"/>
            <family val="2"/>
            <charset val="1"/>
          </rPr>
          <t xml:space="preserve">Qualquer custo previsto no edital e não contemplado nesta planilha modelo deverá ser devidamente incluído
</t>
        </r>
      </text>
    </comment>
    <comment ref="B53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fator de utilização das equipes de coleta. 
Por exemplo:
Equipes com utilização integral = 100%
Equipes com utilização parcial = n° horas trabalhadas por semana /44 horas
</t>
        </r>
      </text>
    </comment>
    <comment ref="C59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nos domingos e feriados em horário diurno
</t>
        </r>
      </text>
    </comment>
    <comment ref="C60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
</t>
        </r>
      </text>
    </comment>
    <comment ref="A61" authorId="0" shapeId="0">
      <text>
        <r>
          <rPr>
            <sz val="9"/>
            <color rgb="FF000000"/>
            <rFont val="Tahoma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64" authorId="0" shapeId="0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66" authorId="0" shapeId="0">
      <text>
        <r>
          <rPr>
            <sz val="9"/>
            <color rgb="FF000000"/>
            <rFont val="Tahoma"/>
            <family val="2"/>
            <charset val="1"/>
          </rPr>
          <t>Informar a quantidade de trabalhadores na função</t>
        </r>
      </text>
    </comment>
    <comment ref="C72" authorId="0" shapeId="0">
      <text>
        <r>
          <rPr>
            <sz val="9"/>
            <color rgb="FF000000"/>
            <rFont val="Tahoma"/>
            <family val="2"/>
            <charset val="1"/>
          </rPr>
          <t>Informar o número de horas noturnas trabalhadas no intervalo das 22:00h as 5:00h</t>
        </r>
      </text>
    </comment>
    <comment ref="C74" authorId="0" shapeId="0">
      <text>
        <r>
          <rPr>
            <sz val="9"/>
            <color rgb="FF000000"/>
            <rFont val="Tahoma"/>
            <family val="2"/>
            <charset val="1"/>
          </rPr>
          <t>Informar o número de horas extras trabalhadas em horário diurno nos domingos e feriados</t>
        </r>
      </text>
    </comment>
    <comment ref="C75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em horário noturno (das 22:00h as 5h) nos domingos e feriados
</t>
        </r>
      </text>
    </comment>
    <comment ref="C77" authorId="0" shapeId="0">
      <text>
        <r>
          <rPr>
            <sz val="9"/>
            <color rgb="FF000000"/>
            <rFont val="Tahoma"/>
            <family val="2"/>
            <charset val="1"/>
          </rPr>
          <t>Informar o número de horas extras trabalhadas em horário noturno de segunda à sábado</t>
        </r>
      </text>
    </comment>
    <comment ref="C78" authorId="0" shapeId="0">
      <text>
        <r>
          <rPr>
            <sz val="9"/>
            <color rgb="FF000000"/>
            <rFont val="Tahoma"/>
            <family val="2"/>
            <charset val="1"/>
          </rPr>
          <t>Informar o número de horas extras trabalhadas em horário noturno (das 22:00h as 5h) de segunda a sábado</t>
        </r>
      </text>
    </comment>
    <comment ref="A80" authorId="0" shapeId="0">
      <text>
        <r>
          <rPr>
            <sz val="9"/>
            <color rgb="FF000000"/>
            <rFont val="Tahoma"/>
            <family val="2"/>
            <charset val="1"/>
          </rPr>
          <t xml:space="preserve">Cálculo do descanso semanal remunerado incidente sobre as horas extras habitualmente prestadas. Considerados 63 feriados + domingos e 302 dias trabalhados por ano
</t>
        </r>
      </text>
    </comment>
    <comment ref="C83" authorId="0" shapeId="0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85" authorId="0" shapeId="0">
      <text>
        <r>
          <rPr>
            <sz val="9"/>
            <color rgb="FF000000"/>
            <rFont val="Tahoma"/>
            <family val="2"/>
            <charset val="1"/>
          </rPr>
          <t>Informar a quantidade de trabalhadores na função</t>
        </r>
      </text>
    </comment>
    <comment ref="D91" authorId="0" shapeId="0">
      <text>
        <r>
          <rPr>
            <sz val="9"/>
            <color rgb="FF000000"/>
            <rFont val="Tahoma"/>
            <family val="2"/>
            <charset val="1"/>
          </rPr>
          <t>Informar o valor do salário Mínimo Nacional</t>
        </r>
      </text>
    </comment>
    <comment ref="C92" authorId="0" shapeId="0">
      <text>
        <r>
          <rPr>
            <sz val="9"/>
            <color rgb="FF000000"/>
            <rFont val="Tahoma"/>
            <family val="2"/>
            <charset val="1"/>
          </rPr>
          <t>Informar o número de horas extras trabalhadas em horário diurno nos domingos e feriados</t>
        </r>
      </text>
    </comment>
    <comment ref="C93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número de horas extras trabalhadas em horário diurno de segunda a sábado 
</t>
        </r>
      </text>
    </comment>
    <comment ref="A94" authorId="0" shapeId="0">
      <text>
        <r>
          <rPr>
            <sz val="9"/>
            <color rgb="FF000000"/>
            <rFont val="Tahoma"/>
            <family val="2"/>
            <charset val="1"/>
          </rPr>
          <t xml:space="preserve">Cálculo do descanso semanal remunerado incidente sobre as horas extras habitualmente prestadas. Considerada a média de 63 feriados + domingos e 302 dias trabalhados por ano
</t>
        </r>
      </text>
    </comment>
    <comment ref="C95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1 se a base de cálculo for o Salário Mínimo Nacional; Informar 2 se a base de cálculo for o Piso da Categoria; 
</t>
        </r>
      </text>
    </comment>
    <comment ref="C96" authorId="0" shapeId="0">
      <text>
        <r>
          <rPr>
            <sz val="9"/>
            <color rgb="FF000000"/>
            <rFont val="Tahoma"/>
            <family val="2"/>
            <charset val="1"/>
          </rPr>
          <t>Percentual estabelecido nas Normas de Segurança de Trabalho ou pelo laudo de responsável técnico devidamente habilitado</t>
        </r>
      </text>
    </comment>
    <comment ref="C98" authorId="0" shapeId="0">
      <text>
        <r>
          <rPr>
            <sz val="9"/>
            <color rgb="FF000000"/>
            <rFont val="Tahoma"/>
            <family val="2"/>
            <charset val="1"/>
          </rPr>
          <t xml:space="preserve">Preencher a planilha Encargos Sociais e CAGED </t>
        </r>
      </text>
    </comment>
    <comment ref="C100" authorId="0" shapeId="0">
      <text>
        <r>
          <rPr>
            <sz val="9"/>
            <color rgb="FF000000"/>
            <rFont val="Tahoma"/>
            <family val="2"/>
            <charset val="1"/>
          </rPr>
          <t>Informar a quantidade de trabalhadores na função</t>
        </r>
      </text>
    </comment>
    <comment ref="D105" authorId="0" shapeId="0">
      <text>
        <r>
          <rPr>
            <sz val="9"/>
            <color rgb="FF000000"/>
            <rFont val="Tahoma"/>
            <family val="2"/>
            <charset val="1"/>
          </rPr>
          <t>Informar o valor unitário do VT no município</t>
        </r>
      </text>
    </comment>
    <comment ref="C106" authorId="0" shapeId="0">
      <text>
        <r>
          <rPr>
            <sz val="9"/>
            <color rgb="FF000000"/>
            <rFont val="Tahoma"/>
            <family val="2"/>
            <charset val="1"/>
          </rPr>
          <t>Informar o número médio de dias trabalhados por mês</t>
        </r>
      </text>
    </comment>
    <comment ref="D113" authorId="1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14" authorId="1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15" authorId="1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20" authorId="0" shapeId="0">
      <text>
        <r>
          <rPr>
            <sz val="9"/>
            <color rgb="FF000000"/>
            <rFont val="Tahoma"/>
            <family val="2"/>
            <charset val="1"/>
          </rPr>
          <t>Informar o valor mensal do auxilio alimentação, considerando o desconto aplicável ao funcionário, conforme Convenção Coletiva da categoria</t>
        </r>
      </text>
    </comment>
    <comment ref="D121" authorId="1" shapeId="0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52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153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154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155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156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C157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a durabilidade estimada em meses, para cada EPI
</t>
        </r>
      </text>
    </comment>
    <comment ref="D158" authorId="0" shapeId="0">
      <text>
        <r>
          <rPr>
            <sz val="9"/>
            <color rgb="FF000000"/>
            <rFont val="Tahoma"/>
            <family val="2"/>
            <charset val="1"/>
          </rPr>
          <t>Informar o valor mensal de higienização de uniforme para 1 funcionário</t>
        </r>
      </text>
    </comment>
    <comment ref="D168" authorId="0" shapeId="0">
      <text>
        <r>
          <rPr>
            <sz val="9"/>
            <color rgb="FF000000"/>
            <rFont val="Tahoma"/>
            <family val="2"/>
            <charset val="1"/>
          </rPr>
          <t>Informar o preço unitário do chassis do caminhão de coleta</t>
        </r>
      </text>
    </comment>
    <comment ref="C169" authorId="0" shapeId="0">
      <text>
        <r>
          <rPr>
            <sz val="9"/>
            <color rgb="FF000000"/>
            <rFont val="Tahoma"/>
            <family val="2"/>
            <charset val="1"/>
          </rPr>
          <t>Informar a vida útil estimada para o caminhão, em anos</t>
        </r>
      </text>
    </comment>
    <comment ref="C170" authorId="0" shapeId="0">
      <text>
        <r>
          <rPr>
            <sz val="9"/>
            <color rgb="FF000000"/>
            <rFont val="Tahoma"/>
            <family val="2"/>
            <charset val="1"/>
          </rPr>
          <t>Na elaboração do orçamento-base da licitação, informar 0 (zero). Na proposta da licitante, informar a idade do veículo proposto.</t>
        </r>
      </text>
    </comment>
    <comment ref="C171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valor da depreciação do caminhão, adotando o valor sugerido pelo TCE ou outro valor estimado 
</t>
        </r>
      </text>
    </comment>
    <comment ref="D173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equipamento compactador
</t>
        </r>
      </text>
    </comment>
    <comment ref="C174" authorId="0" shapeId="0">
      <text>
        <r>
          <rPr>
            <sz val="9"/>
            <color rgb="FF000000"/>
            <rFont val="Tahoma"/>
            <family val="2"/>
            <charset val="1"/>
          </rPr>
          <t>Informar a vida útil estimada para o compactador, em anos</t>
        </r>
      </text>
    </comment>
    <comment ref="C175" authorId="0" shapeId="0">
      <text>
        <r>
          <rPr>
            <sz val="9"/>
            <color rgb="FF000000"/>
            <rFont val="Tahoma"/>
            <family val="2"/>
            <charset val="1"/>
          </rPr>
          <t>Na elaboração do orçamento-base da licitação, informar 0 (zero). Na proposta da licitante, informar a idade do compactador proposto.</t>
        </r>
      </text>
    </comment>
    <comment ref="C176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valor da depreciação do compactador, adotando o valor sugerido pelo TCE ou outro valor estimado 
</t>
        </r>
      </text>
    </comment>
    <comment ref="C179" authorId="0" shapeId="0">
      <text>
        <r>
          <rPr>
            <sz val="9"/>
            <color rgb="FF000000"/>
            <rFont val="Tahoma"/>
            <family val="2"/>
            <charset val="1"/>
          </rPr>
          <t>Informar a quantidade de caminhões compactadores do respectivo modelo</t>
        </r>
      </text>
    </comment>
    <comment ref="C185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Informar a taxa de juros anual para remuneração do capital. Recomenda-se o uso da Taxa SELIC
</t>
        </r>
      </text>
    </comment>
    <comment ref="D203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valor do seguro obrigatório e licenciamento anual de um caminhão
</t>
        </r>
      </text>
    </comment>
    <comment ref="D204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valor do seguro contra terceiros de um caminhão, se houver previsão no Projeto Básico
</t>
        </r>
      </text>
    </comment>
    <comment ref="B210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a quilometragem mensal percorrida, de acordo com o projeto básico
</t>
        </r>
      </text>
    </comment>
    <comment ref="C213" authorId="0" shapeId="0">
      <text>
        <r>
          <rPr>
            <sz val="9"/>
            <color rgb="FF000000"/>
            <rFont val="Tahoma"/>
            <family val="2"/>
            <charset val="1"/>
          </rPr>
          <t>Informar o consumo estimado do veículo em km/l</t>
        </r>
      </text>
    </comment>
    <comment ref="D213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combustivel
</t>
        </r>
      </text>
    </comment>
    <comment ref="C215" authorId="0" shapeId="0">
      <text>
        <r>
          <rPr>
            <sz val="9"/>
            <color rgb="FF000000"/>
            <rFont val="Tahoma"/>
            <family val="2"/>
            <charset val="1"/>
          </rPr>
          <t>Informar o consumo de óleo do motor a cada 1000km</t>
        </r>
      </text>
    </comment>
    <comment ref="D215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litro do óleo do motor
</t>
        </r>
      </text>
    </comment>
    <comment ref="C217" authorId="0" shapeId="0">
      <text>
        <r>
          <rPr>
            <sz val="9"/>
            <color rgb="FF000000"/>
            <rFont val="Tahoma"/>
            <family val="2"/>
            <charset val="1"/>
          </rPr>
          <t>Informar o consumo de óleo da transmissão a cada 1000km</t>
        </r>
      </text>
    </comment>
    <comment ref="D217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litro do óleo da transmissão
</t>
        </r>
      </text>
    </comment>
    <comment ref="C219" authorId="0" shapeId="0">
      <text>
        <r>
          <rPr>
            <sz val="9"/>
            <color rgb="FF000000"/>
            <rFont val="Tahoma"/>
            <family val="2"/>
            <charset val="1"/>
          </rPr>
          <t>Informar o consumo de óleo hidráulico a cada 1000km</t>
        </r>
      </text>
    </comment>
    <comment ref="D219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litro do óleo hidráulico
</t>
        </r>
      </text>
    </comment>
    <comment ref="C221" authorId="0" shapeId="0">
      <text>
        <r>
          <rPr>
            <sz val="9"/>
            <color rgb="FF000000"/>
            <rFont val="Tahoma"/>
            <family val="2"/>
            <charset val="1"/>
          </rPr>
          <t>Informar o consumo de graxa a cada 1000km</t>
        </r>
      </text>
    </comment>
    <comment ref="D221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litro da graxa
</t>
        </r>
      </text>
    </comment>
    <comment ref="C223" authorId="0" shapeId="0">
      <text>
        <r>
          <rPr>
            <sz val="9"/>
            <color rgb="FF000000"/>
            <rFont val="Tahoma"/>
            <family val="2"/>
            <charset val="1"/>
          </rPr>
          <t>Informar o consumo de graxa a cada 1000km</t>
        </r>
      </text>
    </comment>
    <comment ref="D223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do litro da graxa
</t>
        </r>
      </text>
    </comment>
    <comment ref="D230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custo de manutenção em R$/km rodado
</t>
        </r>
      </text>
    </comment>
    <comment ref="D231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custo de manutenção em R$/km rodado
</t>
        </r>
      </text>
    </comment>
    <comment ref="C236" authorId="0" shapeId="0">
      <text>
        <r>
          <rPr>
            <sz val="9"/>
            <color rgb="FF000000"/>
            <rFont val="Tahoma"/>
            <family val="2"/>
            <charset val="1"/>
          </rPr>
          <t>Informar a quantidade de pneus novos de 1 caminhão</t>
        </r>
      </text>
    </comment>
    <comment ref="D236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de cada pneu
</t>
        </r>
      </text>
    </comment>
    <comment ref="C237" authorId="0" shapeId="0">
      <text>
        <r>
          <rPr>
            <sz val="9"/>
            <color rgb="FF000000"/>
            <rFont val="Tahoma"/>
            <family val="2"/>
            <charset val="1"/>
          </rPr>
          <t>Informar o número de recapagens por pneu</t>
        </r>
      </text>
    </comment>
    <comment ref="D238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o preço unitário de cada recapagem
</t>
        </r>
      </text>
    </comment>
    <comment ref="C239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a durabilidade média dos pneus considerando as recapagens, em km
</t>
        </r>
      </text>
    </comment>
    <comment ref="C248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48" authorId="0" shapeId="0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material</t>
        </r>
      </text>
    </comment>
    <comment ref="C249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49" authorId="0" shapeId="0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material</t>
        </r>
      </text>
    </comment>
    <comment ref="C250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50" authorId="0" shapeId="0">
      <text>
        <r>
          <rPr>
            <sz val="9"/>
            <color rgb="FF000000"/>
            <rFont val="Tahoma"/>
            <family val="2"/>
            <charset val="1"/>
          </rPr>
          <t>Informar o valor unitário estimado para aquisição de cada material</t>
        </r>
      </text>
    </comment>
    <comment ref="A259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Especificar somente quando for exigido no Projeto Básico
</t>
        </r>
      </text>
    </comment>
    <comment ref="D262" authorId="0" shapeId="0">
      <text>
        <r>
          <rPr>
            <sz val="9"/>
            <color rgb="FF000000"/>
            <rFont val="Tahoma"/>
            <family val="2"/>
            <charset val="1"/>
          </rPr>
          <t>Informar o valor total para instalação do equipamento de monitoramento da frota, se houver previsão no Projeto Básico</t>
        </r>
      </text>
    </comment>
    <comment ref="D264" authorId="0" shapeId="0">
      <text>
        <r>
          <rPr>
            <sz val="9"/>
            <color rgb="FF000000"/>
            <rFont val="Tahoma"/>
            <family val="2"/>
            <charset val="1"/>
          </rPr>
          <t>Informar o valor unitário mensal para manutenção dos equipamentos de monitoramento</t>
        </r>
      </text>
    </comment>
    <comment ref="C275" authorId="0" shapeId="0">
      <text>
        <r>
          <rPr>
            <sz val="9"/>
            <color rgb="FF000000"/>
            <rFont val="Tahoma"/>
            <family val="2"/>
            <charset val="1"/>
          </rPr>
          <t>Preencher a aba 4.BDI</t>
        </r>
      </text>
    </comment>
    <comment ref="D284" authorId="0" shapeId="0">
      <text>
        <r>
          <rPr>
            <sz val="9"/>
            <color rgb="FF000000"/>
            <rFont val="Tahoma"/>
            <family val="2"/>
            <charset val="1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C13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% de Administração Central estimado
</t>
        </r>
      </text>
    </comment>
    <comment ref="C14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% de Seguros, Riscos e Garantia estimado
</t>
        </r>
      </text>
    </comment>
    <comment ref="C15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% de Lucro estimado
</t>
        </r>
      </text>
    </comment>
    <comment ref="E16" authorId="0" shapeId="0">
      <text>
        <r>
          <rPr>
            <b/>
            <sz val="9"/>
            <color rgb="FF000000"/>
            <rFont val="Tahoma"/>
            <family val="2"/>
            <charset val="1"/>
          </rPr>
          <t>Informar o valor anual da taxa financeira, em percentual. Admite-se utilizar a SELIC</t>
        </r>
      </text>
    </comment>
    <comment ref="C17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percentual de ISS, de acordo com a legislação tributária do município onde serão prestados os serviços. De 2% até o limite de 5%.
</t>
        </r>
      </text>
    </comment>
    <comment ref="E17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Informar a média de dias úteis entre data de pagamento prevista no contrato e a data final do período de adimplemento da parcela
</t>
        </r>
      </text>
    </comment>
    <comment ref="C18" authorId="0" shapeId="0">
      <text>
        <r>
          <rPr>
            <b/>
            <sz val="9"/>
            <color rgb="FF000000"/>
            <rFont val="Tahoma"/>
            <family val="2"/>
            <charset val="1"/>
          </rPr>
          <t xml:space="preserve">Informar o valor estimado de PIS/COFINS. 
</t>
        </r>
        <r>
          <rPr>
            <sz val="9"/>
            <color rgb="FF000000"/>
            <rFont val="Tahoma"/>
            <family val="2"/>
            <charset val="1"/>
          </rPr>
          <t>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<sst xmlns="http://schemas.openxmlformats.org/spreadsheetml/2006/main" count="850" uniqueCount="399">
  <si>
    <t>Orientações para preenchimento: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</si>
  <si>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</si>
  <si>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</si>
  <si>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2. Antes de preenchê-la, leia a Orientação Técnica - Serviço de coleta de resíduos sólidos domiciliares</t>
  </si>
  <si>
    <t>3. Preencher somente células em amarelo</t>
  </si>
  <si>
    <t>4. As células azuis deverão ter seus valores preenchidos em outra planilha do arquivo.</t>
  </si>
  <si>
    <t>O TCE/RS não se responsabiliza pelo uso incorreto desta planilha.</t>
  </si>
  <si>
    <t>O orçamento deve ser realizado por responsável técnico habilitado e é de responsabilidade do seu autor.</t>
  </si>
  <si>
    <t>Planilha de Composição de Custos</t>
  </si>
  <si>
    <t>Orçamento Sintético</t>
  </si>
  <si>
    <t>Descrição do Item</t>
  </si>
  <si>
    <t>Custo (R$/mês)</t>
  </si>
  <si>
    <t>%</t>
  </si>
  <si>
    <t>PREÇO TOTAL MENSAL COM A COLETA</t>
  </si>
  <si>
    <t>Quantitativos</t>
  </si>
  <si>
    <t>Mão-de-obra</t>
  </si>
  <si>
    <t>Quantidade</t>
  </si>
  <si>
    <t>Total de mão-de-obra (postos de trabalho)</t>
  </si>
  <si>
    <t>Veículos e Equipamentos</t>
  </si>
  <si>
    <t>Fator de utilização (FU)</t>
  </si>
  <si>
    <t>1. Mão-de-obra</t>
  </si>
  <si>
    <t>1.1. Coletor Turno Dia</t>
  </si>
  <si>
    <t>Discriminação</t>
  </si>
  <si>
    <t>Unidade</t>
  </si>
  <si>
    <t>Custo unitário</t>
  </si>
  <si>
    <t>Subtotal</t>
  </si>
  <si>
    <r>
      <rPr>
        <b/>
        <sz val="9"/>
        <rFont val="Arial"/>
        <family val="2"/>
        <charset val="1"/>
      </rPr>
      <t xml:space="preserve">Total </t>
    </r>
    <r>
      <rPr>
        <b/>
        <u/>
        <sz val="9"/>
        <rFont val="Arial"/>
        <family val="2"/>
        <charset val="1"/>
      </rPr>
      <t>(R$)</t>
    </r>
  </si>
  <si>
    <t>Piso da categoria</t>
  </si>
  <si>
    <t>mês</t>
  </si>
  <si>
    <t>Horas Extras (100%)</t>
  </si>
  <si>
    <t>hora</t>
  </si>
  <si>
    <t>Excluir esta linha caso a contratação não tenha previsão de horas extras 100% explícita no edital</t>
  </si>
  <si>
    <t>Horas Extras (50%)</t>
  </si>
  <si>
    <t>Excluir esta linha caso a contratação não tenha previsão de horas extras 50% explícita no edital</t>
  </si>
  <si>
    <t>Descanso Semanal Remunerado (DSR) - hora extra</t>
  </si>
  <si>
    <t>R$</t>
  </si>
  <si>
    <t>Excluir esta linha caso a contratação não tenha previsão de horas extras explícita no edital</t>
  </si>
  <si>
    <t>Adicional de Insalubridade</t>
  </si>
  <si>
    <t>Soma</t>
  </si>
  <si>
    <t>Encargos Sociais</t>
  </si>
  <si>
    <t>Total por Coletor</t>
  </si>
  <si>
    <t>Total do Efetivo</t>
  </si>
  <si>
    <t>homem</t>
  </si>
  <si>
    <t>Fator de utilização</t>
  </si>
  <si>
    <t xml:space="preserve">1.2. Supervisor dos serviços </t>
  </si>
  <si>
    <t>Adicional Noturno</t>
  </si>
  <si>
    <t>horas trabalhadas</t>
  </si>
  <si>
    <t>hora contabilizada</t>
  </si>
  <si>
    <t>Horas Extras Noturnas (100%)</t>
  </si>
  <si>
    <t>Excluir esta linha caso a contratação não tenha previsão de horas extras noturnas 100% explícita no edital</t>
  </si>
  <si>
    <t>Horas Extras Noturnas (50%)</t>
  </si>
  <si>
    <t>Excluir esta linha caso a contratação não tenha previsão de horas extras noturnas 50% explícita no edital</t>
  </si>
  <si>
    <t>1.3. Motorista Turno do Dia</t>
  </si>
  <si>
    <t>Piso da categoria (2)</t>
  </si>
  <si>
    <t>Salário mínimo nacional (1)</t>
  </si>
  <si>
    <t>Base de cálculo da Insalubridade</t>
  </si>
  <si>
    <t>Total por Motorista</t>
  </si>
  <si>
    <t>Vale Transporte</t>
  </si>
  <si>
    <t>Dias Trabalhados por mês</t>
  </si>
  <si>
    <t>dia</t>
  </si>
  <si>
    <t>Coletor</t>
  </si>
  <si>
    <t>vale</t>
  </si>
  <si>
    <t>unidade</t>
  </si>
  <si>
    <t>Encarregado</t>
  </si>
  <si>
    <t>Fator de util.</t>
  </si>
  <si>
    <t>Custo Mensal com Mão-de-obra (R$/mês)</t>
  </si>
  <si>
    <t>2. Uniformes e Equipamentos de Proteção Individual</t>
  </si>
  <si>
    <t>2.1. Uniformes e EPIs para Coletor</t>
  </si>
  <si>
    <t>Durabilidade (meses)</t>
  </si>
  <si>
    <t>Jaqueta com reflexivo (NBR 15.292)</t>
  </si>
  <si>
    <t>Calça</t>
  </si>
  <si>
    <t>Camiseta</t>
  </si>
  <si>
    <t>Boné</t>
  </si>
  <si>
    <t>Botina de segurança c/ palmilha aço</t>
  </si>
  <si>
    <t>par</t>
  </si>
  <si>
    <t>Meia de algodão com cano alto</t>
  </si>
  <si>
    <t>Capa de chuva amarela com reflexivo</t>
  </si>
  <si>
    <t>Colete reflexivo</t>
  </si>
  <si>
    <t>Luva de proteção</t>
  </si>
  <si>
    <t>Protetor solar FPS 30</t>
  </si>
  <si>
    <t>frasco 120g</t>
  </si>
  <si>
    <t>Higienização de uniformes e EPIs</t>
  </si>
  <si>
    <t>R$ mensal</t>
  </si>
  <si>
    <t>2.2. Uniformes e EPIs para demais categorias</t>
  </si>
  <si>
    <t>Custo Mensal com Uniformes e EPIs (R$/mês)</t>
  </si>
  <si>
    <t>3. Veículos e Equipamentos</t>
  </si>
  <si>
    <t>3.1.1. Depreciação</t>
  </si>
  <si>
    <t>Vida útil do chassis</t>
  </si>
  <si>
    <t>anos</t>
  </si>
  <si>
    <t>Idade do veículo</t>
  </si>
  <si>
    <t>Depreciação do chassis</t>
  </si>
  <si>
    <t>Depreciação mensal veículos coletores</t>
  </si>
  <si>
    <t>Idade do chassis</t>
  </si>
  <si>
    <t>Depreciação mensal do chassis</t>
  </si>
  <si>
    <t>Total por veículo</t>
  </si>
  <si>
    <t>Total da frota</t>
  </si>
  <si>
    <t>3.1.2. Remuneração do Capital</t>
  </si>
  <si>
    <t>Custo do chassis</t>
  </si>
  <si>
    <t>Taxa de juros anual nominal</t>
  </si>
  <si>
    <t>Valor do veículo proposto (V0)</t>
  </si>
  <si>
    <t>Investimento médio total do chassis</t>
  </si>
  <si>
    <t>Remuneração mensal de capital do chassis</t>
  </si>
  <si>
    <t xml:space="preserve">Investimento médio total </t>
  </si>
  <si>
    <t xml:space="preserve">Total geral dos veículos </t>
  </si>
  <si>
    <t>3.1.3. Impostos e Seguros</t>
  </si>
  <si>
    <t>IPVA</t>
  </si>
  <si>
    <t>Licenciamento e Seguro obrigatório</t>
  </si>
  <si>
    <t>Seguro contra terceiros</t>
  </si>
  <si>
    <t>Impostos e seguros mensais</t>
  </si>
  <si>
    <t>3.1.4. Consumos</t>
  </si>
  <si>
    <t>Quilometragem mensal</t>
  </si>
  <si>
    <t>Consumo</t>
  </si>
  <si>
    <t>Custo de óleo diesel / km rodado</t>
  </si>
  <si>
    <t>km/l</t>
  </si>
  <si>
    <t>Custo mensal com óleo diesel</t>
  </si>
  <si>
    <t>km</t>
  </si>
  <si>
    <t>Custo de óleo do motor /1.000 km rodados</t>
  </si>
  <si>
    <t>l/1.000 km</t>
  </si>
  <si>
    <t>Custo mensal com óleo do motor</t>
  </si>
  <si>
    <t>Custo de óleo da transmissão /1.000 km</t>
  </si>
  <si>
    <t>Custo mensal com óleo da transmissão</t>
  </si>
  <si>
    <t>Custo de óleo hidráulico / 1.000 km</t>
  </si>
  <si>
    <t>Custo mensal com óleo hidráulico</t>
  </si>
  <si>
    <t>Custo de graxa /1.000 km rodados</t>
  </si>
  <si>
    <t>kg/1.000 km</t>
  </si>
  <si>
    <t>Custo mensal com graxa</t>
  </si>
  <si>
    <t>l/hora</t>
  </si>
  <si>
    <t>horas</t>
  </si>
  <si>
    <t>Custo total com consumos</t>
  </si>
  <si>
    <t>3.1.5. Manutenção</t>
  </si>
  <si>
    <t>Custo de manutenção dos caminhões</t>
  </si>
  <si>
    <t>R$/km rodado</t>
  </si>
  <si>
    <t>3.1.6. Pneus</t>
  </si>
  <si>
    <t xml:space="preserve">Custo do jogo de pneus </t>
  </si>
  <si>
    <t>Número de recapagens por pneu</t>
  </si>
  <si>
    <t>Custo de recapagem</t>
  </si>
  <si>
    <t>Custo jg. compl. + 2 recap./ km rodado</t>
  </si>
  <si>
    <t>km/jogo</t>
  </si>
  <si>
    <t>Custo mensal com pneus</t>
  </si>
  <si>
    <t>Custo Mensal com Veículos e Equipamentos (R$/mês)</t>
  </si>
  <si>
    <t>Recipiente térmico para água (5L)</t>
  </si>
  <si>
    <t>Pá de Concha</t>
  </si>
  <si>
    <t>Vassoura</t>
  </si>
  <si>
    <t>cj</t>
  </si>
  <si>
    <t>Custo Mensal com Ferramentas e Materiais de Consumo (R$/mês)</t>
  </si>
  <si>
    <t xml:space="preserve">5. Monitoramento da frota  </t>
  </si>
  <si>
    <t>Implantação dos equipamentos de monitoramento</t>
  </si>
  <si>
    <t>Custo mensal com implantação</t>
  </si>
  <si>
    <t>Custo mensal com manutenção</t>
  </si>
  <si>
    <t xml:space="preserve">Veículo </t>
  </si>
  <si>
    <t>Custo Mensal com Monitoramento da Frota (R$/mês)</t>
  </si>
  <si>
    <t>CUSTO TOTAL MENSAL COM DESPESAS OPERACIONAIS (R$/mês)</t>
  </si>
  <si>
    <t>5. Benefícios e Despesas Indiretas - BDI</t>
  </si>
  <si>
    <t>Benefícios e despesas indiretas</t>
  </si>
  <si>
    <t>CUSTO MENSAL COM BDI (R$/mês)</t>
  </si>
  <si>
    <t>PREÇO MENSAL TOTAL (R$/mês)</t>
  </si>
  <si>
    <t xml:space="preserve">Quantidade média de materiais descartados coletados por mês: </t>
  </si>
  <si>
    <t>M³</t>
  </si>
  <si>
    <t>PREÇO POR METRO CÚBICO COLETADA:  [A/B]</t>
  </si>
  <si>
    <t>R$/M³</t>
  </si>
  <si>
    <t xml:space="preserve">Ordem </t>
  </si>
  <si>
    <t xml:space="preserve">Descrição </t>
  </si>
  <si>
    <t xml:space="preserve">PO R$ </t>
  </si>
  <si>
    <t>Total Geral</t>
  </si>
  <si>
    <t>Lucro</t>
  </si>
  <si>
    <t>1. Preencha previamente os dados de entrada na planilha 3.CAGED</t>
  </si>
  <si>
    <t xml:space="preserve">O orçamento deve ser realizado por responsável técnico habilitado e </t>
  </si>
  <si>
    <t>é de responsabilidade do seu autor.</t>
  </si>
  <si>
    <t xml:space="preserve">3. Composição dos Encargos Sociais </t>
  </si>
  <si>
    <t>Código</t>
  </si>
  <si>
    <t>Descrição</t>
  </si>
  <si>
    <t>Valor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</si>
  <si>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</si>
  <si>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</si>
  <si>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</si>
  <si>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</si>
  <si>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</si>
  <si>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</si>
  <si>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</si>
  <si>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</si>
  <si>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</si>
  <si>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</si>
  <si>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</si>
  <si>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</si>
  <si>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</si>
  <si>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</si>
  <si>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</si>
  <si>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</si>
  <si>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</t>
  </si>
  <si>
    <t>SOMA GRUPO A</t>
  </si>
  <si>
    <t>B1</t>
  </si>
  <si>
    <t>Férias gozadas</t>
  </si>
  <si>
    <t>B2</t>
  </si>
  <si>
    <t>13º salário</t>
  </si>
  <si>
    <t>B3</t>
  </si>
  <si>
    <t>Licença Paternidade</t>
  </si>
  <si>
    <t>B4</t>
  </si>
  <si>
    <t>Faltas justificadas</t>
  </si>
  <si>
    <t>B5</t>
  </si>
  <si>
    <t>Auxilio acidente de trabalho</t>
  </si>
  <si>
    <t>B6</t>
  </si>
  <si>
    <t>Auxilio doença</t>
  </si>
  <si>
    <t>B</t>
  </si>
  <si>
    <t>SOMA GRUPO B</t>
  </si>
  <si>
    <t>C1</t>
  </si>
  <si>
    <t>Aviso prévio indenizado</t>
  </si>
  <si>
    <t>C2</t>
  </si>
  <si>
    <t xml:space="preserve">Férias indenizadas </t>
  </si>
  <si>
    <t>C3</t>
  </si>
  <si>
    <t>Férias indenizadas s/ aviso previo inden.</t>
  </si>
  <si>
    <t>C4</t>
  </si>
  <si>
    <t>Depósito rescisão sem justa causa</t>
  </si>
  <si>
    <t>C5</t>
  </si>
  <si>
    <t>Indenização adicional</t>
  </si>
  <si>
    <t>C</t>
  </si>
  <si>
    <t>SOMA GRUPO C</t>
  </si>
  <si>
    <t>D1</t>
  </si>
  <si>
    <t>Reincidência de Grupo A sobre Grupo B</t>
  </si>
  <si>
    <t>D2</t>
  </si>
  <si>
    <t>Reincidência de FGTS sobre aviso prévio indenizado</t>
  </si>
  <si>
    <t>D</t>
  </si>
  <si>
    <t>SOMA GRUPO D</t>
  </si>
  <si>
    <t>SOMA (A+B+C+D)</t>
  </si>
  <si>
    <t>1. Esta planilha é somente um modelo-base e deve ser ajustada conforme cada caso concreto.</t>
  </si>
  <si>
    <t>2. Preencher somente células em amarelo</t>
  </si>
  <si>
    <t xml:space="preserve">O orçamento deve ser realizado por responsável técnico habilitado e é </t>
  </si>
  <si>
    <t>de responsabilidade do seu autor.</t>
  </si>
  <si>
    <t>5. Composição do BDI - Benefícios e Despesas Indiretas</t>
  </si>
  <si>
    <t>Referência estudo TCE</t>
  </si>
  <si>
    <t>1° Quartil</t>
  </si>
  <si>
    <t>Médio</t>
  </si>
  <si>
    <t>3° Quartil</t>
  </si>
  <si>
    <t>Administração Central</t>
  </si>
  <si>
    <t>AC</t>
  </si>
  <si>
    <t>Seguros/Riscos/Garantias</t>
  </si>
  <si>
    <t>SRG</t>
  </si>
  <si>
    <t>L</t>
  </si>
  <si>
    <t>Despesas Financeiras</t>
  </si>
  <si>
    <t>DF</t>
  </si>
  <si>
    <t>i</t>
  </si>
  <si>
    <t>Tributos - ISS</t>
  </si>
  <si>
    <t>T</t>
  </si>
  <si>
    <t>DU</t>
  </si>
  <si>
    <t>Tributos - PIS/COFINS/ e CPP se houver</t>
  </si>
  <si>
    <t>Fórmula para o cálculo do BDI:</t>
  </si>
  <si>
    <t>{[(1+AC+SRG) x (1+L) x (1+DF)] / (1-T)} -1</t>
  </si>
  <si>
    <t>Resultado do cálculo do BDI:</t>
  </si>
  <si>
    <t>Valores R$</t>
  </si>
  <si>
    <t xml:space="preserve">Nr. Func. </t>
  </si>
  <si>
    <t xml:space="preserve">Cargo </t>
  </si>
  <si>
    <t xml:space="preserve">Dias </t>
  </si>
  <si>
    <t xml:space="preserve">Entrada </t>
  </si>
  <si>
    <t>Saída</t>
  </si>
  <si>
    <t xml:space="preserve">Total de dias por semana </t>
  </si>
  <si>
    <t xml:space="preserve">Total de horas por semana </t>
  </si>
  <si>
    <t xml:space="preserve">Dias úteis semana </t>
  </si>
  <si>
    <t>Total de dias com (DSR) Descanso Semanal Remunerado</t>
  </si>
  <si>
    <t>Total de horas/dia com (DSR)</t>
  </si>
  <si>
    <t xml:space="preserve">Total de dias no mês (30 dias) </t>
  </si>
  <si>
    <t>Total geral de horas mês com (DSR)</t>
  </si>
  <si>
    <t>Total geral de horas base mês com (DSR)</t>
  </si>
  <si>
    <t xml:space="preserve">Fator de utilização </t>
  </si>
  <si>
    <t>6. Depreciação Referencial TCE/RS (%)</t>
  </si>
  <si>
    <t>Idade do veículo (ano)</t>
  </si>
  <si>
    <t>Depreciação Média</t>
  </si>
  <si>
    <t xml:space="preserve">Custo de aquisição do chassis </t>
  </si>
  <si>
    <t xml:space="preserve">Total geral </t>
  </si>
  <si>
    <t xml:space="preserve">4. Ferramentas e materiais e Destino Final materiais </t>
  </si>
  <si>
    <t xml:space="preserve">Ton </t>
  </si>
  <si>
    <t>Previsão de Toneladas coletadas e enviadas ao destino final</t>
  </si>
  <si>
    <t xml:space="preserve">Coleta Mensal Tonel. </t>
  </si>
  <si>
    <t xml:space="preserve">Ton/ano </t>
  </si>
  <si>
    <t xml:space="preserve">Total Geral Ton/ano </t>
  </si>
  <si>
    <t>ANEXO .... – PLANILHA DE CUSTOS</t>
  </si>
  <si>
    <t xml:space="preserve">Custo de óleo diesel / horas trabalhada retroescavadeira </t>
  </si>
  <si>
    <t>Prefeitura Municipal de Casca</t>
  </si>
  <si>
    <t>Motorista</t>
  </si>
  <si>
    <t xml:space="preserve">Custo de aquisição Gaiola </t>
  </si>
  <si>
    <t>PREFEITURA MUNICIPAL DE CASCA</t>
  </si>
  <si>
    <t>ROTAS DE COLETA</t>
  </si>
  <si>
    <t xml:space="preserve"> TOTAL = ROTAS DE COLETA + TRANSPORTE </t>
  </si>
  <si>
    <t xml:space="preserve">TOTAL MENSAL = ROTAS DE COLETA + TRANSPORTE </t>
  </si>
  <si>
    <t>Rota 1 - Coleta de Volumosos e Vegetais</t>
  </si>
  <si>
    <t xml:space="preserve">Resumo do Percurso - Coleta de Resíduos de Volumosos e Vegetais   </t>
  </si>
  <si>
    <t>Total dos percursos dos Resíduos de Volumosos</t>
  </si>
  <si>
    <t>Locais de coleta: Área urbana da cidade</t>
  </si>
  <si>
    <t>Coleta Rota 1</t>
  </si>
  <si>
    <t>Rota</t>
  </si>
  <si>
    <t>Dias da semana</t>
  </si>
  <si>
    <t>Nu. Coleta Semanal</t>
  </si>
  <si>
    <t>Distância: Coleta +  Transporte</t>
  </si>
  <si>
    <t>Und.</t>
  </si>
  <si>
    <t>Trecho</t>
  </si>
  <si>
    <t>Cor Linha</t>
  </si>
  <si>
    <t>Ponto a Ponto</t>
  </si>
  <si>
    <t>Distância</t>
  </si>
  <si>
    <t>Unid</t>
  </si>
  <si>
    <t xml:space="preserve">Garagem - Pesagem - Inicio da Rota </t>
  </si>
  <si>
    <t>Trecho 01</t>
  </si>
  <si>
    <t>1 - 2</t>
  </si>
  <si>
    <t>m</t>
  </si>
  <si>
    <t xml:space="preserve">Início da Rota - Final da Rota </t>
  </si>
  <si>
    <t>Rota 1</t>
  </si>
  <si>
    <t>Terça</t>
  </si>
  <si>
    <t>x</t>
  </si>
  <si>
    <t>Trecho 02</t>
  </si>
  <si>
    <t>2 - 3</t>
  </si>
  <si>
    <t>Final da rota - Pesagem - Central de Triagem</t>
  </si>
  <si>
    <t>Trecho 03</t>
  </si>
  <si>
    <t>3 - 4</t>
  </si>
  <si>
    <t>Central de Triagem - Garagem</t>
  </si>
  <si>
    <t>Total Semanal</t>
  </si>
  <si>
    <t>Km</t>
  </si>
  <si>
    <t>Trecho 04</t>
  </si>
  <si>
    <t>4 - 5</t>
  </si>
  <si>
    <t>Distância total diária:</t>
  </si>
  <si>
    <t>Total Mensal</t>
  </si>
  <si>
    <t>Trecho 05</t>
  </si>
  <si>
    <t>5 - 6</t>
  </si>
  <si>
    <t>Trecho 06</t>
  </si>
  <si>
    <t>6 - 7</t>
  </si>
  <si>
    <t>Resumo do Percurso - Coleta de Resíduos Domiciliares - Seletivo Interior</t>
  </si>
  <si>
    <t>Trecho 07</t>
  </si>
  <si>
    <t>7 - 8</t>
  </si>
  <si>
    <t>Coleta Rota 2</t>
  </si>
  <si>
    <t>Total dos percursos dos Resíduos de Vegetais</t>
  </si>
  <si>
    <t>Trecho 08</t>
  </si>
  <si>
    <t>8 - 9</t>
  </si>
  <si>
    <t>Trecho 09</t>
  </si>
  <si>
    <t>9 - 10</t>
  </si>
  <si>
    <t>Trecho 10</t>
  </si>
  <si>
    <t>10 - 11</t>
  </si>
  <si>
    <t>Distância total da Rota:</t>
  </si>
  <si>
    <t>Rota 2 - Coleta de Residuos Domiciliares Seletivo do Interior</t>
  </si>
  <si>
    <t>Locais de coleta: Área do interior - Região Oeste</t>
  </si>
  <si>
    <t>Coleta Rota 3</t>
  </si>
  <si>
    <t>Total dos percursos Resíduos Seletivos - Interior</t>
  </si>
  <si>
    <t/>
  </si>
  <si>
    <t>Rota 2</t>
  </si>
  <si>
    <t>Rota 3</t>
  </si>
  <si>
    <t>Coleta Rota 4</t>
  </si>
  <si>
    <t>Rota 4</t>
  </si>
  <si>
    <t>Rota 5</t>
  </si>
  <si>
    <t>Rota 3 - Coleta de Residuos Domiciliares Seletivo do Interior</t>
  </si>
  <si>
    <t>Locais de coleta: Área do interior - Região Norte</t>
  </si>
  <si>
    <t>Total Semanal (média semanal)</t>
  </si>
  <si>
    <t>Coleta Rota 5</t>
  </si>
  <si>
    <t>Rota 4- Coleta de Residuos Domiciliares Seletivo do Interior</t>
  </si>
  <si>
    <t>Locais de coleta: Área do interior - Região Sudoeste</t>
  </si>
  <si>
    <t>Rota 5- Coleta de Residuos Domiciliares Seletivo do Interior</t>
  </si>
  <si>
    <t>Locais de coleta: Área do interior - Região Sudeste</t>
  </si>
  <si>
    <t>Planilha com os horários dos funcionários coleta de resíduos de volumosos, vegetais e seletivo interior</t>
  </si>
  <si>
    <t xml:space="preserve">Coleta </t>
  </si>
  <si>
    <t>Horas/dia</t>
  </si>
  <si>
    <t>Hrs/se-mana</t>
  </si>
  <si>
    <t>Volumosos</t>
  </si>
  <si>
    <t xml:space="preserve">Terça  </t>
  </si>
  <si>
    <t xml:space="preserve">Coletor </t>
  </si>
  <si>
    <t>Vegetais</t>
  </si>
  <si>
    <t>Rota 2, 3, 4 e 5</t>
  </si>
  <si>
    <t>Seletivo Interior</t>
  </si>
  <si>
    <t xml:space="preserve">Total de horas por coletor </t>
  </si>
  <si>
    <t xml:space="preserve">Total de horas por motorista </t>
  </si>
  <si>
    <t xml:space="preserve">Remuneração mensal de capital </t>
  </si>
  <si>
    <t>Veículo Reserva 10%</t>
  </si>
  <si>
    <t xml:space="preserve">3.1. Veículo Coletor com caçamba/gaiola </t>
  </si>
  <si>
    <t xml:space="preserve">Custo de aquisição </t>
  </si>
  <si>
    <t xml:space="preserve">Item </t>
  </si>
  <si>
    <t>Resíduos Vegetais</t>
  </si>
  <si>
    <t>Materiais Volumosos</t>
  </si>
  <si>
    <t xml:space="preserve">Resumo Custo Edital de Resíduos Vegetais, Volumosos e Interior </t>
  </si>
  <si>
    <t>Total por funcionário</t>
  </si>
  <si>
    <t xml:space="preserve">Cargo: Coletor de resíduos vegetais, volumosos e Interior </t>
  </si>
  <si>
    <t xml:space="preserve">Cargo: Motorista da coleta de resíduos vegetais, volumosos e Interior </t>
  </si>
  <si>
    <t>1. Serviços de Coleta de Resíduos Vegetais, Volumosos e Seletivos no Interior</t>
  </si>
  <si>
    <t>1.4. Vale Transporte</t>
  </si>
  <si>
    <t>1.5. Vale-refeição (diário)</t>
  </si>
  <si>
    <t>1.6. Auxílio Alimentação (mensal)</t>
  </si>
  <si>
    <t xml:space="preserve">1.7. Plano de Benefício Social  </t>
  </si>
  <si>
    <t>Obs: Considerado 4 horas semanais</t>
  </si>
  <si>
    <t xml:space="preserve">km </t>
  </si>
  <si>
    <t xml:space="preserve">Destino final dos rejeitos de resíduos (volumosos)  </t>
  </si>
  <si>
    <t xml:space="preserve">Litros </t>
  </si>
  <si>
    <t>Custos de manut/depr. e remun. capital  triturador</t>
  </si>
  <si>
    <t xml:space="preserve">Mês </t>
  </si>
  <si>
    <t>Custos de combustível Triturador de galhos (2,5l/h)</t>
  </si>
  <si>
    <t xml:space="preserve">Veículo de apoio (depreciação, combust. e manutenção) 5 km dia </t>
  </si>
  <si>
    <t>Coleta Resíduos Vegetais, Volumosos e Interior</t>
  </si>
  <si>
    <t>Período: Estimativa com base 2023</t>
  </si>
  <si>
    <t>Kms 02 viagens ao destino final</t>
  </si>
  <si>
    <t>Periodicidade: Segunda a quinta</t>
  </si>
  <si>
    <t xml:space="preserve">Quarta - 1ª semana (uma vez por mês) </t>
  </si>
  <si>
    <t xml:space="preserve">Quarta - 2ª semana (uma vez por mês) </t>
  </si>
  <si>
    <t xml:space="preserve">Quarta - 3ª semana (uma vez por mês) </t>
  </si>
  <si>
    <t xml:space="preserve">Quarta - 4ª semana (uma vez por mês) </t>
  </si>
  <si>
    <t xml:space="preserve">Segunda e Quinta </t>
  </si>
  <si>
    <t>Segunda, quinta</t>
  </si>
  <si>
    <t>Quarta</t>
  </si>
  <si>
    <t xml:space="preserve">Toneladas de resíduos vegetais e volumosos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</si>
</sst>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_-* #,##0.00_-;\-* #,##0.00_-;_-* \-??_-;_-@_-"/>
    <numFmt numFmtId="166" formatCode="_(* #,##0.00_);_(* \(#,##0.00\);_(* \-??_);_(@_)"/>
    <numFmt numFmtId="167" formatCode="_ * #,##0.00_ ;_ * \-#,##0.00_ ;_ * \-??_ ;_ @_ "/>
    <numFmt numFmtId="168" formatCode="&quot;R$ &quot;#,##0.00"/>
    <numFmt numFmtId="169" formatCode="&quot;R$ &quot;#,##0.00_);&quot;(R$ &quot;#,##0.00\)"/>
    <numFmt numFmtId="170" formatCode="_(* #,##0_);_(* \(#,##0\);_(* \-??_);_(@_)"/>
    <numFmt numFmtId="171" formatCode="_(* #,##0.0000_);_(* \(#,##0.0000\);_(* \-??_);_(@_)"/>
    <numFmt numFmtId="172" formatCode="_(* #,##0.000_);_(* \(#,##0.000\);_(* \-??_);_(@_)"/>
    <numFmt numFmtId="173" formatCode="0.0000"/>
    <numFmt numFmtId="174" formatCode="_(* #,##0.00_);_(* \(#,##0.00\);_(* &quot;-&quot;??_);_(@_)"/>
    <numFmt numFmtId="175" formatCode="0.0"/>
    <numFmt numFmtId="176" formatCode="_(* #,##0.0000_);_(* \(#,##0.0000\);_(* &quot;-&quot;??_);_(@_)"/>
  </numFmts>
  <fonts count="33" x14ac:knownFonts="1">
    <font>
      <sz val="10"/>
      <name val="Arial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  <charset val="1"/>
    </font>
    <font>
      <b/>
      <sz val="12"/>
      <name val="Arial"/>
      <family val="2"/>
      <charset val="1"/>
    </font>
    <font>
      <sz val="12"/>
      <name val="Arial"/>
      <family val="2"/>
      <charset val="1"/>
    </font>
    <font>
      <b/>
      <sz val="12"/>
      <color rgb="FFFF0000"/>
      <name val="Arial"/>
      <family val="2"/>
      <charset val="1"/>
    </font>
    <font>
      <b/>
      <sz val="14"/>
      <name val="Arial"/>
      <family val="2"/>
      <charset val="1"/>
    </font>
    <font>
      <sz val="11"/>
      <name val="Arial"/>
      <family val="2"/>
      <charset val="1"/>
    </font>
    <font>
      <b/>
      <sz val="11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Arial"/>
      <family val="2"/>
      <charset val="1"/>
    </font>
    <font>
      <b/>
      <u/>
      <sz val="9"/>
      <name val="Arial"/>
      <family val="2"/>
      <charset val="1"/>
    </font>
    <font>
      <sz val="8"/>
      <name val="Arial"/>
      <family val="2"/>
      <charset val="1"/>
    </font>
    <font>
      <u/>
      <sz val="10"/>
      <color rgb="FF0000FF"/>
      <name val="Arial"/>
      <family val="2"/>
      <charset val="1"/>
    </font>
    <font>
      <sz val="9"/>
      <name val="Arial"/>
      <family val="2"/>
      <charset val="1"/>
    </font>
    <font>
      <i/>
      <sz val="10"/>
      <name val="Arial"/>
      <family val="2"/>
      <charset val="1"/>
    </font>
    <font>
      <sz val="10"/>
      <color rgb="FFFF0000"/>
      <name val="Arial"/>
      <family val="2"/>
      <charset val="1"/>
    </font>
    <font>
      <sz val="9"/>
      <color rgb="FF000000"/>
      <name val="Tahoma"/>
      <family val="2"/>
      <charset val="1"/>
    </font>
    <font>
      <b/>
      <sz val="9"/>
      <color rgb="FF000000"/>
      <name val="Tahoma"/>
      <family val="2"/>
      <charset val="1"/>
    </font>
    <font>
      <sz val="11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b/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sz val="10"/>
      <name val="Arial"/>
      <charset val="1"/>
    </font>
    <font>
      <sz val="10"/>
      <name val="Arial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BFBFBF"/>
        <bgColor rgb="FFC0C0C0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BFBFBF"/>
      </patternFill>
    </fill>
    <fill>
      <patternFill patternType="solid">
        <fgColor rgb="FFC6D9F1"/>
        <bgColor rgb="FFD9D9D9"/>
      </patternFill>
    </fill>
    <fill>
      <patternFill patternType="solid">
        <fgColor rgb="FFD9D9D9"/>
        <bgColor rgb="FFDDD9C3"/>
      </patternFill>
    </fill>
    <fill>
      <patternFill patternType="solid">
        <fgColor rgb="FFA6A6A6"/>
        <bgColor rgb="FFBFBFBF"/>
      </patternFill>
    </fill>
    <fill>
      <patternFill patternType="solid">
        <fgColor rgb="FFFFFFFF"/>
        <bgColor rgb="FFEEECE1"/>
      </patternFill>
    </fill>
    <fill>
      <patternFill patternType="solid">
        <fgColor rgb="FFDDD9C3"/>
        <bgColor rgb="FFD9D9D9"/>
      </patternFill>
    </fill>
    <fill>
      <patternFill patternType="solid">
        <fgColor rgb="FFEEECE1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/>
    <xf numFmtId="166" fontId="26" fillId="0" borderId="0" applyBorder="0" applyProtection="0"/>
    <xf numFmtId="9" fontId="26" fillId="0" borderId="0" applyBorder="0" applyProtection="0"/>
    <xf numFmtId="0" fontId="15" fillId="0" borderId="0" applyBorder="0" applyProtection="0"/>
    <xf numFmtId="167" fontId="26" fillId="0" borderId="0" applyBorder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489">
    <xf numFmtId="0" fontId="0" fillId="0" borderId="0" xfId="0"/>
    <xf numFmtId="0" fontId="4" fillId="0" borderId="0" xfId="0" applyFont="1" applyAlignment="1">
      <alignment vertical="center"/>
    </xf>
    <xf numFmtId="166" fontId="4" fillId="0" borderId="0" xfId="1" applyFont="1" applyBorder="1" applyAlignment="1" applyProtection="1">
      <alignment vertical="center"/>
    </xf>
    <xf numFmtId="0" fontId="5" fillId="0" borderId="0" xfId="0" applyFont="1" applyAlignment="1">
      <alignment vertical="center"/>
    </xf>
    <xf numFmtId="4" fontId="5" fillId="0" borderId="0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" fontId="0" fillId="0" borderId="0" xfId="0" applyNumberFormat="1" applyBorder="1" applyAlignment="1">
      <alignment vertical="center"/>
    </xf>
    <xf numFmtId="166" fontId="0" fillId="0" borderId="0" xfId="1" applyFont="1" applyBorder="1" applyAlignment="1" applyProtection="1">
      <alignment vertical="center"/>
    </xf>
    <xf numFmtId="4" fontId="6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vertical="center"/>
    </xf>
    <xf numFmtId="4" fontId="7" fillId="0" borderId="0" xfId="0" applyNumberFormat="1" applyFont="1" applyBorder="1" applyAlignment="1">
      <alignment vertical="center"/>
    </xf>
    <xf numFmtId="4" fontId="0" fillId="0" borderId="0" xfId="0" applyNumberFormat="1" applyAlignment="1">
      <alignment vertical="center"/>
    </xf>
    <xf numFmtId="166" fontId="9" fillId="0" borderId="0" xfId="1" applyFont="1" applyBorder="1" applyAlignment="1" applyProtection="1">
      <alignment vertical="center"/>
    </xf>
    <xf numFmtId="0" fontId="0" fillId="0" borderId="3" xfId="0" applyBorder="1" applyAlignment="1">
      <alignment vertical="center"/>
    </xf>
    <xf numFmtId="4" fontId="0" fillId="0" borderId="0" xfId="0" applyNumberFormat="1" applyBorder="1" applyAlignment="1">
      <alignment vertical="center"/>
    </xf>
    <xf numFmtId="166" fontId="0" fillId="0" borderId="4" xfId="1" applyFont="1" applyBorder="1" applyAlignment="1" applyProtection="1">
      <alignment vertical="center"/>
    </xf>
    <xf numFmtId="166" fontId="11" fillId="0" borderId="6" xfId="1" applyFont="1" applyBorder="1" applyAlignment="1" applyProtection="1">
      <alignment horizontal="center" vertical="center"/>
    </xf>
    <xf numFmtId="166" fontId="0" fillId="0" borderId="7" xfId="1" applyFont="1" applyBorder="1" applyAlignment="1" applyProtection="1">
      <alignment vertical="center"/>
    </xf>
    <xf numFmtId="166" fontId="11" fillId="0" borderId="7" xfId="1" applyFont="1" applyBorder="1" applyAlignment="1" applyProtection="1">
      <alignment vertical="center"/>
    </xf>
    <xf numFmtId="166" fontId="11" fillId="0" borderId="8" xfId="1" applyFont="1" applyBorder="1" applyAlignment="1" applyProtection="1">
      <alignment vertical="center"/>
    </xf>
    <xf numFmtId="166" fontId="11" fillId="0" borderId="9" xfId="1" applyFont="1" applyBorder="1" applyAlignment="1" applyProtection="1">
      <alignment horizontal="center" vertical="center"/>
    </xf>
    <xf numFmtId="166" fontId="11" fillId="0" borderId="10" xfId="1" applyFont="1" applyBorder="1" applyAlignment="1" applyProtection="1">
      <alignment vertical="center"/>
    </xf>
    <xf numFmtId="166" fontId="11" fillId="0" borderId="11" xfId="0" applyNumberFormat="1" applyFont="1" applyBorder="1" applyAlignment="1">
      <alignment vertical="center"/>
    </xf>
    <xf numFmtId="166" fontId="11" fillId="0" borderId="11" xfId="1" applyFont="1" applyBorder="1" applyAlignment="1" applyProtection="1">
      <alignment vertical="center"/>
    </xf>
    <xf numFmtId="168" fontId="11" fillId="0" borderId="12" xfId="0" applyNumberFormat="1" applyFont="1" applyBorder="1" applyAlignment="1">
      <alignment vertical="center"/>
    </xf>
    <xf numFmtId="10" fontId="11" fillId="0" borderId="13" xfId="2" applyNumberFormat="1" applyFont="1" applyBorder="1" applyAlignment="1" applyProtection="1">
      <alignment vertical="center"/>
    </xf>
    <xf numFmtId="166" fontId="11" fillId="0" borderId="0" xfId="1" applyFont="1" applyBorder="1" applyAlignment="1" applyProtection="1">
      <alignment vertical="center"/>
    </xf>
    <xf numFmtId="0" fontId="11" fillId="0" borderId="0" xfId="0" applyFont="1" applyAlignment="1">
      <alignment vertical="center"/>
    </xf>
    <xf numFmtId="166" fontId="0" fillId="0" borderId="10" xfId="1" applyFont="1" applyBorder="1" applyAlignment="1" applyProtection="1">
      <alignment vertical="center"/>
    </xf>
    <xf numFmtId="166" fontId="0" fillId="0" borderId="11" xfId="0" applyNumberFormat="1" applyBorder="1" applyAlignment="1">
      <alignment vertical="center"/>
    </xf>
    <xf numFmtId="166" fontId="0" fillId="0" borderId="11" xfId="1" applyFont="1" applyBorder="1" applyAlignment="1" applyProtection="1">
      <alignment vertical="center"/>
    </xf>
    <xf numFmtId="168" fontId="0" fillId="0" borderId="12" xfId="0" applyNumberFormat="1" applyBorder="1" applyAlignment="1">
      <alignment vertical="center"/>
    </xf>
    <xf numFmtId="10" fontId="0" fillId="0" borderId="13" xfId="2" applyNumberFormat="1" applyFont="1" applyBorder="1" applyAlignment="1" applyProtection="1">
      <alignment vertical="center"/>
    </xf>
    <xf numFmtId="4" fontId="11" fillId="0" borderId="11" xfId="0" applyNumberFormat="1" applyFont="1" applyBorder="1" applyAlignment="1">
      <alignment horizontal="center" vertical="center"/>
    </xf>
    <xf numFmtId="166" fontId="4" fillId="0" borderId="10" xfId="1" applyFont="1" applyBorder="1" applyAlignment="1" applyProtection="1">
      <alignment horizontal="left" vertical="center"/>
    </xf>
    <xf numFmtId="4" fontId="0" fillId="0" borderId="11" xfId="0" applyNumberFormat="1" applyBorder="1" applyAlignment="1">
      <alignment horizontal="center" vertical="center"/>
    </xf>
    <xf numFmtId="10" fontId="4" fillId="0" borderId="13" xfId="2" applyNumberFormat="1" applyFont="1" applyBorder="1" applyAlignment="1" applyProtection="1">
      <alignment vertical="center"/>
    </xf>
    <xf numFmtId="168" fontId="11" fillId="0" borderId="14" xfId="0" applyNumberFormat="1" applyFont="1" applyBorder="1" applyAlignment="1">
      <alignment vertical="center"/>
    </xf>
    <xf numFmtId="166" fontId="11" fillId="0" borderId="15" xfId="1" applyFont="1" applyBorder="1" applyAlignment="1" applyProtection="1">
      <alignment horizontal="left" vertical="center"/>
    </xf>
    <xf numFmtId="4" fontId="11" fillId="0" borderId="16" xfId="0" applyNumberFormat="1" applyFont="1" applyBorder="1" applyAlignment="1">
      <alignment horizontal="center" vertical="center"/>
    </xf>
    <xf numFmtId="166" fontId="11" fillId="0" borderId="16" xfId="1" applyFont="1" applyBorder="1" applyAlignment="1" applyProtection="1">
      <alignment vertical="center"/>
    </xf>
    <xf numFmtId="169" fontId="11" fillId="0" borderId="17" xfId="0" applyNumberFormat="1" applyFont="1" applyBorder="1" applyAlignment="1">
      <alignment vertical="center"/>
    </xf>
    <xf numFmtId="9" fontId="11" fillId="0" borderId="18" xfId="2" applyFont="1" applyBorder="1" applyAlignment="1" applyProtection="1">
      <alignment vertical="center"/>
    </xf>
    <xf numFmtId="166" fontId="11" fillId="0" borderId="20" xfId="1" applyFont="1" applyBorder="1" applyAlignment="1" applyProtection="1">
      <alignment horizontal="right" vertical="center"/>
    </xf>
    <xf numFmtId="166" fontId="4" fillId="0" borderId="6" xfId="1" applyFont="1" applyBorder="1" applyAlignment="1" applyProtection="1">
      <alignment vertical="center"/>
    </xf>
    <xf numFmtId="166" fontId="4" fillId="0" borderId="7" xfId="1" applyFont="1" applyBorder="1" applyAlignment="1" applyProtection="1">
      <alignment vertical="center"/>
    </xf>
    <xf numFmtId="0" fontId="0" fillId="0" borderId="7" xfId="0" applyBorder="1" applyAlignment="1">
      <alignment vertical="center"/>
    </xf>
    <xf numFmtId="1" fontId="4" fillId="0" borderId="9" xfId="1" applyNumberFormat="1" applyFont="1" applyBorder="1" applyAlignment="1" applyProtection="1">
      <alignment horizontal="center" vertical="center"/>
    </xf>
    <xf numFmtId="166" fontId="4" fillId="0" borderId="10" xfId="1" applyFont="1" applyBorder="1" applyAlignment="1" applyProtection="1">
      <alignment vertical="center"/>
    </xf>
    <xf numFmtId="166" fontId="4" fillId="0" borderId="11" xfId="1" applyFont="1" applyBorder="1" applyAlignment="1" applyProtection="1">
      <alignment vertical="center"/>
    </xf>
    <xf numFmtId="0" fontId="0" fillId="0" borderId="11" xfId="0" applyBorder="1" applyAlignment="1">
      <alignment vertical="center"/>
    </xf>
    <xf numFmtId="1" fontId="4" fillId="0" borderId="21" xfId="1" applyNumberFormat="1" applyFont="1" applyBorder="1" applyAlignment="1" applyProtection="1">
      <alignment horizontal="center" vertical="center"/>
    </xf>
    <xf numFmtId="166" fontId="11" fillId="0" borderId="22" xfId="1" applyFont="1" applyBorder="1" applyAlignment="1" applyProtection="1">
      <alignment vertical="center"/>
    </xf>
    <xf numFmtId="4" fontId="11" fillId="0" borderId="23" xfId="0" applyNumberFormat="1" applyFont="1" applyBorder="1" applyAlignment="1">
      <alignment vertical="center"/>
    </xf>
    <xf numFmtId="0" fontId="0" fillId="0" borderId="23" xfId="0" applyBorder="1" applyAlignment="1">
      <alignment vertical="center"/>
    </xf>
    <xf numFmtId="1" fontId="11" fillId="0" borderId="24" xfId="1" applyNumberFormat="1" applyFont="1" applyBorder="1" applyAlignment="1" applyProtection="1">
      <alignment horizontal="center" vertical="center"/>
    </xf>
    <xf numFmtId="166" fontId="11" fillId="0" borderId="3" xfId="1" applyFont="1" applyBorder="1" applyAlignment="1" applyProtection="1">
      <alignment vertical="center"/>
    </xf>
    <xf numFmtId="4" fontId="11" fillId="0" borderId="0" xfId="0" applyNumberFormat="1" applyFont="1" applyBorder="1" applyAlignment="1">
      <alignment vertical="center"/>
    </xf>
    <xf numFmtId="166" fontId="4" fillId="0" borderId="4" xfId="1" applyFont="1" applyBorder="1" applyAlignment="1" applyProtection="1">
      <alignment vertical="center"/>
    </xf>
    <xf numFmtId="166" fontId="4" fillId="0" borderId="26" xfId="1" applyFont="1" applyBorder="1" applyAlignment="1" applyProtection="1">
      <alignment vertical="center"/>
    </xf>
    <xf numFmtId="166" fontId="4" fillId="0" borderId="27" xfId="1" applyFont="1" applyBorder="1" applyAlignment="1" applyProtection="1">
      <alignment vertical="center"/>
    </xf>
    <xf numFmtId="0" fontId="4" fillId="0" borderId="27" xfId="0" applyFont="1" applyBorder="1" applyAlignment="1">
      <alignment vertical="center"/>
    </xf>
    <xf numFmtId="1" fontId="4" fillId="0" borderId="28" xfId="1" applyNumberFormat="1" applyFont="1" applyBorder="1" applyAlignment="1" applyProtection="1">
      <alignment horizontal="center" vertical="center"/>
    </xf>
    <xf numFmtId="1" fontId="4" fillId="0" borderId="0" xfId="1" applyNumberFormat="1" applyFont="1" applyBorder="1" applyAlignment="1" applyProtection="1">
      <alignment horizontal="center" vertical="center"/>
    </xf>
    <xf numFmtId="170" fontId="4" fillId="0" borderId="0" xfId="1" applyNumberFormat="1" applyFont="1" applyBorder="1" applyAlignment="1" applyProtection="1">
      <alignment horizontal="center" vertical="center"/>
    </xf>
    <xf numFmtId="166" fontId="11" fillId="0" borderId="15" xfId="1" applyFont="1" applyBorder="1" applyAlignment="1" applyProtection="1">
      <alignment vertical="center"/>
    </xf>
    <xf numFmtId="10" fontId="11" fillId="3" borderId="29" xfId="2" applyNumberFormat="1" applyFont="1" applyFill="1" applyBorder="1" applyAlignment="1" applyProtection="1">
      <alignment vertical="center"/>
    </xf>
    <xf numFmtId="0" fontId="11" fillId="0" borderId="0" xfId="0" applyFont="1" applyBorder="1" applyAlignment="1">
      <alignment vertical="center"/>
    </xf>
    <xf numFmtId="170" fontId="11" fillId="0" borderId="0" xfId="1" applyNumberFormat="1" applyFont="1" applyBorder="1" applyAlignment="1" applyProtection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166" fontId="12" fillId="4" borderId="30" xfId="1" applyFont="1" applyFill="1" applyBorder="1" applyAlignment="1" applyProtection="1">
      <alignment horizontal="center" vertical="center"/>
    </xf>
    <xf numFmtId="166" fontId="12" fillId="4" borderId="18" xfId="1" applyFont="1" applyFill="1" applyBorder="1" applyAlignment="1" applyProtection="1">
      <alignment horizontal="center" vertical="center"/>
    </xf>
    <xf numFmtId="0" fontId="4" fillId="0" borderId="31" xfId="0" applyFont="1" applyBorder="1" applyAlignment="1">
      <alignment vertical="center"/>
    </xf>
    <xf numFmtId="166" fontId="4" fillId="3" borderId="31" xfId="1" applyFont="1" applyFill="1" applyBorder="1" applyAlignment="1" applyProtection="1">
      <alignment horizontal="center" vertical="center"/>
    </xf>
    <xf numFmtId="166" fontId="4" fillId="0" borderId="31" xfId="1" applyFont="1" applyBorder="1" applyAlignment="1" applyProtection="1">
      <alignment horizontal="center" vertical="center"/>
    </xf>
    <xf numFmtId="0" fontId="4" fillId="0" borderId="12" xfId="0" applyFont="1" applyBorder="1" applyAlignment="1">
      <alignment vertical="center"/>
    </xf>
    <xf numFmtId="2" fontId="4" fillId="3" borderId="12" xfId="0" applyNumberFormat="1" applyFont="1" applyFill="1" applyBorder="1" applyAlignment="1">
      <alignment horizontal="center" vertical="center"/>
    </xf>
    <xf numFmtId="166" fontId="4" fillId="0" borderId="12" xfId="1" applyFont="1" applyBorder="1" applyAlignment="1" applyProtection="1">
      <alignment horizontal="center" vertical="center"/>
    </xf>
    <xf numFmtId="0" fontId="11" fillId="0" borderId="32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166" fontId="11" fillId="0" borderId="0" xfId="1" applyFont="1" applyBorder="1" applyAlignment="1" applyProtection="1">
      <alignment horizontal="center" vertical="center"/>
    </xf>
    <xf numFmtId="166" fontId="11" fillId="0" borderId="32" xfId="1" applyFont="1" applyBorder="1" applyAlignment="1" applyProtection="1">
      <alignment horizontal="center" vertical="center"/>
    </xf>
    <xf numFmtId="166" fontId="4" fillId="5" borderId="12" xfId="1" applyFont="1" applyFill="1" applyBorder="1" applyAlignment="1" applyProtection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166" fontId="4" fillId="0" borderId="0" xfId="1" applyFont="1" applyBorder="1" applyAlignment="1" applyProtection="1">
      <alignment horizontal="right" vertical="center"/>
    </xf>
    <xf numFmtId="171" fontId="4" fillId="0" borderId="12" xfId="1" applyNumberFormat="1" applyFont="1" applyBorder="1" applyAlignment="1" applyProtection="1">
      <alignment vertical="center"/>
    </xf>
    <xf numFmtId="166" fontId="11" fillId="4" borderId="29" xfId="1" applyFont="1" applyFill="1" applyBorder="1" applyAlignment="1" applyProtection="1">
      <alignment horizontal="center" vertical="center"/>
    </xf>
    <xf numFmtId="2" fontId="4" fillId="0" borderId="12" xfId="1" applyNumberFormat="1" applyFont="1" applyBorder="1" applyAlignment="1" applyProtection="1">
      <alignment horizontal="center" vertical="center"/>
    </xf>
    <xf numFmtId="0" fontId="14" fillId="0" borderId="0" xfId="0" applyFont="1" applyAlignment="1">
      <alignment vertical="center"/>
    </xf>
    <xf numFmtId="1" fontId="4" fillId="3" borderId="12" xfId="0" applyNumberFormat="1" applyFont="1" applyFill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166" fontId="11" fillId="0" borderId="12" xfId="1" applyFont="1" applyBorder="1" applyAlignment="1" applyProtection="1">
      <alignment horizontal="center" vertical="center"/>
    </xf>
    <xf numFmtId="0" fontId="11" fillId="0" borderId="11" xfId="0" applyFont="1" applyBorder="1" applyAlignment="1">
      <alignment horizontal="center" vertical="center"/>
    </xf>
    <xf numFmtId="166" fontId="11" fillId="0" borderId="11" xfId="1" applyFont="1" applyBorder="1" applyAlignment="1" applyProtection="1">
      <alignment horizontal="center" vertical="center"/>
    </xf>
    <xf numFmtId="0" fontId="4" fillId="0" borderId="0" xfId="0" applyFont="1" applyAlignment="1">
      <alignment horizontal="right" vertical="center"/>
    </xf>
    <xf numFmtId="166" fontId="4" fillId="0" borderId="0" xfId="0" applyNumberFormat="1" applyFont="1" applyAlignment="1">
      <alignment vertical="center"/>
    </xf>
    <xf numFmtId="170" fontId="4" fillId="0" borderId="12" xfId="1" applyNumberFormat="1" applyFont="1" applyBorder="1" applyAlignment="1" applyProtection="1">
      <alignment horizontal="center" vertical="center"/>
    </xf>
    <xf numFmtId="166" fontId="4" fillId="3" borderId="0" xfId="1" applyFont="1" applyFill="1" applyBorder="1" applyAlignment="1" applyProtection="1">
      <alignment vertical="center"/>
    </xf>
    <xf numFmtId="0" fontId="4" fillId="3" borderId="0" xfId="0" applyFont="1" applyFill="1" applyAlignment="1">
      <alignment vertical="center"/>
    </xf>
    <xf numFmtId="170" fontId="4" fillId="0" borderId="12" xfId="1" applyNumberFormat="1" applyFont="1" applyBorder="1" applyAlignment="1" applyProtection="1">
      <alignment vertical="center"/>
    </xf>
    <xf numFmtId="166" fontId="11" fillId="4" borderId="5" xfId="1" applyFont="1" applyFill="1" applyBorder="1" applyAlignment="1" applyProtection="1">
      <alignment vertical="center"/>
    </xf>
    <xf numFmtId="166" fontId="4" fillId="0" borderId="12" xfId="1" applyFont="1" applyBorder="1" applyAlignment="1" applyProtection="1">
      <alignment vertical="center"/>
    </xf>
    <xf numFmtId="171" fontId="4" fillId="0" borderId="0" xfId="1" applyNumberFormat="1" applyFont="1" applyBorder="1" applyAlignment="1" applyProtection="1">
      <alignment vertical="center"/>
    </xf>
    <xf numFmtId="1" fontId="4" fillId="0" borderId="12" xfId="1" applyNumberFormat="1" applyFont="1" applyBorder="1" applyAlignment="1" applyProtection="1">
      <alignment horizontal="center" vertical="center"/>
    </xf>
    <xf numFmtId="164" fontId="4" fillId="3" borderId="12" xfId="4" applyNumberFormat="1" applyFont="1" applyFill="1" applyBorder="1" applyAlignment="1" applyProtection="1">
      <alignment vertical="center"/>
    </xf>
    <xf numFmtId="164" fontId="4" fillId="3" borderId="12" xfId="4" applyNumberFormat="1" applyFont="1" applyFill="1" applyBorder="1" applyAlignment="1" applyProtection="1">
      <alignment horizontal="center" vertical="center"/>
    </xf>
    <xf numFmtId="0" fontId="14" fillId="0" borderId="33" xfId="0" applyFont="1" applyBorder="1" applyAlignment="1">
      <alignment vertical="center"/>
    </xf>
    <xf numFmtId="164" fontId="11" fillId="4" borderId="5" xfId="4" applyNumberFormat="1" applyFont="1" applyFill="1" applyBorder="1" applyAlignment="1" applyProtection="1">
      <alignment vertical="center"/>
    </xf>
    <xf numFmtId="0" fontId="11" fillId="0" borderId="15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166" fontId="11" fillId="0" borderId="29" xfId="1" applyFont="1" applyBorder="1" applyAlignment="1" applyProtection="1">
      <alignment vertical="center"/>
    </xf>
    <xf numFmtId="0" fontId="12" fillId="4" borderId="30" xfId="0" applyFont="1" applyFill="1" applyBorder="1" applyAlignment="1">
      <alignment horizontal="center" vertical="center" wrapText="1"/>
    </xf>
    <xf numFmtId="13" fontId="4" fillId="3" borderId="12" xfId="0" applyNumberFormat="1" applyFont="1" applyFill="1" applyBorder="1" applyAlignment="1">
      <alignment vertical="center"/>
    </xf>
    <xf numFmtId="166" fontId="0" fillId="3" borderId="12" xfId="1" applyFont="1" applyFill="1" applyBorder="1" applyAlignment="1" applyProtection="1"/>
    <xf numFmtId="0" fontId="4" fillId="0" borderId="12" xfId="0" applyFont="1" applyBorder="1"/>
    <xf numFmtId="0" fontId="4" fillId="0" borderId="12" xfId="0" applyFont="1" applyBorder="1" applyAlignment="1">
      <alignment horizontal="center"/>
    </xf>
    <xf numFmtId="166" fontId="4" fillId="0" borderId="0" xfId="1" applyFont="1" applyBorder="1" applyAlignment="1" applyProtection="1"/>
    <xf numFmtId="0" fontId="4" fillId="0" borderId="0" xfId="0" applyFont="1"/>
    <xf numFmtId="13" fontId="4" fillId="0" borderId="12" xfId="0" applyNumberFormat="1" applyFont="1" applyBorder="1" applyAlignment="1">
      <alignment vertical="center"/>
    </xf>
    <xf numFmtId="1" fontId="4" fillId="0" borderId="12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166" fontId="4" fillId="0" borderId="16" xfId="1" applyFont="1" applyBorder="1" applyAlignment="1" applyProtection="1">
      <alignment vertical="center"/>
    </xf>
    <xf numFmtId="166" fontId="4" fillId="0" borderId="29" xfId="1" applyFont="1" applyBorder="1" applyAlignment="1" applyProtection="1">
      <alignment vertical="center"/>
    </xf>
    <xf numFmtId="0" fontId="15" fillId="0" borderId="0" xfId="3" applyBorder="1" applyAlignment="1" applyProtection="1">
      <alignment vertical="center"/>
    </xf>
    <xf numFmtId="0" fontId="4" fillId="0" borderId="31" xfId="0" applyFont="1" applyBorder="1" applyAlignment="1">
      <alignment horizontal="center" vertical="center"/>
    </xf>
    <xf numFmtId="166" fontId="4" fillId="0" borderId="0" xfId="1" applyFont="1" applyBorder="1" applyAlignment="1" applyProtection="1">
      <alignment horizontal="center" vertical="center"/>
    </xf>
    <xf numFmtId="165" fontId="4" fillId="0" borderId="0" xfId="0" applyNumberFormat="1" applyFont="1" applyAlignment="1">
      <alignment vertical="center"/>
    </xf>
    <xf numFmtId="0" fontId="11" fillId="0" borderId="34" xfId="0" applyFont="1" applyBorder="1" applyAlignment="1">
      <alignment vertical="center"/>
    </xf>
    <xf numFmtId="0" fontId="11" fillId="0" borderId="34" xfId="0" applyFont="1" applyBorder="1" applyAlignment="1">
      <alignment horizontal="center" vertical="center"/>
    </xf>
    <xf numFmtId="166" fontId="11" fillId="0" borderId="34" xfId="1" applyFont="1" applyBorder="1" applyAlignment="1" applyProtection="1">
      <alignment horizontal="center" vertical="center"/>
    </xf>
    <xf numFmtId="166" fontId="4" fillId="5" borderId="12" xfId="1" applyFont="1" applyFill="1" applyBorder="1" applyAlignment="1" applyProtection="1">
      <alignment vertical="center"/>
    </xf>
    <xf numFmtId="0" fontId="11" fillId="0" borderId="12" xfId="0" applyFont="1" applyBorder="1" applyAlignment="1">
      <alignment horizontal="center" vertical="center"/>
    </xf>
    <xf numFmtId="0" fontId="14" fillId="0" borderId="0" xfId="0" applyFont="1" applyBorder="1" applyAlignment="1">
      <alignment horizontal="left" vertical="center" wrapText="1"/>
    </xf>
    <xf numFmtId="0" fontId="12" fillId="4" borderId="25" xfId="0" applyFont="1" applyFill="1" applyBorder="1" applyAlignment="1">
      <alignment horizontal="center" vertical="center"/>
    </xf>
    <xf numFmtId="0" fontId="12" fillId="4" borderId="35" xfId="0" applyFont="1" applyFill="1" applyBorder="1" applyAlignment="1">
      <alignment horizontal="center" vertical="center"/>
    </xf>
    <xf numFmtId="166" fontId="12" fillId="4" borderId="35" xfId="1" applyFont="1" applyFill="1" applyBorder="1" applyAlignment="1" applyProtection="1">
      <alignment horizontal="center" vertical="center"/>
    </xf>
    <xf numFmtId="166" fontId="4" fillId="0" borderId="12" xfId="0" applyNumberFormat="1" applyFont="1" applyBorder="1" applyAlignment="1">
      <alignment horizontal="center" vertical="center"/>
    </xf>
    <xf numFmtId="166" fontId="11" fillId="0" borderId="36" xfId="1" applyFont="1" applyBorder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166" fontId="4" fillId="3" borderId="12" xfId="1" applyFont="1" applyFill="1" applyBorder="1" applyAlignment="1" applyProtection="1">
      <alignment horizontal="center" vertical="center"/>
    </xf>
    <xf numFmtId="3" fontId="4" fillId="0" borderId="0" xfId="0" applyNumberFormat="1" applyFont="1" applyAlignment="1">
      <alignment vertical="center"/>
    </xf>
    <xf numFmtId="4" fontId="4" fillId="3" borderId="12" xfId="0" applyNumberFormat="1" applyFont="1" applyFill="1" applyBorder="1" applyAlignment="1">
      <alignment vertical="center"/>
    </xf>
    <xf numFmtId="4" fontId="4" fillId="3" borderId="31" xfId="0" applyNumberFormat="1" applyFont="1" applyFill="1" applyBorder="1" applyAlignment="1">
      <alignment horizontal="center" vertical="center"/>
    </xf>
    <xf numFmtId="172" fontId="4" fillId="3" borderId="31" xfId="1" applyNumberFormat="1" applyFont="1" applyFill="1" applyBorder="1" applyAlignment="1" applyProtection="1">
      <alignment horizontal="center" vertical="center"/>
    </xf>
    <xf numFmtId="172" fontId="4" fillId="0" borderId="31" xfId="1" applyNumberFormat="1" applyFont="1" applyBorder="1" applyAlignment="1" applyProtection="1">
      <alignment horizontal="center" vertical="center"/>
    </xf>
    <xf numFmtId="4" fontId="4" fillId="3" borderId="12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72" fontId="4" fillId="0" borderId="12" xfId="1" applyNumberFormat="1" applyFont="1" applyBorder="1" applyAlignment="1" applyProtection="1">
      <alignment horizontal="center" vertical="center"/>
    </xf>
    <xf numFmtId="172" fontId="4" fillId="3" borderId="12" xfId="1" applyNumberFormat="1" applyFont="1" applyFill="1" applyBorder="1" applyAlignment="1" applyProtection="1">
      <alignment horizontal="center" vertical="center"/>
    </xf>
    <xf numFmtId="170" fontId="11" fillId="0" borderId="12" xfId="1" applyNumberFormat="1" applyFont="1" applyBorder="1" applyAlignment="1" applyProtection="1">
      <alignment horizontal="center" vertical="center"/>
    </xf>
    <xf numFmtId="172" fontId="11" fillId="0" borderId="12" xfId="1" applyNumberFormat="1" applyFont="1" applyBorder="1" applyAlignment="1" applyProtection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3" fontId="4" fillId="3" borderId="12" xfId="0" applyNumberFormat="1" applyFont="1" applyFill="1" applyBorder="1" applyAlignment="1">
      <alignment horizontal="center" vertical="center"/>
    </xf>
    <xf numFmtId="13" fontId="4" fillId="3" borderId="12" xfId="0" applyNumberFormat="1" applyFont="1" applyFill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66" fontId="17" fillId="0" borderId="12" xfId="1" applyFont="1" applyBorder="1" applyAlignment="1" applyProtection="1">
      <alignment horizontal="center" vertical="center"/>
    </xf>
    <xf numFmtId="0" fontId="14" fillId="0" borderId="0" xfId="0" applyFont="1" applyBorder="1" applyAlignment="1">
      <alignment vertical="center"/>
    </xf>
    <xf numFmtId="166" fontId="11" fillId="4" borderId="5" xfId="1" applyFont="1" applyFill="1" applyBorder="1" applyAlignment="1" applyProtection="1">
      <alignment horizontal="center" vertical="center"/>
    </xf>
    <xf numFmtId="166" fontId="18" fillId="0" borderId="0" xfId="1" applyFont="1" applyBorder="1" applyAlignment="1" applyProtection="1">
      <alignment vertical="center"/>
    </xf>
    <xf numFmtId="0" fontId="18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66" fontId="5" fillId="0" borderId="0" xfId="1" applyFont="1" applyBorder="1" applyAlignment="1" applyProtection="1">
      <alignment vertical="center"/>
    </xf>
    <xf numFmtId="0" fontId="11" fillId="0" borderId="37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166" fontId="4" fillId="3" borderId="11" xfId="1" applyFont="1" applyFill="1" applyBorder="1" applyAlignment="1" applyProtection="1">
      <alignment vertical="center"/>
    </xf>
    <xf numFmtId="166" fontId="4" fillId="0" borderId="36" xfId="1" applyFont="1" applyBorder="1" applyAlignment="1" applyProtection="1">
      <alignment horizontal="center" vertical="center"/>
    </xf>
    <xf numFmtId="166" fontId="11" fillId="0" borderId="29" xfId="1" applyFont="1" applyBorder="1" applyAlignment="1" applyProtection="1">
      <alignment horizontal="right" vertical="center"/>
    </xf>
    <xf numFmtId="166" fontId="11" fillId="4" borderId="5" xfId="1" applyFont="1" applyFill="1" applyBorder="1" applyAlignment="1" applyProtection="1">
      <alignment horizontal="right" vertical="center"/>
    </xf>
    <xf numFmtId="0" fontId="11" fillId="0" borderId="0" xfId="0" applyFont="1"/>
    <xf numFmtId="0" fontId="11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/>
    <xf numFmtId="166" fontId="0" fillId="0" borderId="12" xfId="1" applyFont="1" applyBorder="1" applyAlignment="1" applyProtection="1"/>
    <xf numFmtId="0" fontId="11" fillId="0" borderId="12" xfId="0" applyFont="1" applyBorder="1"/>
    <xf numFmtId="166" fontId="11" fillId="0" borderId="12" xfId="1" applyFont="1" applyBorder="1" applyAlignment="1" applyProtection="1"/>
    <xf numFmtId="0" fontId="4" fillId="0" borderId="0" xfId="0" applyFont="1" applyBorder="1"/>
    <xf numFmtId="4" fontId="4" fillId="0" borderId="0" xfId="0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21" fillId="0" borderId="39" xfId="0" applyFont="1" applyBorder="1" applyAlignment="1">
      <alignment horizontal="left" vertical="center"/>
    </xf>
    <xf numFmtId="0" fontId="21" fillId="0" borderId="12" xfId="0" applyFont="1" applyBorder="1" applyAlignment="1">
      <alignment horizontal="left" vertical="center"/>
    </xf>
    <xf numFmtId="0" fontId="21" fillId="0" borderId="21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10" fontId="21" fillId="0" borderId="21" xfId="0" applyNumberFormat="1" applyFont="1" applyBorder="1" applyAlignment="1">
      <alignment horizontal="right" vertical="center"/>
    </xf>
    <xf numFmtId="0" fontId="21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left" vertical="center"/>
    </xf>
    <xf numFmtId="10" fontId="22" fillId="0" borderId="21" xfId="0" applyNumberFormat="1" applyFont="1" applyBorder="1" applyAlignment="1">
      <alignment horizontal="right" vertical="center"/>
    </xf>
    <xf numFmtId="0" fontId="21" fillId="6" borderId="39" xfId="0" applyFont="1" applyFill="1" applyBorder="1" applyAlignment="1">
      <alignment horizontal="left" vertical="center"/>
    </xf>
    <xf numFmtId="0" fontId="22" fillId="6" borderId="12" xfId="0" applyFont="1" applyFill="1" applyBorder="1" applyAlignment="1">
      <alignment horizontal="left" vertical="center"/>
    </xf>
    <xf numFmtId="10" fontId="22" fillId="6" borderId="21" xfId="0" applyNumberFormat="1" applyFont="1" applyFill="1" applyBorder="1" applyAlignment="1">
      <alignment horizontal="right" vertical="center"/>
    </xf>
    <xf numFmtId="0" fontId="23" fillId="0" borderId="0" xfId="0" applyFont="1" applyBorder="1" applyAlignment="1">
      <alignment horizontal="left" vertical="center"/>
    </xf>
    <xf numFmtId="10" fontId="4" fillId="0" borderId="0" xfId="0" applyNumberFormat="1" applyFont="1"/>
    <xf numFmtId="9" fontId="21" fillId="0" borderId="0" xfId="2" applyFont="1" applyBorder="1" applyAlignment="1" applyProtection="1">
      <alignment horizontal="right" vertical="center"/>
    </xf>
    <xf numFmtId="10" fontId="4" fillId="0" borderId="0" xfId="0" applyNumberFormat="1" applyFont="1" applyBorder="1"/>
    <xf numFmtId="0" fontId="21" fillId="0" borderId="12" xfId="0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/>
    </xf>
    <xf numFmtId="0" fontId="21" fillId="7" borderId="40" xfId="0" applyFont="1" applyFill="1" applyBorder="1" applyAlignment="1">
      <alignment horizontal="left" vertical="center"/>
    </xf>
    <xf numFmtId="0" fontId="22" fillId="7" borderId="14" xfId="0" applyFont="1" applyFill="1" applyBorder="1" applyAlignment="1">
      <alignment horizontal="left" vertical="center"/>
    </xf>
    <xf numFmtId="10" fontId="22" fillId="7" borderId="28" xfId="0" applyNumberFormat="1" applyFont="1" applyFill="1" applyBorder="1" applyAlignment="1">
      <alignment horizontal="right" vertical="center"/>
    </xf>
    <xf numFmtId="0" fontId="22" fillId="0" borderId="0" xfId="0" applyFont="1" applyBorder="1" applyAlignment="1">
      <alignment horizontal="left" vertical="center"/>
    </xf>
    <xf numFmtId="10" fontId="22" fillId="0" borderId="0" xfId="0" applyNumberFormat="1" applyFont="1" applyBorder="1" applyAlignment="1">
      <alignment horizontal="right" vertical="center"/>
    </xf>
    <xf numFmtId="0" fontId="23" fillId="8" borderId="0" xfId="0" applyFont="1" applyFill="1" applyBorder="1" applyAlignment="1">
      <alignment horizontal="left" vertical="center"/>
    </xf>
    <xf numFmtId="10" fontId="21" fillId="0" borderId="0" xfId="0" applyNumberFormat="1" applyFont="1" applyBorder="1" applyAlignment="1">
      <alignment horizontal="right" vertical="center"/>
    </xf>
    <xf numFmtId="0" fontId="21" fillId="8" borderId="0" xfId="0" applyFont="1" applyFill="1" applyBorder="1" applyAlignment="1">
      <alignment horizontal="left" vertical="center"/>
    </xf>
    <xf numFmtId="0" fontId="9" fillId="0" borderId="39" xfId="0" applyFont="1" applyBorder="1"/>
    <xf numFmtId="0" fontId="9" fillId="0" borderId="3" xfId="0" applyFont="1" applyBorder="1"/>
    <xf numFmtId="0" fontId="0" fillId="0" borderId="0" xfId="0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/>
    <xf numFmtId="9" fontId="9" fillId="0" borderId="39" xfId="2" applyFont="1" applyBorder="1" applyAlignment="1" applyProtection="1"/>
    <xf numFmtId="9" fontId="9" fillId="0" borderId="12" xfId="2" applyFont="1" applyBorder="1" applyAlignment="1" applyProtection="1">
      <alignment horizontal="center"/>
    </xf>
    <xf numFmtId="9" fontId="9" fillId="0" borderId="21" xfId="2" applyFont="1" applyBorder="1" applyAlignment="1" applyProtection="1"/>
    <xf numFmtId="0" fontId="9" fillId="0" borderId="45" xfId="0" applyFont="1" applyBorder="1" applyAlignment="1">
      <alignment horizontal="left" vertical="center"/>
    </xf>
    <xf numFmtId="0" fontId="9" fillId="0" borderId="46" xfId="0" applyFont="1" applyBorder="1" applyAlignment="1">
      <alignment horizontal="center" vertical="center"/>
    </xf>
    <xf numFmtId="10" fontId="9" fillId="3" borderId="9" xfId="0" applyNumberFormat="1" applyFont="1" applyFill="1" applyBorder="1" applyAlignment="1">
      <alignment horizontal="center" vertical="center"/>
    </xf>
    <xf numFmtId="10" fontId="9" fillId="0" borderId="39" xfId="2" applyNumberFormat="1" applyFont="1" applyBorder="1" applyAlignment="1" applyProtection="1">
      <alignment horizontal="right"/>
    </xf>
    <xf numFmtId="10" fontId="9" fillId="0" borderId="12" xfId="2" applyNumberFormat="1" applyFont="1" applyBorder="1" applyAlignment="1" applyProtection="1">
      <alignment horizontal="right"/>
    </xf>
    <xf numFmtId="10" fontId="9" fillId="0" borderId="21" xfId="2" applyNumberFormat="1" applyFont="1" applyBorder="1" applyAlignment="1" applyProtection="1">
      <alignment horizontal="right"/>
    </xf>
    <xf numFmtId="0" fontId="9" fillId="0" borderId="39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/>
    </xf>
    <xf numFmtId="10" fontId="9" fillId="3" borderId="21" xfId="0" applyNumberFormat="1" applyFont="1" applyFill="1" applyBorder="1" applyAlignment="1">
      <alignment horizontal="center" vertical="center"/>
    </xf>
    <xf numFmtId="10" fontId="9" fillId="0" borderId="21" xfId="0" applyNumberFormat="1" applyFont="1" applyBorder="1" applyAlignment="1">
      <alignment horizontal="center" vertical="center"/>
    </xf>
    <xf numFmtId="10" fontId="9" fillId="3" borderId="12" xfId="2" applyNumberFormat="1" applyFont="1" applyFill="1" applyBorder="1" applyAlignment="1" applyProtection="1">
      <alignment horizontal="center"/>
    </xf>
    <xf numFmtId="10" fontId="9" fillId="0" borderId="21" xfId="2" applyNumberFormat="1" applyFont="1" applyBorder="1" applyAlignment="1" applyProtection="1"/>
    <xf numFmtId="0" fontId="9" fillId="0" borderId="39" xfId="0" applyFont="1" applyBorder="1" applyAlignment="1">
      <alignment horizontal="right"/>
    </xf>
    <xf numFmtId="0" fontId="9" fillId="3" borderId="12" xfId="0" applyFont="1" applyFill="1" applyBorder="1" applyAlignment="1">
      <alignment horizontal="center"/>
    </xf>
    <xf numFmtId="0" fontId="9" fillId="0" borderId="21" xfId="0" applyFont="1" applyBorder="1"/>
    <xf numFmtId="0" fontId="9" fillId="0" borderId="40" xfId="0" applyFont="1" applyBorder="1" applyAlignment="1">
      <alignment horizontal="left" vertical="center"/>
    </xf>
    <xf numFmtId="10" fontId="9" fillId="3" borderId="28" xfId="0" applyNumberFormat="1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9" fillId="0" borderId="47" xfId="0" applyFont="1" applyBorder="1" applyAlignment="1">
      <alignment vertical="center"/>
    </xf>
    <xf numFmtId="0" fontId="9" fillId="0" borderId="48" xfId="0" applyFont="1" applyBorder="1" applyAlignment="1">
      <alignment vertical="center"/>
    </xf>
    <xf numFmtId="10" fontId="9" fillId="0" borderId="49" xfId="0" applyNumberFormat="1" applyFont="1" applyBorder="1" applyAlignment="1">
      <alignment vertical="center"/>
    </xf>
    <xf numFmtId="0" fontId="9" fillId="0" borderId="22" xfId="0" applyFont="1" applyBorder="1" applyAlignment="1">
      <alignment horizontal="left" vertical="center"/>
    </xf>
    <xf numFmtId="0" fontId="9" fillId="0" borderId="23" xfId="0" applyFont="1" applyBorder="1" applyAlignment="1">
      <alignment horizontal="left" vertical="center"/>
    </xf>
    <xf numFmtId="0" fontId="9" fillId="0" borderId="50" xfId="0" applyFont="1" applyBorder="1" applyAlignment="1">
      <alignment vertical="center"/>
    </xf>
    <xf numFmtId="0" fontId="10" fillId="6" borderId="15" xfId="0" applyFont="1" applyFill="1" applyBorder="1" applyAlignment="1">
      <alignment vertical="center" wrapText="1"/>
    </xf>
    <xf numFmtId="0" fontId="9" fillId="6" borderId="16" xfId="0" applyFont="1" applyFill="1" applyBorder="1" applyAlignment="1">
      <alignment vertical="center"/>
    </xf>
    <xf numFmtId="10" fontId="10" fillId="6" borderId="29" xfId="0" applyNumberFormat="1" applyFont="1" applyFill="1" applyBorder="1" applyAlignment="1">
      <alignment horizontal="center" vertical="center" wrapText="1"/>
    </xf>
    <xf numFmtId="10" fontId="9" fillId="0" borderId="40" xfId="2" applyNumberFormat="1" applyFont="1" applyBorder="1" applyAlignment="1" applyProtection="1">
      <alignment horizontal="right"/>
    </xf>
    <xf numFmtId="10" fontId="9" fillId="0" borderId="14" xfId="2" applyNumberFormat="1" applyFont="1" applyBorder="1" applyAlignment="1" applyProtection="1">
      <alignment horizontal="right"/>
    </xf>
    <xf numFmtId="10" fontId="9" fillId="0" borderId="28" xfId="2" applyNumberFormat="1" applyFont="1" applyBorder="1" applyAlignment="1" applyProtection="1">
      <alignment horizontal="right"/>
    </xf>
    <xf numFmtId="0" fontId="3" fillId="0" borderId="0" xfId="4" applyNumberFormat="1" applyFont="1"/>
    <xf numFmtId="0" fontId="24" fillId="0" borderId="0" xfId="4" applyNumberFormat="1" applyFont="1"/>
    <xf numFmtId="0" fontId="25" fillId="0" borderId="0" xfId="4" applyNumberFormat="1" applyFont="1"/>
    <xf numFmtId="0" fontId="25" fillId="0" borderId="12" xfId="4" applyNumberFormat="1" applyFont="1" applyBorder="1" applyAlignment="1">
      <alignment horizontal="center"/>
    </xf>
    <xf numFmtId="0" fontId="3" fillId="0" borderId="12" xfId="4" applyNumberFormat="1" applyFont="1" applyBorder="1"/>
    <xf numFmtId="0" fontId="3" fillId="0" borderId="12" xfId="4" applyNumberFormat="1" applyFont="1" applyBorder="1"/>
    <xf numFmtId="0" fontId="3" fillId="0" borderId="12" xfId="4" applyNumberFormat="1" applyFont="1" applyBorder="1" applyAlignment="1">
      <alignment horizontal="center"/>
    </xf>
    <xf numFmtId="166" fontId="0" fillId="0" borderId="12" xfId="1" applyFont="1" applyBorder="1" applyAlignment="1" applyProtection="1">
      <alignment horizontal="center"/>
    </xf>
    <xf numFmtId="165" fontId="0" fillId="0" borderId="12" xfId="4" applyNumberFormat="1" applyFont="1" applyBorder="1" applyAlignment="1" applyProtection="1">
      <alignment horizontal="center"/>
    </xf>
    <xf numFmtId="17" fontId="3" fillId="0" borderId="12" xfId="4" applyNumberFormat="1" applyFont="1" applyBorder="1" applyAlignment="1">
      <alignment horizontal="center"/>
    </xf>
    <xf numFmtId="0" fontId="25" fillId="0" borderId="36" xfId="4" applyNumberFormat="1" applyFont="1" applyBorder="1" applyAlignment="1">
      <alignment horizontal="center"/>
    </xf>
    <xf numFmtId="165" fontId="0" fillId="0" borderId="12" xfId="4" applyNumberFormat="1" applyFont="1" applyBorder="1" applyAlignment="1" applyProtection="1"/>
    <xf numFmtId="0" fontId="3" fillId="0" borderId="0" xfId="4" applyNumberFormat="1" applyFont="1"/>
    <xf numFmtId="165" fontId="0" fillId="0" borderId="12" xfId="4" applyNumberFormat="1" applyFont="1" applyBorder="1" applyAlignment="1" applyProtection="1">
      <alignment horizontal="center"/>
    </xf>
    <xf numFmtId="0" fontId="22" fillId="0" borderId="39" xfId="0" applyFont="1" applyBorder="1" applyAlignment="1">
      <alignment horizontal="center" vertical="center"/>
    </xf>
    <xf numFmtId="0" fontId="22" fillId="10" borderId="12" xfId="0" applyFont="1" applyFill="1" applyBorder="1" applyAlignment="1">
      <alignment horizontal="center" vertical="center"/>
    </xf>
    <xf numFmtId="0" fontId="21" fillId="0" borderId="39" xfId="0" applyFont="1" applyBorder="1" applyAlignment="1">
      <alignment horizontal="center" vertical="center"/>
    </xf>
    <xf numFmtId="2" fontId="21" fillId="10" borderId="12" xfId="0" applyNumberFormat="1" applyFont="1" applyFill="1" applyBorder="1" applyAlignment="1">
      <alignment horizontal="right" vertical="center"/>
    </xf>
    <xf numFmtId="0" fontId="21" fillId="0" borderId="40" xfId="0" applyFont="1" applyBorder="1" applyAlignment="1">
      <alignment horizontal="center" vertical="center"/>
    </xf>
    <xf numFmtId="2" fontId="21" fillId="10" borderId="14" xfId="0" applyNumberFormat="1" applyFont="1" applyFill="1" applyBorder="1" applyAlignment="1">
      <alignment horizontal="right" vertical="center"/>
    </xf>
    <xf numFmtId="2" fontId="4" fillId="0" borderId="0" xfId="0" applyNumberFormat="1" applyFont="1"/>
    <xf numFmtId="0" fontId="25" fillId="0" borderId="12" xfId="4" applyNumberFormat="1" applyFont="1" applyBorder="1" applyAlignment="1">
      <alignment horizontal="center"/>
    </xf>
    <xf numFmtId="174" fontId="27" fillId="0" borderId="31" xfId="1" applyNumberFormat="1" applyFont="1" applyBorder="1" applyAlignment="1">
      <alignment horizontal="center" vertical="center"/>
    </xf>
    <xf numFmtId="174" fontId="27" fillId="11" borderId="31" xfId="1" applyNumberFormat="1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174" fontId="27" fillId="11" borderId="12" xfId="1" applyNumberFormat="1" applyFont="1" applyFill="1" applyBorder="1" applyAlignment="1">
      <alignment horizontal="center" vertical="center"/>
    </xf>
    <xf numFmtId="13" fontId="27" fillId="11" borderId="12" xfId="0" applyNumberFormat="1" applyFont="1" applyFill="1" applyBorder="1" applyAlignment="1">
      <alignment vertical="center"/>
    </xf>
    <xf numFmtId="174" fontId="0" fillId="11" borderId="12" xfId="1" applyNumberFormat="1" applyFont="1" applyFill="1" applyBorder="1"/>
    <xf numFmtId="166" fontId="11" fillId="0" borderId="10" xfId="1" applyFont="1" applyBorder="1" applyAlignment="1" applyProtection="1">
      <alignment horizontal="left" vertical="center"/>
    </xf>
    <xf numFmtId="0" fontId="25" fillId="0" borderId="12" xfId="4" applyNumberFormat="1" applyFont="1" applyBorder="1" applyAlignment="1">
      <alignment horizontal="center"/>
    </xf>
    <xf numFmtId="0" fontId="2" fillId="0" borderId="0" xfId="5"/>
    <xf numFmtId="0" fontId="2" fillId="0" borderId="0" xfId="5" applyBorder="1"/>
    <xf numFmtId="4" fontId="2" fillId="0" borderId="0" xfId="5" applyNumberFormat="1"/>
    <xf numFmtId="0" fontId="2" fillId="0" borderId="0" xfId="5" applyBorder="1" applyAlignment="1">
      <alignment wrapText="1"/>
    </xf>
    <xf numFmtId="0" fontId="2" fillId="0" borderId="0" xfId="5" applyBorder="1" applyAlignment="1">
      <alignment horizontal="center"/>
    </xf>
    <xf numFmtId="2" fontId="2" fillId="0" borderId="0" xfId="5" applyNumberFormat="1" applyBorder="1" applyAlignment="1">
      <alignment horizontal="center"/>
    </xf>
    <xf numFmtId="0" fontId="2" fillId="0" borderId="0" xfId="5" applyAlignment="1">
      <alignment horizontal="center"/>
    </xf>
    <xf numFmtId="0" fontId="2" fillId="0" borderId="39" xfId="5" applyBorder="1" applyAlignment="1">
      <alignment horizontal="center"/>
    </xf>
    <xf numFmtId="0" fontId="2" fillId="0" borderId="12" xfId="5" applyBorder="1" applyAlignment="1">
      <alignment horizontal="center"/>
    </xf>
    <xf numFmtId="0" fontId="2" fillId="0" borderId="21" xfId="5" applyBorder="1" applyAlignment="1">
      <alignment horizontal="center"/>
    </xf>
    <xf numFmtId="4" fontId="0" fillId="12" borderId="12" xfId="6" applyNumberFormat="1" applyFont="1" applyFill="1" applyBorder="1" applyAlignment="1">
      <alignment horizontal="right"/>
    </xf>
    <xf numFmtId="0" fontId="2" fillId="0" borderId="21" xfId="5" applyFill="1" applyBorder="1"/>
    <xf numFmtId="49" fontId="2" fillId="0" borderId="12" xfId="5" applyNumberFormat="1" applyBorder="1" applyAlignment="1">
      <alignment horizontal="center"/>
    </xf>
    <xf numFmtId="4" fontId="0" fillId="0" borderId="12" xfId="6" applyNumberFormat="1" applyFont="1" applyBorder="1" applyAlignment="1">
      <alignment horizontal="right"/>
    </xf>
    <xf numFmtId="0" fontId="2" fillId="0" borderId="21" xfId="5" applyBorder="1"/>
    <xf numFmtId="4" fontId="2" fillId="0" borderId="12" xfId="5" applyNumberFormat="1" applyBorder="1"/>
    <xf numFmtId="2" fontId="2" fillId="0" borderId="39" xfId="5" applyNumberFormat="1" applyBorder="1" applyAlignment="1">
      <alignment horizontal="center"/>
    </xf>
    <xf numFmtId="0" fontId="2" fillId="0" borderId="37" xfId="5" applyBorder="1" applyAlignment="1">
      <alignment horizontal="center" vertical="center"/>
    </xf>
    <xf numFmtId="1" fontId="2" fillId="0" borderId="37" xfId="5" applyNumberFormat="1" applyBorder="1" applyAlignment="1">
      <alignment horizontal="right" vertical="center"/>
    </xf>
    <xf numFmtId="0" fontId="2" fillId="0" borderId="36" xfId="5" applyBorder="1" applyAlignment="1">
      <alignment horizontal="left" vertical="center"/>
    </xf>
    <xf numFmtId="2" fontId="2" fillId="0" borderId="36" xfId="5" applyNumberFormat="1" applyBorder="1"/>
    <xf numFmtId="2" fontId="2" fillId="0" borderId="21" xfId="5" applyNumberFormat="1" applyBorder="1"/>
    <xf numFmtId="2" fontId="2" fillId="0" borderId="0" xfId="5" applyNumberFormat="1" applyBorder="1" applyAlignment="1"/>
    <xf numFmtId="2" fontId="29" fillId="0" borderId="12" xfId="5" applyNumberFormat="1" applyFont="1" applyBorder="1"/>
    <xf numFmtId="2" fontId="29" fillId="0" borderId="21" xfId="5" applyNumberFormat="1" applyFont="1" applyBorder="1"/>
    <xf numFmtId="4" fontId="29" fillId="0" borderId="32" xfId="6" applyNumberFormat="1" applyFont="1" applyBorder="1"/>
    <xf numFmtId="0" fontId="29" fillId="0" borderId="41" xfId="5" applyFont="1" applyFill="1" applyBorder="1"/>
    <xf numFmtId="4" fontId="29" fillId="0" borderId="14" xfId="5" applyNumberFormat="1" applyFont="1" applyBorder="1" applyAlignment="1"/>
    <xf numFmtId="2" fontId="29" fillId="0" borderId="28" xfId="5" applyNumberFormat="1" applyFont="1" applyBorder="1"/>
    <xf numFmtId="0" fontId="2" fillId="0" borderId="0" xfId="5" applyBorder="1" applyAlignment="1"/>
    <xf numFmtId="175" fontId="29" fillId="0" borderId="0" xfId="5" applyNumberFormat="1" applyFont="1" applyBorder="1" applyAlignment="1">
      <alignment horizontal="center"/>
    </xf>
    <xf numFmtId="175" fontId="29" fillId="0" borderId="0" xfId="5" applyNumberFormat="1" applyFont="1" applyBorder="1" applyAlignment="1">
      <alignment horizontal="center"/>
    </xf>
    <xf numFmtId="4" fontId="0" fillId="0" borderId="12" xfId="6" applyNumberFormat="1" applyFont="1" applyFill="1" applyBorder="1" applyAlignment="1">
      <alignment horizontal="right"/>
    </xf>
    <xf numFmtId="2" fontId="29" fillId="0" borderId="14" xfId="6" applyNumberFormat="1" applyFont="1" applyBorder="1"/>
    <xf numFmtId="0" fontId="29" fillId="0" borderId="28" xfId="5" applyFont="1" applyBorder="1"/>
    <xf numFmtId="2" fontId="2" fillId="0" borderId="0" xfId="5" applyNumberFormat="1" applyBorder="1" applyAlignment="1">
      <alignment horizontal="center"/>
    </xf>
    <xf numFmtId="4" fontId="29" fillId="0" borderId="56" xfId="5" applyNumberFormat="1" applyFont="1" applyBorder="1" applyAlignment="1"/>
    <xf numFmtId="2" fontId="29" fillId="0" borderId="24" xfId="5" applyNumberFormat="1" applyFont="1" applyBorder="1"/>
    <xf numFmtId="0" fontId="2" fillId="0" borderId="0" xfId="5" quotePrefix="1" applyBorder="1"/>
    <xf numFmtId="2" fontId="2" fillId="0" borderId="0" xfId="5" applyNumberFormat="1" applyBorder="1"/>
    <xf numFmtId="0" fontId="29" fillId="0" borderId="0" xfId="5" applyFont="1" applyBorder="1" applyAlignment="1"/>
    <xf numFmtId="4" fontId="0" fillId="0" borderId="0" xfId="6" applyNumberFormat="1" applyFont="1" applyFill="1" applyBorder="1" applyAlignment="1">
      <alignment horizontal="right"/>
    </xf>
    <xf numFmtId="0" fontId="2" fillId="0" borderId="0" xfId="5" applyFill="1" applyBorder="1"/>
    <xf numFmtId="4" fontId="2" fillId="0" borderId="0" xfId="5" applyNumberFormat="1" applyBorder="1"/>
    <xf numFmtId="4" fontId="0" fillId="0" borderId="0" xfId="6" applyNumberFormat="1" applyFont="1" applyBorder="1" applyAlignment="1">
      <alignment horizontal="right"/>
    </xf>
    <xf numFmtId="0" fontId="2" fillId="0" borderId="0" xfId="5" applyFill="1" applyBorder="1" applyAlignment="1"/>
    <xf numFmtId="4" fontId="29" fillId="0" borderId="0" xfId="6" applyNumberFormat="1" applyFont="1" applyBorder="1"/>
    <xf numFmtId="0" fontId="29" fillId="0" borderId="0" xfId="5" applyFont="1" applyFill="1" applyBorder="1"/>
    <xf numFmtId="49" fontId="2" fillId="0" borderId="0" xfId="5" applyNumberFormat="1" applyBorder="1" applyAlignment="1">
      <alignment horizontal="center"/>
    </xf>
    <xf numFmtId="2" fontId="29" fillId="0" borderId="0" xfId="6" applyNumberFormat="1" applyFont="1" applyBorder="1"/>
    <xf numFmtId="0" fontId="29" fillId="0" borderId="0" xfId="5" applyFont="1" applyBorder="1"/>
    <xf numFmtId="0" fontId="2" fillId="0" borderId="0" xfId="5" quotePrefix="1"/>
    <xf numFmtId="0" fontId="30" fillId="0" borderId="0" xfId="9" applyFont="1"/>
    <xf numFmtId="0" fontId="2" fillId="0" borderId="0" xfId="7"/>
    <xf numFmtId="0" fontId="29" fillId="0" borderId="0" xfId="7" applyFont="1"/>
    <xf numFmtId="0" fontId="29" fillId="0" borderId="19" xfId="8" applyFont="1" applyBorder="1" applyAlignment="1">
      <alignment horizontal="center" vertical="center"/>
    </xf>
    <xf numFmtId="0" fontId="29" fillId="0" borderId="30" xfId="8" applyFont="1" applyBorder="1" applyAlignment="1">
      <alignment horizontal="center" vertical="center"/>
    </xf>
    <xf numFmtId="0" fontId="29" fillId="0" borderId="30" xfId="8" applyFont="1" applyBorder="1" applyAlignment="1">
      <alignment horizontal="center" vertical="center" wrapText="1"/>
    </xf>
    <xf numFmtId="0" fontId="29" fillId="0" borderId="18" xfId="8" applyFont="1" applyBorder="1" applyAlignment="1">
      <alignment horizontal="center" vertical="center" wrapText="1"/>
    </xf>
    <xf numFmtId="0" fontId="2" fillId="0" borderId="0" xfId="8"/>
    <xf numFmtId="0" fontId="2" fillId="0" borderId="46" xfId="8" applyFont="1" applyBorder="1" applyAlignment="1">
      <alignment horizontal="center"/>
    </xf>
    <xf numFmtId="0" fontId="2" fillId="0" borderId="46" xfId="8" applyFont="1" applyBorder="1"/>
    <xf numFmtId="20" fontId="2" fillId="0" borderId="46" xfId="8" applyNumberFormat="1" applyFont="1" applyBorder="1"/>
    <xf numFmtId="2" fontId="29" fillId="0" borderId="9" xfId="8" applyNumberFormat="1" applyFont="1" applyBorder="1" applyAlignment="1">
      <alignment horizontal="right"/>
    </xf>
    <xf numFmtId="2" fontId="2" fillId="0" borderId="0" xfId="8" applyNumberFormat="1"/>
    <xf numFmtId="2" fontId="2" fillId="0" borderId="0" xfId="7" applyNumberFormat="1"/>
    <xf numFmtId="0" fontId="2" fillId="0" borderId="14" xfId="8" applyFont="1" applyBorder="1" applyAlignment="1">
      <alignment horizontal="center"/>
    </xf>
    <xf numFmtId="0" fontId="2" fillId="0" borderId="14" xfId="8" applyFont="1" applyBorder="1"/>
    <xf numFmtId="20" fontId="2" fillId="0" borderId="14" xfId="8" applyNumberFormat="1" applyFont="1" applyBorder="1"/>
    <xf numFmtId="2" fontId="29" fillId="0" borderId="28" xfId="8" applyNumberFormat="1" applyFont="1" applyBorder="1" applyAlignment="1">
      <alignment horizontal="right"/>
    </xf>
    <xf numFmtId="0" fontId="2" fillId="0" borderId="12" xfId="7" applyBorder="1"/>
    <xf numFmtId="0" fontId="29" fillId="0" borderId="0" xfId="8" applyFont="1" applyBorder="1" applyAlignment="1">
      <alignment horizontal="center" vertical="center"/>
    </xf>
    <xf numFmtId="0" fontId="2" fillId="0" borderId="0" xfId="8" applyFont="1" applyBorder="1" applyAlignment="1">
      <alignment horizontal="center" vertical="center"/>
    </xf>
    <xf numFmtId="0" fontId="2" fillId="0" borderId="0" xfId="8" applyFont="1" applyBorder="1" applyAlignment="1">
      <alignment horizontal="left" vertical="center"/>
    </xf>
    <xf numFmtId="0" fontId="2" fillId="0" borderId="0" xfId="8" applyFont="1" applyBorder="1" applyAlignment="1">
      <alignment horizontal="center"/>
    </xf>
    <xf numFmtId="0" fontId="2" fillId="0" borderId="0" xfId="8" applyFont="1" applyBorder="1"/>
    <xf numFmtId="20" fontId="2" fillId="0" borderId="0" xfId="8" applyNumberFormat="1" applyFont="1" applyBorder="1"/>
    <xf numFmtId="2" fontId="29" fillId="0" borderId="0" xfId="8" applyNumberFormat="1" applyFont="1" applyBorder="1" applyAlignment="1">
      <alignment horizontal="right"/>
    </xf>
    <xf numFmtId="0" fontId="29" fillId="0" borderId="0" xfId="7" applyFont="1" applyBorder="1"/>
    <xf numFmtId="0" fontId="29" fillId="0" borderId="57" xfId="7" applyFont="1" applyBorder="1"/>
    <xf numFmtId="0" fontId="2" fillId="0" borderId="33" xfId="7" applyBorder="1"/>
    <xf numFmtId="0" fontId="2" fillId="0" borderId="53" xfId="7" applyBorder="1"/>
    <xf numFmtId="0" fontId="2" fillId="0" borderId="37" xfId="7" applyBorder="1"/>
    <xf numFmtId="0" fontId="2" fillId="0" borderId="11" xfId="7" applyBorder="1"/>
    <xf numFmtId="176" fontId="2" fillId="0" borderId="0" xfId="6" applyNumberFormat="1" applyFont="1"/>
    <xf numFmtId="173" fontId="2" fillId="0" borderId="0" xfId="7" applyNumberFormat="1"/>
    <xf numFmtId="0" fontId="2" fillId="0" borderId="37" xfId="7" applyFont="1" applyBorder="1"/>
    <xf numFmtId="43" fontId="2" fillId="0" borderId="12" xfId="6" applyFont="1" applyBorder="1" applyAlignment="1">
      <alignment horizontal="right"/>
    </xf>
    <xf numFmtId="0" fontId="29" fillId="0" borderId="37" xfId="7" applyFont="1" applyBorder="1"/>
    <xf numFmtId="0" fontId="29" fillId="0" borderId="11" xfId="7" applyFont="1" applyBorder="1"/>
    <xf numFmtId="0" fontId="29" fillId="0" borderId="12" xfId="7" applyFont="1" applyBorder="1"/>
    <xf numFmtId="10" fontId="29" fillId="0" borderId="12" xfId="10" applyNumberFormat="1" applyFont="1" applyBorder="1"/>
    <xf numFmtId="0" fontId="2" fillId="0" borderId="58" xfId="7" applyBorder="1"/>
    <xf numFmtId="0" fontId="2" fillId="0" borderId="0" xfId="7" applyBorder="1"/>
    <xf numFmtId="0" fontId="2" fillId="0" borderId="59" xfId="7" applyBorder="1"/>
    <xf numFmtId="0" fontId="29" fillId="0" borderId="58" xfId="7" applyFont="1" applyBorder="1"/>
    <xf numFmtId="2" fontId="2" fillId="0" borderId="12" xfId="7" applyNumberFormat="1" applyBorder="1"/>
    <xf numFmtId="43" fontId="29" fillId="0" borderId="12" xfId="6" applyFont="1" applyBorder="1"/>
    <xf numFmtId="0" fontId="29" fillId="0" borderId="0" xfId="5" applyFont="1" applyBorder="1" applyAlignment="1">
      <alignment horizontal="center"/>
    </xf>
    <xf numFmtId="0" fontId="2" fillId="0" borderId="0" xfId="5" applyBorder="1" applyAlignment="1">
      <alignment horizontal="center"/>
    </xf>
    <xf numFmtId="0" fontId="4" fillId="0" borderId="12" xfId="0" applyFont="1" applyBorder="1" applyAlignment="1">
      <alignment vertical="center" wrapText="1"/>
    </xf>
    <xf numFmtId="0" fontId="27" fillId="0" borderId="12" xfId="0" applyFont="1" applyBorder="1" applyAlignment="1">
      <alignment wrapText="1"/>
    </xf>
    <xf numFmtId="13" fontId="4" fillId="3" borderId="12" xfId="0" applyNumberFormat="1" applyFont="1" applyFill="1" applyBorder="1" applyAlignment="1">
      <alignment horizontal="right" vertical="center"/>
    </xf>
    <xf numFmtId="0" fontId="31" fillId="0" borderId="15" xfId="4" applyNumberFormat="1" applyFont="1" applyBorder="1"/>
    <xf numFmtId="49" fontId="31" fillId="0" borderId="29" xfId="4" applyNumberFormat="1" applyFont="1" applyBorder="1" applyAlignment="1">
      <alignment horizontal="center"/>
    </xf>
    <xf numFmtId="0" fontId="31" fillId="0" borderId="0" xfId="4" applyNumberFormat="1" applyFont="1" applyBorder="1"/>
    <xf numFmtId="49" fontId="31" fillId="0" borderId="0" xfId="4" applyNumberFormat="1" applyFont="1" applyBorder="1" applyAlignment="1">
      <alignment horizontal="center"/>
    </xf>
    <xf numFmtId="165" fontId="32" fillId="0" borderId="0" xfId="4" applyNumberFormat="1" applyFont="1" applyBorder="1"/>
    <xf numFmtId="165" fontId="32" fillId="0" borderId="5" xfId="4" applyNumberFormat="1" applyFont="1" applyBorder="1"/>
    <xf numFmtId="2" fontId="29" fillId="0" borderId="5" xfId="5" applyNumberFormat="1" applyFont="1" applyBorder="1"/>
    <xf numFmtId="0" fontId="1" fillId="0" borderId="37" xfId="5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166" fontId="5" fillId="2" borderId="5" xfId="1" applyFont="1" applyFill="1" applyBorder="1" applyAlignment="1" applyProtection="1">
      <alignment horizontal="center" vertical="center"/>
    </xf>
    <xf numFmtId="166" fontId="11" fillId="0" borderId="10" xfId="1" applyFont="1" applyBorder="1" applyAlignment="1" applyProtection="1">
      <alignment horizontal="left" vertical="center"/>
    </xf>
    <xf numFmtId="166" fontId="11" fillId="0" borderId="19" xfId="1" applyFont="1" applyBorder="1" applyAlignment="1" applyProtection="1">
      <alignment horizontal="center" vertical="center"/>
    </xf>
    <xf numFmtId="0" fontId="8" fillId="2" borderId="38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 vertical="center"/>
    </xf>
    <xf numFmtId="9" fontId="10" fillId="0" borderId="38" xfId="2" applyFont="1" applyBorder="1" applyAlignment="1" applyProtection="1">
      <alignment horizontal="center"/>
    </xf>
    <xf numFmtId="0" fontId="9" fillId="0" borderId="14" xfId="0" applyFont="1" applyBorder="1" applyAlignment="1">
      <alignment horizontal="center" vertical="center"/>
    </xf>
    <xf numFmtId="0" fontId="25" fillId="0" borderId="12" xfId="4" applyNumberFormat="1" applyFont="1" applyBorder="1" applyAlignment="1">
      <alignment horizontal="center"/>
    </xf>
    <xf numFmtId="0" fontId="29" fillId="0" borderId="45" xfId="8" applyFont="1" applyBorder="1" applyAlignment="1">
      <alignment horizontal="center" vertical="center" wrapText="1"/>
    </xf>
    <xf numFmtId="0" fontId="29" fillId="0" borderId="40" xfId="8" applyFont="1" applyBorder="1" applyAlignment="1">
      <alignment horizontal="center" vertical="center" wrapText="1"/>
    </xf>
    <xf numFmtId="0" fontId="0" fillId="0" borderId="35" xfId="8" applyFont="1" applyBorder="1" applyAlignment="1">
      <alignment horizontal="center" vertical="center" wrapText="1"/>
    </xf>
    <xf numFmtId="0" fontId="2" fillId="0" borderId="56" xfId="8" applyFont="1" applyBorder="1" applyAlignment="1">
      <alignment horizontal="center" vertical="center" wrapText="1"/>
    </xf>
    <xf numFmtId="0" fontId="0" fillId="0" borderId="35" xfId="8" applyFont="1" applyBorder="1" applyAlignment="1">
      <alignment horizontal="center" vertical="center"/>
    </xf>
    <xf numFmtId="0" fontId="2" fillId="0" borderId="56" xfId="8" applyFont="1" applyBorder="1" applyAlignment="1">
      <alignment horizontal="center" vertical="center"/>
    </xf>
    <xf numFmtId="0" fontId="29" fillId="0" borderId="45" xfId="8" applyFont="1" applyBorder="1" applyAlignment="1">
      <alignment horizontal="center" vertical="center"/>
    </xf>
    <xf numFmtId="0" fontId="29" fillId="0" borderId="40" xfId="8" applyFont="1" applyBorder="1" applyAlignment="1">
      <alignment horizontal="center" vertical="center"/>
    </xf>
    <xf numFmtId="0" fontId="2" fillId="0" borderId="47" xfId="5" applyBorder="1" applyAlignment="1">
      <alignment horizontal="center"/>
    </xf>
    <xf numFmtId="0" fontId="2" fillId="0" borderId="48" xfId="5" applyBorder="1" applyAlignment="1">
      <alignment horizontal="center"/>
    </xf>
    <xf numFmtId="0" fontId="2" fillId="0" borderId="49" xfId="5" applyBorder="1" applyAlignment="1">
      <alignment horizontal="center"/>
    </xf>
    <xf numFmtId="0" fontId="2" fillId="0" borderId="22" xfId="5" applyBorder="1" applyAlignment="1">
      <alignment horizontal="center"/>
    </xf>
    <xf numFmtId="0" fontId="2" fillId="0" borderId="23" xfId="5" applyBorder="1" applyAlignment="1">
      <alignment horizontal="center"/>
    </xf>
    <xf numFmtId="0" fontId="2" fillId="0" borderId="50" xfId="5" applyBorder="1" applyAlignment="1">
      <alignment horizontal="center"/>
    </xf>
    <xf numFmtId="0" fontId="29" fillId="0" borderId="0" xfId="5" applyFont="1" applyBorder="1" applyAlignment="1">
      <alignment horizontal="center"/>
    </xf>
    <xf numFmtId="0" fontId="2" fillId="0" borderId="40" xfId="5" applyFill="1" applyBorder="1" applyAlignment="1">
      <alignment horizontal="right"/>
    </xf>
    <xf numFmtId="0" fontId="2" fillId="0" borderId="14" xfId="5" applyFill="1" applyBorder="1" applyAlignment="1">
      <alignment horizontal="right"/>
    </xf>
    <xf numFmtId="0" fontId="29" fillId="0" borderId="19" xfId="5" applyFont="1" applyBorder="1" applyAlignment="1">
      <alignment horizontal="center"/>
    </xf>
    <xf numFmtId="0" fontId="29" fillId="0" borderId="30" xfId="5" applyFont="1" applyBorder="1" applyAlignment="1">
      <alignment horizontal="center"/>
    </xf>
    <xf numFmtId="0" fontId="29" fillId="0" borderId="18" xfId="5" applyFont="1" applyBorder="1" applyAlignment="1">
      <alignment horizontal="center"/>
    </xf>
    <xf numFmtId="0" fontId="2" fillId="0" borderId="45" xfId="5" applyBorder="1" applyAlignment="1">
      <alignment horizontal="center"/>
    </xf>
    <xf numFmtId="0" fontId="2" fillId="0" borderId="46" xfId="5" applyBorder="1" applyAlignment="1">
      <alignment horizontal="center"/>
    </xf>
    <xf numFmtId="0" fontId="2" fillId="0" borderId="9" xfId="5" applyBorder="1" applyAlignment="1">
      <alignment horizontal="center"/>
    </xf>
    <xf numFmtId="0" fontId="29" fillId="0" borderId="0" xfId="5" applyFont="1" applyBorder="1" applyAlignment="1">
      <alignment horizontal="center" wrapText="1"/>
    </xf>
    <xf numFmtId="0" fontId="2" fillId="0" borderId="0" xfId="5" applyBorder="1" applyAlignment="1">
      <alignment horizontal="center" vertical="center"/>
    </xf>
    <xf numFmtId="0" fontId="2" fillId="0" borderId="0" xfId="5" applyBorder="1" applyAlignment="1">
      <alignment horizontal="center"/>
    </xf>
    <xf numFmtId="0" fontId="2" fillId="0" borderId="10" xfId="5" applyBorder="1" applyAlignment="1">
      <alignment horizontal="center"/>
    </xf>
    <xf numFmtId="0" fontId="2" fillId="0" borderId="11" xfId="5" applyBorder="1" applyAlignment="1">
      <alignment horizontal="center"/>
    </xf>
    <xf numFmtId="0" fontId="2" fillId="0" borderId="36" xfId="5" applyBorder="1" applyAlignment="1">
      <alignment horizontal="center"/>
    </xf>
    <xf numFmtId="0" fontId="2" fillId="0" borderId="42" xfId="5" applyFill="1" applyBorder="1" applyAlignment="1">
      <alignment horizontal="right"/>
    </xf>
    <xf numFmtId="0" fontId="2" fillId="0" borderId="33" xfId="5" applyFill="1" applyBorder="1" applyAlignment="1">
      <alignment horizontal="right"/>
    </xf>
    <xf numFmtId="0" fontId="2" fillId="0" borderId="53" xfId="5" applyFill="1" applyBorder="1" applyAlignment="1">
      <alignment horizontal="right"/>
    </xf>
    <xf numFmtId="0" fontId="2" fillId="0" borderId="15" xfId="5" applyBorder="1" applyAlignment="1">
      <alignment horizontal="center"/>
    </xf>
    <xf numFmtId="0" fontId="2" fillId="0" borderId="16" xfId="5" applyBorder="1" applyAlignment="1">
      <alignment horizontal="center"/>
    </xf>
    <xf numFmtId="0" fontId="2" fillId="0" borderId="29" xfId="5" applyBorder="1" applyAlignment="1">
      <alignment horizontal="center"/>
    </xf>
    <xf numFmtId="0" fontId="29" fillId="0" borderId="55" xfId="5" applyFont="1" applyBorder="1" applyAlignment="1">
      <alignment horizontal="center" vertical="center" wrapText="1"/>
    </xf>
    <xf numFmtId="0" fontId="29" fillId="0" borderId="56" xfId="5" applyFont="1" applyBorder="1" applyAlignment="1">
      <alignment horizontal="center" vertical="center" wrapText="1"/>
    </xf>
    <xf numFmtId="0" fontId="29" fillId="0" borderId="15" xfId="5" applyFont="1" applyBorder="1" applyAlignment="1">
      <alignment horizontal="center"/>
    </xf>
    <xf numFmtId="0" fontId="29" fillId="0" borderId="16" xfId="5" applyFont="1" applyBorder="1" applyAlignment="1">
      <alignment horizontal="center"/>
    </xf>
    <xf numFmtId="0" fontId="29" fillId="0" borderId="29" xfId="5" applyFont="1" applyBorder="1" applyAlignment="1">
      <alignment horizontal="center"/>
    </xf>
    <xf numFmtId="0" fontId="29" fillId="0" borderId="6" xfId="5" applyFont="1" applyBorder="1" applyAlignment="1">
      <alignment horizontal="center"/>
    </xf>
    <xf numFmtId="0" fontId="29" fillId="0" borderId="7" xfId="5" applyFont="1" applyBorder="1" applyAlignment="1">
      <alignment horizontal="center"/>
    </xf>
    <xf numFmtId="0" fontId="29" fillId="0" borderId="51" xfId="5" applyFont="1" applyBorder="1" applyAlignment="1">
      <alignment horizontal="center"/>
    </xf>
    <xf numFmtId="2" fontId="2" fillId="0" borderId="42" xfId="5" applyNumberFormat="1" applyBorder="1" applyAlignment="1">
      <alignment horizontal="center"/>
    </xf>
    <xf numFmtId="2" fontId="2" fillId="0" borderId="33" xfId="5" applyNumberFormat="1" applyBorder="1" applyAlignment="1">
      <alignment horizontal="center"/>
    </xf>
    <xf numFmtId="2" fontId="2" fillId="0" borderId="0" xfId="5" applyNumberFormat="1" applyBorder="1" applyAlignment="1">
      <alignment horizontal="center"/>
    </xf>
    <xf numFmtId="2" fontId="2" fillId="0" borderId="52" xfId="5" applyNumberFormat="1" applyBorder="1" applyAlignment="1">
      <alignment horizontal="center"/>
    </xf>
    <xf numFmtId="0" fontId="29" fillId="0" borderId="39" xfId="5" applyFont="1" applyBorder="1" applyAlignment="1">
      <alignment horizontal="center" vertical="center" wrapText="1"/>
    </xf>
    <xf numFmtId="0" fontId="29" fillId="0" borderId="12" xfId="5" applyFont="1" applyBorder="1" applyAlignment="1">
      <alignment horizontal="center" vertical="center" wrapText="1"/>
    </xf>
    <xf numFmtId="2" fontId="2" fillId="0" borderId="43" xfId="5" applyNumberFormat="1" applyBorder="1" applyAlignment="1">
      <alignment horizontal="center" vertical="center"/>
    </xf>
    <xf numFmtId="2" fontId="2" fillId="0" borderId="39" xfId="5" applyNumberFormat="1" applyBorder="1" applyAlignment="1">
      <alignment horizontal="center" vertical="center"/>
    </xf>
    <xf numFmtId="0" fontId="2" fillId="0" borderId="31" xfId="5" applyBorder="1" applyAlignment="1">
      <alignment horizontal="center" vertical="center" wrapText="1"/>
    </xf>
    <xf numFmtId="0" fontId="2" fillId="0" borderId="12" xfId="5" applyBorder="1" applyAlignment="1">
      <alignment horizontal="center" vertical="center" wrapText="1"/>
    </xf>
    <xf numFmtId="0" fontId="2" fillId="0" borderId="32" xfId="5" applyBorder="1" applyAlignment="1">
      <alignment horizontal="center" vertical="center" wrapText="1"/>
    </xf>
    <xf numFmtId="0" fontId="2" fillId="0" borderId="44" xfId="5" applyBorder="1" applyAlignment="1">
      <alignment horizontal="center" vertical="center" wrapText="1"/>
    </xf>
    <xf numFmtId="0" fontId="2" fillId="0" borderId="21" xfId="5" applyBorder="1" applyAlignment="1">
      <alignment horizontal="center" vertical="center" wrapText="1"/>
    </xf>
    <xf numFmtId="175" fontId="29" fillId="0" borderId="47" xfId="5" applyNumberFormat="1" applyFont="1" applyBorder="1" applyAlignment="1">
      <alignment horizontal="center"/>
    </xf>
    <xf numFmtId="175" fontId="29" fillId="0" borderId="48" xfId="5" applyNumberFormat="1" applyFont="1" applyBorder="1" applyAlignment="1">
      <alignment horizontal="center"/>
    </xf>
    <xf numFmtId="175" fontId="29" fillId="0" borderId="49" xfId="5" applyNumberFormat="1" applyFont="1" applyBorder="1" applyAlignment="1">
      <alignment horizontal="center"/>
    </xf>
    <xf numFmtId="175" fontId="29" fillId="0" borderId="3" xfId="5" applyNumberFormat="1" applyFont="1" applyBorder="1" applyAlignment="1">
      <alignment horizontal="center"/>
    </xf>
    <xf numFmtId="175" fontId="29" fillId="0" borderId="0" xfId="5" applyNumberFormat="1" applyFont="1" applyBorder="1" applyAlignment="1">
      <alignment horizontal="center"/>
    </xf>
    <xf numFmtId="175" fontId="29" fillId="0" borderId="4" xfId="5" applyNumberFormat="1" applyFont="1" applyBorder="1" applyAlignment="1">
      <alignment horizontal="center"/>
    </xf>
    <xf numFmtId="0" fontId="29" fillId="0" borderId="19" xfId="5" applyFont="1" applyBorder="1" applyAlignment="1">
      <alignment horizontal="center" vertical="center" wrapText="1"/>
    </xf>
    <xf numFmtId="0" fontId="29" fillId="0" borderId="30" xfId="5" applyFont="1" applyBorder="1" applyAlignment="1">
      <alignment horizontal="center" vertical="center" wrapText="1"/>
    </xf>
    <xf numFmtId="0" fontId="29" fillId="0" borderId="18" xfId="5" applyFont="1" applyBorder="1" applyAlignment="1">
      <alignment horizontal="center" vertical="center" wrapText="1"/>
    </xf>
    <xf numFmtId="0" fontId="29" fillId="0" borderId="26" xfId="5" applyFont="1" applyBorder="1" applyAlignment="1">
      <alignment horizontal="center" vertical="center" wrapText="1"/>
    </xf>
    <xf numFmtId="0" fontId="29" fillId="0" borderId="27" xfId="5" applyFont="1" applyBorder="1" applyAlignment="1">
      <alignment horizontal="center" vertical="center" wrapText="1"/>
    </xf>
    <xf numFmtId="0" fontId="29" fillId="0" borderId="54" xfId="5" applyFont="1" applyBorder="1" applyAlignment="1">
      <alignment horizontal="center" vertical="center" wrapText="1"/>
    </xf>
    <xf numFmtId="0" fontId="29" fillId="0" borderId="10" xfId="5" applyFont="1" applyBorder="1" applyAlignment="1">
      <alignment horizontal="center" vertical="center" wrapText="1"/>
    </xf>
    <xf numFmtId="0" fontId="29" fillId="0" borderId="11" xfId="5" applyFont="1" applyBorder="1" applyAlignment="1">
      <alignment horizontal="center" vertical="center" wrapText="1"/>
    </xf>
    <xf numFmtId="0" fontId="29" fillId="0" borderId="36" xfId="5" applyFont="1" applyBorder="1" applyAlignment="1">
      <alignment horizontal="center" vertical="center" wrapText="1"/>
    </xf>
    <xf numFmtId="0" fontId="29" fillId="0" borderId="15" xfId="5" applyFont="1" applyBorder="1" applyAlignment="1">
      <alignment horizontal="center" vertical="center" wrapText="1"/>
    </xf>
    <xf numFmtId="0" fontId="29" fillId="0" borderId="16" xfId="5" applyFont="1" applyBorder="1" applyAlignment="1">
      <alignment horizontal="center" vertical="center" wrapText="1"/>
    </xf>
    <xf numFmtId="0" fontId="29" fillId="0" borderId="29" xfId="5" applyFont="1" applyBorder="1" applyAlignment="1">
      <alignment horizontal="center" vertical="center" wrapText="1"/>
    </xf>
    <xf numFmtId="2" fontId="2" fillId="0" borderId="45" xfId="5" applyNumberFormat="1" applyBorder="1" applyAlignment="1">
      <alignment horizontal="center" vertical="center"/>
    </xf>
    <xf numFmtId="0" fontId="2" fillId="0" borderId="46" xfId="5" applyBorder="1" applyAlignment="1">
      <alignment horizontal="center" vertical="center" wrapText="1"/>
    </xf>
    <xf numFmtId="0" fontId="2" fillId="0" borderId="9" xfId="5" applyBorder="1" applyAlignment="1">
      <alignment horizontal="center" vertical="center" wrapText="1"/>
    </xf>
    <xf numFmtId="0" fontId="29" fillId="0" borderId="15" xfId="5" applyFont="1" applyBorder="1" applyAlignment="1">
      <alignment horizontal="center" wrapText="1"/>
    </xf>
    <xf numFmtId="0" fontId="29" fillId="0" borderId="16" xfId="5" applyFont="1" applyBorder="1" applyAlignment="1">
      <alignment horizontal="center" wrapText="1"/>
    </xf>
    <xf numFmtId="0" fontId="29" fillId="0" borderId="29" xfId="5" applyFont="1" applyBorder="1" applyAlignment="1">
      <alignment horizontal="center" wrapText="1"/>
    </xf>
    <xf numFmtId="0" fontId="2" fillId="0" borderId="15" xfId="5" applyBorder="1" applyAlignment="1">
      <alignment horizontal="center" wrapText="1"/>
    </xf>
    <xf numFmtId="0" fontId="2" fillId="0" borderId="16" xfId="5" applyBorder="1" applyAlignment="1">
      <alignment horizontal="center" wrapText="1"/>
    </xf>
    <xf numFmtId="0" fontId="2" fillId="0" borderId="29" xfId="5" applyBorder="1" applyAlignment="1">
      <alignment horizontal="center" wrapText="1"/>
    </xf>
    <xf numFmtId="0" fontId="2" fillId="0" borderId="33" xfId="5" applyBorder="1" applyAlignment="1">
      <alignment horizontal="center"/>
    </xf>
    <xf numFmtId="0" fontId="2" fillId="0" borderId="13" xfId="5" applyBorder="1" applyAlignment="1">
      <alignment horizontal="center"/>
    </xf>
    <xf numFmtId="0" fontId="5" fillId="9" borderId="15" xfId="0" applyFont="1" applyFill="1" applyBorder="1" applyAlignment="1">
      <alignment horizontal="center" vertical="center"/>
    </xf>
    <xf numFmtId="43" fontId="2" fillId="0" borderId="0" xfId="5" applyNumberFormat="1"/>
  </cellXfs>
  <cellStyles count="12">
    <cellStyle name="Hiperlink" xfId="3" builtinId="8"/>
    <cellStyle name="Moeda 4" xfId="11"/>
    <cellStyle name="Normal" xfId="0" builtinId="0"/>
    <cellStyle name="Normal 2" xfId="5"/>
    <cellStyle name="Normal 2 3" xfId="7"/>
    <cellStyle name="Normal 2 3 2" xfId="8"/>
    <cellStyle name="Normal 6" xfId="9"/>
    <cellStyle name="Porcentagem" xfId="2" builtinId="5"/>
    <cellStyle name="Porcentagem 2" xfId="10"/>
    <cellStyle name="Separador de milhares 2" xfId="6"/>
    <cellStyle name="Texto Explicativo" xfId="4" builtinId="53" customBuiltin="1"/>
    <cellStyle name="Vírgula" xfId="1" builtinId="3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EECE1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D9D9"/>
      <rgbColor rgb="FFFFFF99"/>
      <rgbColor rgb="FFBFBFBF"/>
      <rgbColor rgb="FFFF99CC"/>
      <rgbColor rgb="FFCC99FF"/>
      <rgbColor rgb="FFDDD9C3"/>
      <rgbColor rgb="FF3366FF"/>
      <rgbColor rgb="FF33CCCC"/>
      <rgbColor rgb="FF99CC00"/>
      <rgbColor rgb="FFFFCC00"/>
      <rgbColor rgb="FFFF9900"/>
      <rgbColor rgb="FFFF6600"/>
      <rgbColor rgb="FF666699"/>
      <rgbColor rgb="FFA6A6A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2533650</xdr:colOff>
      <xdr:row>14</xdr:row>
      <xdr:rowOff>76200</xdr:rowOff>
    </xdr:to>
    <xdr:sp macro="" textlink="">
      <xdr:nvSpPr>
        <xdr:cNvPr id="2062" name="shapetype_202" hidden="1"/>
        <xdr:cNvSpPr txBox="1">
          <a:spLocks noSelect="1" noChangeArrowheads="1"/>
        </xdr:cNvSpPr>
      </xdr:nvSpPr>
      <xdr:spPr bwMode="auto">
        <a:xfrm>
          <a:off x="0" y="0"/>
          <a:ext cx="2533650" cy="2533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2533650</xdr:colOff>
      <xdr:row>14</xdr:row>
      <xdr:rowOff>76200</xdr:rowOff>
    </xdr:to>
    <xdr:sp macro="" textlink="">
      <xdr:nvSpPr>
        <xdr:cNvPr id="2060" name="Text Box 12" hidden="1"/>
        <xdr:cNvSpPr txBox="1">
          <a:spLocks noSelect="1" noChangeArrowheads="1"/>
        </xdr:cNvSpPr>
      </xdr:nvSpPr>
      <xdr:spPr bwMode="auto">
        <a:xfrm>
          <a:off x="0" y="0"/>
          <a:ext cx="2533650" cy="2533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2533650</xdr:colOff>
      <xdr:row>14</xdr:row>
      <xdr:rowOff>76200</xdr:rowOff>
    </xdr:to>
    <xdr:sp macro="" textlink="">
      <xdr:nvSpPr>
        <xdr:cNvPr id="2058" name="Text Box 10" hidden="1"/>
        <xdr:cNvSpPr txBox="1">
          <a:spLocks noSelect="1" noChangeArrowheads="1"/>
        </xdr:cNvSpPr>
      </xdr:nvSpPr>
      <xdr:spPr bwMode="auto">
        <a:xfrm>
          <a:off x="0" y="0"/>
          <a:ext cx="2533650" cy="2533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2533650</xdr:colOff>
      <xdr:row>14</xdr:row>
      <xdr:rowOff>76200</xdr:rowOff>
    </xdr:to>
    <xdr:sp macro="" textlink="">
      <xdr:nvSpPr>
        <xdr:cNvPr id="2056" name="Text Box 8" hidden="1"/>
        <xdr:cNvSpPr txBox="1">
          <a:spLocks noSelect="1" noChangeArrowheads="1"/>
        </xdr:cNvSpPr>
      </xdr:nvSpPr>
      <xdr:spPr bwMode="auto">
        <a:xfrm>
          <a:off x="0" y="0"/>
          <a:ext cx="2533650" cy="2533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2533650</xdr:colOff>
      <xdr:row>14</xdr:row>
      <xdr:rowOff>76200</xdr:rowOff>
    </xdr:to>
    <xdr:sp macro="" textlink="">
      <xdr:nvSpPr>
        <xdr:cNvPr id="2054" name="Text Box 6" hidden="1"/>
        <xdr:cNvSpPr txBox="1">
          <a:spLocks noSelect="1" noChangeArrowheads="1"/>
        </xdr:cNvSpPr>
      </xdr:nvSpPr>
      <xdr:spPr bwMode="auto">
        <a:xfrm>
          <a:off x="0" y="0"/>
          <a:ext cx="2533650" cy="2533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2533650</xdr:colOff>
      <xdr:row>14</xdr:row>
      <xdr:rowOff>76200</xdr:rowOff>
    </xdr:to>
    <xdr:sp macro="" textlink="">
      <xdr:nvSpPr>
        <xdr:cNvPr id="2052" name="Text Box 4" hidden="1"/>
        <xdr:cNvSpPr txBox="1">
          <a:spLocks noSelect="1" noChangeArrowheads="1"/>
        </xdr:cNvSpPr>
      </xdr:nvSpPr>
      <xdr:spPr bwMode="auto">
        <a:xfrm>
          <a:off x="0" y="0"/>
          <a:ext cx="2533650" cy="2533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2533650</xdr:colOff>
      <xdr:row>14</xdr:row>
      <xdr:rowOff>76200</xdr:rowOff>
    </xdr:to>
    <xdr:sp macro="" textlink="">
      <xdr:nvSpPr>
        <xdr:cNvPr id="2050" name="Text Box 2" hidden="1"/>
        <xdr:cNvSpPr txBox="1">
          <a:spLocks noSelect="1" noChangeArrowheads="1"/>
        </xdr:cNvSpPr>
      </xdr:nvSpPr>
      <xdr:spPr bwMode="auto">
        <a:xfrm>
          <a:off x="0" y="0"/>
          <a:ext cx="2533650" cy="25336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/>
  </sheetViews>
  <sheetFormatPr defaultRowHeight="12.75" x14ac:dyDescent="0.2"/>
  <cols>
    <col min="1" max="1" width="11" customWidth="1"/>
    <col min="2" max="2" width="38.7109375" customWidth="1"/>
    <col min="3" max="3" width="10.28515625" bestFit="1" customWidth="1"/>
    <col min="4" max="1018" width="8.7109375" customWidth="1"/>
  </cols>
  <sheetData>
    <row r="1" spans="1:3" x14ac:dyDescent="0.2">
      <c r="A1" s="170" t="s">
        <v>278</v>
      </c>
    </row>
    <row r="2" spans="1:3" x14ac:dyDescent="0.2">
      <c r="A2" s="170" t="s">
        <v>370</v>
      </c>
    </row>
    <row r="3" spans="1:3" x14ac:dyDescent="0.2">
      <c r="A3" s="171" t="s">
        <v>160</v>
      </c>
      <c r="B3" s="171" t="s">
        <v>161</v>
      </c>
      <c r="C3" s="171" t="s">
        <v>162</v>
      </c>
    </row>
    <row r="4" spans="1:3" ht="25.5" x14ac:dyDescent="0.2">
      <c r="A4" s="172">
        <v>1</v>
      </c>
      <c r="B4" s="381" t="s">
        <v>387</v>
      </c>
      <c r="C4" s="174">
        <f>'1. Col Veg Vol e Int'!F281</f>
        <v>24958.972320314089</v>
      </c>
    </row>
    <row r="5" spans="1:3" x14ac:dyDescent="0.2">
      <c r="A5" s="175" t="s">
        <v>163</v>
      </c>
      <c r="B5" s="175"/>
      <c r="C5" s="176">
        <f>SUM(C4:C4)</f>
        <v>24958.972320314089</v>
      </c>
    </row>
    <row r="6" spans="1:3" x14ac:dyDescent="0.2">
      <c r="A6" s="175"/>
      <c r="B6" s="173"/>
      <c r="C6" s="176"/>
    </row>
    <row r="7" spans="1:3" x14ac:dyDescent="0.2">
      <c r="A7" s="175"/>
      <c r="B7" s="173"/>
      <c r="C7" s="176"/>
    </row>
  </sheetData>
  <pageMargins left="0.51180555555555496" right="0.51180555555555496" top="0.78749999999999998" bottom="0.78749999999999998" header="0.51180555555555496" footer="0.51180555555555496"/>
  <pageSetup paperSize="9" firstPageNumber="0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MK320"/>
  <sheetViews>
    <sheetView topLeftCell="A253" workbookViewId="0">
      <selection activeCell="D254" sqref="D254"/>
    </sheetView>
  </sheetViews>
  <sheetFormatPr defaultRowHeight="12.75" x14ac:dyDescent="0.2"/>
  <cols>
    <col min="1" max="1" width="45.28515625" style="147" customWidth="1"/>
    <col min="2" max="2" width="16" style="147" customWidth="1"/>
    <col min="3" max="3" width="11.85546875" style="147" customWidth="1"/>
    <col min="4" max="4" width="14.7109375" style="2" customWidth="1"/>
    <col min="5" max="5" width="15.42578125" style="2" customWidth="1"/>
    <col min="6" max="6" width="13.28515625" style="2" customWidth="1"/>
    <col min="7" max="7" width="28.140625" style="2" customWidth="1"/>
    <col min="8" max="8" width="9.140625" style="147" customWidth="1"/>
    <col min="9" max="9" width="14.5703125" style="147" customWidth="1"/>
    <col min="10" max="10" width="13.42578125" style="147" customWidth="1"/>
    <col min="11" max="1025" width="9.140625" style="147" customWidth="1"/>
  </cols>
  <sheetData>
    <row r="1" spans="1:7" ht="15.75" hidden="1" x14ac:dyDescent="0.2">
      <c r="A1" s="3" t="s">
        <v>273</v>
      </c>
    </row>
    <row r="2" spans="1:7" ht="15.75" hidden="1" x14ac:dyDescent="0.2">
      <c r="A2" s="3" t="s">
        <v>0</v>
      </c>
    </row>
    <row r="3" spans="1:7" ht="15.75" hidden="1" x14ac:dyDescent="0.2">
      <c r="A3" s="4" t="s">
        <v>1</v>
      </c>
    </row>
    <row r="4" spans="1:7" ht="15.75" hidden="1" x14ac:dyDescent="0.2">
      <c r="A4" s="4" t="s">
        <v>2</v>
      </c>
    </row>
    <row r="5" spans="1:7" ht="15.75" hidden="1" x14ac:dyDescent="0.2">
      <c r="A5" s="4" t="s">
        <v>3</v>
      </c>
    </row>
    <row r="6" spans="1:7" s="5" customFormat="1" ht="15.6" hidden="1" customHeight="1" x14ac:dyDescent="0.2">
      <c r="A6" s="3" t="s">
        <v>4</v>
      </c>
      <c r="C6" s="14"/>
      <c r="D6" s="14"/>
      <c r="E6" s="14"/>
      <c r="F6" s="14"/>
      <c r="G6" s="7"/>
    </row>
    <row r="7" spans="1:7" s="5" customFormat="1" ht="15.6" hidden="1" customHeight="1" x14ac:dyDescent="0.2">
      <c r="A7" s="8" t="s">
        <v>5</v>
      </c>
      <c r="B7" s="14"/>
      <c r="C7" s="14"/>
      <c r="D7" s="14"/>
      <c r="E7" s="14"/>
      <c r="F7" s="14"/>
      <c r="G7" s="7"/>
    </row>
    <row r="8" spans="1:7" s="5" customFormat="1" ht="15.6" hidden="1" customHeight="1" x14ac:dyDescent="0.2">
      <c r="A8" s="9"/>
      <c r="B8" s="14"/>
      <c r="C8" s="14"/>
      <c r="D8" s="14"/>
      <c r="E8" s="14"/>
      <c r="F8" s="14"/>
      <c r="G8" s="7"/>
    </row>
    <row r="9" spans="1:7" s="5" customFormat="1" ht="15.6" hidden="1" customHeight="1" x14ac:dyDescent="0.2">
      <c r="A9" s="10" t="s">
        <v>6</v>
      </c>
      <c r="B9" s="14"/>
      <c r="C9" s="14"/>
      <c r="D9" s="14"/>
      <c r="E9" s="14"/>
      <c r="F9" s="14"/>
      <c r="G9" s="7"/>
    </row>
    <row r="10" spans="1:7" s="5" customFormat="1" ht="15.6" hidden="1" customHeight="1" x14ac:dyDescent="0.2">
      <c r="A10" s="4" t="s">
        <v>7</v>
      </c>
      <c r="B10" s="14"/>
      <c r="C10" s="14"/>
      <c r="D10" s="14"/>
      <c r="E10" s="14"/>
      <c r="F10" s="14"/>
      <c r="G10" s="7"/>
    </row>
    <row r="11" spans="1:7" s="5" customFormat="1" ht="16.5" hidden="1" customHeight="1" x14ac:dyDescent="0.2">
      <c r="A11" s="147"/>
      <c r="B11" s="11"/>
      <c r="C11" s="11"/>
      <c r="D11" s="7"/>
      <c r="E11" s="7"/>
      <c r="F11" s="7"/>
      <c r="G11" s="7"/>
    </row>
    <row r="12" spans="1:7" s="5" customFormat="1" ht="16.5" customHeight="1" thickBot="1" x14ac:dyDescent="0.25">
      <c r="A12" s="179" t="s">
        <v>275</v>
      </c>
      <c r="B12" s="11"/>
      <c r="C12" s="11"/>
      <c r="D12" s="7"/>
      <c r="E12" s="7"/>
      <c r="F12" s="7"/>
      <c r="G12" s="7"/>
    </row>
    <row r="13" spans="1:7" s="208" customFormat="1" ht="18" x14ac:dyDescent="0.2">
      <c r="A13" s="392" t="s">
        <v>374</v>
      </c>
      <c r="B13" s="392"/>
      <c r="C13" s="392"/>
      <c r="D13" s="392"/>
      <c r="E13" s="392"/>
      <c r="F13" s="392"/>
      <c r="G13" s="12"/>
    </row>
    <row r="14" spans="1:7" s="208" customFormat="1" ht="21.75" customHeight="1" x14ac:dyDescent="0.2">
      <c r="A14" s="393" t="s">
        <v>8</v>
      </c>
      <c r="B14" s="393"/>
      <c r="C14" s="393"/>
      <c r="D14" s="393"/>
      <c r="E14" s="393"/>
      <c r="F14" s="393"/>
      <c r="G14" s="12"/>
    </row>
    <row r="15" spans="1:7" s="5" customFormat="1" ht="10.9" customHeight="1" thickBot="1" x14ac:dyDescent="0.25">
      <c r="A15" s="13"/>
      <c r="B15" s="14"/>
      <c r="C15" s="14"/>
      <c r="D15" s="7"/>
      <c r="E15" s="7"/>
      <c r="F15" s="15"/>
      <c r="G15" s="7"/>
    </row>
    <row r="16" spans="1:7" s="5" customFormat="1" ht="15.75" customHeight="1" thickBot="1" x14ac:dyDescent="0.25">
      <c r="A16" s="394" t="s">
        <v>9</v>
      </c>
      <c r="B16" s="394"/>
      <c r="C16" s="394"/>
      <c r="D16" s="394"/>
      <c r="E16" s="394"/>
      <c r="F16" s="394"/>
      <c r="G16" s="7"/>
    </row>
    <row r="17" spans="1:7" s="5" customFormat="1" ht="15.75" customHeight="1" x14ac:dyDescent="0.2">
      <c r="A17" s="16" t="s">
        <v>10</v>
      </c>
      <c r="B17" s="17"/>
      <c r="C17" s="17"/>
      <c r="D17" s="18"/>
      <c r="E17" s="19" t="s">
        <v>11</v>
      </c>
      <c r="F17" s="20" t="s">
        <v>12</v>
      </c>
      <c r="G17" s="7"/>
    </row>
    <row r="18" spans="1:7" s="27" customFormat="1" ht="15.75" customHeight="1" x14ac:dyDescent="0.2">
      <c r="A18" s="21" t="str">
        <f>A55</f>
        <v>1. Mão-de-obra</v>
      </c>
      <c r="B18" s="22"/>
      <c r="C18" s="23"/>
      <c r="D18" s="23"/>
      <c r="E18" s="24">
        <f>+F130</f>
        <v>7611.8784356298711</v>
      </c>
      <c r="F18" s="25">
        <f t="shared" ref="F18:F37" si="0">IFERROR(E18/$E$38,0)</f>
        <v>0.30497563513200299</v>
      </c>
      <c r="G18" s="26"/>
    </row>
    <row r="19" spans="1:7" s="5" customFormat="1" ht="15.75" customHeight="1" x14ac:dyDescent="0.2">
      <c r="A19" s="28" t="str">
        <f>A56</f>
        <v>1.1. Coletor Turno Dia</v>
      </c>
      <c r="B19" s="29"/>
      <c r="C19" s="30"/>
      <c r="D19" s="30"/>
      <c r="E19" s="31">
        <f>F67</f>
        <v>4319.621803</v>
      </c>
      <c r="F19" s="32">
        <f t="shared" si="0"/>
        <v>0.17306889673034587</v>
      </c>
      <c r="G19" s="7"/>
    </row>
    <row r="20" spans="1:7" s="5" customFormat="1" ht="15.75" customHeight="1" x14ac:dyDescent="0.2">
      <c r="A20" s="28" t="str">
        <f>A69</f>
        <v xml:space="preserve">1.2. Supervisor dos serviços </v>
      </c>
      <c r="B20" s="29"/>
      <c r="C20" s="30"/>
      <c r="D20" s="30"/>
      <c r="E20" s="31">
        <f>F86</f>
        <v>386.02272727272731</v>
      </c>
      <c r="F20" s="32">
        <f t="shared" si="0"/>
        <v>1.5466290932120779E-2</v>
      </c>
      <c r="G20" s="7"/>
    </row>
    <row r="21" spans="1:7" s="5" customFormat="1" ht="15.75" customHeight="1" x14ac:dyDescent="0.2">
      <c r="A21" s="28" t="str">
        <f>A88</f>
        <v>1.3. Motorista Turno do Dia</v>
      </c>
      <c r="B21" s="29"/>
      <c r="C21" s="30"/>
      <c r="D21" s="30"/>
      <c r="E21" s="31">
        <f>F101</f>
        <v>2151.9060825000001</v>
      </c>
      <c r="F21" s="32">
        <f t="shared" si="0"/>
        <v>8.6217735845981344E-2</v>
      </c>
      <c r="G21" s="7"/>
    </row>
    <row r="22" spans="1:7" s="5" customFormat="1" ht="15.75" customHeight="1" x14ac:dyDescent="0.2">
      <c r="A22" s="28" t="str">
        <f>A103</f>
        <v>1.4. Vale Transporte</v>
      </c>
      <c r="B22" s="29"/>
      <c r="C22" s="30"/>
      <c r="D22" s="30"/>
      <c r="E22" s="31">
        <f>F109</f>
        <v>241.87182285714292</v>
      </c>
      <c r="F22" s="32">
        <f t="shared" si="0"/>
        <v>9.6907765172800659E-3</v>
      </c>
      <c r="G22" s="7"/>
    </row>
    <row r="23" spans="1:7" s="5" customFormat="1" ht="15.75" customHeight="1" x14ac:dyDescent="0.2">
      <c r="A23" s="28" t="str">
        <f>A111</f>
        <v>1.5. Vale-refeição (diário)</v>
      </c>
      <c r="B23" s="29"/>
      <c r="C23" s="30"/>
      <c r="D23" s="30"/>
      <c r="E23" s="31">
        <f>F116</f>
        <v>444.464</v>
      </c>
      <c r="F23" s="32">
        <f t="shared" si="0"/>
        <v>1.7807784483107547E-2</v>
      </c>
      <c r="G23" s="7"/>
    </row>
    <row r="24" spans="1:7" s="5" customFormat="1" ht="15.75" customHeight="1" x14ac:dyDescent="0.2">
      <c r="A24" s="28" t="str">
        <f>A118</f>
        <v>1.6. Auxílio Alimentação (mensal)</v>
      </c>
      <c r="B24" s="29"/>
      <c r="C24" s="30"/>
      <c r="D24" s="30"/>
      <c r="E24" s="31">
        <f>F122</f>
        <v>48.572000000000003</v>
      </c>
      <c r="F24" s="32">
        <f t="shared" si="0"/>
        <v>1.9460737155618899E-3</v>
      </c>
      <c r="G24" s="7"/>
    </row>
    <row r="25" spans="1:7" s="5" customFormat="1" ht="15.75" customHeight="1" x14ac:dyDescent="0.2">
      <c r="A25" s="28" t="str">
        <f>A124</f>
        <v xml:space="preserve">1.7. Plano de Benefício Social  </v>
      </c>
      <c r="B25" s="29"/>
      <c r="C25" s="30"/>
      <c r="D25" s="30"/>
      <c r="E25" s="31">
        <f>F128</f>
        <v>19.420000000000002</v>
      </c>
      <c r="F25" s="32">
        <f t="shared" si="0"/>
        <v>7.7807690760544972E-4</v>
      </c>
      <c r="G25" s="7"/>
    </row>
    <row r="26" spans="1:7" s="27" customFormat="1" ht="15.75" customHeight="1" x14ac:dyDescent="0.2">
      <c r="A26" s="395" t="str">
        <f>A132</f>
        <v>2. Uniformes e Equipamentos de Proteção Individual</v>
      </c>
      <c r="B26" s="395"/>
      <c r="C26" s="395"/>
      <c r="D26" s="23"/>
      <c r="E26" s="24">
        <f>+F162</f>
        <v>173.12499999999997</v>
      </c>
      <c r="F26" s="25">
        <f t="shared" si="0"/>
        <v>6.9363833485681483E-3</v>
      </c>
      <c r="G26" s="26"/>
    </row>
    <row r="27" spans="1:7" s="27" customFormat="1" ht="15.75" customHeight="1" x14ac:dyDescent="0.2">
      <c r="A27" s="278" t="str">
        <f>A164</f>
        <v>3. Veículos e Equipamentos</v>
      </c>
      <c r="B27" s="33"/>
      <c r="C27" s="23"/>
      <c r="D27" s="23"/>
      <c r="E27" s="24">
        <f>+F243</f>
        <v>9212.2198999749053</v>
      </c>
      <c r="F27" s="25">
        <f t="shared" si="0"/>
        <v>0.36909451966806689</v>
      </c>
      <c r="G27" s="26"/>
    </row>
    <row r="28" spans="1:7" s="5" customFormat="1" ht="15.75" customHeight="1" x14ac:dyDescent="0.2">
      <c r="A28" s="34" t="str">
        <f>A165</f>
        <v xml:space="preserve">3.1. Veículo Coletor com caçamba/gaiola </v>
      </c>
      <c r="B28" s="35"/>
      <c r="C28" s="30"/>
      <c r="D28" s="30"/>
      <c r="E28" s="31">
        <f>SUM(E29:E34)</f>
        <v>9212.2198999749053</v>
      </c>
      <c r="F28" s="36">
        <f t="shared" si="0"/>
        <v>0.36909451966806689</v>
      </c>
      <c r="G28" s="7"/>
    </row>
    <row r="29" spans="1:7" s="5" customFormat="1" ht="15.75" customHeight="1" x14ac:dyDescent="0.2">
      <c r="A29" s="34" t="str">
        <f>A166</f>
        <v>3.1.1. Depreciação</v>
      </c>
      <c r="B29" s="35"/>
      <c r="C29" s="30"/>
      <c r="D29" s="30"/>
      <c r="E29" s="31">
        <f>F180</f>
        <v>589.41666666666663</v>
      </c>
      <c r="F29" s="36">
        <f t="shared" si="0"/>
        <v>2.3615422105618542E-2</v>
      </c>
      <c r="G29" s="7"/>
    </row>
    <row r="30" spans="1:7" s="5" customFormat="1" ht="15.75" customHeight="1" x14ac:dyDescent="0.2">
      <c r="A30" s="34" t="str">
        <f>A182</f>
        <v>3.1.2. Remuneração do Capital</v>
      </c>
      <c r="B30" s="35"/>
      <c r="C30" s="30"/>
      <c r="D30" s="30"/>
      <c r="E30" s="31">
        <f>F198</f>
        <v>921.14916666666659</v>
      </c>
      <c r="F30" s="36">
        <f t="shared" si="0"/>
        <v>3.6906534245279961E-2</v>
      </c>
      <c r="G30" s="7"/>
    </row>
    <row r="31" spans="1:7" s="5" customFormat="1" ht="15.75" customHeight="1" x14ac:dyDescent="0.2">
      <c r="A31" s="34" t="str">
        <f>A200</f>
        <v>3.1.3. Impostos e Seguros</v>
      </c>
      <c r="B31" s="35"/>
      <c r="C31" s="30"/>
      <c r="D31" s="30"/>
      <c r="E31" s="31">
        <f>F206</f>
        <v>254.05833333333331</v>
      </c>
      <c r="F31" s="36">
        <f t="shared" si="0"/>
        <v>1.017903822612742E-2</v>
      </c>
      <c r="G31" s="7"/>
    </row>
    <row r="32" spans="1:7" s="5" customFormat="1" ht="15.75" customHeight="1" x14ac:dyDescent="0.2">
      <c r="A32" s="34" t="str">
        <f>A208</f>
        <v>3.1.4. Consumos</v>
      </c>
      <c r="B32" s="35"/>
      <c r="C32" s="30"/>
      <c r="D32" s="30"/>
      <c r="E32" s="31">
        <f>F226</f>
        <v>5118.0281526660956</v>
      </c>
      <c r="F32" s="36">
        <f t="shared" si="0"/>
        <v>0.2050576476861003</v>
      </c>
      <c r="G32" s="7"/>
    </row>
    <row r="33" spans="1:7" s="5" customFormat="1" ht="15.75" customHeight="1" x14ac:dyDescent="0.2">
      <c r="A33" s="34" t="str">
        <f>A228</f>
        <v>3.1.5. Manutenção</v>
      </c>
      <c r="B33" s="35"/>
      <c r="C33" s="30"/>
      <c r="D33" s="30"/>
      <c r="E33" s="31">
        <f>F232</f>
        <v>1771.534281857143</v>
      </c>
      <c r="F33" s="36">
        <f t="shared" si="0"/>
        <v>7.097785353987883E-2</v>
      </c>
      <c r="G33" s="7"/>
    </row>
    <row r="34" spans="1:7" s="5" customFormat="1" ht="15.75" customHeight="1" x14ac:dyDescent="0.2">
      <c r="A34" s="34" t="str">
        <f>A234</f>
        <v>3.1.6. Pneus</v>
      </c>
      <c r="B34" s="35"/>
      <c r="C34" s="30"/>
      <c r="D34" s="30"/>
      <c r="E34" s="31">
        <f>F241</f>
        <v>558.03329878500006</v>
      </c>
      <c r="F34" s="36">
        <f t="shared" si="0"/>
        <v>2.2358023865061829E-2</v>
      </c>
      <c r="G34" s="7"/>
    </row>
    <row r="35" spans="1:7" s="27" customFormat="1" ht="15.75" customHeight="1" x14ac:dyDescent="0.2">
      <c r="A35" s="278" t="str">
        <f>A245</f>
        <v xml:space="preserve">4. Ferramentas e materiais e Destino Final materiais </v>
      </c>
      <c r="B35" s="33"/>
      <c r="C35" s="23"/>
      <c r="D35" s="23"/>
      <c r="E35" s="24">
        <f>+F257</f>
        <v>3038.8516666666665</v>
      </c>
      <c r="F35" s="25">
        <f t="shared" si="0"/>
        <v>0.12175387783067283</v>
      </c>
      <c r="G35" s="26"/>
    </row>
    <row r="36" spans="1:7" s="27" customFormat="1" ht="15.75" customHeight="1" x14ac:dyDescent="0.2">
      <c r="A36" s="278" t="str">
        <f>A259</f>
        <v xml:space="preserve">5. Monitoramento da frota  </v>
      </c>
      <c r="B36" s="33"/>
      <c r="C36" s="23"/>
      <c r="D36" s="23"/>
      <c r="E36" s="24">
        <f>+F268</f>
        <v>110</v>
      </c>
      <c r="F36" s="25">
        <f t="shared" si="0"/>
        <v>4.4072327413284991E-3</v>
      </c>
      <c r="G36" s="26"/>
    </row>
    <row r="37" spans="1:7" s="27" customFormat="1" ht="15.75" customHeight="1" thickBot="1" x14ac:dyDescent="0.25">
      <c r="A37" s="278" t="str">
        <f>A272</f>
        <v>5. Benefícios e Despesas Indiretas - BDI</v>
      </c>
      <c r="B37" s="33"/>
      <c r="C37" s="23"/>
      <c r="D37" s="23"/>
      <c r="E37" s="37">
        <f>+F278</f>
        <v>4812.8973180426474</v>
      </c>
      <c r="F37" s="25">
        <f t="shared" si="0"/>
        <v>0.19283235127936071</v>
      </c>
      <c r="G37" s="26"/>
    </row>
    <row r="38" spans="1:7" s="5" customFormat="1" ht="15.75" customHeight="1" thickBot="1" x14ac:dyDescent="0.25">
      <c r="A38" s="38" t="s">
        <v>13</v>
      </c>
      <c r="B38" s="39"/>
      <c r="C38" s="40"/>
      <c r="D38" s="40"/>
      <c r="E38" s="41">
        <f>E18+E26+E27+E35+E36+E37</f>
        <v>24958.972320314089</v>
      </c>
      <c r="F38" s="42">
        <f>F18+F26+F27+F35+F36+F37</f>
        <v>1</v>
      </c>
      <c r="G38" s="7"/>
    </row>
    <row r="41" spans="1:7" s="5" customFormat="1" ht="15" customHeight="1" thickBot="1" x14ac:dyDescent="0.25">
      <c r="A41" s="394" t="s">
        <v>14</v>
      </c>
      <c r="B41" s="394"/>
      <c r="C41" s="394"/>
      <c r="D41" s="394"/>
      <c r="E41" s="394"/>
      <c r="F41" s="2"/>
      <c r="G41" s="7"/>
    </row>
    <row r="42" spans="1:7" s="5" customFormat="1" ht="15" customHeight="1" thickBot="1" x14ac:dyDescent="0.25">
      <c r="A42" s="396" t="s">
        <v>15</v>
      </c>
      <c r="B42" s="396"/>
      <c r="C42" s="396"/>
      <c r="D42" s="396"/>
      <c r="E42" s="43" t="s">
        <v>16</v>
      </c>
      <c r="F42" s="2"/>
      <c r="G42" s="7"/>
    </row>
    <row r="43" spans="1:7" s="5" customFormat="1" ht="15" customHeight="1" x14ac:dyDescent="0.2">
      <c r="A43" s="44" t="str">
        <f>+A56</f>
        <v>1.1. Coletor Turno Dia</v>
      </c>
      <c r="B43" s="45"/>
      <c r="C43" s="45"/>
      <c r="D43" s="46"/>
      <c r="E43" s="47">
        <f>C66</f>
        <v>2</v>
      </c>
      <c r="F43" s="2"/>
      <c r="G43" s="7"/>
    </row>
    <row r="44" spans="1:7" s="5" customFormat="1" ht="15" customHeight="1" x14ac:dyDescent="0.2">
      <c r="A44" s="48" t="str">
        <f>+A69</f>
        <v xml:space="preserve">1.2. Supervisor dos serviços </v>
      </c>
      <c r="B44" s="49"/>
      <c r="C44" s="49"/>
      <c r="D44" s="50"/>
      <c r="E44" s="51">
        <f>C85</f>
        <v>1</v>
      </c>
      <c r="F44" s="2"/>
      <c r="G44" s="7"/>
    </row>
    <row r="45" spans="1:7" s="5" customFormat="1" ht="15" customHeight="1" x14ac:dyDescent="0.2">
      <c r="A45" s="48" t="str">
        <f>+A88</f>
        <v>1.3. Motorista Turno do Dia</v>
      </c>
      <c r="B45" s="49"/>
      <c r="C45" s="49"/>
      <c r="D45" s="50"/>
      <c r="E45" s="51">
        <f>C100</f>
        <v>1</v>
      </c>
      <c r="F45" s="2"/>
      <c r="G45" s="7"/>
    </row>
    <row r="46" spans="1:7" s="5" customFormat="1" ht="15" hidden="1" customHeight="1" x14ac:dyDescent="0.2">
      <c r="A46" s="48"/>
      <c r="B46" s="49"/>
      <c r="C46" s="49"/>
      <c r="D46" s="50"/>
      <c r="E46" s="51"/>
      <c r="F46" s="2"/>
      <c r="G46" s="7"/>
    </row>
    <row r="47" spans="1:7" s="5" customFormat="1" ht="15" customHeight="1" thickBot="1" x14ac:dyDescent="0.25">
      <c r="A47" s="52" t="s">
        <v>17</v>
      </c>
      <c r="B47" s="53"/>
      <c r="C47" s="53"/>
      <c r="D47" s="54"/>
      <c r="E47" s="55">
        <f>SUM(E43:E46)</f>
        <v>4</v>
      </c>
      <c r="F47" s="2"/>
      <c r="G47" s="7"/>
    </row>
    <row r="48" spans="1:7" s="5" customFormat="1" ht="15" customHeight="1" thickBot="1" x14ac:dyDescent="0.25">
      <c r="A48" s="56"/>
      <c r="B48" s="57"/>
      <c r="C48" s="2"/>
      <c r="D48" s="2"/>
      <c r="E48" s="58"/>
      <c r="F48" s="2"/>
      <c r="G48" s="7"/>
    </row>
    <row r="49" spans="1:7" s="5" customFormat="1" ht="15" customHeight="1" x14ac:dyDescent="0.2">
      <c r="A49" s="391" t="s">
        <v>18</v>
      </c>
      <c r="B49" s="391"/>
      <c r="C49" s="391"/>
      <c r="D49" s="391"/>
      <c r="E49" s="43" t="s">
        <v>16</v>
      </c>
      <c r="F49" s="147"/>
      <c r="G49" s="7"/>
    </row>
    <row r="50" spans="1:7" s="5" customFormat="1" ht="15" customHeight="1" thickBot="1" x14ac:dyDescent="0.25">
      <c r="A50" s="59" t="str">
        <f>+A165</f>
        <v xml:space="preserve">3.1. Veículo Coletor com caçamba/gaiola </v>
      </c>
      <c r="B50" s="60"/>
      <c r="C50" s="60"/>
      <c r="D50" s="61"/>
      <c r="E50" s="62">
        <f>C179</f>
        <v>1</v>
      </c>
      <c r="F50" s="147"/>
      <c r="G50" s="7"/>
    </row>
    <row r="51" spans="1:7" s="5" customFormat="1" ht="15" customHeight="1" x14ac:dyDescent="0.2">
      <c r="A51" s="2"/>
      <c r="B51" s="2"/>
      <c r="C51" s="2"/>
      <c r="D51" s="9"/>
      <c r="E51" s="63"/>
      <c r="F51" s="147"/>
      <c r="G51" s="7"/>
    </row>
    <row r="52" spans="1:7" s="5" customFormat="1" ht="13.5" thickBot="1" x14ac:dyDescent="0.25">
      <c r="A52" s="2"/>
      <c r="B52" s="2"/>
      <c r="C52" s="2"/>
      <c r="D52" s="9"/>
      <c r="E52" s="64"/>
      <c r="F52" s="147"/>
      <c r="G52" s="7"/>
    </row>
    <row r="53" spans="1:7" s="27" customFormat="1" ht="15.75" customHeight="1" thickBot="1" x14ac:dyDescent="0.25">
      <c r="A53" s="65" t="s">
        <v>19</v>
      </c>
      <c r="B53" s="66">
        <f>'5.Horarios'!G24</f>
        <v>0.5</v>
      </c>
      <c r="C53" s="26"/>
      <c r="D53" s="67"/>
      <c r="E53" s="68"/>
      <c r="G53" s="26"/>
    </row>
    <row r="54" spans="1:7" s="5" customFormat="1" ht="15.75" customHeight="1" x14ac:dyDescent="0.2">
      <c r="A54" s="2"/>
      <c r="B54" s="2"/>
      <c r="C54" s="2"/>
      <c r="D54" s="9"/>
      <c r="E54" s="64"/>
      <c r="F54" s="147"/>
      <c r="G54" s="7"/>
    </row>
    <row r="55" spans="1:7" ht="13.15" customHeight="1" x14ac:dyDescent="0.2">
      <c r="A55" s="27" t="s">
        <v>20</v>
      </c>
    </row>
    <row r="56" spans="1:7" ht="13.9" customHeight="1" thickBot="1" x14ac:dyDescent="0.25">
      <c r="A56" s="147" t="s">
        <v>21</v>
      </c>
    </row>
    <row r="57" spans="1:7" ht="13.9" customHeight="1" thickBot="1" x14ac:dyDescent="0.25">
      <c r="A57" s="69" t="s">
        <v>22</v>
      </c>
      <c r="B57" s="70" t="s">
        <v>23</v>
      </c>
      <c r="C57" s="70" t="s">
        <v>16</v>
      </c>
      <c r="D57" s="71" t="s">
        <v>24</v>
      </c>
      <c r="E57" s="71" t="s">
        <v>25</v>
      </c>
      <c r="F57" s="72" t="s">
        <v>26</v>
      </c>
    </row>
    <row r="58" spans="1:7" ht="13.15" customHeight="1" x14ac:dyDescent="0.2">
      <c r="A58" s="73" t="s">
        <v>27</v>
      </c>
      <c r="B58" s="125" t="s">
        <v>28</v>
      </c>
      <c r="C58" s="125">
        <v>1</v>
      </c>
      <c r="D58" s="74">
        <v>1816.57</v>
      </c>
      <c r="E58" s="75">
        <f>C58*D58</f>
        <v>1816.57</v>
      </c>
    </row>
    <row r="59" spans="1:7" hidden="1" x14ac:dyDescent="0.2">
      <c r="A59" s="76" t="s">
        <v>29</v>
      </c>
      <c r="B59" s="156" t="s">
        <v>30</v>
      </c>
      <c r="C59" s="77"/>
      <c r="D59" s="78">
        <f>D58/220*2</f>
        <v>16.514272727272726</v>
      </c>
      <c r="E59" s="78">
        <f>C59*D59</f>
        <v>0</v>
      </c>
      <c r="G59" s="2" t="s">
        <v>31</v>
      </c>
    </row>
    <row r="60" spans="1:7" ht="13.15" hidden="1" customHeight="1" x14ac:dyDescent="0.2">
      <c r="A60" s="76" t="s">
        <v>32</v>
      </c>
      <c r="B60" s="156" t="s">
        <v>30</v>
      </c>
      <c r="C60" s="77"/>
      <c r="D60" s="78">
        <f>D58/220*1.5</f>
        <v>12.385704545454544</v>
      </c>
      <c r="E60" s="78">
        <f>C60*D60</f>
        <v>0</v>
      </c>
      <c r="G60" s="2" t="s">
        <v>33</v>
      </c>
    </row>
    <row r="61" spans="1:7" ht="13.15" hidden="1" customHeight="1" x14ac:dyDescent="0.2">
      <c r="A61" s="76" t="s">
        <v>34</v>
      </c>
      <c r="B61" s="156" t="s">
        <v>35</v>
      </c>
      <c r="D61" s="78">
        <f>63/302*(SUM(E59:E60))</f>
        <v>0</v>
      </c>
      <c r="E61" s="78">
        <f>D61</f>
        <v>0</v>
      </c>
      <c r="G61" s="2" t="s">
        <v>36</v>
      </c>
    </row>
    <row r="62" spans="1:7" x14ac:dyDescent="0.2">
      <c r="A62" s="76" t="s">
        <v>37</v>
      </c>
      <c r="B62" s="156" t="s">
        <v>12</v>
      </c>
      <c r="C62" s="156">
        <v>40</v>
      </c>
      <c r="D62" s="78">
        <f>SUM(E58:E61)</f>
        <v>1816.57</v>
      </c>
      <c r="E62" s="78">
        <f>C62*D62/100</f>
        <v>726.62800000000004</v>
      </c>
    </row>
    <row r="63" spans="1:7" x14ac:dyDescent="0.2">
      <c r="A63" s="79" t="s">
        <v>38</v>
      </c>
      <c r="B63" s="80"/>
      <c r="C63" s="80"/>
      <c r="D63" s="81"/>
      <c r="E63" s="82">
        <f>SUM(E58:E62)</f>
        <v>2543.1979999999999</v>
      </c>
    </row>
    <row r="64" spans="1:7" x14ac:dyDescent="0.2">
      <c r="A64" s="76" t="s">
        <v>39</v>
      </c>
      <c r="B64" s="156" t="s">
        <v>12</v>
      </c>
      <c r="C64" s="83">
        <f>'2.Encargos Sociais'!$C$38*100</f>
        <v>69.850000000000009</v>
      </c>
      <c r="D64" s="78">
        <f>E63</f>
        <v>2543.1979999999999</v>
      </c>
      <c r="E64" s="78">
        <f>D64*C64/100</f>
        <v>1776.4238030000001</v>
      </c>
    </row>
    <row r="65" spans="1:7" x14ac:dyDescent="0.2">
      <c r="A65" s="79" t="s">
        <v>40</v>
      </c>
      <c r="B65" s="80"/>
      <c r="C65" s="80"/>
      <c r="D65" s="81"/>
      <c r="E65" s="82">
        <f>E63+E64</f>
        <v>4319.621803</v>
      </c>
    </row>
    <row r="66" spans="1:7" ht="13.5" thickBot="1" x14ac:dyDescent="0.25">
      <c r="A66" s="76" t="s">
        <v>41</v>
      </c>
      <c r="B66" s="156" t="s">
        <v>42</v>
      </c>
      <c r="C66" s="84">
        <v>2</v>
      </c>
      <c r="D66" s="78">
        <f>E65</f>
        <v>4319.621803</v>
      </c>
      <c r="E66" s="78">
        <f>C66*D66</f>
        <v>8639.243606</v>
      </c>
      <c r="G66" s="7"/>
    </row>
    <row r="67" spans="1:7" ht="13.9" customHeight="1" thickBot="1" x14ac:dyDescent="0.25">
      <c r="D67" s="85" t="s">
        <v>43</v>
      </c>
      <c r="E67" s="86">
        <f>B53</f>
        <v>0.5</v>
      </c>
      <c r="F67" s="87">
        <f>E66*E67</f>
        <v>4319.621803</v>
      </c>
      <c r="G67" s="7"/>
    </row>
    <row r="68" spans="1:7" ht="11.25" customHeight="1" x14ac:dyDescent="0.2"/>
    <row r="69" spans="1:7" ht="13.5" thickBot="1" x14ac:dyDescent="0.25">
      <c r="A69" s="147" t="s">
        <v>44</v>
      </c>
    </row>
    <row r="70" spans="1:7" ht="13.5" thickBot="1" x14ac:dyDescent="0.25">
      <c r="A70" s="69" t="s">
        <v>22</v>
      </c>
      <c r="B70" s="70" t="s">
        <v>23</v>
      </c>
      <c r="C70" s="70" t="s">
        <v>16</v>
      </c>
      <c r="D70" s="71" t="s">
        <v>24</v>
      </c>
      <c r="E70" s="71" t="s">
        <v>25</v>
      </c>
      <c r="F70" s="72" t="s">
        <v>26</v>
      </c>
    </row>
    <row r="71" spans="1:7" x14ac:dyDescent="0.2">
      <c r="A71" s="73" t="s">
        <v>27</v>
      </c>
      <c r="B71" s="125" t="s">
        <v>28</v>
      </c>
      <c r="C71" s="125">
        <v>1</v>
      </c>
      <c r="D71" s="273">
        <v>2500</v>
      </c>
      <c r="E71" s="75">
        <f>C71*D71</f>
        <v>2500</v>
      </c>
    </row>
    <row r="72" spans="1:7" hidden="1" x14ac:dyDescent="0.2">
      <c r="A72" s="76" t="s">
        <v>45</v>
      </c>
      <c r="B72" s="156" t="s">
        <v>46</v>
      </c>
      <c r="C72" s="77"/>
      <c r="D72" s="78"/>
      <c r="E72" s="78"/>
    </row>
    <row r="73" spans="1:7" hidden="1" x14ac:dyDescent="0.2">
      <c r="A73" s="76"/>
      <c r="B73" s="156" t="s">
        <v>47</v>
      </c>
      <c r="C73" s="88">
        <f>C72*8/7</f>
        <v>0</v>
      </c>
      <c r="D73" s="78">
        <f>D71/220*0.2</f>
        <v>2.2727272727272729</v>
      </c>
      <c r="E73" s="78">
        <f>C72*D73</f>
        <v>0</v>
      </c>
    </row>
    <row r="74" spans="1:7" hidden="1" x14ac:dyDescent="0.2">
      <c r="A74" s="76" t="s">
        <v>29</v>
      </c>
      <c r="B74" s="156" t="s">
        <v>30</v>
      </c>
      <c r="C74" s="77"/>
      <c r="D74" s="78">
        <f>D71/220*2</f>
        <v>22.727272727272727</v>
      </c>
      <c r="E74" s="78">
        <f>C74*D74</f>
        <v>0</v>
      </c>
      <c r="G74" s="2" t="s">
        <v>31</v>
      </c>
    </row>
    <row r="75" spans="1:7" hidden="1" x14ac:dyDescent="0.2">
      <c r="A75" s="76" t="s">
        <v>48</v>
      </c>
      <c r="B75" s="156" t="s">
        <v>46</v>
      </c>
      <c r="C75" s="77"/>
      <c r="D75" s="78"/>
      <c r="E75" s="78"/>
      <c r="G75" s="2" t="s">
        <v>49</v>
      </c>
    </row>
    <row r="76" spans="1:7" hidden="1" x14ac:dyDescent="0.2">
      <c r="A76" s="76"/>
      <c r="B76" s="156" t="s">
        <v>47</v>
      </c>
      <c r="C76" s="88">
        <f>C75*8/7</f>
        <v>0</v>
      </c>
      <c r="D76" s="78">
        <f>D71/220*2*1.2</f>
        <v>27.27272727272727</v>
      </c>
      <c r="E76" s="78">
        <f>C76*D76</f>
        <v>0</v>
      </c>
      <c r="G76" s="2" t="s">
        <v>49</v>
      </c>
    </row>
    <row r="77" spans="1:7" hidden="1" x14ac:dyDescent="0.2">
      <c r="A77" s="76" t="s">
        <v>32</v>
      </c>
      <c r="B77" s="156" t="s">
        <v>30</v>
      </c>
      <c r="C77" s="77"/>
      <c r="D77" s="78">
        <f>D71/220*1.5</f>
        <v>17.045454545454547</v>
      </c>
      <c r="E77" s="78">
        <f>C77*D77</f>
        <v>0</v>
      </c>
      <c r="G77" s="2" t="s">
        <v>33</v>
      </c>
    </row>
    <row r="78" spans="1:7" hidden="1" x14ac:dyDescent="0.2">
      <c r="A78" s="76" t="s">
        <v>50</v>
      </c>
      <c r="B78" s="156" t="s">
        <v>46</v>
      </c>
      <c r="C78" s="77"/>
      <c r="D78" s="78"/>
      <c r="E78" s="78"/>
      <c r="G78" s="2" t="s">
        <v>51</v>
      </c>
    </row>
    <row r="79" spans="1:7" hidden="1" x14ac:dyDescent="0.2">
      <c r="A79" s="76"/>
      <c r="B79" s="156" t="s">
        <v>47</v>
      </c>
      <c r="C79" s="78">
        <f>C78*8/7</f>
        <v>0</v>
      </c>
      <c r="D79" s="78">
        <f>D71/220*1.5*1.2</f>
        <v>20.454545454545457</v>
      </c>
      <c r="E79" s="78">
        <f>C79*D79</f>
        <v>0</v>
      </c>
      <c r="G79" s="2" t="s">
        <v>51</v>
      </c>
    </row>
    <row r="80" spans="1:7" ht="13.15" hidden="1" customHeight="1" x14ac:dyDescent="0.2">
      <c r="A80" s="76" t="s">
        <v>34</v>
      </c>
      <c r="B80" s="156" t="s">
        <v>35</v>
      </c>
      <c r="D80" s="78">
        <f>63/302*(SUM(E74:E79))</f>
        <v>0</v>
      </c>
      <c r="E80" s="78">
        <f>D80</f>
        <v>0</v>
      </c>
      <c r="G80" s="2" t="s">
        <v>36</v>
      </c>
    </row>
    <row r="81" spans="1:7" hidden="1" x14ac:dyDescent="0.2">
      <c r="A81" s="76" t="s">
        <v>37</v>
      </c>
      <c r="B81" s="156" t="s">
        <v>12</v>
      </c>
      <c r="C81" s="156">
        <v>0</v>
      </c>
      <c r="D81" s="78">
        <f>SUM(E71:E80)</f>
        <v>2500</v>
      </c>
      <c r="E81" s="78">
        <f>C81*D81/100</f>
        <v>0</v>
      </c>
    </row>
    <row r="82" spans="1:7" x14ac:dyDescent="0.2">
      <c r="A82" s="79" t="s">
        <v>38</v>
      </c>
      <c r="B82" s="80"/>
      <c r="C82" s="80"/>
      <c r="D82" s="81"/>
      <c r="E82" s="82">
        <f>SUM(E71:E81)</f>
        <v>2500</v>
      </c>
    </row>
    <row r="83" spans="1:7" x14ac:dyDescent="0.2">
      <c r="A83" s="76" t="s">
        <v>39</v>
      </c>
      <c r="B83" s="156" t="s">
        <v>12</v>
      </c>
      <c r="C83" s="83">
        <f>'2.Encargos Sociais'!$C$38*100</f>
        <v>69.850000000000009</v>
      </c>
      <c r="D83" s="78">
        <f>E82</f>
        <v>2500</v>
      </c>
      <c r="E83" s="78">
        <f>D83*C83/100</f>
        <v>1746.2500000000002</v>
      </c>
    </row>
    <row r="84" spans="1:7" x14ac:dyDescent="0.2">
      <c r="A84" s="79" t="s">
        <v>371</v>
      </c>
      <c r="B84" s="80"/>
      <c r="C84" s="80"/>
      <c r="D84" s="81"/>
      <c r="E84" s="82">
        <f>E82+E83</f>
        <v>4246.25</v>
      </c>
    </row>
    <row r="85" spans="1:7" ht="13.5" thickBot="1" x14ac:dyDescent="0.25">
      <c r="A85" s="76" t="s">
        <v>41</v>
      </c>
      <c r="B85" s="156" t="s">
        <v>42</v>
      </c>
      <c r="C85" s="84">
        <v>1</v>
      </c>
      <c r="D85" s="78">
        <f>E84</f>
        <v>4246.25</v>
      </c>
      <c r="E85" s="78">
        <f>C85*D85</f>
        <v>4246.25</v>
      </c>
    </row>
    <row r="86" spans="1:7" ht="13.5" thickBot="1" x14ac:dyDescent="0.25">
      <c r="A86" s="147" t="s">
        <v>379</v>
      </c>
      <c r="D86" s="85" t="s">
        <v>43</v>
      </c>
      <c r="E86" s="86">
        <f>4/44</f>
        <v>9.0909090909090912E-2</v>
      </c>
      <c r="F86" s="87">
        <f>E85*E86</f>
        <v>386.02272727272731</v>
      </c>
    </row>
    <row r="87" spans="1:7" ht="11.25" customHeight="1" x14ac:dyDescent="0.2"/>
    <row r="88" spans="1:7" ht="13.5" thickBot="1" x14ac:dyDescent="0.25">
      <c r="A88" s="147" t="s">
        <v>52</v>
      </c>
    </row>
    <row r="89" spans="1:7" s="89" customFormat="1" ht="13.15" customHeight="1" thickBot="1" x14ac:dyDescent="0.25">
      <c r="A89" s="69" t="s">
        <v>22</v>
      </c>
      <c r="B89" s="70" t="s">
        <v>23</v>
      </c>
      <c r="C89" s="70" t="s">
        <v>16</v>
      </c>
      <c r="D89" s="71" t="s">
        <v>24</v>
      </c>
      <c r="E89" s="71" t="s">
        <v>25</v>
      </c>
      <c r="F89" s="72" t="s">
        <v>26</v>
      </c>
      <c r="G89" s="2"/>
    </row>
    <row r="90" spans="1:7" x14ac:dyDescent="0.2">
      <c r="A90" s="73" t="s">
        <v>53</v>
      </c>
      <c r="B90" s="125" t="s">
        <v>28</v>
      </c>
      <c r="C90" s="125">
        <v>1</v>
      </c>
      <c r="D90" s="273">
        <v>2251.4899999999998</v>
      </c>
      <c r="E90" s="75">
        <f>C90*D90</f>
        <v>2251.4899999999998</v>
      </c>
    </row>
    <row r="91" spans="1:7" x14ac:dyDescent="0.2">
      <c r="A91" s="73" t="s">
        <v>54</v>
      </c>
      <c r="B91" s="125" t="s">
        <v>28</v>
      </c>
      <c r="C91" s="125">
        <v>1</v>
      </c>
      <c r="D91" s="74">
        <v>1412</v>
      </c>
      <c r="E91" s="75"/>
    </row>
    <row r="92" spans="1:7" hidden="1" x14ac:dyDescent="0.2">
      <c r="A92" s="76" t="s">
        <v>29</v>
      </c>
      <c r="B92" s="156" t="s">
        <v>30</v>
      </c>
      <c r="C92" s="77"/>
      <c r="D92" s="78">
        <f>D90/220*2</f>
        <v>20.468090909090908</v>
      </c>
      <c r="E92" s="78">
        <f>C92*D92</f>
        <v>0</v>
      </c>
      <c r="G92" s="2" t="s">
        <v>31</v>
      </c>
    </row>
    <row r="93" spans="1:7" hidden="1" x14ac:dyDescent="0.2">
      <c r="A93" s="76" t="s">
        <v>32</v>
      </c>
      <c r="B93" s="156" t="s">
        <v>30</v>
      </c>
      <c r="C93" s="77"/>
      <c r="D93" s="78">
        <f>D90/220*1.5</f>
        <v>15.351068181818182</v>
      </c>
      <c r="E93" s="78">
        <f>C93*D93</f>
        <v>0</v>
      </c>
      <c r="G93" s="2" t="s">
        <v>33</v>
      </c>
    </row>
    <row r="94" spans="1:7" ht="13.15" hidden="1" customHeight="1" x14ac:dyDescent="0.2">
      <c r="A94" s="76" t="s">
        <v>34</v>
      </c>
      <c r="B94" s="156" t="s">
        <v>35</v>
      </c>
      <c r="D94" s="78">
        <f>63/302*(SUM(E92:E93))</f>
        <v>0</v>
      </c>
      <c r="E94" s="78">
        <f>D94</f>
        <v>0</v>
      </c>
      <c r="G94" s="2" t="s">
        <v>36</v>
      </c>
    </row>
    <row r="95" spans="1:7" hidden="1" x14ac:dyDescent="0.2">
      <c r="A95" s="76" t="s">
        <v>55</v>
      </c>
      <c r="B95" s="156"/>
      <c r="C95" s="90">
        <v>0</v>
      </c>
      <c r="D95" s="78"/>
      <c r="E95" s="78"/>
    </row>
    <row r="96" spans="1:7" x14ac:dyDescent="0.2">
      <c r="A96" s="76" t="s">
        <v>37</v>
      </c>
      <c r="B96" s="156" t="s">
        <v>12</v>
      </c>
      <c r="C96" s="84">
        <v>20</v>
      </c>
      <c r="D96" s="78">
        <f>D91</f>
        <v>1412</v>
      </c>
      <c r="E96" s="78">
        <f>C96*D96/100</f>
        <v>282.39999999999998</v>
      </c>
    </row>
    <row r="97" spans="1:7" s="27" customFormat="1" x14ac:dyDescent="0.2">
      <c r="A97" s="91" t="s">
        <v>38</v>
      </c>
      <c r="B97" s="80"/>
      <c r="C97" s="80"/>
      <c r="D97" s="81"/>
      <c r="E97" s="92">
        <f>SUM(E90:E96)</f>
        <v>2533.89</v>
      </c>
      <c r="F97" s="26"/>
      <c r="G97" s="26"/>
    </row>
    <row r="98" spans="1:7" x14ac:dyDescent="0.2">
      <c r="A98" s="76" t="s">
        <v>39</v>
      </c>
      <c r="B98" s="156" t="s">
        <v>12</v>
      </c>
      <c r="C98" s="83">
        <f>'2.Encargos Sociais'!$C$38*100</f>
        <v>69.850000000000009</v>
      </c>
      <c r="D98" s="78">
        <f>E97</f>
        <v>2533.89</v>
      </c>
      <c r="E98" s="78">
        <f>D98*C98/100</f>
        <v>1769.9221650000002</v>
      </c>
    </row>
    <row r="99" spans="1:7" s="27" customFormat="1" x14ac:dyDescent="0.2">
      <c r="A99" s="91" t="s">
        <v>56</v>
      </c>
      <c r="B99" s="93"/>
      <c r="C99" s="93"/>
      <c r="D99" s="94"/>
      <c r="E99" s="92">
        <f>E97+E98</f>
        <v>4303.8121650000003</v>
      </c>
      <c r="F99" s="26"/>
      <c r="G99" s="26"/>
    </row>
    <row r="100" spans="1:7" ht="13.5" thickBot="1" x14ac:dyDescent="0.25">
      <c r="A100" s="76" t="s">
        <v>41</v>
      </c>
      <c r="B100" s="156" t="s">
        <v>42</v>
      </c>
      <c r="C100" s="84">
        <v>1</v>
      </c>
      <c r="D100" s="78">
        <f>E99</f>
        <v>4303.8121650000003</v>
      </c>
      <c r="E100" s="78">
        <f>C100*D100</f>
        <v>4303.8121650000003</v>
      </c>
    </row>
    <row r="101" spans="1:7" ht="13.5" thickBot="1" x14ac:dyDescent="0.25">
      <c r="A101" s="274"/>
      <c r="D101" s="85" t="s">
        <v>43</v>
      </c>
      <c r="E101" s="86">
        <f>'5.Horarios'!G36</f>
        <v>0.5</v>
      </c>
      <c r="F101" s="87">
        <f>E100*E101</f>
        <v>2151.9060825000001</v>
      </c>
    </row>
    <row r="102" spans="1:7" ht="11.25" customHeight="1" x14ac:dyDescent="0.2">
      <c r="G102" s="147"/>
    </row>
    <row r="103" spans="1:7" s="147" customFormat="1" ht="13.5" thickBot="1" x14ac:dyDescent="0.25">
      <c r="A103" s="147" t="s">
        <v>375</v>
      </c>
      <c r="B103" s="95"/>
      <c r="E103" s="96"/>
      <c r="F103" s="2"/>
    </row>
    <row r="104" spans="1:7" s="147" customFormat="1" ht="13.5" thickBot="1" x14ac:dyDescent="0.25">
      <c r="A104" s="69" t="s">
        <v>22</v>
      </c>
      <c r="B104" s="70" t="s">
        <v>23</v>
      </c>
      <c r="C104" s="70" t="s">
        <v>16</v>
      </c>
      <c r="D104" s="71" t="s">
        <v>24</v>
      </c>
      <c r="E104" s="71" t="s">
        <v>25</v>
      </c>
      <c r="F104" s="72" t="s">
        <v>26</v>
      </c>
    </row>
    <row r="105" spans="1:7" x14ac:dyDescent="0.2">
      <c r="A105" s="76" t="s">
        <v>57</v>
      </c>
      <c r="B105" s="156" t="s">
        <v>35</v>
      </c>
      <c r="C105" s="97">
        <v>1</v>
      </c>
      <c r="D105" s="98">
        <v>6</v>
      </c>
      <c r="E105" s="78"/>
      <c r="G105" s="147"/>
    </row>
    <row r="106" spans="1:7" x14ac:dyDescent="0.2">
      <c r="A106" s="76" t="s">
        <v>58</v>
      </c>
      <c r="B106" s="156" t="s">
        <v>59</v>
      </c>
      <c r="C106" s="99">
        <v>17</v>
      </c>
      <c r="D106" s="78"/>
      <c r="E106" s="78"/>
      <c r="G106" s="147"/>
    </row>
    <row r="107" spans="1:7" x14ac:dyDescent="0.2">
      <c r="A107" s="76" t="s">
        <v>60</v>
      </c>
      <c r="B107" s="156" t="s">
        <v>61</v>
      </c>
      <c r="C107" s="100">
        <f>$C$106*2*(C66)</f>
        <v>68</v>
      </c>
      <c r="D107" s="272">
        <f>D105-(E63/42*0.06)</f>
        <v>2.3668600000000004</v>
      </c>
      <c r="E107" s="78">
        <f>IFERROR(C107*D107,"-")</f>
        <v>160.94648000000004</v>
      </c>
      <c r="G107" s="147"/>
    </row>
    <row r="108" spans="1:7" ht="13.5" thickBot="1" x14ac:dyDescent="0.25">
      <c r="A108" s="73" t="s">
        <v>276</v>
      </c>
      <c r="B108" s="125" t="s">
        <v>61</v>
      </c>
      <c r="C108" s="100">
        <f>$C$106*2*(C100)</f>
        <v>34</v>
      </c>
      <c r="D108" s="272">
        <f>D105-(E97/42*0.06)</f>
        <v>2.3801571428571435</v>
      </c>
      <c r="E108" s="75">
        <f>IFERROR(C108*D108,"-")</f>
        <v>80.92534285714288</v>
      </c>
      <c r="G108" s="147"/>
    </row>
    <row r="109" spans="1:7" ht="13.5" thickBot="1" x14ac:dyDescent="0.25">
      <c r="F109" s="101">
        <f>SUM(E107:E108)</f>
        <v>241.87182285714292</v>
      </c>
      <c r="G109" s="147"/>
    </row>
    <row r="110" spans="1:7" ht="11.25" hidden="1" customHeight="1" x14ac:dyDescent="0.2">
      <c r="G110" s="147"/>
    </row>
    <row r="111" spans="1:7" ht="13.5" thickBot="1" x14ac:dyDescent="0.25">
      <c r="A111" s="147" t="s">
        <v>376</v>
      </c>
      <c r="F111" s="26"/>
      <c r="G111" s="147"/>
    </row>
    <row r="112" spans="1:7" s="147" customFormat="1" ht="13.5" thickBot="1" x14ac:dyDescent="0.25">
      <c r="A112" s="69" t="s">
        <v>22</v>
      </c>
      <c r="B112" s="70" t="s">
        <v>23</v>
      </c>
      <c r="C112" s="70" t="s">
        <v>16</v>
      </c>
      <c r="D112" s="71" t="s">
        <v>24</v>
      </c>
      <c r="E112" s="71" t="s">
        <v>25</v>
      </c>
      <c r="F112" s="72" t="s">
        <v>26</v>
      </c>
    </row>
    <row r="113" spans="1:7" s="147" customFormat="1" x14ac:dyDescent="0.2">
      <c r="A113" s="76" t="str">
        <f>+A107</f>
        <v>Coletor</v>
      </c>
      <c r="B113" s="156" t="s">
        <v>62</v>
      </c>
      <c r="C113" s="100">
        <f>C106*(E43)</f>
        <v>34</v>
      </c>
      <c r="D113" s="275">
        <f>11.84*0.81</f>
        <v>9.5904000000000007</v>
      </c>
      <c r="E113" s="102">
        <f>C113*D113</f>
        <v>326.0736</v>
      </c>
      <c r="F113" s="26"/>
    </row>
    <row r="114" spans="1:7" s="147" customFormat="1" x14ac:dyDescent="0.2">
      <c r="A114" s="76" t="str">
        <f>+A108</f>
        <v>Motorista</v>
      </c>
      <c r="B114" s="156" t="s">
        <v>62</v>
      </c>
      <c r="C114" s="100">
        <f>C106*(E46+E45)</f>
        <v>17</v>
      </c>
      <c r="D114" s="275">
        <f>8*0.8</f>
        <v>6.4</v>
      </c>
      <c r="E114" s="102">
        <f>C114*D114</f>
        <v>108.80000000000001</v>
      </c>
      <c r="F114" s="26"/>
    </row>
    <row r="115" spans="1:7" s="147" customFormat="1" ht="13.5" thickBot="1" x14ac:dyDescent="0.25">
      <c r="A115" s="76" t="s">
        <v>63</v>
      </c>
      <c r="B115" s="156" t="s">
        <v>62</v>
      </c>
      <c r="C115" s="100">
        <v>1</v>
      </c>
      <c r="D115" s="275">
        <f>11.84*0.81</f>
        <v>9.5904000000000007</v>
      </c>
      <c r="E115" s="102">
        <f>C115*D115</f>
        <v>9.5904000000000007</v>
      </c>
      <c r="F115" s="26"/>
    </row>
    <row r="116" spans="1:7" ht="13.5" thickBot="1" x14ac:dyDescent="0.25">
      <c r="F116" s="101">
        <f>SUM(E113:E115)</f>
        <v>444.464</v>
      </c>
      <c r="G116" s="147"/>
    </row>
    <row r="117" spans="1:7" x14ac:dyDescent="0.2">
      <c r="G117" s="147"/>
    </row>
    <row r="118" spans="1:7" ht="13.5" thickBot="1" x14ac:dyDescent="0.25">
      <c r="A118" s="147" t="s">
        <v>377</v>
      </c>
      <c r="F118" s="26"/>
      <c r="G118" s="147"/>
    </row>
    <row r="119" spans="1:7" s="147" customFormat="1" ht="13.5" thickBot="1" x14ac:dyDescent="0.25">
      <c r="A119" s="69" t="s">
        <v>22</v>
      </c>
      <c r="B119" s="70" t="s">
        <v>23</v>
      </c>
      <c r="C119" s="70" t="s">
        <v>16</v>
      </c>
      <c r="D119" s="71" t="s">
        <v>24</v>
      </c>
      <c r="E119" s="71" t="s">
        <v>25</v>
      </c>
      <c r="F119" s="72" t="s">
        <v>26</v>
      </c>
    </row>
    <row r="120" spans="1:7" s="147" customFormat="1" hidden="1" x14ac:dyDescent="0.2">
      <c r="A120" s="76" t="str">
        <f>+A113</f>
        <v>Coletor</v>
      </c>
      <c r="B120" s="156" t="s">
        <v>62</v>
      </c>
      <c r="C120" s="100">
        <f>E43+E44</f>
        <v>3</v>
      </c>
      <c r="D120" s="140"/>
      <c r="E120" s="102">
        <f>C120*D120</f>
        <v>0</v>
      </c>
      <c r="F120" s="26"/>
    </row>
    <row r="121" spans="1:7" s="147" customFormat="1" ht="13.5" thickBot="1" x14ac:dyDescent="0.25">
      <c r="A121" s="76" t="str">
        <f>A114</f>
        <v>Motorista</v>
      </c>
      <c r="B121" s="156" t="s">
        <v>62</v>
      </c>
      <c r="C121" s="97">
        <v>1</v>
      </c>
      <c r="D121" s="275">
        <f>121.43*0.8</f>
        <v>97.144000000000005</v>
      </c>
      <c r="E121" s="102">
        <f>C121*D121</f>
        <v>97.144000000000005</v>
      </c>
      <c r="F121" s="26"/>
    </row>
    <row r="122" spans="1:7" s="147" customFormat="1" ht="13.5" thickBot="1" x14ac:dyDescent="0.25">
      <c r="D122" s="85" t="s">
        <v>43</v>
      </c>
      <c r="E122" s="86">
        <f>E101</f>
        <v>0.5</v>
      </c>
      <c r="F122" s="101">
        <f>SUM(E120:E121)*E122</f>
        <v>48.572000000000003</v>
      </c>
    </row>
    <row r="123" spans="1:7" x14ac:dyDescent="0.2">
      <c r="D123" s="85"/>
      <c r="E123" s="103"/>
      <c r="G123" s="147"/>
    </row>
    <row r="124" spans="1:7" ht="13.5" thickBot="1" x14ac:dyDescent="0.25">
      <c r="A124" s="147" t="s">
        <v>378</v>
      </c>
      <c r="F124" s="26"/>
      <c r="G124" s="147"/>
    </row>
    <row r="125" spans="1:7" s="147" customFormat="1" ht="13.5" thickBot="1" x14ac:dyDescent="0.25">
      <c r="A125" s="69" t="s">
        <v>22</v>
      </c>
      <c r="B125" s="70" t="s">
        <v>23</v>
      </c>
      <c r="C125" s="70" t="s">
        <v>16</v>
      </c>
      <c r="D125" s="71" t="s">
        <v>24</v>
      </c>
      <c r="E125" s="71" t="s">
        <v>25</v>
      </c>
      <c r="F125" s="72" t="s">
        <v>26</v>
      </c>
    </row>
    <row r="126" spans="1:7" s="147" customFormat="1" ht="13.5" thickBot="1" x14ac:dyDescent="0.25">
      <c r="A126" s="76" t="str">
        <f>A113</f>
        <v>Coletor</v>
      </c>
      <c r="B126" s="156" t="s">
        <v>62</v>
      </c>
      <c r="C126" s="104">
        <f>E43</f>
        <v>2</v>
      </c>
      <c r="D126" s="140">
        <v>19.420000000000002</v>
      </c>
      <c r="E126" s="105">
        <f>C126*D126</f>
        <v>38.840000000000003</v>
      </c>
      <c r="F126" s="26"/>
    </row>
    <row r="127" spans="1:7" s="147" customFormat="1" ht="13.5" hidden="1" thickBot="1" x14ac:dyDescent="0.25">
      <c r="A127" s="76"/>
      <c r="B127" s="156" t="s">
        <v>62</v>
      </c>
      <c r="C127" s="104">
        <v>0</v>
      </c>
      <c r="D127" s="106">
        <v>0</v>
      </c>
      <c r="E127" s="105"/>
      <c r="F127" s="26"/>
    </row>
    <row r="128" spans="1:7" s="147" customFormat="1" ht="13.5" thickBot="1" x14ac:dyDescent="0.25">
      <c r="A128" s="107"/>
      <c r="B128" s="107"/>
      <c r="D128" s="85" t="s">
        <v>64</v>
      </c>
      <c r="E128" s="86">
        <f>B53</f>
        <v>0.5</v>
      </c>
      <c r="F128" s="108">
        <f>SUM(E126:E127)*E128</f>
        <v>19.420000000000002</v>
      </c>
    </row>
    <row r="129" spans="1:7" ht="13.5" thickBot="1" x14ac:dyDescent="0.25">
      <c r="D129" s="85"/>
      <c r="E129" s="103"/>
      <c r="G129" s="147"/>
    </row>
    <row r="130" spans="1:7" s="147" customFormat="1" ht="13.5" thickBot="1" x14ac:dyDescent="0.25">
      <c r="A130" s="109" t="s">
        <v>65</v>
      </c>
      <c r="B130" s="110"/>
      <c r="C130" s="110"/>
      <c r="D130" s="40"/>
      <c r="E130" s="111"/>
      <c r="F130" s="101">
        <f>F122+F116+F109+F101+F86+F67+F128</f>
        <v>7611.8784356298711</v>
      </c>
    </row>
    <row r="132" spans="1:7" x14ac:dyDescent="0.2">
      <c r="A132" s="27" t="s">
        <v>66</v>
      </c>
      <c r="G132" s="147"/>
    </row>
    <row r="133" spans="1:7" ht="13.9" customHeight="1" thickBot="1" x14ac:dyDescent="0.25">
      <c r="A133" s="147" t="s">
        <v>67</v>
      </c>
      <c r="G133" s="147"/>
    </row>
    <row r="134" spans="1:7" s="147" customFormat="1" ht="27.75" customHeight="1" thickBot="1" x14ac:dyDescent="0.25">
      <c r="A134" s="69" t="s">
        <v>22</v>
      </c>
      <c r="B134" s="70" t="s">
        <v>23</v>
      </c>
      <c r="C134" s="112" t="s">
        <v>68</v>
      </c>
      <c r="D134" s="71" t="s">
        <v>24</v>
      </c>
      <c r="E134" s="71" t="s">
        <v>25</v>
      </c>
      <c r="F134" s="72" t="s">
        <v>26</v>
      </c>
    </row>
    <row r="135" spans="1:7" x14ac:dyDescent="0.2">
      <c r="A135" s="73" t="s">
        <v>69</v>
      </c>
      <c r="B135" s="125" t="s">
        <v>62</v>
      </c>
      <c r="C135" s="276">
        <v>12</v>
      </c>
      <c r="D135" s="273">
        <v>155</v>
      </c>
      <c r="E135" s="75">
        <f t="shared" ref="E135:E144" si="1">IFERROR(D135/C135,0)</f>
        <v>12.916666666666666</v>
      </c>
      <c r="G135" s="147"/>
    </row>
    <row r="136" spans="1:7" ht="13.15" customHeight="1" x14ac:dyDescent="0.2">
      <c r="A136" s="76" t="s">
        <v>70</v>
      </c>
      <c r="B136" s="156" t="s">
        <v>62</v>
      </c>
      <c r="C136" s="276">
        <v>4</v>
      </c>
      <c r="D136" s="277">
        <v>70</v>
      </c>
      <c r="E136" s="75">
        <f t="shared" si="1"/>
        <v>17.5</v>
      </c>
      <c r="G136" s="147"/>
    </row>
    <row r="137" spans="1:7" x14ac:dyDescent="0.2">
      <c r="A137" s="76" t="s">
        <v>71</v>
      </c>
      <c r="B137" s="156" t="s">
        <v>62</v>
      </c>
      <c r="C137" s="276">
        <v>2</v>
      </c>
      <c r="D137" s="277">
        <v>43</v>
      </c>
      <c r="E137" s="75">
        <f t="shared" si="1"/>
        <v>21.5</v>
      </c>
      <c r="G137" s="147"/>
    </row>
    <row r="138" spans="1:7" ht="13.15" customHeight="1" x14ac:dyDescent="0.2">
      <c r="A138" s="76" t="s">
        <v>72</v>
      </c>
      <c r="B138" s="156" t="s">
        <v>62</v>
      </c>
      <c r="C138" s="276">
        <v>4</v>
      </c>
      <c r="D138" s="277">
        <v>20</v>
      </c>
      <c r="E138" s="75">
        <f t="shared" si="1"/>
        <v>5</v>
      </c>
      <c r="G138" s="147"/>
    </row>
    <row r="139" spans="1:7" ht="13.9" customHeight="1" x14ac:dyDescent="0.2">
      <c r="A139" s="76" t="s">
        <v>73</v>
      </c>
      <c r="B139" s="156" t="s">
        <v>74</v>
      </c>
      <c r="C139" s="276">
        <v>4</v>
      </c>
      <c r="D139" s="277">
        <v>54</v>
      </c>
      <c r="E139" s="75">
        <f t="shared" si="1"/>
        <v>13.5</v>
      </c>
      <c r="G139" s="147"/>
    </row>
    <row r="140" spans="1:7" ht="13.15" customHeight="1" x14ac:dyDescent="0.2">
      <c r="A140" s="76" t="s">
        <v>75</v>
      </c>
      <c r="B140" s="156" t="s">
        <v>74</v>
      </c>
      <c r="C140" s="276">
        <v>2</v>
      </c>
      <c r="D140" s="277">
        <v>10</v>
      </c>
      <c r="E140" s="75">
        <f t="shared" si="1"/>
        <v>5</v>
      </c>
    </row>
    <row r="141" spans="1:7" x14ac:dyDescent="0.2">
      <c r="A141" s="76" t="s">
        <v>76</v>
      </c>
      <c r="B141" s="156" t="s">
        <v>62</v>
      </c>
      <c r="C141" s="276">
        <v>6</v>
      </c>
      <c r="D141" s="277">
        <v>80</v>
      </c>
      <c r="E141" s="75">
        <f t="shared" si="1"/>
        <v>13.333333333333334</v>
      </c>
    </row>
    <row r="142" spans="1:7" s="118" customFormat="1" x14ac:dyDescent="0.2">
      <c r="A142" s="115" t="s">
        <v>77</v>
      </c>
      <c r="B142" s="116" t="s">
        <v>62</v>
      </c>
      <c r="C142" s="276">
        <v>4</v>
      </c>
      <c r="D142" s="277">
        <v>25</v>
      </c>
      <c r="E142" s="75">
        <f t="shared" si="1"/>
        <v>6.25</v>
      </c>
      <c r="F142" s="117"/>
      <c r="G142" s="117"/>
    </row>
    <row r="143" spans="1:7" x14ac:dyDescent="0.2">
      <c r="A143" s="76" t="s">
        <v>78</v>
      </c>
      <c r="B143" s="156" t="s">
        <v>74</v>
      </c>
      <c r="C143" s="276">
        <v>0.5</v>
      </c>
      <c r="D143" s="277">
        <v>10</v>
      </c>
      <c r="E143" s="75">
        <f t="shared" si="1"/>
        <v>20</v>
      </c>
    </row>
    <row r="144" spans="1:7" ht="13.15" customHeight="1" x14ac:dyDescent="0.2">
      <c r="A144" s="76" t="s">
        <v>79</v>
      </c>
      <c r="B144" s="156" t="s">
        <v>80</v>
      </c>
      <c r="C144" s="276">
        <v>2</v>
      </c>
      <c r="D144" s="277">
        <v>25</v>
      </c>
      <c r="E144" s="75">
        <f t="shared" si="1"/>
        <v>12.5</v>
      </c>
    </row>
    <row r="145" spans="1:7" hidden="1" x14ac:dyDescent="0.2">
      <c r="A145" s="76"/>
      <c r="B145" s="156"/>
      <c r="C145" s="119"/>
      <c r="D145" s="114"/>
      <c r="E145" s="78">
        <f>C145*D145</f>
        <v>0</v>
      </c>
    </row>
    <row r="146" spans="1:7" ht="13.5" thickBot="1" x14ac:dyDescent="0.25">
      <c r="A146" s="76" t="s">
        <v>41</v>
      </c>
      <c r="B146" s="156" t="s">
        <v>42</v>
      </c>
      <c r="C146" s="120">
        <f>E43</f>
        <v>2</v>
      </c>
      <c r="D146" s="78">
        <f>+SUM(E135:E145)</f>
        <v>127.49999999999999</v>
      </c>
      <c r="E146" s="78">
        <f>C146*D146</f>
        <v>254.99999999999997</v>
      </c>
    </row>
    <row r="147" spans="1:7" ht="13.5" thickBot="1" x14ac:dyDescent="0.25">
      <c r="D147" s="85" t="s">
        <v>43</v>
      </c>
      <c r="E147" s="86">
        <f>$B$53</f>
        <v>0.5</v>
      </c>
      <c r="F147" s="87">
        <f>E146*E147</f>
        <v>127.49999999999999</v>
      </c>
    </row>
    <row r="148" spans="1:7" ht="11.25" customHeight="1" x14ac:dyDescent="0.2"/>
    <row r="149" spans="1:7" ht="13.9" customHeight="1" x14ac:dyDescent="0.2">
      <c r="A149" s="147" t="s">
        <v>83</v>
      </c>
    </row>
    <row r="150" spans="1:7" ht="11.25" customHeight="1" thickBot="1" x14ac:dyDescent="0.25"/>
    <row r="151" spans="1:7" ht="24.75" thickBot="1" x14ac:dyDescent="0.25">
      <c r="A151" s="69" t="s">
        <v>22</v>
      </c>
      <c r="B151" s="70" t="s">
        <v>23</v>
      </c>
      <c r="C151" s="112" t="s">
        <v>68</v>
      </c>
      <c r="D151" s="71" t="s">
        <v>24</v>
      </c>
      <c r="E151" s="71" t="s">
        <v>25</v>
      </c>
      <c r="F151" s="72" t="s">
        <v>26</v>
      </c>
    </row>
    <row r="152" spans="1:7" x14ac:dyDescent="0.2">
      <c r="A152" s="73" t="s">
        <v>69</v>
      </c>
      <c r="B152" s="125" t="s">
        <v>62</v>
      </c>
      <c r="C152" s="113">
        <f>C135</f>
        <v>12</v>
      </c>
      <c r="D152" s="75">
        <f>+D135</f>
        <v>155</v>
      </c>
      <c r="E152" s="75">
        <f t="shared" ref="E152:E157" si="2">IFERROR(D152/C152,0)</f>
        <v>12.916666666666666</v>
      </c>
    </row>
    <row r="153" spans="1:7" x14ac:dyDescent="0.2">
      <c r="A153" s="76" t="s">
        <v>70</v>
      </c>
      <c r="B153" s="156" t="s">
        <v>62</v>
      </c>
      <c r="C153" s="113">
        <f>C136</f>
        <v>4</v>
      </c>
      <c r="D153" s="78">
        <f>+D136</f>
        <v>70</v>
      </c>
      <c r="E153" s="75">
        <f t="shared" si="2"/>
        <v>17.5</v>
      </c>
    </row>
    <row r="154" spans="1:7" x14ac:dyDescent="0.2">
      <c r="A154" s="76" t="s">
        <v>71</v>
      </c>
      <c r="B154" s="156" t="s">
        <v>62</v>
      </c>
      <c r="C154" s="113">
        <f>C137</f>
        <v>2</v>
      </c>
      <c r="D154" s="78">
        <f>+D137</f>
        <v>43</v>
      </c>
      <c r="E154" s="75">
        <f t="shared" si="2"/>
        <v>21.5</v>
      </c>
    </row>
    <row r="155" spans="1:7" x14ac:dyDescent="0.2">
      <c r="A155" s="76" t="s">
        <v>73</v>
      </c>
      <c r="B155" s="156" t="s">
        <v>74</v>
      </c>
      <c r="C155" s="113">
        <f>C139</f>
        <v>4</v>
      </c>
      <c r="D155" s="78">
        <f>+D139</f>
        <v>54</v>
      </c>
      <c r="E155" s="75">
        <f t="shared" si="2"/>
        <v>13.5</v>
      </c>
    </row>
    <row r="156" spans="1:7" x14ac:dyDescent="0.2">
      <c r="A156" s="76" t="s">
        <v>76</v>
      </c>
      <c r="B156" s="156" t="s">
        <v>62</v>
      </c>
      <c r="C156" s="113">
        <f>C141</f>
        <v>6</v>
      </c>
      <c r="D156" s="78">
        <f>+D141</f>
        <v>80</v>
      </c>
      <c r="E156" s="75">
        <f t="shared" si="2"/>
        <v>13.333333333333334</v>
      </c>
      <c r="G156" s="147"/>
    </row>
    <row r="157" spans="1:7" x14ac:dyDescent="0.2">
      <c r="A157" s="76" t="s">
        <v>79</v>
      </c>
      <c r="B157" s="156" t="s">
        <v>80</v>
      </c>
      <c r="C157" s="113">
        <f>C144</f>
        <v>2</v>
      </c>
      <c r="D157" s="78">
        <f>+D144</f>
        <v>25</v>
      </c>
      <c r="E157" s="75">
        <f t="shared" si="2"/>
        <v>12.5</v>
      </c>
      <c r="G157" s="147"/>
    </row>
    <row r="158" spans="1:7" hidden="1" x14ac:dyDescent="0.2">
      <c r="A158" s="76" t="s">
        <v>81</v>
      </c>
      <c r="B158" s="156" t="s">
        <v>82</v>
      </c>
      <c r="C158" s="120">
        <v>1</v>
      </c>
      <c r="D158" s="74">
        <f>D145</f>
        <v>0</v>
      </c>
      <c r="E158" s="78">
        <f>C158*D158</f>
        <v>0</v>
      </c>
      <c r="G158" s="147"/>
    </row>
    <row r="159" spans="1:7" ht="13.5" thickBot="1" x14ac:dyDescent="0.25">
      <c r="A159" s="76" t="s">
        <v>41</v>
      </c>
      <c r="B159" s="156" t="s">
        <v>42</v>
      </c>
      <c r="C159" s="120">
        <f>E45+E46</f>
        <v>1</v>
      </c>
      <c r="D159" s="78">
        <f>+SUM(E152:E158)</f>
        <v>91.249999999999986</v>
      </c>
      <c r="E159" s="78">
        <f>C159*D159</f>
        <v>91.249999999999986</v>
      </c>
      <c r="G159" s="147"/>
    </row>
    <row r="160" spans="1:7" s="147" customFormat="1" ht="13.5" thickBot="1" x14ac:dyDescent="0.25">
      <c r="D160" s="85" t="s">
        <v>43</v>
      </c>
      <c r="E160" s="86">
        <f>E101</f>
        <v>0.5</v>
      </c>
      <c r="F160" s="87">
        <f>E159*E160</f>
        <v>45.624999999999993</v>
      </c>
    </row>
    <row r="161" spans="1:10" ht="11.25" customHeight="1" thickBot="1" x14ac:dyDescent="0.25">
      <c r="G161" s="147"/>
    </row>
    <row r="162" spans="1:10" s="147" customFormat="1" ht="13.5" thickBot="1" x14ac:dyDescent="0.25">
      <c r="A162" s="109" t="s">
        <v>84</v>
      </c>
      <c r="B162" s="121"/>
      <c r="C162" s="121"/>
      <c r="D162" s="122"/>
      <c r="E162" s="123"/>
      <c r="F162" s="159">
        <f>+F147+F160</f>
        <v>173.12499999999997</v>
      </c>
    </row>
    <row r="163" spans="1:10" ht="11.25" customHeight="1" x14ac:dyDescent="0.2">
      <c r="G163" s="147"/>
    </row>
    <row r="164" spans="1:10" x14ac:dyDescent="0.2">
      <c r="A164" s="27" t="s">
        <v>85</v>
      </c>
      <c r="G164" s="147"/>
    </row>
    <row r="165" spans="1:10" x14ac:dyDescent="0.2">
      <c r="A165" s="147" t="s">
        <v>365</v>
      </c>
      <c r="G165" s="147"/>
    </row>
    <row r="166" spans="1:10" ht="13.5" thickBot="1" x14ac:dyDescent="0.25">
      <c r="A166" s="124" t="s">
        <v>86</v>
      </c>
      <c r="G166" s="147"/>
    </row>
    <row r="167" spans="1:10" s="147" customFormat="1" ht="13.5" thickBot="1" x14ac:dyDescent="0.25">
      <c r="A167" s="69" t="s">
        <v>22</v>
      </c>
      <c r="B167" s="70" t="s">
        <v>23</v>
      </c>
      <c r="C167" s="70" t="s">
        <v>16</v>
      </c>
      <c r="D167" s="71" t="s">
        <v>24</v>
      </c>
      <c r="E167" s="71" t="s">
        <v>25</v>
      </c>
      <c r="F167" s="72" t="s">
        <v>26</v>
      </c>
    </row>
    <row r="168" spans="1:10" x14ac:dyDescent="0.2">
      <c r="A168" s="73" t="s">
        <v>265</v>
      </c>
      <c r="B168" s="125" t="s">
        <v>62</v>
      </c>
      <c r="C168" s="125">
        <v>1</v>
      </c>
      <c r="D168" s="74">
        <v>220000</v>
      </c>
      <c r="E168" s="75">
        <f>C168*D168</f>
        <v>220000</v>
      </c>
      <c r="G168" s="147"/>
    </row>
    <row r="169" spans="1:10" x14ac:dyDescent="0.2">
      <c r="A169" s="76" t="s">
        <v>87</v>
      </c>
      <c r="B169" s="156" t="s">
        <v>88</v>
      </c>
      <c r="C169" s="84">
        <v>15</v>
      </c>
      <c r="D169" s="78"/>
      <c r="E169" s="78"/>
      <c r="G169" s="147"/>
    </row>
    <row r="170" spans="1:10" x14ac:dyDescent="0.2">
      <c r="A170" s="76" t="s">
        <v>89</v>
      </c>
      <c r="B170" s="156" t="s">
        <v>88</v>
      </c>
      <c r="C170" s="84">
        <v>0</v>
      </c>
      <c r="D170" s="78"/>
      <c r="E170" s="78"/>
      <c r="F170" s="126"/>
      <c r="I170" s="127"/>
      <c r="J170" s="127"/>
    </row>
    <row r="171" spans="1:10" x14ac:dyDescent="0.2">
      <c r="A171" s="76" t="s">
        <v>90</v>
      </c>
      <c r="B171" s="156" t="s">
        <v>12</v>
      </c>
      <c r="C171" s="83">
        <f>IFERROR(VLOOKUP(C169,'7. Depreciação'!A3:B17,2,0),0)</f>
        <v>70.73</v>
      </c>
      <c r="D171" s="78">
        <f>E168</f>
        <v>220000</v>
      </c>
      <c r="E171" s="78">
        <f>C171*D171/100</f>
        <v>155606</v>
      </c>
    </row>
    <row r="172" spans="1:10" ht="13.5" thickBot="1" x14ac:dyDescent="0.25">
      <c r="A172" s="128" t="s">
        <v>91</v>
      </c>
      <c r="B172" s="129" t="s">
        <v>28</v>
      </c>
      <c r="C172" s="129">
        <f>C169*12</f>
        <v>180</v>
      </c>
      <c r="D172" s="130">
        <f>IF(C170&lt;=C169,E171,0)</f>
        <v>155606</v>
      </c>
      <c r="E172" s="130">
        <f>IFERROR(D172/C172,0)</f>
        <v>864.47777777777776</v>
      </c>
    </row>
    <row r="173" spans="1:10" ht="13.5" thickTop="1" x14ac:dyDescent="0.2">
      <c r="A173" s="73" t="s">
        <v>277</v>
      </c>
      <c r="B173" s="125" t="s">
        <v>62</v>
      </c>
      <c r="C173" s="125">
        <f>C168</f>
        <v>1</v>
      </c>
      <c r="D173" s="74">
        <v>80000</v>
      </c>
      <c r="E173" s="75">
        <f>C173*D173</f>
        <v>80000</v>
      </c>
      <c r="G173" s="147"/>
    </row>
    <row r="174" spans="1:10" x14ac:dyDescent="0.2">
      <c r="A174" s="76" t="s">
        <v>87</v>
      </c>
      <c r="B174" s="156" t="s">
        <v>88</v>
      </c>
      <c r="C174" s="84">
        <v>15</v>
      </c>
      <c r="D174" s="78"/>
      <c r="E174" s="78"/>
    </row>
    <row r="175" spans="1:10" x14ac:dyDescent="0.2">
      <c r="A175" s="76" t="s">
        <v>92</v>
      </c>
      <c r="B175" s="156" t="s">
        <v>88</v>
      </c>
      <c r="C175" s="84">
        <v>0</v>
      </c>
      <c r="D175" s="78"/>
      <c r="E175" s="78"/>
      <c r="F175" s="126"/>
      <c r="I175" s="127"/>
      <c r="J175" s="127"/>
    </row>
    <row r="176" spans="1:10" x14ac:dyDescent="0.2">
      <c r="A176" s="76" t="s">
        <v>90</v>
      </c>
      <c r="B176" s="156" t="s">
        <v>12</v>
      </c>
      <c r="C176" s="131">
        <f>IFERROR(VLOOKUP(C174,'7. Depreciação'!A3:B17,2,0),0)</f>
        <v>70.73</v>
      </c>
      <c r="D176" s="78">
        <f>E173</f>
        <v>80000</v>
      </c>
      <c r="E176" s="78">
        <f>C176*D176/100</f>
        <v>56584</v>
      </c>
    </row>
    <row r="177" spans="1:10" x14ac:dyDescent="0.2">
      <c r="A177" s="91" t="s">
        <v>93</v>
      </c>
      <c r="B177" s="132" t="s">
        <v>28</v>
      </c>
      <c r="C177" s="132">
        <f>C174*12</f>
        <v>180</v>
      </c>
      <c r="D177" s="92">
        <f>IF(C175&lt;=C174,E176,0)</f>
        <v>56584</v>
      </c>
      <c r="E177" s="92">
        <f>IFERROR(D177/C177,0)</f>
        <v>314.35555555555555</v>
      </c>
    </row>
    <row r="178" spans="1:10" x14ac:dyDescent="0.2">
      <c r="A178" s="79" t="s">
        <v>94</v>
      </c>
      <c r="B178" s="80"/>
      <c r="C178" s="80"/>
      <c r="D178" s="81"/>
      <c r="E178" s="82">
        <f>E172+E177</f>
        <v>1178.8333333333333</v>
      </c>
    </row>
    <row r="179" spans="1:10" ht="13.5" thickBot="1" x14ac:dyDescent="0.25">
      <c r="A179" s="91" t="s">
        <v>95</v>
      </c>
      <c r="B179" s="132" t="s">
        <v>62</v>
      </c>
      <c r="C179" s="84">
        <v>1</v>
      </c>
      <c r="D179" s="92">
        <f>E178</f>
        <v>1178.8333333333333</v>
      </c>
      <c r="E179" s="82">
        <f>C179*D179</f>
        <v>1178.8333333333333</v>
      </c>
    </row>
    <row r="180" spans="1:10" ht="13.5" thickBot="1" x14ac:dyDescent="0.25">
      <c r="A180" s="133"/>
      <c r="B180" s="133"/>
      <c r="C180" s="133"/>
      <c r="D180" s="85" t="s">
        <v>43</v>
      </c>
      <c r="E180" s="86">
        <f>E101</f>
        <v>0.5</v>
      </c>
      <c r="F180" s="159">
        <f>E179*E180</f>
        <v>589.41666666666663</v>
      </c>
    </row>
    <row r="181" spans="1:10" ht="11.25" customHeight="1" x14ac:dyDescent="0.2"/>
    <row r="182" spans="1:10" ht="13.5" thickBot="1" x14ac:dyDescent="0.25">
      <c r="A182" s="124" t="s">
        <v>96</v>
      </c>
    </row>
    <row r="183" spans="1:10" ht="13.5" thickBot="1" x14ac:dyDescent="0.25">
      <c r="A183" s="134" t="s">
        <v>22</v>
      </c>
      <c r="B183" s="135" t="s">
        <v>23</v>
      </c>
      <c r="C183" s="135" t="s">
        <v>16</v>
      </c>
      <c r="D183" s="71" t="s">
        <v>24</v>
      </c>
      <c r="E183" s="136" t="s">
        <v>25</v>
      </c>
      <c r="F183" s="72" t="s">
        <v>26</v>
      </c>
      <c r="I183" s="127"/>
      <c r="J183" s="127"/>
    </row>
    <row r="184" spans="1:10" x14ac:dyDescent="0.2">
      <c r="A184" s="76" t="s">
        <v>97</v>
      </c>
      <c r="B184" s="156" t="s">
        <v>62</v>
      </c>
      <c r="C184" s="156">
        <v>1</v>
      </c>
      <c r="D184" s="78">
        <f>D168</f>
        <v>220000</v>
      </c>
      <c r="E184" s="78">
        <f>C184*D184</f>
        <v>220000</v>
      </c>
      <c r="F184" s="126"/>
      <c r="I184" s="127"/>
      <c r="J184" s="127"/>
    </row>
    <row r="185" spans="1:10" x14ac:dyDescent="0.2">
      <c r="A185" s="76" t="s">
        <v>98</v>
      </c>
      <c r="B185" s="156" t="s">
        <v>12</v>
      </c>
      <c r="C185" s="84">
        <v>10</v>
      </c>
      <c r="D185" s="78"/>
      <c r="E185" s="78"/>
      <c r="F185" s="126"/>
      <c r="I185" s="127"/>
      <c r="J185" s="127"/>
    </row>
    <row r="186" spans="1:10" x14ac:dyDescent="0.2">
      <c r="A186" s="76" t="s">
        <v>99</v>
      </c>
      <c r="B186" s="156" t="s">
        <v>35</v>
      </c>
      <c r="C186" s="137">
        <f>D168</f>
        <v>220000</v>
      </c>
      <c r="D186" s="78"/>
      <c r="E186" s="78"/>
      <c r="F186" s="126"/>
      <c r="I186" s="127"/>
      <c r="J186" s="127"/>
    </row>
    <row r="187" spans="1:10" x14ac:dyDescent="0.2">
      <c r="A187" s="76" t="s">
        <v>100</v>
      </c>
      <c r="B187" s="156" t="s">
        <v>35</v>
      </c>
      <c r="C187" s="78">
        <f>IFERROR(IF(C170&gt;=C169,C186,((((C186)-(E168-E171))*(((C169-C170)+1)/(2*(C169-C170))))+(E168-E171))),0)</f>
        <v>147383.86666666667</v>
      </c>
      <c r="D187" s="78"/>
      <c r="E187" s="78"/>
      <c r="F187" s="126"/>
      <c r="I187" s="127"/>
      <c r="J187" s="127"/>
    </row>
    <row r="188" spans="1:10" ht="13.5" thickBot="1" x14ac:dyDescent="0.25">
      <c r="A188" s="128" t="s">
        <v>101</v>
      </c>
      <c r="B188" s="129" t="s">
        <v>35</v>
      </c>
      <c r="C188" s="129"/>
      <c r="D188" s="130">
        <f>C185*C187/12/100</f>
        <v>1228.1988888888889</v>
      </c>
      <c r="E188" s="130">
        <f>D188</f>
        <v>1228.1988888888889</v>
      </c>
      <c r="F188" s="126"/>
      <c r="I188" s="127"/>
      <c r="J188" s="127"/>
    </row>
    <row r="189" spans="1:10" ht="13.5" thickTop="1" x14ac:dyDescent="0.2">
      <c r="A189" s="73" t="s">
        <v>366</v>
      </c>
      <c r="B189" s="125" t="s">
        <v>62</v>
      </c>
      <c r="C189" s="125">
        <f>C173</f>
        <v>1</v>
      </c>
      <c r="D189" s="75">
        <f>D173</f>
        <v>80000</v>
      </c>
      <c r="E189" s="75">
        <f>C189*D189</f>
        <v>80000</v>
      </c>
      <c r="F189" s="126"/>
      <c r="I189" s="127"/>
      <c r="J189" s="127"/>
    </row>
    <row r="190" spans="1:10" x14ac:dyDescent="0.2">
      <c r="A190" s="76" t="s">
        <v>98</v>
      </c>
      <c r="B190" s="156" t="s">
        <v>12</v>
      </c>
      <c r="C190" s="156">
        <f>C185</f>
        <v>10</v>
      </c>
      <c r="D190" s="78"/>
      <c r="E190" s="78"/>
      <c r="F190" s="126"/>
      <c r="I190" s="127"/>
      <c r="J190" s="127"/>
    </row>
    <row r="191" spans="1:10" x14ac:dyDescent="0.2">
      <c r="A191" s="76" t="s">
        <v>99</v>
      </c>
      <c r="B191" s="156" t="s">
        <v>35</v>
      </c>
      <c r="C191" s="137">
        <f>D173</f>
        <v>80000</v>
      </c>
      <c r="D191" s="78"/>
      <c r="E191" s="78"/>
      <c r="F191" s="126"/>
      <c r="I191" s="127"/>
      <c r="J191" s="127"/>
    </row>
    <row r="192" spans="1:10" x14ac:dyDescent="0.2">
      <c r="A192" s="76" t="s">
        <v>102</v>
      </c>
      <c r="B192" s="156" t="s">
        <v>35</v>
      </c>
      <c r="C192" s="78">
        <f>IFERROR(IF(C175&gt;=C174,C191,((((C191)-(E173-E176))*(((C174-C175)+1)/(2*(C174-C175))))+(E173-E176))),0)</f>
        <v>53594.133333333331</v>
      </c>
      <c r="D192" s="78"/>
      <c r="E192" s="78"/>
      <c r="F192" s="126"/>
      <c r="I192" s="127"/>
      <c r="J192" s="127"/>
    </row>
    <row r="193" spans="1:10" x14ac:dyDescent="0.2">
      <c r="A193" s="91" t="s">
        <v>363</v>
      </c>
      <c r="B193" s="132" t="s">
        <v>35</v>
      </c>
      <c r="C193" s="132"/>
      <c r="D193" s="92">
        <f>C190*C192/12/100</f>
        <v>446.61777777777775</v>
      </c>
      <c r="E193" s="92">
        <f>D193</f>
        <v>446.61777777777775</v>
      </c>
      <c r="F193" s="126"/>
      <c r="I193" s="127"/>
      <c r="J193" s="127"/>
    </row>
    <row r="194" spans="1:10" ht="8.4499999999999993" customHeight="1" x14ac:dyDescent="0.2">
      <c r="A194" s="79"/>
      <c r="B194" s="132"/>
      <c r="C194" s="132"/>
      <c r="D194" s="138"/>
      <c r="E194" s="82"/>
      <c r="F194" s="126"/>
      <c r="I194" s="127"/>
      <c r="J194" s="127"/>
    </row>
    <row r="195" spans="1:10" x14ac:dyDescent="0.2">
      <c r="A195" s="79" t="s">
        <v>103</v>
      </c>
      <c r="B195" s="132" t="s">
        <v>62</v>
      </c>
      <c r="C195" s="156">
        <v>1</v>
      </c>
      <c r="D195" s="138">
        <f>E188+E193</f>
        <v>1674.8166666666666</v>
      </c>
      <c r="E195" s="82">
        <f>C195*D195</f>
        <v>1674.8166666666666</v>
      </c>
      <c r="F195" s="126"/>
      <c r="I195" s="127"/>
      <c r="J195" s="127"/>
    </row>
    <row r="196" spans="1:10" x14ac:dyDescent="0.2">
      <c r="A196" s="79" t="s">
        <v>364</v>
      </c>
      <c r="B196" s="132" t="s">
        <v>62</v>
      </c>
      <c r="C196" s="156"/>
      <c r="D196" s="138"/>
      <c r="E196" s="82">
        <f>E195*0.1</f>
        <v>167.48166666666668</v>
      </c>
      <c r="F196" s="126"/>
      <c r="I196" s="127"/>
      <c r="J196" s="127"/>
    </row>
    <row r="197" spans="1:10" ht="13.5" thickBot="1" x14ac:dyDescent="0.25">
      <c r="A197" s="91" t="s">
        <v>266</v>
      </c>
      <c r="B197" s="132"/>
      <c r="C197" s="156">
        <v>1</v>
      </c>
      <c r="D197" s="92">
        <f>E195+E196</f>
        <v>1842.2983333333332</v>
      </c>
      <c r="E197" s="82">
        <f>C197*D197</f>
        <v>1842.2983333333332</v>
      </c>
      <c r="F197" s="126"/>
      <c r="I197" s="127"/>
      <c r="J197" s="127"/>
    </row>
    <row r="198" spans="1:10" ht="13.5" thickBot="1" x14ac:dyDescent="0.25">
      <c r="C198" s="139"/>
      <c r="D198" s="85" t="s">
        <v>43</v>
      </c>
      <c r="E198" s="86">
        <f>E180</f>
        <v>0.5</v>
      </c>
      <c r="F198" s="159">
        <f>E197*E198</f>
        <v>921.14916666666659</v>
      </c>
      <c r="I198" s="127"/>
      <c r="J198" s="127"/>
    </row>
    <row r="199" spans="1:10" ht="11.25" customHeight="1" x14ac:dyDescent="0.2">
      <c r="I199" s="127"/>
      <c r="J199" s="127"/>
    </row>
    <row r="200" spans="1:10" ht="13.5" thickBot="1" x14ac:dyDescent="0.25">
      <c r="A200" s="147" t="s">
        <v>104</v>
      </c>
      <c r="I200" s="127"/>
      <c r="J200" s="127"/>
    </row>
    <row r="201" spans="1:10" ht="13.5" thickBot="1" x14ac:dyDescent="0.25">
      <c r="A201" s="69" t="s">
        <v>22</v>
      </c>
      <c r="B201" s="70" t="s">
        <v>23</v>
      </c>
      <c r="C201" s="70" t="s">
        <v>16</v>
      </c>
      <c r="D201" s="71" t="s">
        <v>24</v>
      </c>
      <c r="E201" s="71" t="s">
        <v>25</v>
      </c>
      <c r="F201" s="72" t="s">
        <v>26</v>
      </c>
      <c r="I201" s="127"/>
      <c r="J201" s="127"/>
    </row>
    <row r="202" spans="1:10" x14ac:dyDescent="0.2">
      <c r="A202" s="73" t="s">
        <v>105</v>
      </c>
      <c r="B202" s="125" t="s">
        <v>62</v>
      </c>
      <c r="C202" s="75">
        <f>C179</f>
        <v>1</v>
      </c>
      <c r="D202" s="75">
        <f>0.01*(C186+D173)</f>
        <v>3000</v>
      </c>
      <c r="E202" s="75">
        <f>C202*D202</f>
        <v>3000</v>
      </c>
      <c r="I202" s="127"/>
      <c r="J202" s="127"/>
    </row>
    <row r="203" spans="1:10" x14ac:dyDescent="0.2">
      <c r="A203" s="76" t="s">
        <v>106</v>
      </c>
      <c r="B203" s="156" t="s">
        <v>62</v>
      </c>
      <c r="C203" s="75">
        <f>C179</f>
        <v>1</v>
      </c>
      <c r="D203" s="140">
        <v>97.4</v>
      </c>
      <c r="E203" s="78">
        <f>C203*D203</f>
        <v>97.4</v>
      </c>
      <c r="I203" s="127"/>
      <c r="J203" s="127"/>
    </row>
    <row r="204" spans="1:10" x14ac:dyDescent="0.2">
      <c r="A204" s="76" t="s">
        <v>107</v>
      </c>
      <c r="B204" s="156" t="s">
        <v>62</v>
      </c>
      <c r="C204" s="75">
        <f>C179</f>
        <v>1</v>
      </c>
      <c r="D204" s="140">
        <v>3000</v>
      </c>
      <c r="E204" s="78">
        <f>C204*D204</f>
        <v>3000</v>
      </c>
      <c r="F204" s="81"/>
      <c r="I204" s="127"/>
      <c r="J204" s="127"/>
    </row>
    <row r="205" spans="1:10" ht="13.5" thickBot="1" x14ac:dyDescent="0.25">
      <c r="A205" s="91" t="s">
        <v>108</v>
      </c>
      <c r="B205" s="132" t="s">
        <v>28</v>
      </c>
      <c r="C205" s="132">
        <v>12</v>
      </c>
      <c r="D205" s="92">
        <f>SUM(E202:E204)</f>
        <v>6097.4</v>
      </c>
      <c r="E205" s="92">
        <f>D205/C205</f>
        <v>508.11666666666662</v>
      </c>
      <c r="I205" s="127"/>
      <c r="J205" s="127"/>
    </row>
    <row r="206" spans="1:10" ht="13.5" thickBot="1" x14ac:dyDescent="0.25">
      <c r="D206" s="85" t="s">
        <v>43</v>
      </c>
      <c r="E206" s="86">
        <f>E198</f>
        <v>0.5</v>
      </c>
      <c r="F206" s="87">
        <f>E205*E206</f>
        <v>254.05833333333331</v>
      </c>
      <c r="I206" s="127"/>
      <c r="J206" s="127"/>
    </row>
    <row r="207" spans="1:10" ht="11.25" customHeight="1" x14ac:dyDescent="0.2">
      <c r="I207" s="127"/>
      <c r="J207" s="127"/>
    </row>
    <row r="208" spans="1:10" x14ac:dyDescent="0.2">
      <c r="A208" s="147" t="s">
        <v>109</v>
      </c>
      <c r="B208" s="141"/>
      <c r="I208" s="127"/>
      <c r="J208" s="127"/>
    </row>
    <row r="209" spans="1:10" x14ac:dyDescent="0.2">
      <c r="B209" s="141"/>
      <c r="I209" s="127"/>
      <c r="J209" s="127"/>
    </row>
    <row r="210" spans="1:10" x14ac:dyDescent="0.2">
      <c r="A210" s="91" t="s">
        <v>110</v>
      </c>
      <c r="B210" s="142">
        <f>'6.Rotas'!S10+'6.Rotas'!S19+'6.Rotas'!S34+'6.Rotas'!R36</f>
        <v>1968.3714242857145</v>
      </c>
      <c r="I210" s="127"/>
      <c r="J210" s="127"/>
    </row>
    <row r="211" spans="1:10" ht="13.5" thickBot="1" x14ac:dyDescent="0.25">
      <c r="B211" s="141"/>
      <c r="I211" s="127"/>
      <c r="J211" s="127"/>
    </row>
    <row r="212" spans="1:10" ht="13.5" thickBot="1" x14ac:dyDescent="0.25">
      <c r="A212" s="69" t="s">
        <v>22</v>
      </c>
      <c r="B212" s="70" t="s">
        <v>23</v>
      </c>
      <c r="C212" s="70" t="s">
        <v>111</v>
      </c>
      <c r="D212" s="71" t="s">
        <v>24</v>
      </c>
      <c r="E212" s="71" t="s">
        <v>25</v>
      </c>
      <c r="F212" s="72" t="s">
        <v>26</v>
      </c>
      <c r="I212" s="127"/>
      <c r="J212" s="127"/>
    </row>
    <row r="213" spans="1:10" x14ac:dyDescent="0.2">
      <c r="A213" s="73" t="s">
        <v>112</v>
      </c>
      <c r="B213" s="125" t="s">
        <v>113</v>
      </c>
      <c r="C213" s="143">
        <v>2.4</v>
      </c>
      <c r="D213" s="144">
        <v>5.99</v>
      </c>
      <c r="E213" s="75"/>
      <c r="I213" s="127"/>
      <c r="J213" s="127"/>
    </row>
    <row r="214" spans="1:10" x14ac:dyDescent="0.2">
      <c r="A214" s="76" t="s">
        <v>114</v>
      </c>
      <c r="B214" s="156" t="s">
        <v>115</v>
      </c>
      <c r="C214" s="97">
        <f>B210</f>
        <v>1968.3714242857145</v>
      </c>
      <c r="D214" s="145">
        <f>IFERROR(+D213/C213,"-")</f>
        <v>2.4958333333333336</v>
      </c>
      <c r="E214" s="78">
        <f>IFERROR(C214*D214,"-")</f>
        <v>4912.7270131130963</v>
      </c>
      <c r="I214" s="127"/>
      <c r="J214" s="127"/>
    </row>
    <row r="215" spans="1:10" x14ac:dyDescent="0.2">
      <c r="A215" s="76" t="s">
        <v>116</v>
      </c>
      <c r="B215" s="156" t="s">
        <v>117</v>
      </c>
      <c r="C215" s="146">
        <v>1.33</v>
      </c>
      <c r="D215" s="140">
        <v>22</v>
      </c>
      <c r="E215" s="78"/>
      <c r="I215" s="127"/>
      <c r="J215" s="127"/>
    </row>
    <row r="216" spans="1:10" x14ac:dyDescent="0.2">
      <c r="A216" s="76" t="s">
        <v>118</v>
      </c>
      <c r="B216" s="156" t="s">
        <v>115</v>
      </c>
      <c r="C216" s="97">
        <f>C214</f>
        <v>1968.3714242857145</v>
      </c>
      <c r="D216" s="148">
        <f>+C215*D215/1000</f>
        <v>2.9260000000000001E-2</v>
      </c>
      <c r="E216" s="78">
        <f>C216*D216</f>
        <v>57.594547874600011</v>
      </c>
      <c r="I216" s="127"/>
      <c r="J216" s="127"/>
    </row>
    <row r="217" spans="1:10" x14ac:dyDescent="0.2">
      <c r="A217" s="76" t="s">
        <v>119</v>
      </c>
      <c r="B217" s="156" t="s">
        <v>117</v>
      </c>
      <c r="C217" s="146">
        <v>0.18</v>
      </c>
      <c r="D217" s="140">
        <v>28</v>
      </c>
      <c r="E217" s="78"/>
      <c r="I217" s="127"/>
      <c r="J217" s="127"/>
    </row>
    <row r="218" spans="1:10" x14ac:dyDescent="0.2">
      <c r="A218" s="76" t="s">
        <v>120</v>
      </c>
      <c r="B218" s="156" t="s">
        <v>115</v>
      </c>
      <c r="C218" s="97">
        <f>C214</f>
        <v>1968.3714242857145</v>
      </c>
      <c r="D218" s="148">
        <f>+C217*D217/1000</f>
        <v>5.0400000000000002E-3</v>
      </c>
      <c r="E218" s="78">
        <f>C218*D218</f>
        <v>9.920591978400001</v>
      </c>
      <c r="I218" s="127"/>
      <c r="J218" s="127"/>
    </row>
    <row r="219" spans="1:10" x14ac:dyDescent="0.2">
      <c r="A219" s="76" t="s">
        <v>121</v>
      </c>
      <c r="B219" s="156" t="s">
        <v>117</v>
      </c>
      <c r="C219" s="146">
        <v>1</v>
      </c>
      <c r="D219" s="140">
        <v>22</v>
      </c>
      <c r="E219" s="78"/>
      <c r="I219" s="127"/>
      <c r="J219" s="127"/>
    </row>
    <row r="220" spans="1:10" x14ac:dyDescent="0.2">
      <c r="A220" s="76" t="s">
        <v>122</v>
      </c>
      <c r="B220" s="156" t="s">
        <v>115</v>
      </c>
      <c r="C220" s="97">
        <f>C214</f>
        <v>1968.3714242857145</v>
      </c>
      <c r="D220" s="148">
        <f>+C219*D219/1000</f>
        <v>2.1999999999999999E-2</v>
      </c>
      <c r="E220" s="78">
        <f>C220*D220</f>
        <v>43.304171334285719</v>
      </c>
      <c r="I220" s="127"/>
      <c r="J220" s="127"/>
    </row>
    <row r="221" spans="1:10" x14ac:dyDescent="0.2">
      <c r="A221" s="76" t="s">
        <v>123</v>
      </c>
      <c r="B221" s="156" t="s">
        <v>124</v>
      </c>
      <c r="C221" s="146">
        <v>2</v>
      </c>
      <c r="D221" s="140">
        <v>24</v>
      </c>
      <c r="E221" s="78"/>
      <c r="I221" s="127"/>
      <c r="J221" s="127"/>
    </row>
    <row r="222" spans="1:10" x14ac:dyDescent="0.2">
      <c r="A222" s="76" t="s">
        <v>125</v>
      </c>
      <c r="B222" s="156" t="s">
        <v>115</v>
      </c>
      <c r="C222" s="97">
        <f>C214</f>
        <v>1968.3714242857145</v>
      </c>
      <c r="D222" s="148">
        <f>+C221*D221/1000</f>
        <v>4.8000000000000001E-2</v>
      </c>
      <c r="E222" s="78">
        <f>C222*D222</f>
        <v>94.481828365714293</v>
      </c>
      <c r="I222" s="127"/>
      <c r="J222" s="127"/>
    </row>
    <row r="223" spans="1:10" hidden="1" x14ac:dyDescent="0.2">
      <c r="A223" s="73" t="s">
        <v>274</v>
      </c>
      <c r="B223" s="156" t="s">
        <v>126</v>
      </c>
      <c r="C223" s="146"/>
      <c r="D223" s="149"/>
      <c r="E223" s="78"/>
      <c r="I223" s="127"/>
      <c r="J223" s="127"/>
    </row>
    <row r="224" spans="1:10" hidden="1" x14ac:dyDescent="0.2">
      <c r="A224" s="76" t="s">
        <v>114</v>
      </c>
      <c r="B224" s="156" t="s">
        <v>127</v>
      </c>
      <c r="C224" s="97"/>
      <c r="D224" s="148">
        <f>C223*D223</f>
        <v>0</v>
      </c>
      <c r="E224" s="78">
        <f>C224*D224</f>
        <v>0</v>
      </c>
      <c r="I224" s="127"/>
      <c r="J224" s="127"/>
    </row>
    <row r="225" spans="1:10" ht="13.5" thickBot="1" x14ac:dyDescent="0.25">
      <c r="A225" s="91" t="s">
        <v>128</v>
      </c>
      <c r="B225" s="132"/>
      <c r="C225" s="150"/>
      <c r="D225" s="151"/>
      <c r="E225" s="78"/>
      <c r="I225" s="127"/>
      <c r="J225" s="127"/>
    </row>
    <row r="226" spans="1:10" ht="13.5" thickBot="1" x14ac:dyDescent="0.25">
      <c r="F226" s="159">
        <f>SUM(E213:E224)</f>
        <v>5118.0281526660956</v>
      </c>
      <c r="I226" s="127"/>
      <c r="J226" s="127"/>
    </row>
    <row r="227" spans="1:10" ht="11.25" customHeight="1" x14ac:dyDescent="0.2">
      <c r="I227" s="127"/>
      <c r="J227" s="127"/>
    </row>
    <row r="228" spans="1:10" ht="13.5" thickBot="1" x14ac:dyDescent="0.25">
      <c r="A228" s="147" t="s">
        <v>129</v>
      </c>
      <c r="I228" s="127"/>
      <c r="J228" s="127"/>
    </row>
    <row r="229" spans="1:10" ht="13.5" thickBot="1" x14ac:dyDescent="0.25">
      <c r="A229" s="69" t="s">
        <v>22</v>
      </c>
      <c r="B229" s="70" t="s">
        <v>23</v>
      </c>
      <c r="C229" s="70" t="s">
        <v>16</v>
      </c>
      <c r="D229" s="71" t="s">
        <v>24</v>
      </c>
      <c r="E229" s="71" t="s">
        <v>25</v>
      </c>
      <c r="F229" s="72" t="s">
        <v>26</v>
      </c>
      <c r="I229" s="127"/>
      <c r="J229" s="127"/>
    </row>
    <row r="230" spans="1:10" hidden="1" x14ac:dyDescent="0.2">
      <c r="A230" s="73"/>
      <c r="B230" s="125"/>
      <c r="C230" s="78"/>
      <c r="D230" s="74"/>
      <c r="E230" s="75">
        <f>C230*D230</f>
        <v>0</v>
      </c>
      <c r="I230" s="127"/>
      <c r="J230" s="127"/>
    </row>
    <row r="231" spans="1:10" ht="13.5" thickBot="1" x14ac:dyDescent="0.25">
      <c r="A231" s="73" t="s">
        <v>130</v>
      </c>
      <c r="B231" s="125" t="s">
        <v>131</v>
      </c>
      <c r="C231" s="78">
        <f>C214</f>
        <v>1968.3714242857145</v>
      </c>
      <c r="D231" s="74">
        <v>0.9</v>
      </c>
      <c r="E231" s="75">
        <f>C231*D231</f>
        <v>1771.534281857143</v>
      </c>
      <c r="I231" s="127"/>
      <c r="J231" s="127"/>
    </row>
    <row r="232" spans="1:10" ht="13.5" thickBot="1" x14ac:dyDescent="0.25">
      <c r="F232" s="159">
        <f>E231+E230</f>
        <v>1771.534281857143</v>
      </c>
      <c r="I232" s="127"/>
      <c r="J232" s="127"/>
    </row>
    <row r="233" spans="1:10" ht="11.25" customHeight="1" x14ac:dyDescent="0.2">
      <c r="I233" s="127"/>
      <c r="J233" s="127"/>
    </row>
    <row r="234" spans="1:10" ht="13.5" thickBot="1" x14ac:dyDescent="0.25">
      <c r="A234" s="147" t="s">
        <v>132</v>
      </c>
      <c r="I234" s="127"/>
      <c r="J234" s="127"/>
    </row>
    <row r="235" spans="1:10" ht="13.5" thickBot="1" x14ac:dyDescent="0.25">
      <c r="A235" s="69" t="s">
        <v>22</v>
      </c>
      <c r="B235" s="70" t="s">
        <v>23</v>
      </c>
      <c r="C235" s="70" t="s">
        <v>16</v>
      </c>
      <c r="D235" s="71" t="s">
        <v>24</v>
      </c>
      <c r="E235" s="71" t="s">
        <v>25</v>
      </c>
      <c r="F235" s="72" t="s">
        <v>26</v>
      </c>
      <c r="I235" s="127"/>
      <c r="J235" s="127"/>
    </row>
    <row r="236" spans="1:10" x14ac:dyDescent="0.2">
      <c r="A236" s="73" t="s">
        <v>133</v>
      </c>
      <c r="B236" s="125" t="s">
        <v>62</v>
      </c>
      <c r="C236" s="152">
        <v>6</v>
      </c>
      <c r="D236" s="74">
        <v>2480</v>
      </c>
      <c r="E236" s="75">
        <f>C236*D236</f>
        <v>14880</v>
      </c>
      <c r="I236" s="127"/>
      <c r="J236" s="127"/>
    </row>
    <row r="237" spans="1:10" x14ac:dyDescent="0.2">
      <c r="A237" s="73" t="s">
        <v>134</v>
      </c>
      <c r="B237" s="125" t="s">
        <v>62</v>
      </c>
      <c r="C237" s="152">
        <v>2</v>
      </c>
      <c r="D237" s="75"/>
      <c r="E237" s="75"/>
      <c r="I237" s="127"/>
      <c r="J237" s="127"/>
    </row>
    <row r="238" spans="1:10" x14ac:dyDescent="0.2">
      <c r="A238" s="73" t="s">
        <v>135</v>
      </c>
      <c r="B238" s="125" t="s">
        <v>62</v>
      </c>
      <c r="C238" s="75">
        <f>C236*C237</f>
        <v>12</v>
      </c>
      <c r="D238" s="74">
        <v>650</v>
      </c>
      <c r="E238" s="75">
        <f>C238*D238</f>
        <v>7800</v>
      </c>
      <c r="I238" s="127"/>
      <c r="J238" s="127"/>
    </row>
    <row r="239" spans="1:10" x14ac:dyDescent="0.2">
      <c r="A239" s="76" t="s">
        <v>136</v>
      </c>
      <c r="B239" s="156" t="s">
        <v>137</v>
      </c>
      <c r="C239" s="153">
        <v>80000</v>
      </c>
      <c r="D239" s="78">
        <f>E236+E238</f>
        <v>22680</v>
      </c>
      <c r="E239" s="78">
        <f>IFERROR(D239/C239,"-")</f>
        <v>0.28349999999999997</v>
      </c>
      <c r="I239" s="127"/>
      <c r="J239" s="127"/>
    </row>
    <row r="240" spans="1:10" ht="13.5" thickBot="1" x14ac:dyDescent="0.25">
      <c r="A240" s="76" t="s">
        <v>138</v>
      </c>
      <c r="B240" s="156" t="s">
        <v>115</v>
      </c>
      <c r="C240" s="78">
        <f>B210</f>
        <v>1968.3714242857145</v>
      </c>
      <c r="D240" s="78">
        <f>E239</f>
        <v>0.28349999999999997</v>
      </c>
      <c r="E240" s="78">
        <f>IFERROR(C240*D240,0)</f>
        <v>558.03329878500006</v>
      </c>
      <c r="I240" s="127"/>
      <c r="J240" s="127"/>
    </row>
    <row r="241" spans="1:10" ht="13.5" thickBot="1" x14ac:dyDescent="0.25">
      <c r="F241" s="159">
        <f>E240</f>
        <v>558.03329878500006</v>
      </c>
      <c r="I241" s="127"/>
      <c r="J241" s="127"/>
    </row>
    <row r="242" spans="1:10" ht="11.25" customHeight="1" thickBot="1" x14ac:dyDescent="0.25">
      <c r="G242" s="147"/>
    </row>
    <row r="243" spans="1:10" s="147" customFormat="1" ht="13.5" thickBot="1" x14ac:dyDescent="0.25">
      <c r="A243" s="109" t="s">
        <v>139</v>
      </c>
      <c r="B243" s="110"/>
      <c r="C243" s="110"/>
      <c r="D243" s="40"/>
      <c r="E243" s="111"/>
      <c r="F243" s="159">
        <f>+SUM(F168:F242)</f>
        <v>9212.2198999749053</v>
      </c>
    </row>
    <row r="244" spans="1:10" ht="11.25" customHeight="1" x14ac:dyDescent="0.2">
      <c r="G244" s="147"/>
    </row>
    <row r="245" spans="1:10" s="147" customFormat="1" x14ac:dyDescent="0.2">
      <c r="A245" s="67" t="s">
        <v>267</v>
      </c>
      <c r="B245" s="67"/>
      <c r="C245" s="67"/>
      <c r="D245" s="26"/>
      <c r="E245" s="26"/>
      <c r="F245" s="81"/>
    </row>
    <row r="246" spans="1:10" ht="11.25" customHeight="1" thickBot="1" x14ac:dyDescent="0.25">
      <c r="G246" s="147"/>
    </row>
    <row r="247" spans="1:10" s="147" customFormat="1" ht="13.5" thickBot="1" x14ac:dyDescent="0.25">
      <c r="A247" s="69" t="s">
        <v>22</v>
      </c>
      <c r="B247" s="70" t="s">
        <v>23</v>
      </c>
      <c r="C247" s="70" t="s">
        <v>16</v>
      </c>
      <c r="D247" s="71" t="s">
        <v>24</v>
      </c>
      <c r="E247" s="71" t="s">
        <v>25</v>
      </c>
      <c r="F247" s="72" t="s">
        <v>26</v>
      </c>
    </row>
    <row r="248" spans="1:10" s="147" customFormat="1" x14ac:dyDescent="0.2">
      <c r="A248" s="76" t="s">
        <v>140</v>
      </c>
      <c r="B248" s="156" t="s">
        <v>62</v>
      </c>
      <c r="C248" s="154">
        <v>0.16666666666666699</v>
      </c>
      <c r="D248" s="74">
        <v>39</v>
      </c>
      <c r="E248" s="78">
        <f t="shared" ref="E248:E254" si="3">C248*D248</f>
        <v>6.5000000000000124</v>
      </c>
      <c r="F248" s="126"/>
    </row>
    <row r="249" spans="1:10" s="147" customFormat="1" x14ac:dyDescent="0.2">
      <c r="A249" s="76" t="s">
        <v>141</v>
      </c>
      <c r="B249" s="156" t="s">
        <v>62</v>
      </c>
      <c r="C249" s="154">
        <v>0.16666666666666699</v>
      </c>
      <c r="D249" s="74">
        <v>26.92</v>
      </c>
      <c r="E249" s="78">
        <f t="shared" si="3"/>
        <v>4.4866666666666752</v>
      </c>
      <c r="F249" s="126"/>
    </row>
    <row r="250" spans="1:10" s="147" customFormat="1" x14ac:dyDescent="0.2">
      <c r="A250" s="76" t="s">
        <v>142</v>
      </c>
      <c r="B250" s="156" t="s">
        <v>62</v>
      </c>
      <c r="C250" s="154">
        <v>0.16666666666666699</v>
      </c>
      <c r="D250" s="74">
        <v>26.19</v>
      </c>
      <c r="E250" s="78">
        <f t="shared" si="3"/>
        <v>4.3650000000000091</v>
      </c>
      <c r="F250" s="126"/>
    </row>
    <row r="251" spans="1:10" s="147" customFormat="1" ht="25.5" x14ac:dyDescent="0.2">
      <c r="A251" s="380" t="s">
        <v>386</v>
      </c>
      <c r="B251" s="156" t="s">
        <v>380</v>
      </c>
      <c r="C251" s="382">
        <f>5*C106</f>
        <v>85</v>
      </c>
      <c r="D251" s="74">
        <v>2.4</v>
      </c>
      <c r="E251" s="78">
        <f t="shared" si="3"/>
        <v>204</v>
      </c>
      <c r="F251" s="126"/>
    </row>
    <row r="252" spans="1:10" s="147" customFormat="1" x14ac:dyDescent="0.2">
      <c r="A252" s="76" t="s">
        <v>381</v>
      </c>
      <c r="B252" s="156" t="s">
        <v>268</v>
      </c>
      <c r="C252" s="382">
        <v>10</v>
      </c>
      <c r="D252" s="74">
        <v>152</v>
      </c>
      <c r="E252" s="78">
        <f t="shared" si="3"/>
        <v>1520</v>
      </c>
      <c r="F252" s="126"/>
    </row>
    <row r="253" spans="1:10" s="147" customFormat="1" x14ac:dyDescent="0.2">
      <c r="A253" s="76" t="s">
        <v>385</v>
      </c>
      <c r="B253" s="156" t="s">
        <v>382</v>
      </c>
      <c r="C253" s="382">
        <v>50</v>
      </c>
      <c r="D253" s="74">
        <v>5.99</v>
      </c>
      <c r="E253" s="78">
        <f t="shared" si="3"/>
        <v>299.5</v>
      </c>
      <c r="F253" s="126"/>
    </row>
    <row r="254" spans="1:10" s="147" customFormat="1" ht="13.5" thickBot="1" x14ac:dyDescent="0.25">
      <c r="A254" s="76" t="s">
        <v>383</v>
      </c>
      <c r="B254" s="156" t="s">
        <v>384</v>
      </c>
      <c r="C254" s="382">
        <v>1</v>
      </c>
      <c r="D254" s="74">
        <v>1000</v>
      </c>
      <c r="E254" s="78">
        <f t="shared" si="3"/>
        <v>1000</v>
      </c>
      <c r="F254" s="126"/>
    </row>
    <row r="255" spans="1:10" s="147" customFormat="1" ht="13.5" thickBot="1" x14ac:dyDescent="0.25">
      <c r="A255" s="67"/>
      <c r="B255" s="67"/>
      <c r="C255" s="67"/>
      <c r="D255" s="67"/>
      <c r="E255" s="26"/>
      <c r="F255" s="159">
        <f>SUM(E248:E254)</f>
        <v>3038.8516666666665</v>
      </c>
    </row>
    <row r="256" spans="1:10" ht="11.25" customHeight="1" thickBot="1" x14ac:dyDescent="0.25">
      <c r="G256" s="147"/>
    </row>
    <row r="257" spans="1:7" s="147" customFormat="1" ht="13.5" thickBot="1" x14ac:dyDescent="0.25">
      <c r="A257" s="109" t="s">
        <v>144</v>
      </c>
      <c r="B257" s="110"/>
      <c r="C257" s="110"/>
      <c r="D257" s="40"/>
      <c r="E257" s="111"/>
      <c r="F257" s="159">
        <f>+F255</f>
        <v>3038.8516666666665</v>
      </c>
    </row>
    <row r="258" spans="1:7" ht="11.25" customHeight="1" x14ac:dyDescent="0.2">
      <c r="G258" s="147"/>
    </row>
    <row r="259" spans="1:7" x14ac:dyDescent="0.2">
      <c r="A259" s="67" t="s">
        <v>145</v>
      </c>
      <c r="B259" s="67"/>
      <c r="C259" s="67"/>
      <c r="D259" s="26"/>
      <c r="E259" s="26"/>
      <c r="F259" s="81"/>
    </row>
    <row r="260" spans="1:7" ht="11.25" customHeight="1" thickBot="1" x14ac:dyDescent="0.25"/>
    <row r="261" spans="1:7" ht="13.5" thickBot="1" x14ac:dyDescent="0.25">
      <c r="A261" s="69" t="s">
        <v>22</v>
      </c>
      <c r="B261" s="70" t="s">
        <v>23</v>
      </c>
      <c r="C261" s="70" t="s">
        <v>16</v>
      </c>
      <c r="D261" s="71" t="s">
        <v>24</v>
      </c>
      <c r="E261" s="71" t="s">
        <v>25</v>
      </c>
      <c r="F261" s="72" t="s">
        <v>26</v>
      </c>
    </row>
    <row r="262" spans="1:7" x14ac:dyDescent="0.2">
      <c r="A262" s="76" t="s">
        <v>146</v>
      </c>
      <c r="B262" s="155" t="s">
        <v>143</v>
      </c>
      <c r="C262" s="120">
        <v>2</v>
      </c>
      <c r="D262" s="140">
        <v>600</v>
      </c>
      <c r="E262" s="78">
        <f>+D262*C262</f>
        <v>1200</v>
      </c>
      <c r="F262" s="126"/>
    </row>
    <row r="263" spans="1:7" x14ac:dyDescent="0.2">
      <c r="A263" s="76" t="s">
        <v>147</v>
      </c>
      <c r="B263" s="155" t="s">
        <v>28</v>
      </c>
      <c r="C263" s="156">
        <v>60</v>
      </c>
      <c r="D263" s="157">
        <f>SUM(E262:E262)</f>
        <v>1200</v>
      </c>
      <c r="E263" s="157">
        <f>+D263/C263</f>
        <v>20</v>
      </c>
      <c r="F263" s="126"/>
    </row>
    <row r="264" spans="1:7" x14ac:dyDescent="0.2">
      <c r="A264" s="76" t="s">
        <v>148</v>
      </c>
      <c r="B264" s="155" t="s">
        <v>28</v>
      </c>
      <c r="C264" s="156">
        <v>1</v>
      </c>
      <c r="D264" s="140">
        <v>100</v>
      </c>
      <c r="E264" s="78">
        <f>C264*D264</f>
        <v>100</v>
      </c>
      <c r="F264" s="126"/>
    </row>
    <row r="265" spans="1:7" ht="13.5" thickBot="1" x14ac:dyDescent="0.25">
      <c r="A265" s="76" t="s">
        <v>148</v>
      </c>
      <c r="B265" s="155" t="s">
        <v>149</v>
      </c>
      <c r="C265" s="156">
        <v>2</v>
      </c>
      <c r="D265" s="157">
        <f>+E264</f>
        <v>100</v>
      </c>
      <c r="E265" s="157">
        <f>C265*D265</f>
        <v>200</v>
      </c>
      <c r="F265" s="126"/>
    </row>
    <row r="266" spans="1:7" ht="13.5" thickBot="1" x14ac:dyDescent="0.25">
      <c r="A266" s="158"/>
      <c r="B266" s="158"/>
      <c r="D266" s="85" t="s">
        <v>43</v>
      </c>
      <c r="E266" s="86">
        <f>E198</f>
        <v>0.5</v>
      </c>
      <c r="F266" s="159">
        <f>(E265+E263)*E266</f>
        <v>110</v>
      </c>
    </row>
    <row r="267" spans="1:7" s="161" customFormat="1" ht="11.25" customHeight="1" thickBot="1" x14ac:dyDescent="0.25">
      <c r="A267" s="147"/>
      <c r="B267" s="147"/>
      <c r="C267" s="147"/>
      <c r="D267" s="2"/>
      <c r="E267" s="2"/>
      <c r="F267" s="2"/>
      <c r="G267" s="160"/>
    </row>
    <row r="268" spans="1:7" ht="13.5" thickBot="1" x14ac:dyDescent="0.25">
      <c r="A268" s="109" t="s">
        <v>150</v>
      </c>
      <c r="B268" s="110"/>
      <c r="C268" s="110"/>
      <c r="D268" s="40"/>
      <c r="E268" s="111"/>
      <c r="F268" s="159">
        <f>+F266</f>
        <v>110</v>
      </c>
    </row>
    <row r="269" spans="1:7" ht="11.25" customHeight="1" thickBot="1" x14ac:dyDescent="0.25"/>
    <row r="270" spans="1:7" ht="17.25" customHeight="1" thickBot="1" x14ac:dyDescent="0.25">
      <c r="A270" s="109" t="s">
        <v>151</v>
      </c>
      <c r="B270" s="121"/>
      <c r="C270" s="121"/>
      <c r="D270" s="122"/>
      <c r="E270" s="123"/>
      <c r="F270" s="101">
        <f>+F130+F162+F243+F257+F268</f>
        <v>20146.075002271442</v>
      </c>
    </row>
    <row r="271" spans="1:7" ht="11.25" customHeight="1" x14ac:dyDescent="0.2"/>
    <row r="272" spans="1:7" x14ac:dyDescent="0.2">
      <c r="A272" s="27" t="s">
        <v>152</v>
      </c>
    </row>
    <row r="273" spans="1:7" ht="11.25" customHeight="1" thickBot="1" x14ac:dyDescent="0.25"/>
    <row r="274" spans="1:7" ht="13.5" thickBot="1" x14ac:dyDescent="0.25">
      <c r="A274" s="69" t="s">
        <v>22</v>
      </c>
      <c r="B274" s="70" t="s">
        <v>23</v>
      </c>
      <c r="C274" s="70" t="s">
        <v>16</v>
      </c>
      <c r="D274" s="71" t="s">
        <v>24</v>
      </c>
      <c r="E274" s="71" t="s">
        <v>25</v>
      </c>
      <c r="F274" s="72" t="s">
        <v>26</v>
      </c>
    </row>
    <row r="275" spans="1:7" ht="13.5" thickBot="1" x14ac:dyDescent="0.25">
      <c r="A275" s="73" t="s">
        <v>153</v>
      </c>
      <c r="B275" s="125" t="s">
        <v>12</v>
      </c>
      <c r="C275" s="83">
        <f>'3.BDI'!C21*100</f>
        <v>23.89</v>
      </c>
      <c r="D275" s="75">
        <f>+F270</f>
        <v>20146.075002271442</v>
      </c>
      <c r="E275" s="75">
        <f>C275*D275/100</f>
        <v>4812.8973180426474</v>
      </c>
    </row>
    <row r="276" spans="1:7" ht="13.5" thickBot="1" x14ac:dyDescent="0.25">
      <c r="F276" s="159">
        <f>+E275</f>
        <v>4812.8973180426474</v>
      </c>
    </row>
    <row r="277" spans="1:7" ht="11.25" customHeight="1" thickBot="1" x14ac:dyDescent="0.25"/>
    <row r="278" spans="1:7" ht="13.5" thickBot="1" x14ac:dyDescent="0.25">
      <c r="A278" s="109" t="s">
        <v>154</v>
      </c>
      <c r="B278" s="121"/>
      <c r="C278" s="121"/>
      <c r="D278" s="122"/>
      <c r="E278" s="123"/>
      <c r="F278" s="101">
        <f>F276</f>
        <v>4812.8973180426474</v>
      </c>
    </row>
    <row r="279" spans="1:7" x14ac:dyDescent="0.2">
      <c r="A279" s="67"/>
      <c r="B279" s="67"/>
      <c r="C279" s="67"/>
      <c r="D279" s="26"/>
      <c r="E279" s="26"/>
      <c r="F279" s="81"/>
    </row>
    <row r="280" spans="1:7" ht="11.25" customHeight="1" thickBot="1" x14ac:dyDescent="0.25"/>
    <row r="281" spans="1:7" ht="24.75" customHeight="1" thickBot="1" x14ac:dyDescent="0.25">
      <c r="A281" s="109" t="s">
        <v>155</v>
      </c>
      <c r="B281" s="121"/>
      <c r="C281" s="121"/>
      <c r="D281" s="122"/>
      <c r="E281" s="123"/>
      <c r="F281" s="101">
        <f>F270+F278</f>
        <v>24958.972320314089</v>
      </c>
    </row>
    <row r="282" spans="1:7" ht="12.6" customHeight="1" x14ac:dyDescent="0.2">
      <c r="A282" s="162"/>
      <c r="B282" s="162"/>
      <c r="C282" s="162"/>
      <c r="D282" s="163"/>
      <c r="E282" s="163"/>
      <c r="F282" s="163"/>
    </row>
    <row r="283" spans="1:7" ht="14.25" x14ac:dyDescent="0.2">
      <c r="A283" s="208"/>
      <c r="B283" s="208"/>
      <c r="C283" s="208"/>
      <c r="D283" s="12"/>
      <c r="E283" s="12"/>
    </row>
    <row r="284" spans="1:7" ht="16.149999999999999" hidden="1" customHeight="1" x14ac:dyDescent="0.2">
      <c r="A284" s="164" t="s">
        <v>156</v>
      </c>
      <c r="B284" s="165"/>
      <c r="C284" s="165"/>
      <c r="D284" s="166" t="e">
        <f>#REF!</f>
        <v>#REF!</v>
      </c>
      <c r="E284" s="167" t="s">
        <v>157</v>
      </c>
    </row>
    <row r="285" spans="1:7" hidden="1" x14ac:dyDescent="0.2"/>
    <row r="286" spans="1:7" ht="25.5" hidden="1" customHeight="1" x14ac:dyDescent="0.2">
      <c r="A286" s="109" t="s">
        <v>158</v>
      </c>
      <c r="B286" s="110"/>
      <c r="C286" s="110"/>
      <c r="D286" s="40"/>
      <c r="E286" s="168" t="s">
        <v>159</v>
      </c>
      <c r="F286" s="169"/>
    </row>
    <row r="287" spans="1:7" ht="12.6" customHeight="1" x14ac:dyDescent="0.2">
      <c r="A287" s="67"/>
      <c r="B287" s="67"/>
      <c r="C287" s="67"/>
      <c r="D287" s="26"/>
      <c r="E287" s="26"/>
      <c r="F287" s="26"/>
    </row>
    <row r="288" spans="1:7" s="5" customFormat="1" ht="13.9" customHeight="1" x14ac:dyDescent="0.2">
      <c r="A288" s="163"/>
      <c r="B288" s="2"/>
      <c r="C288" s="2"/>
      <c r="D288" s="2"/>
      <c r="E288" s="2"/>
      <c r="F288" s="26"/>
      <c r="G288" s="7"/>
    </row>
    <row r="289" ht="9.75" customHeight="1" x14ac:dyDescent="0.2"/>
    <row r="290" ht="9.75" customHeight="1" x14ac:dyDescent="0.2"/>
    <row r="320" ht="9" customHeight="1" x14ac:dyDescent="0.2"/>
  </sheetData>
  <mergeCells count="7">
    <mergeCell ref="A49:D49"/>
    <mergeCell ref="A13:F13"/>
    <mergeCell ref="A14:F14"/>
    <mergeCell ref="A16:F16"/>
    <mergeCell ref="A26:C26"/>
    <mergeCell ref="A41:E41"/>
    <mergeCell ref="A42:D42"/>
  </mergeCells>
  <hyperlinks>
    <hyperlink ref="A166" location="AbaDeprec" display="3.1.1. Depreciação"/>
    <hyperlink ref="A182" location="AbaRemun" display="3.1.2. Remuneração do Capital"/>
  </hyperlinks>
  <pageMargins left="0.905555555555556" right="0.51180555555555496" top="0.74791666666666701" bottom="0.74791666666666701" header="0.51180555555555496" footer="0.31527777777777799"/>
  <pageSetup paperSize="9" scale="75" firstPageNumber="0" fitToHeight="4" orientation="portrait" r:id="rId1"/>
  <headerFooter>
    <oddFooter>&amp;R&amp;P de &amp;N</oddFooter>
  </headerFooter>
  <rowBreaks count="2" manualBreakCount="2">
    <brk id="102" max="16383" man="1"/>
    <brk id="181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40"/>
  <sheetViews>
    <sheetView topLeftCell="A16" workbookViewId="0">
      <selection activeCell="B40" sqref="B40"/>
    </sheetView>
  </sheetViews>
  <sheetFormatPr defaultRowHeight="12.75" x14ac:dyDescent="0.2"/>
  <cols>
    <col min="1" max="1" width="13.5703125" style="118" customWidth="1"/>
    <col min="2" max="2" width="39.5703125" style="118" customWidth="1"/>
    <col min="3" max="3" width="20.85546875" style="118" customWidth="1"/>
    <col min="4" max="4" width="37.28515625" style="177" customWidth="1"/>
    <col min="5" max="10" width="9.140625" style="118" customWidth="1"/>
    <col min="11" max="11" width="11" style="118" customWidth="1"/>
    <col min="12" max="1025" width="9.140625" style="118" customWidth="1"/>
  </cols>
  <sheetData>
    <row r="1" spans="1:12" x14ac:dyDescent="0.2">
      <c r="A1" s="27" t="s">
        <v>0</v>
      </c>
    </row>
    <row r="2" spans="1:12" x14ac:dyDescent="0.2">
      <c r="A2" s="178" t="s">
        <v>165</v>
      </c>
    </row>
    <row r="3" spans="1:12" s="5" customFormat="1" ht="15.6" customHeight="1" x14ac:dyDescent="0.2">
      <c r="B3" s="6"/>
      <c r="C3" s="6"/>
      <c r="D3" s="6"/>
      <c r="E3" s="6"/>
      <c r="F3" s="6"/>
      <c r="G3" s="7"/>
    </row>
    <row r="4" spans="1:12" s="5" customFormat="1" ht="15.6" hidden="1" customHeight="1" x14ac:dyDescent="0.2">
      <c r="A4" s="10" t="s">
        <v>6</v>
      </c>
      <c r="B4" s="6"/>
      <c r="C4" s="6"/>
      <c r="D4" s="6"/>
      <c r="E4" s="6"/>
      <c r="F4" s="6"/>
      <c r="G4" s="7"/>
    </row>
    <row r="5" spans="1:12" s="5" customFormat="1" ht="16.5" customHeight="1" x14ac:dyDescent="0.2">
      <c r="A5" s="4" t="s">
        <v>166</v>
      </c>
      <c r="B5" s="11"/>
      <c r="C5" s="11"/>
      <c r="D5" s="7"/>
      <c r="E5" s="7"/>
      <c r="F5" s="7"/>
      <c r="G5" s="7"/>
    </row>
    <row r="6" spans="1:12" s="5" customFormat="1" ht="16.5" customHeight="1" x14ac:dyDescent="0.2">
      <c r="A6" s="4" t="s">
        <v>167</v>
      </c>
      <c r="B6" s="11"/>
      <c r="C6" s="11"/>
      <c r="D6" s="7"/>
      <c r="E6" s="7"/>
      <c r="F6" s="7"/>
      <c r="G6" s="7"/>
    </row>
    <row r="8" spans="1:12" ht="18" x14ac:dyDescent="0.2">
      <c r="A8" s="397" t="s">
        <v>168</v>
      </c>
      <c r="B8" s="397"/>
      <c r="C8" s="397"/>
      <c r="D8" s="179"/>
      <c r="E8" s="179"/>
      <c r="F8" s="179"/>
    </row>
    <row r="9" spans="1:12" ht="14.25" x14ac:dyDescent="0.2">
      <c r="A9" s="180" t="s">
        <v>169</v>
      </c>
      <c r="B9" s="181" t="s">
        <v>170</v>
      </c>
      <c r="C9" s="182" t="s">
        <v>171</v>
      </c>
      <c r="D9" s="183"/>
    </row>
    <row r="10" spans="1:12" ht="14.25" x14ac:dyDescent="0.2">
      <c r="A10" s="180" t="s">
        <v>172</v>
      </c>
      <c r="B10" s="181" t="s">
        <v>173</v>
      </c>
      <c r="C10" s="184">
        <v>0.2</v>
      </c>
      <c r="D10" s="183"/>
      <c r="F10" s="177"/>
      <c r="G10" s="177"/>
      <c r="H10" s="177"/>
      <c r="I10" s="177"/>
      <c r="J10" s="177"/>
      <c r="K10" s="177"/>
      <c r="L10" s="177"/>
    </row>
    <row r="11" spans="1:12" ht="14.25" x14ac:dyDescent="0.2">
      <c r="A11" s="180" t="s">
        <v>174</v>
      </c>
      <c r="B11" s="181" t="s">
        <v>175</v>
      </c>
      <c r="C11" s="184">
        <v>1.4999999999999999E-2</v>
      </c>
      <c r="D11" s="183"/>
      <c r="F11" s="177"/>
      <c r="G11" s="177"/>
      <c r="H11" s="177"/>
      <c r="I11" s="177"/>
      <c r="J11" s="177"/>
      <c r="K11" s="177"/>
      <c r="L11" s="177"/>
    </row>
    <row r="12" spans="1:12" ht="14.25" x14ac:dyDescent="0.2">
      <c r="A12" s="180" t="s">
        <v>176</v>
      </c>
      <c r="B12" s="181" t="s">
        <v>177</v>
      </c>
      <c r="C12" s="184">
        <v>0.01</v>
      </c>
      <c r="D12" s="183"/>
      <c r="F12" s="177"/>
      <c r="G12" s="177"/>
      <c r="H12" s="177"/>
      <c r="I12" s="177"/>
      <c r="J12" s="177"/>
      <c r="K12" s="177"/>
      <c r="L12" s="177"/>
    </row>
    <row r="13" spans="1:12" ht="14.25" x14ac:dyDescent="0.2">
      <c r="A13" s="180" t="s">
        <v>178</v>
      </c>
      <c r="B13" s="181" t="s">
        <v>179</v>
      </c>
      <c r="C13" s="184">
        <v>2E-3</v>
      </c>
      <c r="D13" s="183"/>
      <c r="F13" s="177"/>
      <c r="G13" s="177"/>
      <c r="H13" s="177"/>
      <c r="I13" s="177"/>
      <c r="J13" s="177"/>
      <c r="K13" s="177"/>
      <c r="L13" s="177"/>
    </row>
    <row r="14" spans="1:12" ht="14.25" x14ac:dyDescent="0.2">
      <c r="A14" s="180" t="s">
        <v>180</v>
      </c>
      <c r="B14" s="181" t="s">
        <v>181</v>
      </c>
      <c r="C14" s="184">
        <v>6.0000000000000001E-3</v>
      </c>
      <c r="D14" s="183"/>
      <c r="F14" s="177"/>
      <c r="G14" s="177"/>
      <c r="H14" s="177"/>
      <c r="I14" s="177"/>
      <c r="J14" s="177"/>
      <c r="K14" s="177"/>
      <c r="L14" s="177"/>
    </row>
    <row r="15" spans="1:12" ht="14.25" x14ac:dyDescent="0.2">
      <c r="A15" s="180" t="s">
        <v>182</v>
      </c>
      <c r="B15" s="181" t="s">
        <v>183</v>
      </c>
      <c r="C15" s="184">
        <v>2.5000000000000001E-2</v>
      </c>
      <c r="D15" s="183"/>
      <c r="F15" s="177"/>
      <c r="G15" s="177"/>
      <c r="H15" s="177"/>
      <c r="I15" s="177"/>
      <c r="J15" s="177"/>
      <c r="K15" s="177"/>
      <c r="L15" s="177"/>
    </row>
    <row r="16" spans="1:12" ht="14.25" x14ac:dyDescent="0.2">
      <c r="A16" s="180" t="s">
        <v>184</v>
      </c>
      <c r="B16" s="181" t="s">
        <v>185</v>
      </c>
      <c r="C16" s="184">
        <v>0.03</v>
      </c>
      <c r="D16" s="183"/>
      <c r="F16" s="177"/>
      <c r="G16" s="177"/>
      <c r="H16" s="177"/>
      <c r="I16" s="177"/>
      <c r="J16" s="177"/>
      <c r="K16" s="177"/>
      <c r="L16" s="177"/>
    </row>
    <row r="17" spans="1:12" ht="14.25" x14ac:dyDescent="0.2">
      <c r="A17" s="180" t="s">
        <v>186</v>
      </c>
      <c r="B17" s="181" t="s">
        <v>187</v>
      </c>
      <c r="C17" s="184">
        <v>0.08</v>
      </c>
      <c r="D17" s="185"/>
      <c r="F17" s="177"/>
      <c r="G17" s="177"/>
      <c r="H17" s="177"/>
      <c r="I17" s="177"/>
      <c r="J17" s="177"/>
      <c r="K17" s="177"/>
      <c r="L17" s="177"/>
    </row>
    <row r="18" spans="1:12" ht="15" x14ac:dyDescent="0.2">
      <c r="A18" s="180" t="s">
        <v>188</v>
      </c>
      <c r="B18" s="186" t="s">
        <v>189</v>
      </c>
      <c r="C18" s="187">
        <f>SUM(C10:C17)</f>
        <v>0.36800000000000005</v>
      </c>
      <c r="D18" s="185"/>
      <c r="F18" s="177"/>
      <c r="G18" s="177"/>
      <c r="H18" s="177"/>
      <c r="I18" s="177"/>
      <c r="J18" s="177"/>
      <c r="K18" s="177"/>
      <c r="L18" s="177"/>
    </row>
    <row r="19" spans="1:12" ht="15" x14ac:dyDescent="0.2">
      <c r="A19" s="188"/>
      <c r="B19" s="189"/>
      <c r="C19" s="190"/>
      <c r="D19" s="185"/>
      <c r="F19" s="177"/>
      <c r="G19" s="177"/>
      <c r="H19" s="177"/>
      <c r="I19" s="177"/>
      <c r="J19" s="177"/>
      <c r="K19" s="177"/>
      <c r="L19" s="177"/>
    </row>
    <row r="20" spans="1:12" ht="14.25" x14ac:dyDescent="0.2">
      <c r="A20" s="180" t="s">
        <v>190</v>
      </c>
      <c r="B20" s="181" t="s">
        <v>191</v>
      </c>
      <c r="C20" s="184">
        <v>7.0000000000000007E-2</v>
      </c>
      <c r="D20" s="185"/>
      <c r="F20" s="177"/>
      <c r="G20" s="177"/>
      <c r="H20" s="177"/>
      <c r="I20" s="177"/>
      <c r="J20" s="177"/>
      <c r="K20" s="177"/>
      <c r="L20" s="177"/>
    </row>
    <row r="21" spans="1:12" ht="14.25" x14ac:dyDescent="0.2">
      <c r="A21" s="180" t="s">
        <v>192</v>
      </c>
      <c r="B21" s="181" t="s">
        <v>193</v>
      </c>
      <c r="C21" s="184">
        <v>8.3299999999999999E-2</v>
      </c>
      <c r="D21" s="185"/>
      <c r="F21" s="177"/>
      <c r="G21" s="177"/>
      <c r="H21" s="177"/>
      <c r="I21" s="177"/>
      <c r="J21" s="177"/>
      <c r="K21" s="177"/>
      <c r="L21" s="177"/>
    </row>
    <row r="22" spans="1:12" ht="14.25" x14ac:dyDescent="0.2">
      <c r="A22" s="180" t="s">
        <v>194</v>
      </c>
      <c r="B22" s="181" t="s">
        <v>195</v>
      </c>
      <c r="C22" s="184">
        <v>5.9999999999999995E-4</v>
      </c>
      <c r="D22" s="185"/>
      <c r="F22" s="177"/>
      <c r="G22" s="177"/>
      <c r="H22" s="177"/>
      <c r="I22" s="177"/>
      <c r="J22" s="177"/>
      <c r="K22" s="177"/>
      <c r="L22" s="177"/>
    </row>
    <row r="23" spans="1:12" ht="14.25" x14ac:dyDescent="0.2">
      <c r="A23" s="180" t="s">
        <v>196</v>
      </c>
      <c r="B23" s="181" t="s">
        <v>197</v>
      </c>
      <c r="C23" s="184">
        <v>8.2000000000000007E-3</v>
      </c>
      <c r="D23" s="185"/>
      <c r="F23" s="177"/>
      <c r="G23" s="177"/>
      <c r="H23" s="177"/>
      <c r="I23" s="177"/>
      <c r="J23" s="177"/>
      <c r="K23" s="177"/>
      <c r="L23" s="177"/>
    </row>
    <row r="24" spans="1:12" ht="14.25" x14ac:dyDescent="0.2">
      <c r="A24" s="180" t="s">
        <v>198</v>
      </c>
      <c r="B24" s="181" t="s">
        <v>199</v>
      </c>
      <c r="C24" s="184">
        <v>3.0999999999999999E-3</v>
      </c>
      <c r="D24" s="185"/>
      <c r="F24" s="177"/>
      <c r="G24" s="177"/>
      <c r="H24" s="177"/>
      <c r="I24" s="177"/>
      <c r="J24" s="177"/>
      <c r="K24" s="177"/>
      <c r="L24" s="177"/>
    </row>
    <row r="25" spans="1:12" ht="14.25" x14ac:dyDescent="0.2">
      <c r="A25" s="180" t="s">
        <v>200</v>
      </c>
      <c r="B25" s="181" t="s">
        <v>201</v>
      </c>
      <c r="C25" s="184">
        <v>1.2E-2</v>
      </c>
      <c r="D25" s="185"/>
      <c r="F25" s="177"/>
      <c r="G25" s="177"/>
      <c r="H25" s="177"/>
      <c r="I25" s="177"/>
      <c r="J25" s="177"/>
      <c r="K25" s="177"/>
      <c r="L25" s="177"/>
    </row>
    <row r="26" spans="1:12" ht="15" x14ac:dyDescent="0.2">
      <c r="A26" s="180" t="s">
        <v>202</v>
      </c>
      <c r="B26" s="186" t="s">
        <v>203</v>
      </c>
      <c r="C26" s="187">
        <f>SUM(C20:C25)</f>
        <v>0.1772</v>
      </c>
      <c r="D26" s="191"/>
      <c r="F26" s="177"/>
      <c r="G26" s="177"/>
      <c r="H26" s="177"/>
      <c r="I26" s="177"/>
      <c r="J26" s="177"/>
      <c r="K26" s="177"/>
      <c r="L26" s="177"/>
    </row>
    <row r="27" spans="1:12" ht="15" x14ac:dyDescent="0.2">
      <c r="A27" s="188"/>
      <c r="B27" s="189"/>
      <c r="C27" s="190"/>
      <c r="D27" s="191"/>
      <c r="F27" s="177"/>
      <c r="G27" s="177"/>
      <c r="H27" s="177"/>
      <c r="I27" s="177"/>
      <c r="J27" s="177"/>
      <c r="K27" s="177"/>
      <c r="L27" s="177"/>
    </row>
    <row r="28" spans="1:12" ht="14.25" x14ac:dyDescent="0.2">
      <c r="A28" s="180" t="s">
        <v>204</v>
      </c>
      <c r="B28" s="181" t="s">
        <v>205</v>
      </c>
      <c r="C28" s="184">
        <v>2.1000000000000001E-2</v>
      </c>
      <c r="D28" s="185"/>
      <c r="E28" s="192"/>
      <c r="F28" s="177"/>
      <c r="G28" s="177"/>
      <c r="H28" s="177"/>
      <c r="I28" s="177"/>
      <c r="J28" s="177"/>
      <c r="K28" s="177"/>
      <c r="L28" s="177"/>
    </row>
    <row r="29" spans="1:12" ht="14.25" x14ac:dyDescent="0.2">
      <c r="A29" s="180" t="s">
        <v>206</v>
      </c>
      <c r="B29" s="181" t="s">
        <v>207</v>
      </c>
      <c r="C29" s="184">
        <v>4.1099999999999998E-2</v>
      </c>
      <c r="D29" s="185"/>
      <c r="F29" s="177"/>
      <c r="G29" s="177"/>
      <c r="H29" s="193"/>
      <c r="I29" s="177"/>
      <c r="J29" s="177"/>
      <c r="K29" s="177"/>
      <c r="L29" s="177"/>
    </row>
    <row r="30" spans="1:12" ht="14.25" x14ac:dyDescent="0.2">
      <c r="A30" s="180" t="s">
        <v>208</v>
      </c>
      <c r="B30" s="181" t="s">
        <v>209</v>
      </c>
      <c r="C30" s="184">
        <v>1.2999999999999999E-3</v>
      </c>
      <c r="D30" s="185"/>
      <c r="E30" s="192"/>
      <c r="F30" s="177"/>
      <c r="G30" s="177"/>
      <c r="H30" s="177"/>
      <c r="I30" s="177"/>
      <c r="J30" s="177"/>
      <c r="K30" s="177"/>
      <c r="L30" s="177"/>
    </row>
    <row r="31" spans="1:12" ht="14.25" x14ac:dyDescent="0.2">
      <c r="A31" s="180" t="s">
        <v>210</v>
      </c>
      <c r="B31" s="181" t="s">
        <v>211</v>
      </c>
      <c r="C31" s="184">
        <v>2.1000000000000001E-2</v>
      </c>
      <c r="D31" s="185"/>
      <c r="F31" s="177"/>
      <c r="G31" s="194"/>
      <c r="H31" s="177"/>
      <c r="I31" s="177"/>
      <c r="J31" s="177"/>
      <c r="K31" s="177"/>
      <c r="L31" s="177"/>
    </row>
    <row r="32" spans="1:12" ht="14.25" x14ac:dyDescent="0.2">
      <c r="A32" s="180" t="s">
        <v>212</v>
      </c>
      <c r="B32" s="181" t="s">
        <v>213</v>
      </c>
      <c r="C32" s="184">
        <v>2E-3</v>
      </c>
      <c r="D32" s="185"/>
      <c r="F32" s="177"/>
      <c r="G32" s="177"/>
      <c r="H32" s="177"/>
      <c r="I32" s="177"/>
      <c r="J32" s="177"/>
      <c r="K32" s="177"/>
      <c r="L32" s="177"/>
    </row>
    <row r="33" spans="1:12" ht="15" x14ac:dyDescent="0.2">
      <c r="A33" s="180" t="s">
        <v>214</v>
      </c>
      <c r="B33" s="186" t="s">
        <v>215</v>
      </c>
      <c r="C33" s="187">
        <f>SUM(C28:C32)</f>
        <v>8.6400000000000005E-2</v>
      </c>
      <c r="D33" s="191"/>
      <c r="F33" s="177"/>
      <c r="G33" s="177"/>
      <c r="H33" s="177"/>
      <c r="I33" s="177"/>
      <c r="J33" s="177"/>
      <c r="K33" s="177"/>
      <c r="L33" s="177"/>
    </row>
    <row r="34" spans="1:12" ht="15" x14ac:dyDescent="0.2">
      <c r="A34" s="188"/>
      <c r="B34" s="189"/>
      <c r="C34" s="190"/>
      <c r="D34" s="191"/>
      <c r="F34" s="177"/>
      <c r="G34" s="177"/>
      <c r="H34" s="177"/>
      <c r="I34" s="177"/>
      <c r="J34" s="177"/>
      <c r="K34" s="177"/>
      <c r="L34" s="177"/>
    </row>
    <row r="35" spans="1:12" ht="14.25" x14ac:dyDescent="0.2">
      <c r="A35" s="180" t="s">
        <v>216</v>
      </c>
      <c r="B35" s="181" t="s">
        <v>217</v>
      </c>
      <c r="C35" s="184">
        <f>ROUND(C18*C26,4)</f>
        <v>6.5199999999999994E-2</v>
      </c>
      <c r="D35" s="185"/>
      <c r="F35" s="177"/>
      <c r="G35" s="177"/>
      <c r="H35" s="177"/>
      <c r="I35" s="177"/>
      <c r="J35" s="177"/>
      <c r="K35" s="177"/>
      <c r="L35" s="177"/>
    </row>
    <row r="36" spans="1:12" ht="28.5" x14ac:dyDescent="0.2">
      <c r="A36" s="180" t="s">
        <v>218</v>
      </c>
      <c r="B36" s="195" t="s">
        <v>219</v>
      </c>
      <c r="C36" s="184">
        <f>ROUND((C28*C17),4)</f>
        <v>1.6999999999999999E-3</v>
      </c>
      <c r="D36" s="185"/>
      <c r="F36" s="177"/>
      <c r="G36" s="177"/>
      <c r="H36" s="177"/>
      <c r="I36" s="177"/>
      <c r="J36" s="177"/>
      <c r="K36" s="177"/>
      <c r="L36" s="177"/>
    </row>
    <row r="37" spans="1:12" ht="15" x14ac:dyDescent="0.2">
      <c r="A37" s="180" t="s">
        <v>220</v>
      </c>
      <c r="B37" s="186" t="s">
        <v>221</v>
      </c>
      <c r="C37" s="187">
        <f>SUM(C35:C36)</f>
        <v>6.6899999999999987E-2</v>
      </c>
      <c r="D37" s="196"/>
      <c r="F37" s="177"/>
      <c r="G37" s="177"/>
      <c r="H37" s="177"/>
      <c r="I37" s="177"/>
      <c r="J37" s="177"/>
      <c r="K37" s="177"/>
      <c r="L37" s="177"/>
    </row>
    <row r="38" spans="1:12" ht="15" x14ac:dyDescent="0.2">
      <c r="A38" s="197"/>
      <c r="B38" s="198" t="s">
        <v>222</v>
      </c>
      <c r="C38" s="199">
        <f>C37+C33+C26+C18</f>
        <v>0.69850000000000012</v>
      </c>
      <c r="D38" s="196"/>
      <c r="F38" s="177"/>
      <c r="G38" s="177"/>
      <c r="H38" s="177"/>
      <c r="I38" s="177"/>
      <c r="J38" s="177"/>
      <c r="K38" s="177"/>
      <c r="L38" s="177"/>
    </row>
    <row r="39" spans="1:12" ht="15" x14ac:dyDescent="0.2">
      <c r="A39" s="185"/>
      <c r="B39" s="200"/>
      <c r="C39" s="201"/>
      <c r="D39" s="202"/>
      <c r="F39" s="177"/>
      <c r="G39" s="177"/>
      <c r="H39" s="177"/>
      <c r="I39" s="177"/>
      <c r="J39" s="177"/>
      <c r="K39" s="177"/>
      <c r="L39" s="177"/>
    </row>
    <row r="40" spans="1:12" ht="14.25" x14ac:dyDescent="0.2">
      <c r="A40" s="185"/>
      <c r="B40" s="185"/>
      <c r="C40" s="203"/>
      <c r="D40" s="204"/>
      <c r="F40" s="177"/>
      <c r="G40" s="177"/>
      <c r="H40" s="177"/>
      <c r="I40" s="177"/>
      <c r="J40" s="177"/>
      <c r="K40" s="177"/>
      <c r="L40" s="177"/>
    </row>
  </sheetData>
  <mergeCells count="1">
    <mergeCell ref="A8:C8"/>
  </mergeCells>
  <pageMargins left="0.905555555555556" right="0.51180555555555496" top="0.74791666666666701" bottom="0.74791666666666701" header="0.51180555555555496" footer="0.51180555555555496"/>
  <pageSetup paperSize="9" firstPageNumber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1"/>
  <sheetViews>
    <sheetView workbookViewId="0">
      <selection sqref="A1:B1"/>
    </sheetView>
  </sheetViews>
  <sheetFormatPr defaultRowHeight="12.75" x14ac:dyDescent="0.2"/>
  <cols>
    <col min="1" max="1" width="41.85546875" customWidth="1"/>
    <col min="2" max="2" width="5.5703125" customWidth="1"/>
    <col min="3" max="3" width="8.7109375" customWidth="1"/>
    <col min="4" max="4" width="9.7109375" customWidth="1"/>
    <col min="5" max="5" width="8" style="207" customWidth="1"/>
    <col min="6" max="6" width="9.7109375" customWidth="1"/>
    <col min="7" max="1025" width="8.7109375" customWidth="1"/>
  </cols>
  <sheetData>
    <row r="1" spans="1:8" s="209" customFormat="1" ht="14.25" x14ac:dyDescent="0.2">
      <c r="A1" s="27" t="s">
        <v>0</v>
      </c>
      <c r="B1" s="208"/>
      <c r="C1" s="208"/>
      <c r="E1" s="210"/>
    </row>
    <row r="2" spans="1:8" s="209" customFormat="1" ht="14.25" x14ac:dyDescent="0.2">
      <c r="A2" s="178" t="s">
        <v>223</v>
      </c>
      <c r="B2" s="208"/>
      <c r="C2" s="208"/>
      <c r="E2" s="210"/>
    </row>
    <row r="3" spans="1:8" s="209" customFormat="1" ht="14.25" x14ac:dyDescent="0.2">
      <c r="A3" s="1" t="s">
        <v>224</v>
      </c>
      <c r="B3" s="208"/>
      <c r="C3" s="208"/>
      <c r="E3" s="210"/>
    </row>
    <row r="4" spans="1:8" s="209" customFormat="1" ht="14.25" x14ac:dyDescent="0.2">
      <c r="A4" s="1"/>
      <c r="B4" s="208"/>
      <c r="C4" s="208"/>
      <c r="E4" s="210"/>
    </row>
    <row r="5" spans="1:8" s="5" customFormat="1" ht="15.6" hidden="1" customHeight="1" x14ac:dyDescent="0.2">
      <c r="A5" s="10" t="s">
        <v>6</v>
      </c>
      <c r="B5" s="6"/>
      <c r="C5" s="6"/>
      <c r="D5" s="6"/>
      <c r="E5" s="6"/>
      <c r="F5" s="6"/>
      <c r="G5" s="7"/>
    </row>
    <row r="6" spans="1:8" s="5" customFormat="1" ht="16.5" customHeight="1" x14ac:dyDescent="0.2">
      <c r="A6" s="4" t="s">
        <v>225</v>
      </c>
      <c r="B6" s="11"/>
      <c r="C6" s="11"/>
      <c r="D6" s="7"/>
      <c r="E6" s="7"/>
      <c r="F6" s="7"/>
      <c r="G6" s="7"/>
    </row>
    <row r="7" spans="1:8" s="5" customFormat="1" ht="16.5" customHeight="1" x14ac:dyDescent="0.2">
      <c r="A7" s="4" t="s">
        <v>226</v>
      </c>
      <c r="B7" s="11"/>
      <c r="C7" s="11"/>
      <c r="D7" s="7"/>
      <c r="E7" s="7"/>
      <c r="F7" s="7"/>
      <c r="G7" s="7"/>
    </row>
    <row r="8" spans="1:8" s="209" customFormat="1" ht="14.25" x14ac:dyDescent="0.2">
      <c r="B8" s="208"/>
      <c r="C8" s="208"/>
      <c r="E8" s="210"/>
    </row>
    <row r="9" spans="1:8" ht="15.75" x14ac:dyDescent="0.2">
      <c r="A9" s="398" t="s">
        <v>227</v>
      </c>
      <c r="B9" s="398"/>
      <c r="C9" s="398"/>
      <c r="D9" s="398"/>
      <c r="E9" s="398"/>
      <c r="F9" s="398"/>
    </row>
    <row r="10" spans="1:8" ht="15.75" x14ac:dyDescent="0.2">
      <c r="A10" s="211"/>
      <c r="B10" s="212"/>
      <c r="C10" s="212"/>
      <c r="D10" s="212"/>
      <c r="E10" s="212"/>
      <c r="F10" s="213"/>
    </row>
    <row r="11" spans="1:8" ht="15" x14ac:dyDescent="0.25">
      <c r="A11" s="214"/>
      <c r="B11" s="215"/>
      <c r="C11" s="215"/>
      <c r="D11" s="399" t="s">
        <v>228</v>
      </c>
      <c r="E11" s="399"/>
      <c r="F11" s="399"/>
      <c r="G11" s="209"/>
      <c r="H11" s="209"/>
    </row>
    <row r="12" spans="1:8" ht="14.25" x14ac:dyDescent="0.2">
      <c r="A12" s="206"/>
      <c r="B12" s="216"/>
      <c r="C12" s="216"/>
      <c r="D12" s="217" t="s">
        <v>229</v>
      </c>
      <c r="E12" s="218" t="s">
        <v>230</v>
      </c>
      <c r="F12" s="219" t="s">
        <v>231</v>
      </c>
      <c r="G12" s="209"/>
      <c r="H12" s="209"/>
    </row>
    <row r="13" spans="1:8" ht="14.25" x14ac:dyDescent="0.2">
      <c r="A13" s="220" t="s">
        <v>232</v>
      </c>
      <c r="B13" s="221" t="s">
        <v>233</v>
      </c>
      <c r="C13" s="222">
        <v>0.05</v>
      </c>
      <c r="D13" s="223">
        <v>2.9700000000000001E-2</v>
      </c>
      <c r="E13" s="224">
        <v>5.0799999999999998E-2</v>
      </c>
      <c r="F13" s="225">
        <v>6.2700000000000006E-2</v>
      </c>
      <c r="G13" s="209"/>
      <c r="H13" s="209"/>
    </row>
    <row r="14" spans="1:8" ht="14.25" x14ac:dyDescent="0.2">
      <c r="A14" s="226" t="s">
        <v>234</v>
      </c>
      <c r="B14" s="227" t="s">
        <v>235</v>
      </c>
      <c r="C14" s="228">
        <v>8.6E-3</v>
      </c>
      <c r="D14" s="223">
        <f>0.3%+0.56%</f>
        <v>8.6E-3</v>
      </c>
      <c r="E14" s="224">
        <f>0.48%+0.85%</f>
        <v>1.3299999999999999E-2</v>
      </c>
      <c r="F14" s="225">
        <f>0.82%+0.89%</f>
        <v>1.7099999999999997E-2</v>
      </c>
      <c r="G14" s="209"/>
      <c r="H14" s="209"/>
    </row>
    <row r="15" spans="1:8" ht="14.25" x14ac:dyDescent="0.2">
      <c r="A15" s="226" t="s">
        <v>164</v>
      </c>
      <c r="B15" s="227" t="s">
        <v>236</v>
      </c>
      <c r="C15" s="228">
        <v>0.1</v>
      </c>
      <c r="D15" s="223">
        <v>7.7799999999999994E-2</v>
      </c>
      <c r="E15" s="224">
        <v>0.1085</v>
      </c>
      <c r="F15" s="225">
        <v>0.13550000000000001</v>
      </c>
      <c r="G15" s="209"/>
      <c r="H15" s="209"/>
    </row>
    <row r="16" spans="1:8" ht="14.25" x14ac:dyDescent="0.2">
      <c r="A16" s="226" t="s">
        <v>237</v>
      </c>
      <c r="B16" s="227" t="s">
        <v>238</v>
      </c>
      <c r="C16" s="229">
        <f>(1+E16)^(E17/252)-1</f>
        <v>3.7893113471101358E-3</v>
      </c>
      <c r="D16" s="223" t="s">
        <v>239</v>
      </c>
      <c r="E16" s="230">
        <v>0.1</v>
      </c>
      <c r="F16" s="231"/>
      <c r="G16" s="209"/>
      <c r="H16" s="209"/>
    </row>
    <row r="17" spans="1:8" ht="14.25" x14ac:dyDescent="0.2">
      <c r="A17" s="226" t="s">
        <v>240</v>
      </c>
      <c r="B17" s="400" t="s">
        <v>241</v>
      </c>
      <c r="C17" s="228">
        <v>0.02</v>
      </c>
      <c r="D17" s="232" t="s">
        <v>242</v>
      </c>
      <c r="E17" s="233">
        <v>10</v>
      </c>
      <c r="F17" s="234"/>
      <c r="G17" s="209"/>
      <c r="H17" s="209"/>
    </row>
    <row r="18" spans="1:8" ht="14.25" x14ac:dyDescent="0.2">
      <c r="A18" s="235" t="s">
        <v>243</v>
      </c>
      <c r="B18" s="400"/>
      <c r="C18" s="236">
        <v>3.6499999999999998E-2</v>
      </c>
      <c r="D18" s="205"/>
      <c r="E18" s="237"/>
      <c r="F18" s="234"/>
      <c r="G18" s="209"/>
      <c r="H18" s="209"/>
    </row>
    <row r="19" spans="1:8" ht="14.25" x14ac:dyDescent="0.2">
      <c r="A19" s="238" t="s">
        <v>244</v>
      </c>
      <c r="B19" s="239"/>
      <c r="C19" s="240"/>
      <c r="D19" s="205"/>
      <c r="E19" s="237"/>
      <c r="F19" s="234"/>
      <c r="G19" s="209"/>
      <c r="H19" s="209"/>
    </row>
    <row r="20" spans="1:8" ht="14.25" x14ac:dyDescent="0.2">
      <c r="A20" s="241" t="s">
        <v>245</v>
      </c>
      <c r="B20" s="242"/>
      <c r="C20" s="243"/>
      <c r="D20" s="205"/>
      <c r="E20" s="237"/>
      <c r="F20" s="234"/>
      <c r="G20" s="209"/>
      <c r="H20" s="209"/>
    </row>
    <row r="21" spans="1:8" ht="15" x14ac:dyDescent="0.2">
      <c r="A21" s="244" t="s">
        <v>246</v>
      </c>
      <c r="B21" s="245"/>
      <c r="C21" s="246">
        <f>ROUND((((1+C13+C14)*(1+C15)*(1+C16))/(1-(C17+C18))-1),4)</f>
        <v>0.2389</v>
      </c>
      <c r="D21" s="247">
        <v>0.21429999999999999</v>
      </c>
      <c r="E21" s="248">
        <v>0.2717</v>
      </c>
      <c r="F21" s="249">
        <v>0.3362</v>
      </c>
      <c r="G21" s="209"/>
      <c r="H21" s="209"/>
    </row>
  </sheetData>
  <mergeCells count="3">
    <mergeCell ref="A9:F9"/>
    <mergeCell ref="D11:F11"/>
    <mergeCell ref="B17:B18"/>
  </mergeCells>
  <pageMargins left="0.905555555555556" right="0.51180555555555496" top="0.74791666666666701" bottom="0.74791666666666701" header="0.51180555555555496" footer="0.51180555555555496"/>
  <pageSetup paperSize="9" firstPageNumber="0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4"/>
  <sheetViews>
    <sheetView workbookViewId="0">
      <selection activeCell="A2" sqref="A2"/>
    </sheetView>
  </sheetViews>
  <sheetFormatPr defaultRowHeight="15" x14ac:dyDescent="0.25"/>
  <cols>
    <col min="1" max="1" width="18.28515625" style="250" customWidth="1"/>
    <col min="2" max="2" width="21.28515625" style="250" customWidth="1"/>
    <col min="3" max="3" width="18.28515625" style="250" bestFit="1" customWidth="1"/>
    <col min="4" max="4" width="15.42578125" style="250" customWidth="1"/>
    <col min="5" max="5" width="8.85546875" style="250" customWidth="1"/>
    <col min="6" max="7" width="11.42578125" style="250" hidden="1" customWidth="1"/>
    <col min="8" max="8" width="11.42578125" style="250" customWidth="1"/>
    <col min="9" max="9" width="8.85546875" style="250" customWidth="1"/>
    <col min="10" max="11" width="11.28515625" style="250" customWidth="1"/>
    <col min="12" max="1025" width="8.85546875" style="250" customWidth="1"/>
  </cols>
  <sheetData>
    <row r="1" spans="1:7" ht="15.75" x14ac:dyDescent="0.25">
      <c r="A1" s="251" t="s">
        <v>275</v>
      </c>
    </row>
    <row r="2" spans="1:7" ht="15.75" x14ac:dyDescent="0.25">
      <c r="A2" s="251" t="s">
        <v>398</v>
      </c>
    </row>
    <row r="3" spans="1:7" ht="15.75" x14ac:dyDescent="0.25">
      <c r="A3" s="251" t="s">
        <v>388</v>
      </c>
    </row>
    <row r="4" spans="1:7" x14ac:dyDescent="0.25">
      <c r="A4" s="252"/>
    </row>
    <row r="5" spans="1:7" x14ac:dyDescent="0.25">
      <c r="A5" s="401" t="s">
        <v>269</v>
      </c>
      <c r="B5" s="401"/>
      <c r="C5" s="401"/>
      <c r="D5" s="401"/>
      <c r="F5" s="254" t="s">
        <v>247</v>
      </c>
      <c r="G5" s="254" t="s">
        <v>247</v>
      </c>
    </row>
    <row r="6" spans="1:7" x14ac:dyDescent="0.25">
      <c r="A6" s="253" t="s">
        <v>160</v>
      </c>
      <c r="B6" s="271" t="s">
        <v>270</v>
      </c>
      <c r="C6" s="279" t="s">
        <v>367</v>
      </c>
      <c r="D6" s="271" t="s">
        <v>271</v>
      </c>
      <c r="F6" s="255">
        <v>108.51</v>
      </c>
      <c r="G6" s="255"/>
    </row>
    <row r="7" spans="1:7" x14ac:dyDescent="0.25">
      <c r="A7" s="256">
        <v>1</v>
      </c>
      <c r="B7" s="257">
        <v>20</v>
      </c>
      <c r="C7" s="257" t="s">
        <v>368</v>
      </c>
      <c r="D7" s="258">
        <f>B7*12</f>
        <v>240</v>
      </c>
      <c r="F7" s="255"/>
      <c r="G7" s="255"/>
    </row>
    <row r="8" spans="1:7" x14ac:dyDescent="0.25">
      <c r="A8" s="256">
        <v>2</v>
      </c>
      <c r="B8" s="257">
        <v>10</v>
      </c>
      <c r="C8" s="259" t="s">
        <v>369</v>
      </c>
      <c r="D8" s="263">
        <f>B8*12</f>
        <v>120</v>
      </c>
      <c r="F8" s="255"/>
      <c r="G8" s="255"/>
    </row>
    <row r="9" spans="1:7" x14ac:dyDescent="0.25">
      <c r="A9" s="401" t="s">
        <v>272</v>
      </c>
      <c r="B9" s="401"/>
      <c r="C9" s="260"/>
      <c r="D9" s="261">
        <f>SUM(D7:D8)</f>
        <v>360</v>
      </c>
    </row>
    <row r="14" spans="1:7" x14ac:dyDescent="0.25">
      <c r="D14" s="262"/>
    </row>
  </sheetData>
  <mergeCells count="2">
    <mergeCell ref="A5:D5"/>
    <mergeCell ref="A9:B9"/>
  </mergeCells>
  <pageMargins left="0.51180555555555496" right="0.51180555555555496" top="0.78749999999999998" bottom="0.78749999999999998" header="0.51180555555555496" footer="0.51180555555555496"/>
  <pageSetup paperSize="9" firstPageNumber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workbookViewId="0">
      <selection activeCell="G5" sqref="G5"/>
    </sheetView>
  </sheetViews>
  <sheetFormatPr defaultColWidth="8.85546875" defaultRowHeight="15" x14ac:dyDescent="0.25"/>
  <cols>
    <col min="1" max="1" width="9.7109375" style="333" customWidth="1"/>
    <col min="2" max="2" width="11.5703125" style="333" customWidth="1"/>
    <col min="3" max="3" width="9.85546875" style="333" customWidth="1"/>
    <col min="4" max="4" width="7.140625" style="333" customWidth="1"/>
    <col min="5" max="5" width="9.140625" style="333" bestFit="1" customWidth="1"/>
    <col min="6" max="7" width="8" style="333" bestFit="1" customWidth="1"/>
    <col min="8" max="8" width="9.28515625" style="333" bestFit="1" customWidth="1"/>
    <col min="9" max="9" width="7" style="333" bestFit="1" customWidth="1"/>
    <col min="10" max="10" width="8.85546875" style="333" customWidth="1"/>
    <col min="11" max="15" width="0" style="333" hidden="1" customWidth="1"/>
    <col min="16" max="16384" width="8.85546875" style="333"/>
  </cols>
  <sheetData>
    <row r="1" spans="1:15" ht="15.75" x14ac:dyDescent="0.25">
      <c r="A1" s="332" t="s">
        <v>275</v>
      </c>
    </row>
    <row r="2" spans="1:15" x14ac:dyDescent="0.25">
      <c r="A2" s="334" t="s">
        <v>351</v>
      </c>
    </row>
    <row r="3" spans="1:15" ht="15.75" thickBot="1" x14ac:dyDescent="0.3">
      <c r="A3" s="334" t="s">
        <v>390</v>
      </c>
    </row>
    <row r="4" spans="1:15" ht="30.75" thickBot="1" x14ac:dyDescent="0.3">
      <c r="A4" s="335" t="s">
        <v>287</v>
      </c>
      <c r="B4" s="336" t="s">
        <v>352</v>
      </c>
      <c r="C4" s="336" t="s">
        <v>250</v>
      </c>
      <c r="D4" s="337" t="s">
        <v>248</v>
      </c>
      <c r="E4" s="336" t="s">
        <v>249</v>
      </c>
      <c r="F4" s="336" t="s">
        <v>251</v>
      </c>
      <c r="G4" s="336" t="s">
        <v>252</v>
      </c>
      <c r="H4" s="338" t="s">
        <v>353</v>
      </c>
      <c r="I4" s="338" t="s">
        <v>354</v>
      </c>
      <c r="J4" s="339"/>
      <c r="K4" s="339"/>
    </row>
    <row r="5" spans="1:15" x14ac:dyDescent="0.25">
      <c r="A5" s="408" t="s">
        <v>302</v>
      </c>
      <c r="B5" s="406" t="s">
        <v>355</v>
      </c>
      <c r="C5" s="404" t="s">
        <v>356</v>
      </c>
      <c r="D5" s="340">
        <v>2</v>
      </c>
      <c r="E5" s="341" t="s">
        <v>357</v>
      </c>
      <c r="F5" s="342">
        <v>0.58333333333333337</v>
      </c>
      <c r="G5" s="342">
        <v>0.8125</v>
      </c>
      <c r="H5" s="342">
        <v>0.22916666666666666</v>
      </c>
      <c r="I5" s="343">
        <f>D5*5.5*1</f>
        <v>11</v>
      </c>
      <c r="J5" s="339"/>
      <c r="K5" s="344" t="e">
        <f>I5+#REF!+#REF!+#REF!+#REF!</f>
        <v>#REF!</v>
      </c>
      <c r="O5" s="345" t="e">
        <f>I6+#REF!+#REF!+#REF!+#REF!</f>
        <v>#REF!</v>
      </c>
    </row>
    <row r="6" spans="1:15" ht="15.75" thickBot="1" x14ac:dyDescent="0.3">
      <c r="A6" s="409"/>
      <c r="B6" s="407"/>
      <c r="C6" s="405"/>
      <c r="D6" s="346">
        <v>1</v>
      </c>
      <c r="E6" s="347" t="s">
        <v>276</v>
      </c>
      <c r="F6" s="348">
        <v>0.58333333333333337</v>
      </c>
      <c r="G6" s="348">
        <v>0.8125</v>
      </c>
      <c r="H6" s="348">
        <v>0.22916666666666666</v>
      </c>
      <c r="I6" s="349">
        <f>D6*5.5*1</f>
        <v>5.5</v>
      </c>
      <c r="J6" s="339"/>
      <c r="K6" s="339">
        <v>6</v>
      </c>
      <c r="O6" s="333">
        <v>2</v>
      </c>
    </row>
    <row r="7" spans="1:15" x14ac:dyDescent="0.25">
      <c r="A7" s="408" t="s">
        <v>302</v>
      </c>
      <c r="B7" s="406" t="s">
        <v>358</v>
      </c>
      <c r="C7" s="404" t="s">
        <v>396</v>
      </c>
      <c r="D7" s="340">
        <v>2</v>
      </c>
      <c r="E7" s="341" t="s">
        <v>357</v>
      </c>
      <c r="F7" s="342">
        <v>0.58333333333333337</v>
      </c>
      <c r="G7" s="342">
        <v>0.8125</v>
      </c>
      <c r="H7" s="342">
        <v>0.22916666666666666</v>
      </c>
      <c r="I7" s="343">
        <f>D7*5.5*2</f>
        <v>22</v>
      </c>
      <c r="J7" s="339"/>
      <c r="K7" s="344" t="e">
        <f>I7+#REF!+#REF!+#REF!+#REF!</f>
        <v>#REF!</v>
      </c>
      <c r="L7" s="350">
        <v>15</v>
      </c>
      <c r="M7" s="350">
        <v>12</v>
      </c>
      <c r="N7" s="350">
        <v>6</v>
      </c>
      <c r="O7" s="345" t="e">
        <f>I8+#REF!+#REF!+#REF!+#REF!</f>
        <v>#REF!</v>
      </c>
    </row>
    <row r="8" spans="1:15" ht="15.75" thickBot="1" x14ac:dyDescent="0.3">
      <c r="A8" s="409"/>
      <c r="B8" s="407"/>
      <c r="C8" s="405"/>
      <c r="D8" s="346">
        <v>1</v>
      </c>
      <c r="E8" s="347" t="s">
        <v>276</v>
      </c>
      <c r="F8" s="348">
        <v>0.58333333333333337</v>
      </c>
      <c r="G8" s="348">
        <v>0.8125</v>
      </c>
      <c r="H8" s="348">
        <v>0.22916666666666666</v>
      </c>
      <c r="I8" s="349">
        <f>D8*5.5*2</f>
        <v>11</v>
      </c>
      <c r="J8" s="339"/>
      <c r="K8" s="339" t="e">
        <f>K7/3</f>
        <v>#REF!</v>
      </c>
      <c r="L8" s="350">
        <v>45</v>
      </c>
      <c r="M8" s="350">
        <v>30</v>
      </c>
      <c r="N8" s="350">
        <v>10</v>
      </c>
      <c r="O8" s="333">
        <v>1</v>
      </c>
    </row>
    <row r="9" spans="1:15" x14ac:dyDescent="0.25">
      <c r="A9" s="402" t="s">
        <v>359</v>
      </c>
      <c r="B9" s="404" t="s">
        <v>360</v>
      </c>
      <c r="C9" s="406" t="s">
        <v>397</v>
      </c>
      <c r="D9" s="340">
        <v>2</v>
      </c>
      <c r="E9" s="341" t="s">
        <v>357</v>
      </c>
      <c r="F9" s="342">
        <v>0.58333333333333337</v>
      </c>
      <c r="G9" s="342">
        <v>0.8125</v>
      </c>
      <c r="H9" s="342">
        <v>0.22916666666666666</v>
      </c>
      <c r="I9" s="343">
        <f>D9*5.5*1</f>
        <v>11</v>
      </c>
      <c r="J9" s="339"/>
      <c r="K9" s="339"/>
      <c r="L9" s="350"/>
      <c r="M9" s="350"/>
      <c r="N9" s="350"/>
    </row>
    <row r="10" spans="1:15" ht="15.75" thickBot="1" x14ac:dyDescent="0.3">
      <c r="A10" s="403"/>
      <c r="B10" s="405"/>
      <c r="C10" s="407"/>
      <c r="D10" s="346">
        <v>1</v>
      </c>
      <c r="E10" s="347" t="s">
        <v>276</v>
      </c>
      <c r="F10" s="348">
        <v>0.58333333333333337</v>
      </c>
      <c r="G10" s="348">
        <v>0.8125</v>
      </c>
      <c r="H10" s="348">
        <v>0.22916666666666666</v>
      </c>
      <c r="I10" s="349">
        <f>D10*5.5*1</f>
        <v>5.5</v>
      </c>
      <c r="J10" s="339"/>
      <c r="K10" s="339"/>
      <c r="L10" s="350"/>
      <c r="M10" s="350"/>
      <c r="N10" s="350"/>
    </row>
    <row r="11" spans="1:15" x14ac:dyDescent="0.25">
      <c r="A11" s="351"/>
      <c r="B11" s="352"/>
      <c r="C11" s="353"/>
      <c r="D11" s="354"/>
      <c r="E11" s="355"/>
      <c r="F11" s="356"/>
      <c r="G11" s="356"/>
      <c r="H11" s="356"/>
      <c r="I11" s="357"/>
      <c r="J11" s="339"/>
      <c r="K11" s="339"/>
      <c r="L11" s="350"/>
      <c r="M11" s="350"/>
      <c r="N11" s="350"/>
    </row>
    <row r="12" spans="1:15" x14ac:dyDescent="0.25">
      <c r="A12" s="351"/>
      <c r="B12" s="352"/>
      <c r="C12" s="353"/>
      <c r="D12" s="354"/>
      <c r="E12" s="355"/>
      <c r="F12" s="356"/>
      <c r="G12" s="356"/>
      <c r="H12" s="356"/>
      <c r="I12" s="357"/>
      <c r="J12" s="339"/>
      <c r="K12" s="339"/>
      <c r="L12" s="350"/>
      <c r="M12" s="350"/>
      <c r="N12" s="350"/>
    </row>
    <row r="13" spans="1:15" x14ac:dyDescent="0.25">
      <c r="A13" s="358"/>
      <c r="B13" s="358"/>
      <c r="C13" s="358"/>
      <c r="D13" s="358"/>
      <c r="E13" s="358"/>
      <c r="F13" s="358"/>
      <c r="G13" s="358"/>
      <c r="H13" s="358"/>
      <c r="L13" s="350"/>
      <c r="M13" s="350"/>
      <c r="N13" s="350"/>
    </row>
    <row r="14" spans="1:15" x14ac:dyDescent="0.25">
      <c r="A14" s="359" t="s">
        <v>372</v>
      </c>
      <c r="B14" s="360"/>
      <c r="C14" s="360"/>
      <c r="D14" s="360"/>
      <c r="E14" s="360"/>
      <c r="F14" s="360"/>
      <c r="G14" s="361"/>
    </row>
    <row r="15" spans="1:15" x14ac:dyDescent="0.25">
      <c r="A15" s="362" t="s">
        <v>361</v>
      </c>
      <c r="B15" s="363"/>
      <c r="C15" s="363"/>
      <c r="D15" s="363"/>
      <c r="E15" s="363"/>
      <c r="F15" s="363"/>
      <c r="G15" s="350">
        <v>5.5</v>
      </c>
      <c r="L15" s="364" t="e">
        <f>#REF!/4</f>
        <v>#REF!</v>
      </c>
      <c r="M15" s="365" t="e">
        <f>#REF!/3</f>
        <v>#REF!</v>
      </c>
      <c r="N15" s="365" t="e">
        <f>#REF!/3</f>
        <v>#REF!</v>
      </c>
    </row>
    <row r="16" spans="1:15" x14ac:dyDescent="0.25">
      <c r="A16" s="366" t="s">
        <v>253</v>
      </c>
      <c r="B16" s="363"/>
      <c r="C16" s="363"/>
      <c r="D16" s="363"/>
      <c r="E16" s="363"/>
      <c r="F16" s="363"/>
      <c r="G16" s="350">
        <v>4</v>
      </c>
    </row>
    <row r="17" spans="1:7" x14ac:dyDescent="0.25">
      <c r="A17" s="362" t="s">
        <v>254</v>
      </c>
      <c r="B17" s="363"/>
      <c r="C17" s="363"/>
      <c r="D17" s="363"/>
      <c r="E17" s="363"/>
      <c r="F17" s="363"/>
      <c r="G17" s="350">
        <f>G15*G16</f>
        <v>22</v>
      </c>
    </row>
    <row r="18" spans="1:7" x14ac:dyDescent="0.25">
      <c r="A18" s="362" t="s">
        <v>255</v>
      </c>
      <c r="B18" s="363"/>
      <c r="C18" s="363"/>
      <c r="D18" s="363"/>
      <c r="E18" s="363"/>
      <c r="F18" s="363"/>
      <c r="G18" s="350">
        <v>6</v>
      </c>
    </row>
    <row r="19" spans="1:7" x14ac:dyDescent="0.25">
      <c r="A19" s="362" t="s">
        <v>256</v>
      </c>
      <c r="B19" s="363"/>
      <c r="C19" s="363"/>
      <c r="D19" s="363"/>
      <c r="E19" s="363"/>
      <c r="F19" s="363"/>
      <c r="G19" s="350">
        <v>7</v>
      </c>
    </row>
    <row r="20" spans="1:7" x14ac:dyDescent="0.25">
      <c r="A20" s="362" t="s">
        <v>257</v>
      </c>
      <c r="B20" s="363"/>
      <c r="C20" s="363"/>
      <c r="D20" s="363"/>
      <c r="E20" s="363"/>
      <c r="F20" s="363"/>
      <c r="G20" s="367">
        <f>G17/G18</f>
        <v>3.6666666666666665</v>
      </c>
    </row>
    <row r="21" spans="1:7" x14ac:dyDescent="0.25">
      <c r="A21" s="362" t="s">
        <v>258</v>
      </c>
      <c r="B21" s="363"/>
      <c r="C21" s="363"/>
      <c r="D21" s="363"/>
      <c r="E21" s="363"/>
      <c r="F21" s="363"/>
      <c r="G21" s="350">
        <v>30</v>
      </c>
    </row>
    <row r="22" spans="1:7" x14ac:dyDescent="0.25">
      <c r="A22" s="368" t="s">
        <v>259</v>
      </c>
      <c r="B22" s="369"/>
      <c r="C22" s="369"/>
      <c r="D22" s="369"/>
      <c r="E22" s="369"/>
      <c r="F22" s="369"/>
      <c r="G22" s="370">
        <f>G20*G21</f>
        <v>110</v>
      </c>
    </row>
    <row r="23" spans="1:7" x14ac:dyDescent="0.25">
      <c r="A23" s="368" t="s">
        <v>260</v>
      </c>
      <c r="B23" s="369"/>
      <c r="C23" s="369"/>
      <c r="D23" s="369"/>
      <c r="E23" s="369"/>
      <c r="F23" s="369"/>
      <c r="G23" s="370">
        <v>220</v>
      </c>
    </row>
    <row r="24" spans="1:7" x14ac:dyDescent="0.25">
      <c r="A24" s="368" t="s">
        <v>261</v>
      </c>
      <c r="B24" s="369"/>
      <c r="C24" s="369"/>
      <c r="D24" s="369"/>
      <c r="E24" s="369"/>
      <c r="F24" s="369"/>
      <c r="G24" s="371">
        <f>G22/G23</f>
        <v>0.5</v>
      </c>
    </row>
    <row r="25" spans="1:7" x14ac:dyDescent="0.25">
      <c r="A25" s="372"/>
      <c r="B25" s="373"/>
      <c r="C25" s="373"/>
      <c r="D25" s="373"/>
      <c r="E25" s="373"/>
      <c r="F25" s="373"/>
      <c r="G25" s="374"/>
    </row>
    <row r="26" spans="1:7" x14ac:dyDescent="0.25">
      <c r="A26" s="375" t="s">
        <v>373</v>
      </c>
      <c r="B26" s="373"/>
      <c r="C26" s="373"/>
      <c r="D26" s="373"/>
      <c r="E26" s="373"/>
      <c r="F26" s="373"/>
      <c r="G26" s="374"/>
    </row>
    <row r="27" spans="1:7" x14ac:dyDescent="0.25">
      <c r="A27" s="362" t="s">
        <v>362</v>
      </c>
      <c r="B27" s="363"/>
      <c r="C27" s="363"/>
      <c r="D27" s="363"/>
      <c r="E27" s="363"/>
      <c r="F27" s="363"/>
      <c r="G27" s="350">
        <v>5.5</v>
      </c>
    </row>
    <row r="28" spans="1:7" x14ac:dyDescent="0.25">
      <c r="A28" s="366" t="s">
        <v>253</v>
      </c>
      <c r="B28" s="363"/>
      <c r="C28" s="363"/>
      <c r="D28" s="363"/>
      <c r="E28" s="363"/>
      <c r="F28" s="363"/>
      <c r="G28" s="350">
        <v>4</v>
      </c>
    </row>
    <row r="29" spans="1:7" x14ac:dyDescent="0.25">
      <c r="A29" s="362" t="s">
        <v>254</v>
      </c>
      <c r="B29" s="363"/>
      <c r="C29" s="363"/>
      <c r="D29" s="363"/>
      <c r="E29" s="363"/>
      <c r="F29" s="363"/>
      <c r="G29" s="376">
        <f>G27*G28</f>
        <v>22</v>
      </c>
    </row>
    <row r="30" spans="1:7" x14ac:dyDescent="0.25">
      <c r="A30" s="362" t="s">
        <v>255</v>
      </c>
      <c r="B30" s="363"/>
      <c r="C30" s="363"/>
      <c r="D30" s="363"/>
      <c r="E30" s="363"/>
      <c r="F30" s="363"/>
      <c r="G30" s="350">
        <v>6</v>
      </c>
    </row>
    <row r="31" spans="1:7" x14ac:dyDescent="0.25">
      <c r="A31" s="362" t="s">
        <v>256</v>
      </c>
      <c r="B31" s="363"/>
      <c r="C31" s="363"/>
      <c r="D31" s="363"/>
      <c r="E31" s="363"/>
      <c r="F31" s="363"/>
      <c r="G31" s="350">
        <v>7</v>
      </c>
    </row>
    <row r="32" spans="1:7" x14ac:dyDescent="0.25">
      <c r="A32" s="362" t="s">
        <v>257</v>
      </c>
      <c r="B32" s="363"/>
      <c r="C32" s="363"/>
      <c r="D32" s="363"/>
      <c r="E32" s="363"/>
      <c r="F32" s="363"/>
      <c r="G32" s="367">
        <f>G29/G30</f>
        <v>3.6666666666666665</v>
      </c>
    </row>
    <row r="33" spans="1:7" x14ac:dyDescent="0.25">
      <c r="A33" s="362" t="s">
        <v>258</v>
      </c>
      <c r="B33" s="363"/>
      <c r="C33" s="363"/>
      <c r="D33" s="363"/>
      <c r="E33" s="363"/>
      <c r="F33" s="363"/>
      <c r="G33" s="350">
        <v>30</v>
      </c>
    </row>
    <row r="34" spans="1:7" x14ac:dyDescent="0.25">
      <c r="A34" s="368" t="s">
        <v>259</v>
      </c>
      <c r="B34" s="369"/>
      <c r="C34" s="369"/>
      <c r="D34" s="369"/>
      <c r="E34" s="369"/>
      <c r="F34" s="369"/>
      <c r="G34" s="377">
        <f>G32*G33</f>
        <v>110</v>
      </c>
    </row>
    <row r="35" spans="1:7" x14ac:dyDescent="0.25">
      <c r="A35" s="368" t="s">
        <v>260</v>
      </c>
      <c r="B35" s="369"/>
      <c r="C35" s="369"/>
      <c r="D35" s="369"/>
      <c r="E35" s="369"/>
      <c r="F35" s="369"/>
      <c r="G35" s="370">
        <v>220</v>
      </c>
    </row>
    <row r="36" spans="1:7" x14ac:dyDescent="0.25">
      <c r="A36" s="368" t="s">
        <v>261</v>
      </c>
      <c r="B36" s="369"/>
      <c r="C36" s="369"/>
      <c r="D36" s="369"/>
      <c r="E36" s="369"/>
      <c r="F36" s="369"/>
      <c r="G36" s="371">
        <f>G34/G35</f>
        <v>0.5</v>
      </c>
    </row>
    <row r="37" spans="1:7" x14ac:dyDescent="0.25">
      <c r="A37" s="372"/>
      <c r="B37" s="373"/>
      <c r="C37" s="373"/>
      <c r="D37" s="373"/>
      <c r="E37" s="373"/>
      <c r="F37" s="373"/>
      <c r="G37" s="374"/>
    </row>
  </sheetData>
  <mergeCells count="9">
    <mergeCell ref="A9:A10"/>
    <mergeCell ref="B9:B10"/>
    <mergeCell ref="C9:C10"/>
    <mergeCell ref="A5:A6"/>
    <mergeCell ref="B5:B6"/>
    <mergeCell ref="C5:C6"/>
    <mergeCell ref="A7:A8"/>
    <mergeCell ref="B7:B8"/>
    <mergeCell ref="C7:C8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0"/>
  <sheetViews>
    <sheetView topLeftCell="E8" workbookViewId="0">
      <selection activeCell="R38" sqref="R38"/>
    </sheetView>
  </sheetViews>
  <sheetFormatPr defaultColWidth="8.85546875" defaultRowHeight="15" x14ac:dyDescent="0.25"/>
  <cols>
    <col min="1" max="1" width="6.5703125" style="280" customWidth="1"/>
    <col min="2" max="2" width="17.5703125" style="280" customWidth="1"/>
    <col min="3" max="3" width="12" style="280" customWidth="1"/>
    <col min="4" max="4" width="16.28515625" style="280" customWidth="1"/>
    <col min="5" max="5" width="13.140625" style="280" customWidth="1"/>
    <col min="6" max="6" width="8" style="280" customWidth="1"/>
    <col min="7" max="7" width="6" style="280" customWidth="1"/>
    <col min="8" max="8" width="14.140625" style="280" customWidth="1"/>
    <col min="9" max="9" width="12.7109375" style="280" customWidth="1"/>
    <col min="10" max="10" width="21.42578125" style="280" customWidth="1"/>
    <col min="11" max="11" width="11.7109375" style="280" customWidth="1"/>
    <col min="12" max="12" width="8" style="280" customWidth="1"/>
    <col min="13" max="14" width="5.5703125" style="280" customWidth="1"/>
    <col min="15" max="15" width="10.140625" style="280" customWidth="1"/>
    <col min="16" max="16" width="35" style="280" customWidth="1"/>
    <col min="17" max="17" width="6.140625" style="280" customWidth="1"/>
    <col min="18" max="18" width="8.28515625" style="280" customWidth="1"/>
    <col min="19" max="19" width="15.140625" style="280" customWidth="1"/>
    <col min="20" max="20" width="5.140625" style="280" bestFit="1" customWidth="1"/>
    <col min="21" max="24" width="8.85546875" style="280"/>
    <col min="25" max="25" width="33.5703125" style="280" bestFit="1" customWidth="1"/>
    <col min="26" max="16384" width="8.85546875" style="280"/>
  </cols>
  <sheetData>
    <row r="1" spans="1:21" ht="15.75" thickBot="1" x14ac:dyDescent="0.3">
      <c r="H1" s="281"/>
      <c r="I1" s="281"/>
      <c r="K1" s="282"/>
    </row>
    <row r="2" spans="1:21" ht="15.75" thickBot="1" x14ac:dyDescent="0.3">
      <c r="B2" s="439" t="s">
        <v>279</v>
      </c>
      <c r="C2" s="440"/>
      <c r="D2" s="440"/>
      <c r="E2" s="440"/>
      <c r="F2" s="441"/>
      <c r="H2" s="439" t="s">
        <v>280</v>
      </c>
      <c r="I2" s="440"/>
      <c r="J2" s="440"/>
      <c r="K2" s="440"/>
      <c r="L2" s="441"/>
      <c r="M2" s="283"/>
      <c r="N2" s="283"/>
      <c r="O2" s="479" t="s">
        <v>281</v>
      </c>
      <c r="P2" s="480"/>
      <c r="Q2" s="480"/>
      <c r="R2" s="480"/>
      <c r="S2" s="480"/>
      <c r="T2" s="481"/>
    </row>
    <row r="3" spans="1:21" ht="15.75" thickBot="1" x14ac:dyDescent="0.3">
      <c r="A3" s="281"/>
      <c r="B3" s="434"/>
      <c r="C3" s="435"/>
      <c r="D3" s="435"/>
      <c r="E3" s="435"/>
      <c r="F3" s="436"/>
      <c r="G3" s="284"/>
      <c r="H3" s="434"/>
      <c r="I3" s="435"/>
      <c r="J3" s="435"/>
      <c r="K3" s="435"/>
      <c r="L3" s="436"/>
      <c r="M3" s="283"/>
      <c r="N3" s="283"/>
      <c r="O3" s="482"/>
      <c r="P3" s="483"/>
      <c r="Q3" s="483"/>
      <c r="R3" s="483"/>
      <c r="S3" s="483"/>
      <c r="T3" s="484"/>
    </row>
    <row r="4" spans="1:21" ht="15.75" thickBot="1" x14ac:dyDescent="0.3">
      <c r="B4" s="419" t="s">
        <v>282</v>
      </c>
      <c r="C4" s="420"/>
      <c r="D4" s="420"/>
      <c r="E4" s="420"/>
      <c r="F4" s="421"/>
      <c r="G4" s="284"/>
      <c r="H4" s="439" t="s">
        <v>283</v>
      </c>
      <c r="I4" s="440"/>
      <c r="J4" s="440"/>
      <c r="K4" s="440"/>
      <c r="L4" s="441"/>
      <c r="M4" s="285"/>
      <c r="N4" s="315"/>
      <c r="O4" s="473" t="s">
        <v>284</v>
      </c>
      <c r="P4" s="474"/>
      <c r="Q4" s="474"/>
      <c r="R4" s="474"/>
      <c r="S4" s="474"/>
      <c r="T4" s="475"/>
    </row>
    <row r="5" spans="1:21" x14ac:dyDescent="0.25">
      <c r="B5" s="422" t="s">
        <v>285</v>
      </c>
      <c r="C5" s="423"/>
      <c r="D5" s="423"/>
      <c r="E5" s="423"/>
      <c r="F5" s="424"/>
      <c r="G5" s="284"/>
      <c r="H5" s="442" t="s">
        <v>286</v>
      </c>
      <c r="I5" s="443"/>
      <c r="J5" s="443"/>
      <c r="K5" s="443"/>
      <c r="L5" s="444"/>
      <c r="M5" s="285"/>
      <c r="N5" s="315"/>
      <c r="O5" s="476" t="s">
        <v>287</v>
      </c>
      <c r="P5" s="477" t="s">
        <v>288</v>
      </c>
      <c r="Q5" s="477" t="s">
        <v>289</v>
      </c>
      <c r="R5" s="477"/>
      <c r="S5" s="477" t="s">
        <v>290</v>
      </c>
      <c r="T5" s="478" t="s">
        <v>291</v>
      </c>
    </row>
    <row r="6" spans="1:21" x14ac:dyDescent="0.25">
      <c r="A6" s="286"/>
      <c r="B6" s="287" t="s">
        <v>292</v>
      </c>
      <c r="C6" s="288" t="s">
        <v>293</v>
      </c>
      <c r="D6" s="288" t="s">
        <v>294</v>
      </c>
      <c r="E6" s="288" t="s">
        <v>295</v>
      </c>
      <c r="F6" s="289" t="s">
        <v>296</v>
      </c>
      <c r="G6" s="284"/>
      <c r="H6" s="428" t="s">
        <v>297</v>
      </c>
      <c r="I6" s="429"/>
      <c r="J6" s="430"/>
      <c r="K6" s="290">
        <v>8.8000000000000007</v>
      </c>
      <c r="L6" s="291" t="s">
        <v>115</v>
      </c>
      <c r="M6" s="285"/>
      <c r="N6" s="315"/>
      <c r="O6" s="452"/>
      <c r="P6" s="454"/>
      <c r="Q6" s="455"/>
      <c r="R6" s="455"/>
      <c r="S6" s="454"/>
      <c r="T6" s="457"/>
      <c r="U6" s="286"/>
    </row>
    <row r="7" spans="1:21" x14ac:dyDescent="0.25">
      <c r="A7" s="286"/>
      <c r="B7" s="287" t="s">
        <v>298</v>
      </c>
      <c r="C7" s="288"/>
      <c r="D7" s="292" t="s">
        <v>299</v>
      </c>
      <c r="E7" s="293">
        <v>3903.67</v>
      </c>
      <c r="F7" s="294" t="s">
        <v>300</v>
      </c>
      <c r="G7" s="281"/>
      <c r="H7" s="428" t="s">
        <v>301</v>
      </c>
      <c r="I7" s="429"/>
      <c r="J7" s="430"/>
      <c r="K7" s="295">
        <f>E17</f>
        <v>39.635200000000005</v>
      </c>
      <c r="L7" s="291" t="s">
        <v>115</v>
      </c>
      <c r="M7" s="285"/>
      <c r="N7" s="315"/>
      <c r="O7" s="296" t="s">
        <v>302</v>
      </c>
      <c r="P7" s="297" t="s">
        <v>303</v>
      </c>
      <c r="Q7" s="298">
        <v>1</v>
      </c>
      <c r="R7" s="299" t="s">
        <v>304</v>
      </c>
      <c r="S7" s="300">
        <f>K10</f>
        <v>106.0352</v>
      </c>
      <c r="T7" s="301" t="s">
        <v>115</v>
      </c>
      <c r="U7" s="286"/>
    </row>
    <row r="8" spans="1:21" x14ac:dyDescent="0.25">
      <c r="B8" s="287" t="s">
        <v>305</v>
      </c>
      <c r="C8" s="288"/>
      <c r="D8" s="292" t="s">
        <v>306</v>
      </c>
      <c r="E8" s="293">
        <v>3304.28</v>
      </c>
      <c r="F8" s="294" t="s">
        <v>300</v>
      </c>
      <c r="G8" s="281"/>
      <c r="H8" s="428" t="s">
        <v>307</v>
      </c>
      <c r="I8" s="429"/>
      <c r="J8" s="430"/>
      <c r="K8" s="293">
        <v>32.6</v>
      </c>
      <c r="L8" s="291" t="s">
        <v>115</v>
      </c>
      <c r="M8" s="302"/>
      <c r="N8" s="302"/>
      <c r="O8" s="428"/>
      <c r="P8" s="429"/>
      <c r="Q8" s="485"/>
      <c r="R8" s="485"/>
      <c r="S8" s="429"/>
      <c r="T8" s="486"/>
    </row>
    <row r="9" spans="1:21" x14ac:dyDescent="0.25">
      <c r="B9" s="287" t="s">
        <v>308</v>
      </c>
      <c r="C9" s="288"/>
      <c r="D9" s="292" t="s">
        <v>309</v>
      </c>
      <c r="E9" s="293">
        <v>5758.1</v>
      </c>
      <c r="F9" s="294" t="s">
        <v>300</v>
      </c>
      <c r="G9" s="281"/>
      <c r="H9" s="428" t="s">
        <v>310</v>
      </c>
      <c r="I9" s="429"/>
      <c r="J9" s="430"/>
      <c r="K9" s="293">
        <v>25</v>
      </c>
      <c r="L9" s="291" t="s">
        <v>115</v>
      </c>
      <c r="M9" s="285"/>
      <c r="N9" s="315"/>
      <c r="O9" s="470" t="s">
        <v>311</v>
      </c>
      <c r="P9" s="471"/>
      <c r="Q9" s="471"/>
      <c r="R9" s="472"/>
      <c r="S9" s="303">
        <f>(S7*Q7)</f>
        <v>106.0352</v>
      </c>
      <c r="T9" s="304" t="s">
        <v>312</v>
      </c>
    </row>
    <row r="10" spans="1:21" ht="15.75" thickBot="1" x14ac:dyDescent="0.3">
      <c r="B10" s="287" t="s">
        <v>313</v>
      </c>
      <c r="C10" s="288"/>
      <c r="D10" s="292" t="s">
        <v>314</v>
      </c>
      <c r="E10" s="293">
        <v>4163.66</v>
      </c>
      <c r="F10" s="294" t="s">
        <v>300</v>
      </c>
      <c r="G10" s="281"/>
      <c r="H10" s="431" t="s">
        <v>315</v>
      </c>
      <c r="I10" s="432"/>
      <c r="J10" s="433"/>
      <c r="K10" s="305">
        <f>SUM(K6:K9)</f>
        <v>106.0352</v>
      </c>
      <c r="L10" s="306" t="s">
        <v>115</v>
      </c>
      <c r="M10" s="285"/>
      <c r="N10" s="315"/>
      <c r="O10" s="467" t="s">
        <v>316</v>
      </c>
      <c r="P10" s="468"/>
      <c r="Q10" s="468"/>
      <c r="R10" s="469"/>
      <c r="S10" s="307">
        <f>((S9/7)*30)</f>
        <v>454.43657142857148</v>
      </c>
      <c r="T10" s="308" t="s">
        <v>312</v>
      </c>
    </row>
    <row r="11" spans="1:21" ht="15.75" thickBot="1" x14ac:dyDescent="0.3">
      <c r="B11" s="287" t="s">
        <v>317</v>
      </c>
      <c r="C11" s="288"/>
      <c r="D11" s="292" t="s">
        <v>318</v>
      </c>
      <c r="E11" s="293">
        <v>5608.2</v>
      </c>
      <c r="F11" s="294" t="s">
        <v>300</v>
      </c>
      <c r="G11" s="281"/>
      <c r="H11" s="434"/>
      <c r="I11" s="435"/>
      <c r="J11" s="435"/>
      <c r="K11" s="435"/>
      <c r="L11" s="436"/>
      <c r="M11" s="309"/>
      <c r="N11" s="309"/>
      <c r="O11" s="458"/>
      <c r="P11" s="459"/>
      <c r="Q11" s="459"/>
      <c r="R11" s="459"/>
      <c r="S11" s="459"/>
      <c r="T11" s="460"/>
    </row>
    <row r="12" spans="1:21" ht="15.75" thickBot="1" x14ac:dyDescent="0.3">
      <c r="B12" s="287" t="s">
        <v>319</v>
      </c>
      <c r="C12" s="288"/>
      <c r="D12" s="292" t="s">
        <v>320</v>
      </c>
      <c r="E12" s="293">
        <v>3031.64</v>
      </c>
      <c r="F12" s="294" t="s">
        <v>300</v>
      </c>
      <c r="G12" s="281"/>
      <c r="H12" s="439" t="s">
        <v>321</v>
      </c>
      <c r="I12" s="440"/>
      <c r="J12" s="440"/>
      <c r="K12" s="440"/>
      <c r="L12" s="441"/>
      <c r="M12" s="310"/>
      <c r="N12" s="311"/>
      <c r="O12" s="461"/>
      <c r="P12" s="462"/>
      <c r="Q12" s="462"/>
      <c r="R12" s="462"/>
      <c r="S12" s="462"/>
      <c r="T12" s="463"/>
    </row>
    <row r="13" spans="1:21" ht="15.75" thickBot="1" x14ac:dyDescent="0.3">
      <c r="B13" s="287" t="s">
        <v>322</v>
      </c>
      <c r="C13" s="288"/>
      <c r="D13" s="292" t="s">
        <v>323</v>
      </c>
      <c r="E13" s="293">
        <v>2184.6</v>
      </c>
      <c r="F13" s="294" t="s">
        <v>300</v>
      </c>
      <c r="G13" s="281"/>
      <c r="H13" s="442" t="s">
        <v>324</v>
      </c>
      <c r="I13" s="443"/>
      <c r="J13" s="443"/>
      <c r="K13" s="443"/>
      <c r="L13" s="444"/>
      <c r="M13" s="310"/>
      <c r="N13" s="311"/>
      <c r="O13" s="464" t="s">
        <v>325</v>
      </c>
      <c r="P13" s="465"/>
      <c r="Q13" s="465"/>
      <c r="R13" s="465"/>
      <c r="S13" s="465"/>
      <c r="T13" s="466"/>
    </row>
    <row r="14" spans="1:21" x14ac:dyDescent="0.25">
      <c r="B14" s="287" t="s">
        <v>326</v>
      </c>
      <c r="C14" s="288"/>
      <c r="D14" s="292" t="s">
        <v>327</v>
      </c>
      <c r="E14" s="293">
        <v>5316.24</v>
      </c>
      <c r="F14" s="294" t="s">
        <v>300</v>
      </c>
      <c r="G14" s="281"/>
      <c r="H14" s="428" t="s">
        <v>297</v>
      </c>
      <c r="I14" s="429"/>
      <c r="J14" s="430"/>
      <c r="K14" s="312">
        <v>8.8000000000000007</v>
      </c>
      <c r="L14" s="291" t="s">
        <v>115</v>
      </c>
      <c r="M14" s="284"/>
      <c r="N14" s="379"/>
      <c r="O14" s="451" t="s">
        <v>287</v>
      </c>
      <c r="P14" s="453" t="s">
        <v>288</v>
      </c>
      <c r="Q14" s="453" t="s">
        <v>289</v>
      </c>
      <c r="R14" s="453"/>
      <c r="S14" s="453" t="s">
        <v>290</v>
      </c>
      <c r="T14" s="456" t="s">
        <v>291</v>
      </c>
    </row>
    <row r="15" spans="1:21" ht="15" customHeight="1" x14ac:dyDescent="0.25">
      <c r="B15" s="287" t="s">
        <v>328</v>
      </c>
      <c r="C15" s="288"/>
      <c r="D15" s="292" t="s">
        <v>329</v>
      </c>
      <c r="E15" s="293">
        <v>2657.58</v>
      </c>
      <c r="F15" s="294" t="s">
        <v>300</v>
      </c>
      <c r="G15" s="281"/>
      <c r="H15" s="428" t="s">
        <v>301</v>
      </c>
      <c r="I15" s="429"/>
      <c r="J15" s="430"/>
      <c r="K15" s="295">
        <f>E29</f>
        <v>47.654530000000001</v>
      </c>
      <c r="L15" s="291" t="s">
        <v>115</v>
      </c>
      <c r="M15" s="284"/>
      <c r="N15" s="379"/>
      <c r="O15" s="452"/>
      <c r="P15" s="454"/>
      <c r="Q15" s="455"/>
      <c r="R15" s="455"/>
      <c r="S15" s="454"/>
      <c r="T15" s="457"/>
    </row>
    <row r="16" spans="1:21" ht="15.75" customHeight="1" x14ac:dyDescent="0.25">
      <c r="B16" s="287" t="s">
        <v>330</v>
      </c>
      <c r="C16" s="288"/>
      <c r="D16" s="292" t="s">
        <v>331</v>
      </c>
      <c r="E16" s="293">
        <v>3707.23</v>
      </c>
      <c r="F16" s="294" t="s">
        <v>300</v>
      </c>
      <c r="G16" s="281"/>
      <c r="H16" s="428" t="s">
        <v>307</v>
      </c>
      <c r="I16" s="429"/>
      <c r="J16" s="430"/>
      <c r="K16" s="293">
        <v>32.6</v>
      </c>
      <c r="L16" s="291" t="s">
        <v>115</v>
      </c>
      <c r="M16" s="284"/>
      <c r="N16" s="379"/>
      <c r="O16" s="296" t="s">
        <v>302</v>
      </c>
      <c r="P16" s="390" t="s">
        <v>395</v>
      </c>
      <c r="Q16" s="298">
        <v>2</v>
      </c>
      <c r="R16" s="299" t="s">
        <v>304</v>
      </c>
      <c r="S16" s="300">
        <f>K10</f>
        <v>106.0352</v>
      </c>
      <c r="T16" s="301" t="s">
        <v>115</v>
      </c>
    </row>
    <row r="17" spans="2:27" ht="15.75" thickBot="1" x14ac:dyDescent="0.3">
      <c r="B17" s="417" t="s">
        <v>332</v>
      </c>
      <c r="C17" s="418"/>
      <c r="D17" s="418"/>
      <c r="E17" s="313">
        <f>SUM(E7:E16)/1000</f>
        <v>39.635200000000005</v>
      </c>
      <c r="F17" s="314" t="s">
        <v>115</v>
      </c>
      <c r="G17" s="281"/>
      <c r="H17" s="428" t="s">
        <v>310</v>
      </c>
      <c r="I17" s="429"/>
      <c r="J17" s="430"/>
      <c r="K17" s="293">
        <v>25</v>
      </c>
      <c r="L17" s="291" t="s">
        <v>115</v>
      </c>
      <c r="M17" s="284"/>
      <c r="N17" s="379"/>
      <c r="O17" s="445"/>
      <c r="P17" s="446"/>
      <c r="Q17" s="447"/>
      <c r="R17" s="447"/>
      <c r="S17" s="446"/>
      <c r="T17" s="448"/>
    </row>
    <row r="18" spans="2:27" ht="15.75" thickBot="1" x14ac:dyDescent="0.3">
      <c r="B18" s="410"/>
      <c r="C18" s="411"/>
      <c r="D18" s="411"/>
      <c r="E18" s="411"/>
      <c r="F18" s="412"/>
      <c r="G18" s="281"/>
      <c r="H18" s="431" t="s">
        <v>315</v>
      </c>
      <c r="I18" s="432"/>
      <c r="J18" s="433"/>
      <c r="K18" s="305">
        <f>SUM(K14:K17)</f>
        <v>114.05453</v>
      </c>
      <c r="L18" s="306" t="s">
        <v>115</v>
      </c>
      <c r="M18" s="284"/>
      <c r="N18" s="379"/>
      <c r="O18" s="449" t="s">
        <v>311</v>
      </c>
      <c r="P18" s="450"/>
      <c r="Q18" s="450"/>
      <c r="R18" s="450"/>
      <c r="S18" s="303">
        <f>(Q16*S16)</f>
        <v>212.07040000000001</v>
      </c>
      <c r="T18" s="304" t="s">
        <v>312</v>
      </c>
    </row>
    <row r="19" spans="2:27" ht="15.75" thickBot="1" x14ac:dyDescent="0.3">
      <c r="B19" s="413"/>
      <c r="C19" s="414"/>
      <c r="D19" s="414"/>
      <c r="E19" s="414"/>
      <c r="F19" s="415"/>
      <c r="G19" s="281"/>
      <c r="H19" s="434"/>
      <c r="I19" s="435"/>
      <c r="J19" s="435"/>
      <c r="K19" s="435"/>
      <c r="L19" s="436"/>
      <c r="M19" s="284"/>
      <c r="N19" s="379"/>
      <c r="O19" s="437" t="s">
        <v>316</v>
      </c>
      <c r="P19" s="438"/>
      <c r="Q19" s="438"/>
      <c r="R19" s="438"/>
      <c r="S19" s="316">
        <f>((S18/7)*30)</f>
        <v>908.87314285714297</v>
      </c>
      <c r="T19" s="317" t="s">
        <v>312</v>
      </c>
    </row>
    <row r="20" spans="2:27" ht="15.75" thickBot="1" x14ac:dyDescent="0.3">
      <c r="B20" s="419" t="s">
        <v>333</v>
      </c>
      <c r="C20" s="420"/>
      <c r="D20" s="420"/>
      <c r="E20" s="420"/>
      <c r="F20" s="421"/>
      <c r="G20" s="281"/>
      <c r="H20" s="439" t="s">
        <v>321</v>
      </c>
      <c r="I20" s="440"/>
      <c r="J20" s="440"/>
      <c r="K20" s="440"/>
      <c r="L20" s="441"/>
      <c r="M20" s="284"/>
      <c r="N20" s="379"/>
      <c r="O20" s="458"/>
      <c r="P20" s="459"/>
      <c r="Q20" s="459"/>
      <c r="R20" s="459"/>
      <c r="S20" s="459"/>
      <c r="T20" s="460"/>
    </row>
    <row r="21" spans="2:27" ht="15.75" thickBot="1" x14ac:dyDescent="0.3">
      <c r="B21" s="422" t="s">
        <v>334</v>
      </c>
      <c r="C21" s="423"/>
      <c r="D21" s="423"/>
      <c r="E21" s="423"/>
      <c r="F21" s="424"/>
      <c r="G21" s="281"/>
      <c r="H21" s="442" t="s">
        <v>335</v>
      </c>
      <c r="I21" s="443"/>
      <c r="J21" s="443"/>
      <c r="K21" s="443"/>
      <c r="L21" s="444"/>
      <c r="M21" s="284"/>
      <c r="N21" s="379"/>
      <c r="O21" s="461"/>
      <c r="P21" s="462"/>
      <c r="Q21" s="462"/>
      <c r="R21" s="462"/>
      <c r="S21" s="462"/>
      <c r="T21" s="463"/>
    </row>
    <row r="22" spans="2:27" ht="15.75" thickBot="1" x14ac:dyDescent="0.3">
      <c r="B22" s="287" t="s">
        <v>292</v>
      </c>
      <c r="C22" s="288" t="s">
        <v>293</v>
      </c>
      <c r="D22" s="288" t="s">
        <v>294</v>
      </c>
      <c r="E22" s="288" t="s">
        <v>295</v>
      </c>
      <c r="F22" s="289" t="s">
        <v>296</v>
      </c>
      <c r="G22" s="281"/>
      <c r="H22" s="428" t="s">
        <v>297</v>
      </c>
      <c r="I22" s="429"/>
      <c r="J22" s="430"/>
      <c r="K22" s="312">
        <v>8.8000000000000007</v>
      </c>
      <c r="L22" s="291" t="s">
        <v>115</v>
      </c>
      <c r="M22" s="284"/>
      <c r="N22" s="379"/>
      <c r="O22" s="464" t="s">
        <v>336</v>
      </c>
      <c r="P22" s="465"/>
      <c r="Q22" s="465"/>
      <c r="R22" s="465"/>
      <c r="S22" s="465"/>
      <c r="T22" s="466"/>
    </row>
    <row r="23" spans="2:27" x14ac:dyDescent="0.25">
      <c r="B23" s="287" t="s">
        <v>298</v>
      </c>
      <c r="C23" s="288"/>
      <c r="D23" s="292" t="s">
        <v>299</v>
      </c>
      <c r="E23" s="293">
        <v>5997.15</v>
      </c>
      <c r="F23" s="294" t="s">
        <v>300</v>
      </c>
      <c r="G23" s="281"/>
      <c r="H23" s="428" t="s">
        <v>301</v>
      </c>
      <c r="I23" s="429"/>
      <c r="J23" s="430"/>
      <c r="K23" s="295">
        <f>E41</f>
        <v>37.114700000000006</v>
      </c>
      <c r="L23" s="291" t="s">
        <v>115</v>
      </c>
      <c r="M23" s="285"/>
      <c r="N23" s="315"/>
      <c r="O23" s="451" t="s">
        <v>287</v>
      </c>
      <c r="P23" s="453" t="s">
        <v>288</v>
      </c>
      <c r="Q23" s="453" t="s">
        <v>289</v>
      </c>
      <c r="R23" s="453"/>
      <c r="S23" s="453" t="s">
        <v>290</v>
      </c>
      <c r="T23" s="456" t="s">
        <v>291</v>
      </c>
      <c r="U23" s="281"/>
      <c r="V23" s="281"/>
      <c r="W23" s="318" t="s">
        <v>337</v>
      </c>
      <c r="X23" s="281"/>
      <c r="Y23" s="281"/>
      <c r="Z23" s="281"/>
      <c r="AA23" s="281"/>
    </row>
    <row r="24" spans="2:27" x14ac:dyDescent="0.25">
      <c r="B24" s="287" t="s">
        <v>305</v>
      </c>
      <c r="C24" s="288"/>
      <c r="D24" s="292" t="s">
        <v>306</v>
      </c>
      <c r="E24" s="293">
        <v>9675.7999999999993</v>
      </c>
      <c r="F24" s="294" t="s">
        <v>300</v>
      </c>
      <c r="G24" s="281"/>
      <c r="H24" s="428" t="s">
        <v>307</v>
      </c>
      <c r="I24" s="429"/>
      <c r="J24" s="430"/>
      <c r="K24" s="293">
        <v>32.6</v>
      </c>
      <c r="L24" s="291" t="s">
        <v>115</v>
      </c>
      <c r="M24" s="285"/>
      <c r="N24" s="315"/>
      <c r="O24" s="452"/>
      <c r="P24" s="454"/>
      <c r="Q24" s="455"/>
      <c r="R24" s="455"/>
      <c r="S24" s="454"/>
      <c r="T24" s="457"/>
      <c r="U24" s="281"/>
      <c r="V24" s="281"/>
      <c r="W24" s="281"/>
      <c r="X24" s="281"/>
      <c r="Y24" s="281"/>
      <c r="Z24" s="281"/>
      <c r="AA24" s="281"/>
    </row>
    <row r="25" spans="2:27" x14ac:dyDescent="0.25">
      <c r="B25" s="287" t="s">
        <v>308</v>
      </c>
      <c r="C25" s="288"/>
      <c r="D25" s="292" t="s">
        <v>309</v>
      </c>
      <c r="E25" s="293">
        <v>4357.7</v>
      </c>
      <c r="F25" s="294" t="s">
        <v>300</v>
      </c>
      <c r="G25" s="281"/>
      <c r="H25" s="428" t="s">
        <v>310</v>
      </c>
      <c r="I25" s="429"/>
      <c r="J25" s="430"/>
      <c r="K25" s="293">
        <v>25</v>
      </c>
      <c r="L25" s="291" t="s">
        <v>115</v>
      </c>
      <c r="M25" s="285"/>
      <c r="N25" s="315"/>
      <c r="O25" s="296" t="s">
        <v>338</v>
      </c>
      <c r="P25" s="390" t="s">
        <v>391</v>
      </c>
      <c r="Q25" s="298">
        <v>1</v>
      </c>
      <c r="R25" s="299" t="s">
        <v>304</v>
      </c>
      <c r="S25" s="300">
        <f>K18</f>
        <v>114.05453</v>
      </c>
      <c r="T25" s="301" t="s">
        <v>115</v>
      </c>
      <c r="U25" s="281"/>
      <c r="V25" s="281"/>
      <c r="W25" s="281"/>
      <c r="X25" s="281"/>
      <c r="Y25" s="281"/>
      <c r="Z25" s="281"/>
      <c r="AA25" s="281"/>
    </row>
    <row r="26" spans="2:27" ht="15.75" thickBot="1" x14ac:dyDescent="0.3">
      <c r="B26" s="287" t="s">
        <v>313</v>
      </c>
      <c r="C26" s="288"/>
      <c r="D26" s="292" t="s">
        <v>314</v>
      </c>
      <c r="E26" s="293">
        <v>8754.44</v>
      </c>
      <c r="F26" s="294" t="s">
        <v>300</v>
      </c>
      <c r="G26" s="281"/>
      <c r="H26" s="431" t="s">
        <v>315</v>
      </c>
      <c r="I26" s="432"/>
      <c r="J26" s="433"/>
      <c r="K26" s="305">
        <f>SUM(K22:K25)</f>
        <v>103.5147</v>
      </c>
      <c r="L26" s="306" t="s">
        <v>115</v>
      </c>
      <c r="M26" s="309"/>
      <c r="N26" s="309"/>
      <c r="O26" s="445"/>
      <c r="P26" s="446"/>
      <c r="Q26" s="447"/>
      <c r="R26" s="447"/>
      <c r="S26" s="446"/>
      <c r="T26" s="448"/>
      <c r="U26" s="281"/>
      <c r="V26" s="281"/>
      <c r="W26" s="281"/>
      <c r="X26" s="281"/>
      <c r="Y26" s="281"/>
      <c r="Z26" s="281"/>
      <c r="AA26" s="281"/>
    </row>
    <row r="27" spans="2:27" ht="15.75" thickBot="1" x14ac:dyDescent="0.3">
      <c r="B27" s="287" t="s">
        <v>317</v>
      </c>
      <c r="C27" s="288"/>
      <c r="D27" s="292" t="s">
        <v>318</v>
      </c>
      <c r="E27" s="293">
        <v>12007.16</v>
      </c>
      <c r="F27" s="294" t="s">
        <v>300</v>
      </c>
      <c r="G27" s="281"/>
      <c r="H27" s="434"/>
      <c r="I27" s="435"/>
      <c r="J27" s="435"/>
      <c r="K27" s="435"/>
      <c r="L27" s="436"/>
      <c r="M27" s="285"/>
      <c r="N27" s="315"/>
      <c r="O27" s="296" t="s">
        <v>339</v>
      </c>
      <c r="P27" s="390" t="s">
        <v>392</v>
      </c>
      <c r="Q27" s="298">
        <v>1</v>
      </c>
      <c r="R27" s="299" t="s">
        <v>304</v>
      </c>
      <c r="S27" s="300">
        <f>K26</f>
        <v>103.5147</v>
      </c>
      <c r="T27" s="301" t="s">
        <v>115</v>
      </c>
      <c r="U27" s="281"/>
      <c r="V27" s="281"/>
      <c r="W27" s="281"/>
      <c r="X27" s="281"/>
      <c r="Y27" s="281"/>
      <c r="Z27" s="281"/>
      <c r="AA27" s="281"/>
    </row>
    <row r="28" spans="2:27" ht="15.75" thickBot="1" x14ac:dyDescent="0.3">
      <c r="B28" s="287" t="s">
        <v>319</v>
      </c>
      <c r="C28" s="288"/>
      <c r="D28" s="292" t="s">
        <v>320</v>
      </c>
      <c r="E28" s="293">
        <v>6862.28</v>
      </c>
      <c r="F28" s="294" t="s">
        <v>300</v>
      </c>
      <c r="G28" s="281"/>
      <c r="H28" s="439" t="s">
        <v>321</v>
      </c>
      <c r="I28" s="440"/>
      <c r="J28" s="440"/>
      <c r="K28" s="440"/>
      <c r="L28" s="441"/>
      <c r="M28" s="309"/>
      <c r="N28" s="309"/>
      <c r="O28" s="445"/>
      <c r="P28" s="446"/>
      <c r="Q28" s="447"/>
      <c r="R28" s="447"/>
      <c r="S28" s="446"/>
      <c r="T28" s="448"/>
      <c r="U28" s="281"/>
      <c r="V28" s="281"/>
      <c r="W28" s="281"/>
      <c r="X28" s="281"/>
      <c r="Y28" s="281"/>
      <c r="Z28" s="281"/>
      <c r="AA28" s="281"/>
    </row>
    <row r="29" spans="2:27" ht="15.75" thickBot="1" x14ac:dyDescent="0.3">
      <c r="B29" s="417" t="s">
        <v>332</v>
      </c>
      <c r="C29" s="418"/>
      <c r="D29" s="418"/>
      <c r="E29" s="313">
        <f>SUM(E23:E28)/1000</f>
        <v>47.654530000000001</v>
      </c>
      <c r="F29" s="314" t="s">
        <v>115</v>
      </c>
      <c r="G29" s="281"/>
      <c r="H29" s="442" t="s">
        <v>340</v>
      </c>
      <c r="I29" s="443"/>
      <c r="J29" s="443"/>
      <c r="K29" s="443"/>
      <c r="L29" s="444"/>
      <c r="O29" s="296" t="s">
        <v>341</v>
      </c>
      <c r="P29" s="390" t="s">
        <v>393</v>
      </c>
      <c r="Q29" s="298">
        <v>1</v>
      </c>
      <c r="R29" s="299" t="s">
        <v>304</v>
      </c>
      <c r="S29" s="300">
        <f>K34</f>
        <v>101.73856000000001</v>
      </c>
      <c r="T29" s="301" t="s">
        <v>115</v>
      </c>
      <c r="U29" s="281"/>
      <c r="V29" s="281"/>
      <c r="W29" s="281"/>
      <c r="X29" s="281"/>
      <c r="Y29" s="281"/>
      <c r="Z29" s="281"/>
      <c r="AA29" s="281"/>
    </row>
    <row r="30" spans="2:27" x14ac:dyDescent="0.25">
      <c r="B30" s="410"/>
      <c r="C30" s="411"/>
      <c r="D30" s="411"/>
      <c r="E30" s="411"/>
      <c r="F30" s="412"/>
      <c r="G30" s="281"/>
      <c r="H30" s="428" t="s">
        <v>297</v>
      </c>
      <c r="I30" s="429"/>
      <c r="J30" s="430"/>
      <c r="K30" s="312">
        <v>8.8000000000000007</v>
      </c>
      <c r="L30" s="291" t="s">
        <v>115</v>
      </c>
      <c r="O30" s="445"/>
      <c r="P30" s="446"/>
      <c r="Q30" s="447"/>
      <c r="R30" s="447"/>
      <c r="S30" s="446"/>
      <c r="T30" s="448"/>
      <c r="U30" s="281"/>
      <c r="V30" s="281"/>
      <c r="W30" s="281"/>
      <c r="X30" s="281"/>
      <c r="Y30" s="281"/>
      <c r="Z30" s="281"/>
      <c r="AA30" s="281"/>
    </row>
    <row r="31" spans="2:27" ht="15.75" thickBot="1" x14ac:dyDescent="0.3">
      <c r="B31" s="413"/>
      <c r="C31" s="414"/>
      <c r="D31" s="414"/>
      <c r="E31" s="414"/>
      <c r="F31" s="415"/>
      <c r="G31" s="281"/>
      <c r="H31" s="428" t="s">
        <v>301</v>
      </c>
      <c r="I31" s="429"/>
      <c r="J31" s="430"/>
      <c r="K31" s="295">
        <f>E53</f>
        <v>35.338560000000001</v>
      </c>
      <c r="L31" s="291" t="s">
        <v>115</v>
      </c>
      <c r="O31" s="296" t="s">
        <v>342</v>
      </c>
      <c r="P31" s="390" t="s">
        <v>394</v>
      </c>
      <c r="Q31" s="298">
        <v>1</v>
      </c>
      <c r="R31" s="299" t="s">
        <v>304</v>
      </c>
      <c r="S31" s="300">
        <f>K42</f>
        <v>113.75391999999999</v>
      </c>
      <c r="T31" s="301" t="s">
        <v>115</v>
      </c>
      <c r="U31" s="281"/>
      <c r="V31" s="281"/>
      <c r="W31" s="281"/>
      <c r="X31" s="281"/>
      <c r="Y31" s="281"/>
      <c r="Z31" s="281"/>
      <c r="AA31" s="281"/>
    </row>
    <row r="32" spans="2:27" ht="15.75" thickBot="1" x14ac:dyDescent="0.3">
      <c r="B32" s="419" t="s">
        <v>343</v>
      </c>
      <c r="C32" s="420"/>
      <c r="D32" s="420"/>
      <c r="E32" s="420"/>
      <c r="F32" s="421"/>
      <c r="G32" s="281"/>
      <c r="H32" s="428" t="s">
        <v>307</v>
      </c>
      <c r="I32" s="429"/>
      <c r="J32" s="430"/>
      <c r="K32" s="293">
        <v>32.6</v>
      </c>
      <c r="L32" s="291" t="s">
        <v>115</v>
      </c>
      <c r="O32" s="445"/>
      <c r="P32" s="446"/>
      <c r="Q32" s="447"/>
      <c r="R32" s="447"/>
      <c r="S32" s="446"/>
      <c r="T32" s="448"/>
      <c r="U32" s="281"/>
      <c r="V32" s="281"/>
      <c r="W32" s="281"/>
      <c r="X32" s="281"/>
      <c r="Y32" s="281"/>
      <c r="Z32" s="281"/>
      <c r="AA32" s="281"/>
    </row>
    <row r="33" spans="2:27" x14ac:dyDescent="0.25">
      <c r="B33" s="422" t="s">
        <v>344</v>
      </c>
      <c r="C33" s="423"/>
      <c r="D33" s="423"/>
      <c r="E33" s="423"/>
      <c r="F33" s="424"/>
      <c r="G33" s="281"/>
      <c r="H33" s="428" t="s">
        <v>310</v>
      </c>
      <c r="I33" s="429"/>
      <c r="J33" s="430"/>
      <c r="K33" s="293">
        <v>25</v>
      </c>
      <c r="L33" s="291" t="s">
        <v>115</v>
      </c>
      <c r="O33" s="449" t="s">
        <v>345</v>
      </c>
      <c r="P33" s="450"/>
      <c r="Q33" s="450"/>
      <c r="R33" s="450"/>
      <c r="S33" s="303">
        <f>((Q25*S25)+(Q27*S27)+(Q29*S29)+(Q31*S31))/4</f>
        <v>108.2654275</v>
      </c>
      <c r="T33" s="304" t="s">
        <v>312</v>
      </c>
      <c r="U33" s="281"/>
      <c r="V33" s="281"/>
      <c r="W33" s="281"/>
      <c r="X33" s="281"/>
      <c r="Y33" s="281"/>
      <c r="Z33" s="281"/>
      <c r="AA33" s="281"/>
    </row>
    <row r="34" spans="2:27" ht="15.75" thickBot="1" x14ac:dyDescent="0.3">
      <c r="B34" s="287" t="s">
        <v>292</v>
      </c>
      <c r="C34" s="288" t="s">
        <v>293</v>
      </c>
      <c r="D34" s="288" t="s">
        <v>294</v>
      </c>
      <c r="E34" s="288" t="s">
        <v>295</v>
      </c>
      <c r="F34" s="289" t="s">
        <v>296</v>
      </c>
      <c r="G34" s="281"/>
      <c r="H34" s="431" t="s">
        <v>315</v>
      </c>
      <c r="I34" s="432"/>
      <c r="J34" s="433"/>
      <c r="K34" s="305">
        <f>SUM(K30:K33)</f>
        <v>101.73856000000001</v>
      </c>
      <c r="L34" s="306" t="s">
        <v>115</v>
      </c>
      <c r="O34" s="437" t="s">
        <v>316</v>
      </c>
      <c r="P34" s="438"/>
      <c r="Q34" s="438"/>
      <c r="R34" s="438"/>
      <c r="S34" s="316">
        <f>S25+S27+S29+S31</f>
        <v>433.06171000000001</v>
      </c>
      <c r="T34" s="317" t="s">
        <v>312</v>
      </c>
      <c r="U34" s="281"/>
      <c r="V34" s="319"/>
      <c r="W34" s="281"/>
      <c r="X34" s="281"/>
      <c r="Y34" s="281"/>
      <c r="Z34" s="281"/>
      <c r="AA34" s="281"/>
    </row>
    <row r="35" spans="2:27" ht="15.75" thickBot="1" x14ac:dyDescent="0.3">
      <c r="B35" s="287" t="s">
        <v>298</v>
      </c>
      <c r="C35" s="288"/>
      <c r="D35" s="292" t="s">
        <v>299</v>
      </c>
      <c r="E35" s="293">
        <v>4475.97</v>
      </c>
      <c r="F35" s="294" t="s">
        <v>300</v>
      </c>
      <c r="H35" s="434"/>
      <c r="I35" s="435"/>
      <c r="J35" s="435"/>
      <c r="K35" s="435"/>
      <c r="L35" s="436"/>
      <c r="U35" s="281"/>
      <c r="V35" s="281"/>
      <c r="W35" s="281"/>
      <c r="X35" s="281"/>
      <c r="Y35" s="281"/>
      <c r="Z35" s="281"/>
      <c r="AA35" s="281"/>
    </row>
    <row r="36" spans="2:27" ht="15.75" thickBot="1" x14ac:dyDescent="0.3">
      <c r="B36" s="287" t="s">
        <v>305</v>
      </c>
      <c r="C36" s="288"/>
      <c r="D36" s="292" t="s">
        <v>306</v>
      </c>
      <c r="E36" s="293">
        <v>7140.04</v>
      </c>
      <c r="F36" s="294" t="s">
        <v>300</v>
      </c>
      <c r="H36" s="439" t="s">
        <v>321</v>
      </c>
      <c r="I36" s="440"/>
      <c r="J36" s="440"/>
      <c r="K36" s="440"/>
      <c r="L36" s="441"/>
      <c r="P36" s="383" t="s">
        <v>389</v>
      </c>
      <c r="Q36" s="384"/>
      <c r="R36" s="388">
        <f>43*4</f>
        <v>172</v>
      </c>
      <c r="S36" s="389" t="s">
        <v>312</v>
      </c>
      <c r="U36" s="281"/>
      <c r="V36" s="281"/>
      <c r="W36" s="281"/>
      <c r="X36" s="281"/>
      <c r="Y36" s="281"/>
      <c r="Z36" s="281"/>
      <c r="AA36" s="281"/>
    </row>
    <row r="37" spans="2:27" x14ac:dyDescent="0.25">
      <c r="B37" s="287" t="s">
        <v>308</v>
      </c>
      <c r="C37" s="288"/>
      <c r="D37" s="292" t="s">
        <v>309</v>
      </c>
      <c r="E37" s="293">
        <v>5856.96</v>
      </c>
      <c r="F37" s="294" t="s">
        <v>300</v>
      </c>
      <c r="H37" s="442" t="s">
        <v>346</v>
      </c>
      <c r="I37" s="443"/>
      <c r="J37" s="443"/>
      <c r="K37" s="443"/>
      <c r="L37" s="444"/>
      <c r="O37" s="281"/>
      <c r="P37" s="385"/>
      <c r="Q37" s="386"/>
      <c r="R37" s="387"/>
      <c r="S37" s="281"/>
      <c r="T37" s="281"/>
      <c r="U37" s="281"/>
      <c r="V37" s="281"/>
      <c r="W37" s="281"/>
      <c r="X37" s="281"/>
      <c r="Y37" s="281"/>
      <c r="Z37" s="281"/>
      <c r="AA37" s="281"/>
    </row>
    <row r="38" spans="2:27" x14ac:dyDescent="0.25">
      <c r="B38" s="287" t="s">
        <v>313</v>
      </c>
      <c r="C38" s="288"/>
      <c r="D38" s="292" t="s">
        <v>314</v>
      </c>
      <c r="E38" s="293">
        <v>9246.43</v>
      </c>
      <c r="F38" s="294" t="s">
        <v>300</v>
      </c>
      <c r="H38" s="428" t="s">
        <v>297</v>
      </c>
      <c r="I38" s="429"/>
      <c r="J38" s="430"/>
      <c r="K38" s="312">
        <v>8.8000000000000007</v>
      </c>
      <c r="L38" s="291" t="s">
        <v>115</v>
      </c>
      <c r="R38" s="488"/>
      <c r="U38" s="281"/>
      <c r="V38" s="281"/>
      <c r="W38" s="281"/>
      <c r="X38" s="281"/>
      <c r="Y38" s="281"/>
      <c r="Z38" s="281"/>
      <c r="AA38" s="281"/>
    </row>
    <row r="39" spans="2:27" x14ac:dyDescent="0.25">
      <c r="B39" s="287" t="s">
        <v>317</v>
      </c>
      <c r="C39" s="288"/>
      <c r="D39" s="292" t="s">
        <v>318</v>
      </c>
      <c r="E39" s="293">
        <v>5470.76</v>
      </c>
      <c r="F39" s="294" t="s">
        <v>300</v>
      </c>
      <c r="H39" s="428" t="s">
        <v>301</v>
      </c>
      <c r="I39" s="429"/>
      <c r="J39" s="430"/>
      <c r="K39" s="295">
        <f>E65</f>
        <v>47.353919999999988</v>
      </c>
      <c r="L39" s="291" t="s">
        <v>115</v>
      </c>
      <c r="U39" s="281"/>
      <c r="V39" s="281"/>
      <c r="W39" s="281"/>
      <c r="X39" s="281"/>
      <c r="Y39" s="281"/>
      <c r="Z39" s="281"/>
      <c r="AA39" s="281"/>
    </row>
    <row r="40" spans="2:27" x14ac:dyDescent="0.25">
      <c r="B40" s="287" t="s">
        <v>319</v>
      </c>
      <c r="C40" s="288"/>
      <c r="D40" s="292" t="s">
        <v>320</v>
      </c>
      <c r="E40" s="293">
        <v>4924.54</v>
      </c>
      <c r="F40" s="294" t="s">
        <v>300</v>
      </c>
      <c r="H40" s="428" t="s">
        <v>307</v>
      </c>
      <c r="I40" s="429"/>
      <c r="J40" s="430"/>
      <c r="K40" s="293">
        <v>32.6</v>
      </c>
      <c r="L40" s="291" t="s">
        <v>115</v>
      </c>
      <c r="U40" s="281"/>
      <c r="V40" s="281"/>
      <c r="W40" s="281"/>
      <c r="X40" s="281"/>
      <c r="Y40" s="281"/>
      <c r="Z40" s="281"/>
      <c r="AA40" s="281"/>
    </row>
    <row r="41" spans="2:27" ht="15.75" thickBot="1" x14ac:dyDescent="0.3">
      <c r="B41" s="417" t="s">
        <v>332</v>
      </c>
      <c r="C41" s="418"/>
      <c r="D41" s="418"/>
      <c r="E41" s="313">
        <f>SUM(E35:E40)/1000</f>
        <v>37.114700000000006</v>
      </c>
      <c r="F41" s="314" t="s">
        <v>115</v>
      </c>
      <c r="H41" s="428" t="s">
        <v>310</v>
      </c>
      <c r="I41" s="429"/>
      <c r="J41" s="430"/>
      <c r="K41" s="293">
        <v>25</v>
      </c>
      <c r="L41" s="291" t="s">
        <v>115</v>
      </c>
      <c r="U41" s="281"/>
      <c r="V41" s="281"/>
      <c r="W41" s="281"/>
      <c r="X41" s="281"/>
      <c r="Y41" s="281"/>
      <c r="Z41" s="281"/>
      <c r="AA41" s="281"/>
    </row>
    <row r="42" spans="2:27" ht="15.75" thickBot="1" x14ac:dyDescent="0.3">
      <c r="B42" s="410"/>
      <c r="C42" s="411"/>
      <c r="D42" s="411"/>
      <c r="E42" s="411"/>
      <c r="F42" s="412"/>
      <c r="H42" s="431" t="s">
        <v>315</v>
      </c>
      <c r="I42" s="432"/>
      <c r="J42" s="433"/>
      <c r="K42" s="305">
        <f>SUM(K38:K41)</f>
        <v>113.75391999999999</v>
      </c>
      <c r="L42" s="306" t="s">
        <v>115</v>
      </c>
      <c r="U42" s="281"/>
      <c r="V42" s="281"/>
      <c r="W42" s="281"/>
      <c r="X42" s="281"/>
      <c r="Y42" s="281"/>
      <c r="Z42" s="281"/>
      <c r="AA42" s="281"/>
    </row>
    <row r="43" spans="2:27" ht="15.75" thickBot="1" x14ac:dyDescent="0.3">
      <c r="B43" s="413"/>
      <c r="C43" s="414"/>
      <c r="D43" s="414"/>
      <c r="E43" s="414"/>
      <c r="F43" s="415"/>
      <c r="H43" s="434"/>
      <c r="I43" s="435"/>
      <c r="J43" s="435"/>
      <c r="K43" s="435"/>
      <c r="L43" s="436"/>
      <c r="U43" s="281"/>
      <c r="V43" s="281"/>
      <c r="W43" s="281"/>
      <c r="X43" s="281"/>
      <c r="Y43" s="281"/>
      <c r="Z43" s="281"/>
      <c r="AA43" s="281"/>
    </row>
    <row r="44" spans="2:27" ht="15.75" thickBot="1" x14ac:dyDescent="0.3">
      <c r="B44" s="419" t="s">
        <v>347</v>
      </c>
      <c r="C44" s="420"/>
      <c r="D44" s="420"/>
      <c r="E44" s="420"/>
      <c r="F44" s="421"/>
      <c r="H44" s="309"/>
      <c r="I44" s="309"/>
      <c r="J44" s="309"/>
      <c r="K44" s="309"/>
      <c r="L44" s="309"/>
      <c r="U44" s="281"/>
      <c r="V44" s="281"/>
      <c r="W44" s="281"/>
      <c r="X44" s="281"/>
      <c r="Y44" s="281"/>
      <c r="Z44" s="281"/>
      <c r="AA44" s="281"/>
    </row>
    <row r="45" spans="2:27" x14ac:dyDescent="0.25">
      <c r="B45" s="422" t="s">
        <v>348</v>
      </c>
      <c r="C45" s="423"/>
      <c r="D45" s="423"/>
      <c r="E45" s="423"/>
      <c r="F45" s="424"/>
      <c r="H45" s="320"/>
      <c r="I45" s="320"/>
      <c r="J45" s="320"/>
      <c r="K45" s="320"/>
      <c r="L45" s="320"/>
      <c r="O45" s="281"/>
      <c r="P45" s="281"/>
      <c r="Q45" s="281"/>
      <c r="R45" s="281"/>
      <c r="S45" s="281"/>
      <c r="T45" s="281"/>
      <c r="U45" s="281"/>
      <c r="V45" s="281"/>
      <c r="W45" s="281"/>
      <c r="X45" s="281"/>
      <c r="Y45" s="281"/>
      <c r="Z45" s="281"/>
      <c r="AA45" s="281"/>
    </row>
    <row r="46" spans="2:27" x14ac:dyDescent="0.25">
      <c r="B46" s="287" t="s">
        <v>292</v>
      </c>
      <c r="C46" s="288" t="s">
        <v>293</v>
      </c>
      <c r="D46" s="288" t="s">
        <v>294</v>
      </c>
      <c r="E46" s="288" t="s">
        <v>295</v>
      </c>
      <c r="F46" s="289" t="s">
        <v>296</v>
      </c>
      <c r="H46" s="309"/>
      <c r="I46" s="309"/>
      <c r="J46" s="309"/>
      <c r="K46" s="321"/>
      <c r="L46" s="322"/>
      <c r="O46" s="281"/>
      <c r="P46" s="281"/>
      <c r="Q46" s="281"/>
      <c r="R46" s="281"/>
      <c r="S46" s="281"/>
      <c r="T46" s="281"/>
      <c r="U46" s="281"/>
      <c r="V46" s="281"/>
      <c r="W46" s="281"/>
      <c r="X46" s="281"/>
      <c r="Y46" s="281"/>
      <c r="Z46" s="281"/>
      <c r="AA46" s="281"/>
    </row>
    <row r="47" spans="2:27" x14ac:dyDescent="0.25">
      <c r="B47" s="287" t="s">
        <v>298</v>
      </c>
      <c r="C47" s="288"/>
      <c r="D47" s="292" t="s">
        <v>299</v>
      </c>
      <c r="E47" s="293">
        <v>3894.83</v>
      </c>
      <c r="F47" s="294" t="s">
        <v>300</v>
      </c>
      <c r="H47" s="309"/>
      <c r="I47" s="309"/>
      <c r="J47" s="309"/>
      <c r="K47" s="323"/>
      <c r="L47" s="322"/>
      <c r="O47" s="425"/>
      <c r="P47" s="425"/>
      <c r="Q47" s="425"/>
      <c r="R47" s="425"/>
      <c r="S47" s="425"/>
      <c r="T47" s="425"/>
      <c r="U47" s="281"/>
      <c r="V47" s="281"/>
      <c r="W47" s="281"/>
      <c r="X47" s="281"/>
      <c r="Y47" s="281"/>
      <c r="Z47" s="281"/>
      <c r="AA47" s="281"/>
    </row>
    <row r="48" spans="2:27" x14ac:dyDescent="0.25">
      <c r="B48" s="287" t="s">
        <v>305</v>
      </c>
      <c r="C48" s="288"/>
      <c r="D48" s="292" t="s">
        <v>306</v>
      </c>
      <c r="E48" s="293">
        <v>6987.27</v>
      </c>
      <c r="F48" s="294" t="s">
        <v>300</v>
      </c>
      <c r="H48" s="309"/>
      <c r="I48" s="309"/>
      <c r="J48" s="309"/>
      <c r="K48" s="324"/>
      <c r="L48" s="322"/>
      <c r="O48" s="416"/>
      <c r="P48" s="416"/>
      <c r="Q48" s="416"/>
      <c r="R48" s="416"/>
      <c r="S48" s="378"/>
      <c r="T48" s="378"/>
      <c r="U48" s="281"/>
      <c r="V48" s="281"/>
      <c r="W48" s="281"/>
      <c r="X48" s="281"/>
      <c r="Y48" s="281"/>
      <c r="Z48" s="281"/>
      <c r="AA48" s="281"/>
    </row>
    <row r="49" spans="2:27" x14ac:dyDescent="0.25">
      <c r="B49" s="287" t="s">
        <v>308</v>
      </c>
      <c r="C49" s="288"/>
      <c r="D49" s="292" t="s">
        <v>309</v>
      </c>
      <c r="E49" s="293">
        <v>7801.48</v>
      </c>
      <c r="F49" s="294" t="s">
        <v>300</v>
      </c>
      <c r="H49" s="309"/>
      <c r="I49" s="309"/>
      <c r="J49" s="309"/>
      <c r="K49" s="324"/>
      <c r="L49" s="322"/>
      <c r="O49" s="426"/>
      <c r="P49" s="426"/>
      <c r="Q49" s="427"/>
      <c r="R49" s="427"/>
      <c r="S49" s="281"/>
      <c r="T49" s="281"/>
      <c r="U49" s="281"/>
      <c r="V49" s="281"/>
      <c r="W49" s="281"/>
      <c r="X49" s="281"/>
      <c r="Y49" s="281"/>
      <c r="Z49" s="281"/>
      <c r="AA49" s="281"/>
    </row>
    <row r="50" spans="2:27" x14ac:dyDescent="0.25">
      <c r="B50" s="287" t="s">
        <v>313</v>
      </c>
      <c r="C50" s="288"/>
      <c r="D50" s="292" t="s">
        <v>314</v>
      </c>
      <c r="E50" s="293">
        <v>6091.82</v>
      </c>
      <c r="F50" s="294" t="s">
        <v>300</v>
      </c>
      <c r="H50" s="325"/>
      <c r="I50" s="325"/>
      <c r="J50" s="325"/>
      <c r="K50" s="326"/>
      <c r="L50" s="327"/>
      <c r="O50" s="426"/>
      <c r="P50" s="426"/>
      <c r="Q50" s="427"/>
      <c r="R50" s="427"/>
      <c r="S50" s="281"/>
      <c r="T50" s="281"/>
      <c r="U50" s="281"/>
      <c r="V50" s="281"/>
      <c r="W50" s="281"/>
      <c r="X50" s="281"/>
      <c r="Y50" s="281"/>
      <c r="Z50" s="281"/>
      <c r="AA50" s="281"/>
    </row>
    <row r="51" spans="2:27" x14ac:dyDescent="0.25">
      <c r="B51" s="287" t="s">
        <v>317</v>
      </c>
      <c r="C51" s="288"/>
      <c r="D51" s="292" t="s">
        <v>318</v>
      </c>
      <c r="E51" s="293">
        <v>2817.16</v>
      </c>
      <c r="F51" s="294" t="s">
        <v>300</v>
      </c>
      <c r="H51" s="309"/>
      <c r="I51" s="309"/>
      <c r="J51" s="309"/>
      <c r="K51" s="309"/>
      <c r="L51" s="309"/>
      <c r="O51" s="416"/>
      <c r="P51" s="416"/>
      <c r="Q51" s="416"/>
      <c r="R51" s="416"/>
      <c r="S51" s="330"/>
      <c r="T51" s="330"/>
      <c r="U51" s="281"/>
      <c r="V51" s="281"/>
      <c r="W51" s="281"/>
      <c r="X51" s="281"/>
      <c r="Y51" s="281"/>
      <c r="Z51" s="281"/>
      <c r="AA51" s="281"/>
    </row>
    <row r="52" spans="2:27" x14ac:dyDescent="0.25">
      <c r="B52" s="287" t="s">
        <v>319</v>
      </c>
      <c r="C52" s="288"/>
      <c r="D52" s="292" t="s">
        <v>320</v>
      </c>
      <c r="E52" s="293">
        <v>7746</v>
      </c>
      <c r="F52" s="294" t="s">
        <v>300</v>
      </c>
      <c r="H52" s="320"/>
      <c r="I52" s="320"/>
      <c r="J52" s="320"/>
      <c r="K52" s="320"/>
      <c r="L52" s="320"/>
      <c r="O52" s="281"/>
      <c r="P52" s="281"/>
      <c r="Q52" s="281"/>
      <c r="R52" s="281"/>
      <c r="S52" s="281"/>
      <c r="T52" s="281"/>
      <c r="U52" s="281"/>
      <c r="V52" s="281"/>
      <c r="W52" s="281"/>
      <c r="X52" s="281"/>
      <c r="Y52" s="281"/>
      <c r="Z52" s="281"/>
      <c r="AA52" s="281"/>
    </row>
    <row r="53" spans="2:27" ht="15.75" thickBot="1" x14ac:dyDescent="0.3">
      <c r="B53" s="417" t="s">
        <v>332</v>
      </c>
      <c r="C53" s="418"/>
      <c r="D53" s="418"/>
      <c r="E53" s="313">
        <f>SUM(E47:E52)/1000</f>
        <v>35.338560000000001</v>
      </c>
      <c r="F53" s="314" t="s">
        <v>115</v>
      </c>
      <c r="H53" s="309"/>
      <c r="I53" s="309"/>
      <c r="J53" s="309"/>
      <c r="K53" s="321"/>
      <c r="L53" s="322"/>
      <c r="O53" s="281"/>
      <c r="P53" s="281"/>
      <c r="Q53" s="281"/>
      <c r="R53" s="281"/>
      <c r="S53" s="281"/>
      <c r="T53" s="281"/>
      <c r="U53" s="281"/>
      <c r="V53" s="281"/>
      <c r="W53" s="281"/>
      <c r="X53" s="281"/>
      <c r="Y53" s="281"/>
      <c r="Z53" s="281"/>
      <c r="AA53" s="281"/>
    </row>
    <row r="54" spans="2:27" x14ac:dyDescent="0.25">
      <c r="B54" s="410"/>
      <c r="C54" s="411"/>
      <c r="D54" s="411"/>
      <c r="E54" s="411"/>
      <c r="F54" s="412"/>
      <c r="H54" s="309"/>
      <c r="I54" s="309"/>
      <c r="J54" s="309"/>
      <c r="K54" s="323"/>
      <c r="L54" s="322"/>
      <c r="O54" s="281"/>
      <c r="P54" s="281"/>
      <c r="Q54" s="281"/>
      <c r="R54" s="281"/>
      <c r="S54" s="281"/>
      <c r="T54" s="281"/>
      <c r="U54" s="281"/>
      <c r="V54" s="281"/>
      <c r="W54" s="281"/>
      <c r="X54" s="281"/>
      <c r="Y54" s="281"/>
      <c r="Z54" s="281"/>
      <c r="AA54" s="281"/>
    </row>
    <row r="55" spans="2:27" ht="15.75" thickBot="1" x14ac:dyDescent="0.3">
      <c r="B55" s="413"/>
      <c r="C55" s="414"/>
      <c r="D55" s="414"/>
      <c r="E55" s="414"/>
      <c r="F55" s="415"/>
      <c r="H55" s="309"/>
      <c r="I55" s="309"/>
      <c r="J55" s="309"/>
      <c r="K55" s="324"/>
      <c r="L55" s="322"/>
      <c r="O55" s="281"/>
      <c r="P55" s="281"/>
      <c r="Q55" s="281"/>
      <c r="R55" s="281"/>
      <c r="S55" s="281"/>
      <c r="T55" s="281"/>
      <c r="U55" s="281"/>
      <c r="V55" s="281"/>
      <c r="W55" s="281"/>
      <c r="X55" s="281"/>
      <c r="Y55" s="281"/>
      <c r="Z55" s="281"/>
      <c r="AA55" s="281"/>
    </row>
    <row r="56" spans="2:27" ht="15.75" thickBot="1" x14ac:dyDescent="0.3">
      <c r="B56" s="419" t="s">
        <v>349</v>
      </c>
      <c r="C56" s="420"/>
      <c r="D56" s="420"/>
      <c r="E56" s="420"/>
      <c r="F56" s="421"/>
      <c r="H56" s="309"/>
      <c r="I56" s="309"/>
      <c r="J56" s="309"/>
      <c r="K56" s="324"/>
      <c r="L56" s="322"/>
      <c r="O56" s="281"/>
      <c r="P56" s="281"/>
      <c r="Q56" s="281"/>
      <c r="R56" s="281"/>
      <c r="S56" s="281"/>
      <c r="T56" s="281"/>
      <c r="U56" s="281"/>
      <c r="V56" s="281"/>
      <c r="W56" s="281"/>
      <c r="X56" s="281"/>
      <c r="Y56" s="281"/>
      <c r="Z56" s="281"/>
      <c r="AA56" s="281"/>
    </row>
    <row r="57" spans="2:27" x14ac:dyDescent="0.25">
      <c r="B57" s="422" t="s">
        <v>350</v>
      </c>
      <c r="C57" s="423"/>
      <c r="D57" s="423"/>
      <c r="E57" s="423"/>
      <c r="F57" s="424"/>
      <c r="H57" s="325"/>
      <c r="I57" s="325"/>
      <c r="J57" s="325"/>
      <c r="K57" s="326"/>
      <c r="L57" s="327"/>
      <c r="O57" s="281"/>
      <c r="P57" s="281"/>
      <c r="Q57" s="281"/>
      <c r="R57" s="281"/>
      <c r="S57" s="281"/>
      <c r="T57" s="281"/>
      <c r="U57" s="281"/>
      <c r="V57" s="281"/>
      <c r="W57" s="281"/>
      <c r="X57" s="281"/>
      <c r="Y57" s="281"/>
      <c r="Z57" s="281"/>
      <c r="AA57" s="281"/>
    </row>
    <row r="58" spans="2:27" x14ac:dyDescent="0.25">
      <c r="B58" s="287" t="s">
        <v>292</v>
      </c>
      <c r="C58" s="288" t="s">
        <v>293</v>
      </c>
      <c r="D58" s="288" t="s">
        <v>294</v>
      </c>
      <c r="E58" s="288" t="s">
        <v>295</v>
      </c>
      <c r="F58" s="289" t="s">
        <v>296</v>
      </c>
      <c r="H58" s="309"/>
      <c r="I58" s="309"/>
      <c r="J58" s="309"/>
      <c r="K58" s="309"/>
      <c r="L58" s="309"/>
      <c r="O58" s="281"/>
      <c r="P58" s="281"/>
      <c r="Q58" s="281"/>
      <c r="R58" s="281"/>
      <c r="S58" s="281"/>
      <c r="T58" s="281"/>
      <c r="U58" s="281"/>
      <c r="V58" s="281"/>
      <c r="W58" s="281"/>
      <c r="X58" s="281"/>
      <c r="Y58" s="281"/>
      <c r="Z58" s="281"/>
      <c r="AA58" s="281"/>
    </row>
    <row r="59" spans="2:27" x14ac:dyDescent="0.25">
      <c r="B59" s="287" t="s">
        <v>298</v>
      </c>
      <c r="C59" s="288"/>
      <c r="D59" s="292" t="s">
        <v>299</v>
      </c>
      <c r="E59" s="293">
        <v>6258.12</v>
      </c>
      <c r="F59" s="294" t="s">
        <v>300</v>
      </c>
      <c r="H59" s="320"/>
      <c r="I59" s="320"/>
      <c r="J59" s="320"/>
      <c r="K59" s="320"/>
      <c r="L59" s="320"/>
      <c r="O59" s="281"/>
      <c r="P59" s="281"/>
      <c r="Q59" s="281"/>
      <c r="R59" s="281"/>
      <c r="S59" s="281"/>
      <c r="T59" s="281"/>
      <c r="U59" s="281"/>
      <c r="V59" s="281"/>
      <c r="W59" s="281"/>
      <c r="X59" s="281"/>
      <c r="Y59" s="281"/>
      <c r="Z59" s="281"/>
      <c r="AA59" s="281"/>
    </row>
    <row r="60" spans="2:27" x14ac:dyDescent="0.25">
      <c r="B60" s="287" t="s">
        <v>305</v>
      </c>
      <c r="C60" s="288"/>
      <c r="D60" s="292" t="s">
        <v>306</v>
      </c>
      <c r="E60" s="293">
        <v>9065.07</v>
      </c>
      <c r="F60" s="294" t="s">
        <v>300</v>
      </c>
      <c r="H60" s="309"/>
      <c r="I60" s="309"/>
      <c r="J60" s="309"/>
      <c r="K60" s="321"/>
      <c r="L60" s="322"/>
      <c r="O60" s="281"/>
      <c r="P60" s="281"/>
      <c r="Q60" s="281"/>
      <c r="R60" s="281"/>
      <c r="S60" s="281"/>
      <c r="T60" s="281"/>
      <c r="U60" s="281"/>
      <c r="V60" s="281"/>
      <c r="W60" s="281"/>
      <c r="X60" s="281"/>
      <c r="Y60" s="281"/>
      <c r="Z60" s="281"/>
      <c r="AA60" s="281"/>
    </row>
    <row r="61" spans="2:27" x14ac:dyDescent="0.25">
      <c r="B61" s="287" t="s">
        <v>308</v>
      </c>
      <c r="C61" s="288"/>
      <c r="D61" s="292" t="s">
        <v>309</v>
      </c>
      <c r="E61" s="293">
        <v>5273.37</v>
      </c>
      <c r="F61" s="294" t="s">
        <v>300</v>
      </c>
      <c r="H61" s="309"/>
      <c r="I61" s="309"/>
      <c r="J61" s="309"/>
      <c r="K61" s="323"/>
      <c r="L61" s="322"/>
      <c r="O61" s="281"/>
      <c r="P61" s="281"/>
      <c r="Q61" s="281"/>
      <c r="R61" s="281"/>
      <c r="S61" s="281"/>
      <c r="T61" s="281"/>
      <c r="U61" s="281"/>
      <c r="V61" s="281"/>
      <c r="W61" s="281"/>
      <c r="X61" s="281"/>
      <c r="Y61" s="281"/>
      <c r="Z61" s="281"/>
      <c r="AA61" s="281"/>
    </row>
    <row r="62" spans="2:27" x14ac:dyDescent="0.25">
      <c r="B62" s="287" t="s">
        <v>313</v>
      </c>
      <c r="C62" s="288"/>
      <c r="D62" s="292" t="s">
        <v>314</v>
      </c>
      <c r="E62" s="293">
        <v>13750.2</v>
      </c>
      <c r="F62" s="294" t="s">
        <v>300</v>
      </c>
      <c r="H62" s="309"/>
      <c r="I62" s="309"/>
      <c r="J62" s="309"/>
      <c r="K62" s="324"/>
      <c r="L62" s="322"/>
      <c r="O62" s="281"/>
      <c r="P62" s="281"/>
      <c r="Q62" s="281"/>
      <c r="R62" s="281"/>
      <c r="S62" s="281"/>
      <c r="T62" s="281"/>
      <c r="U62" s="281"/>
      <c r="V62" s="281"/>
      <c r="W62" s="281"/>
      <c r="X62" s="281"/>
      <c r="Y62" s="281"/>
      <c r="Z62" s="281"/>
      <c r="AA62" s="281"/>
    </row>
    <row r="63" spans="2:27" x14ac:dyDescent="0.25">
      <c r="B63" s="287" t="s">
        <v>317</v>
      </c>
      <c r="C63" s="288"/>
      <c r="D63" s="292" t="s">
        <v>318</v>
      </c>
      <c r="E63" s="293">
        <v>4214.53</v>
      </c>
      <c r="F63" s="294" t="s">
        <v>300</v>
      </c>
      <c r="H63" s="309"/>
      <c r="I63" s="309"/>
      <c r="J63" s="309"/>
      <c r="K63" s="324"/>
      <c r="L63" s="322"/>
      <c r="O63" s="281"/>
      <c r="P63" s="281"/>
      <c r="Q63" s="281"/>
      <c r="R63" s="281"/>
      <c r="S63" s="281"/>
      <c r="T63" s="281"/>
      <c r="U63" s="281"/>
      <c r="V63" s="281"/>
      <c r="W63" s="281"/>
      <c r="X63" s="281"/>
      <c r="Y63" s="281"/>
      <c r="Z63" s="281"/>
      <c r="AA63" s="281"/>
    </row>
    <row r="64" spans="2:27" x14ac:dyDescent="0.25">
      <c r="B64" s="287" t="s">
        <v>319</v>
      </c>
      <c r="C64" s="288"/>
      <c r="D64" s="292" t="s">
        <v>320</v>
      </c>
      <c r="E64" s="293">
        <v>8792.6299999999992</v>
      </c>
      <c r="F64" s="294" t="s">
        <v>300</v>
      </c>
      <c r="H64" s="325"/>
      <c r="I64" s="325"/>
      <c r="J64" s="325"/>
      <c r="K64" s="326"/>
      <c r="L64" s="327"/>
      <c r="O64" s="281"/>
      <c r="P64" s="281"/>
      <c r="Q64" s="281"/>
      <c r="R64" s="281"/>
      <c r="S64" s="281"/>
      <c r="T64" s="281"/>
      <c r="U64" s="281"/>
      <c r="V64" s="281"/>
      <c r="W64" s="281"/>
      <c r="X64" s="281"/>
      <c r="Y64" s="281"/>
      <c r="Z64" s="281"/>
      <c r="AA64" s="281"/>
    </row>
    <row r="65" spans="2:27" ht="15.75" thickBot="1" x14ac:dyDescent="0.3">
      <c r="B65" s="417" t="s">
        <v>332</v>
      </c>
      <c r="C65" s="418"/>
      <c r="D65" s="418"/>
      <c r="E65" s="313">
        <f>SUM(E59:E64)/1000</f>
        <v>47.353919999999988</v>
      </c>
      <c r="F65" s="314" t="s">
        <v>115</v>
      </c>
      <c r="H65" s="309"/>
      <c r="I65" s="309"/>
      <c r="J65" s="309"/>
      <c r="K65" s="309"/>
      <c r="L65" s="309"/>
      <c r="O65" s="281"/>
      <c r="P65" s="281"/>
      <c r="Q65" s="281"/>
      <c r="R65" s="281"/>
      <c r="S65" s="281"/>
      <c r="T65" s="281"/>
      <c r="U65" s="281"/>
      <c r="V65" s="281"/>
      <c r="W65" s="281"/>
      <c r="X65" s="281"/>
      <c r="Y65" s="281"/>
      <c r="Z65" s="281"/>
      <c r="AA65" s="281"/>
    </row>
    <row r="66" spans="2:27" x14ac:dyDescent="0.25">
      <c r="B66" s="410"/>
      <c r="C66" s="411"/>
      <c r="D66" s="411"/>
      <c r="E66" s="411"/>
      <c r="F66" s="412"/>
      <c r="H66" s="320"/>
      <c r="I66" s="320"/>
      <c r="J66" s="320"/>
      <c r="K66" s="320"/>
      <c r="L66" s="320"/>
    </row>
    <row r="67" spans="2:27" ht="15.75" thickBot="1" x14ac:dyDescent="0.3">
      <c r="B67" s="413"/>
      <c r="C67" s="414"/>
      <c r="D67" s="414"/>
      <c r="E67" s="414"/>
      <c r="F67" s="415"/>
      <c r="H67" s="309"/>
      <c r="I67" s="309"/>
      <c r="J67" s="309"/>
      <c r="K67" s="321"/>
      <c r="L67" s="322"/>
    </row>
    <row r="68" spans="2:27" x14ac:dyDescent="0.25">
      <c r="B68" s="284"/>
      <c r="C68" s="284"/>
      <c r="D68" s="328"/>
      <c r="E68" s="324"/>
      <c r="F68" s="281"/>
      <c r="H68" s="309"/>
      <c r="I68" s="309"/>
      <c r="J68" s="309"/>
      <c r="K68" s="323"/>
      <c r="L68" s="322"/>
    </row>
    <row r="69" spans="2:27" x14ac:dyDescent="0.25">
      <c r="B69" s="325"/>
      <c r="C69" s="325"/>
      <c r="D69" s="325"/>
      <c r="E69" s="329"/>
      <c r="F69" s="330"/>
      <c r="H69" s="309"/>
      <c r="I69" s="309"/>
      <c r="J69" s="309"/>
      <c r="K69" s="324"/>
      <c r="L69" s="322"/>
    </row>
    <row r="70" spans="2:27" x14ac:dyDescent="0.25">
      <c r="B70" s="309"/>
      <c r="C70" s="309"/>
      <c r="D70" s="309"/>
      <c r="E70" s="309"/>
      <c r="F70" s="309"/>
      <c r="H70" s="309"/>
      <c r="I70" s="309"/>
      <c r="J70" s="309"/>
      <c r="K70" s="324"/>
      <c r="L70" s="322"/>
    </row>
    <row r="71" spans="2:27" x14ac:dyDescent="0.25">
      <c r="B71" s="309"/>
      <c r="C71" s="309"/>
      <c r="D71" s="309"/>
      <c r="E71" s="309"/>
      <c r="F71" s="309"/>
      <c r="H71" s="325"/>
      <c r="I71" s="325"/>
      <c r="J71" s="325"/>
      <c r="K71" s="326"/>
      <c r="L71" s="327"/>
    </row>
    <row r="72" spans="2:27" x14ac:dyDescent="0.25">
      <c r="B72" s="320"/>
      <c r="C72" s="320"/>
      <c r="D72" s="320"/>
      <c r="E72" s="320"/>
      <c r="F72" s="320"/>
      <c r="H72" s="309"/>
      <c r="I72" s="309"/>
      <c r="J72" s="309"/>
      <c r="K72" s="309"/>
      <c r="L72" s="309"/>
    </row>
    <row r="73" spans="2:27" x14ac:dyDescent="0.25">
      <c r="B73" s="309"/>
      <c r="C73" s="309"/>
      <c r="D73" s="309"/>
      <c r="E73" s="309"/>
      <c r="F73" s="309"/>
      <c r="H73" s="281"/>
      <c r="I73" s="281"/>
      <c r="J73" s="281"/>
      <c r="K73" s="281"/>
      <c r="L73" s="281"/>
    </row>
    <row r="74" spans="2:27" x14ac:dyDescent="0.25">
      <c r="B74" s="284"/>
      <c r="C74" s="284"/>
      <c r="D74" s="284"/>
      <c r="E74" s="284"/>
      <c r="F74" s="284"/>
      <c r="H74" s="281"/>
      <c r="I74" s="281"/>
      <c r="J74" s="281"/>
      <c r="K74" s="281"/>
      <c r="L74" s="281"/>
    </row>
    <row r="75" spans="2:27" x14ac:dyDescent="0.25">
      <c r="B75" s="284"/>
      <c r="C75" s="284"/>
      <c r="D75" s="328"/>
      <c r="E75" s="324"/>
      <c r="F75" s="281"/>
      <c r="H75" s="324"/>
      <c r="I75" s="281"/>
      <c r="J75" s="281"/>
      <c r="K75" s="323"/>
      <c r="L75" s="281"/>
      <c r="V75" s="331" t="s">
        <v>337</v>
      </c>
    </row>
    <row r="76" spans="2:27" x14ac:dyDescent="0.25">
      <c r="B76" s="284"/>
      <c r="C76" s="284"/>
      <c r="D76" s="328"/>
      <c r="E76" s="324"/>
      <c r="F76" s="281"/>
      <c r="H76" s="281"/>
      <c r="I76" s="281"/>
      <c r="J76" s="281"/>
      <c r="K76" s="323"/>
      <c r="L76" s="281"/>
    </row>
    <row r="77" spans="2:27" x14ac:dyDescent="0.25">
      <c r="B77" s="284"/>
      <c r="C77" s="284"/>
      <c r="D77" s="328"/>
      <c r="E77" s="324"/>
      <c r="F77" s="281"/>
      <c r="H77" s="281"/>
      <c r="I77" s="281"/>
      <c r="J77" s="281"/>
      <c r="K77" s="323"/>
      <c r="L77" s="281"/>
    </row>
    <row r="78" spans="2:27" x14ac:dyDescent="0.25">
      <c r="B78" s="284"/>
      <c r="C78" s="284"/>
      <c r="D78" s="328"/>
      <c r="E78" s="324"/>
      <c r="F78" s="281"/>
      <c r="H78" s="281"/>
      <c r="I78" s="281"/>
      <c r="J78" s="281"/>
      <c r="K78" s="323"/>
      <c r="L78" s="281"/>
    </row>
    <row r="79" spans="2:27" x14ac:dyDescent="0.25">
      <c r="B79" s="284"/>
      <c r="C79" s="284"/>
      <c r="D79" s="328"/>
      <c r="E79" s="324"/>
      <c r="F79" s="281"/>
      <c r="H79" s="281"/>
      <c r="I79" s="281"/>
      <c r="J79" s="281"/>
      <c r="K79" s="323"/>
      <c r="L79" s="281"/>
    </row>
    <row r="80" spans="2:27" x14ac:dyDescent="0.25">
      <c r="B80" s="284"/>
      <c r="C80" s="284"/>
      <c r="D80" s="328"/>
      <c r="E80" s="324"/>
      <c r="F80" s="281"/>
      <c r="H80" s="281"/>
      <c r="I80" s="281"/>
      <c r="J80" s="281"/>
      <c r="K80" s="323"/>
      <c r="L80" s="281"/>
    </row>
    <row r="81" spans="2:12" x14ac:dyDescent="0.25">
      <c r="B81" s="284"/>
      <c r="C81" s="284"/>
      <c r="D81" s="328"/>
      <c r="E81" s="324"/>
      <c r="F81" s="281"/>
      <c r="H81" s="281"/>
      <c r="I81" s="281"/>
      <c r="J81" s="281"/>
      <c r="K81" s="323"/>
      <c r="L81" s="281"/>
    </row>
    <row r="82" spans="2:12" x14ac:dyDescent="0.25">
      <c r="B82" s="284"/>
      <c r="C82" s="284"/>
      <c r="D82" s="328"/>
      <c r="E82" s="324"/>
      <c r="F82" s="281"/>
      <c r="H82" s="281"/>
      <c r="I82" s="281"/>
      <c r="J82" s="281"/>
      <c r="K82" s="323"/>
      <c r="L82" s="281"/>
    </row>
    <row r="83" spans="2:12" x14ac:dyDescent="0.25">
      <c r="B83" s="284"/>
      <c r="C83" s="284"/>
      <c r="D83" s="328"/>
      <c r="E83" s="324"/>
      <c r="F83" s="281"/>
      <c r="H83" s="281"/>
      <c r="I83" s="281"/>
      <c r="J83" s="281"/>
      <c r="K83" s="323"/>
      <c r="L83" s="281"/>
    </row>
    <row r="84" spans="2:12" x14ac:dyDescent="0.25">
      <c r="B84" s="325"/>
      <c r="C84" s="325"/>
      <c r="D84" s="325"/>
      <c r="E84" s="329"/>
      <c r="F84" s="330"/>
      <c r="H84" s="281"/>
      <c r="I84" s="281"/>
      <c r="J84" s="281"/>
      <c r="K84" s="323"/>
      <c r="L84" s="281"/>
    </row>
    <row r="85" spans="2:12" x14ac:dyDescent="0.25">
      <c r="B85" s="309"/>
      <c r="C85" s="309"/>
      <c r="D85" s="309"/>
      <c r="E85" s="309"/>
      <c r="F85" s="309"/>
      <c r="H85" s="281"/>
      <c r="I85" s="281"/>
      <c r="J85" s="281"/>
      <c r="K85" s="323"/>
      <c r="L85" s="281"/>
    </row>
    <row r="86" spans="2:12" x14ac:dyDescent="0.25">
      <c r="B86" s="309"/>
      <c r="C86" s="309"/>
      <c r="D86" s="309"/>
      <c r="E86" s="309"/>
      <c r="F86" s="309"/>
      <c r="H86" s="281"/>
      <c r="I86" s="281"/>
      <c r="J86" s="281"/>
      <c r="K86" s="323"/>
      <c r="L86" s="281"/>
    </row>
    <row r="87" spans="2:12" x14ac:dyDescent="0.25">
      <c r="B87" s="320"/>
      <c r="C87" s="320"/>
      <c r="D87" s="320"/>
      <c r="E87" s="320"/>
      <c r="F87" s="320"/>
      <c r="H87" s="281"/>
      <c r="I87" s="281"/>
      <c r="J87" s="281"/>
      <c r="K87" s="323"/>
      <c r="L87" s="281"/>
    </row>
    <row r="88" spans="2:12" x14ac:dyDescent="0.25">
      <c r="B88" s="309"/>
      <c r="C88" s="309"/>
      <c r="D88" s="309"/>
      <c r="E88" s="309"/>
      <c r="F88" s="309"/>
      <c r="H88" s="281"/>
      <c r="I88" s="281"/>
      <c r="J88" s="281"/>
      <c r="K88" s="323"/>
      <c r="L88" s="281"/>
    </row>
    <row r="89" spans="2:12" x14ac:dyDescent="0.25">
      <c r="B89" s="284"/>
      <c r="C89" s="284"/>
      <c r="D89" s="284"/>
      <c r="E89" s="284"/>
      <c r="F89" s="284"/>
      <c r="H89" s="281"/>
      <c r="I89" s="281"/>
      <c r="J89" s="281"/>
      <c r="K89" s="323"/>
      <c r="L89" s="281"/>
    </row>
    <row r="90" spans="2:12" x14ac:dyDescent="0.25">
      <c r="B90" s="284"/>
      <c r="C90" s="284"/>
      <c r="D90" s="328"/>
      <c r="E90" s="324"/>
      <c r="F90" s="281"/>
      <c r="H90" s="324"/>
      <c r="I90" s="281"/>
      <c r="J90" s="281"/>
      <c r="K90" s="323"/>
      <c r="L90" s="281"/>
    </row>
    <row r="91" spans="2:12" x14ac:dyDescent="0.25">
      <c r="B91" s="284"/>
      <c r="C91" s="284"/>
      <c r="D91" s="328"/>
      <c r="E91" s="324"/>
      <c r="F91" s="281"/>
      <c r="H91" s="281"/>
      <c r="I91" s="281"/>
      <c r="J91" s="281"/>
      <c r="K91" s="323"/>
      <c r="L91" s="281"/>
    </row>
    <row r="92" spans="2:12" x14ac:dyDescent="0.25">
      <c r="B92" s="284"/>
      <c r="C92" s="284"/>
      <c r="D92" s="328"/>
      <c r="E92" s="324"/>
      <c r="F92" s="281"/>
      <c r="H92" s="281"/>
      <c r="I92" s="281"/>
      <c r="J92" s="281"/>
      <c r="K92" s="323"/>
      <c r="L92" s="281"/>
    </row>
    <row r="93" spans="2:12" x14ac:dyDescent="0.25">
      <c r="B93" s="284"/>
      <c r="C93" s="284"/>
      <c r="D93" s="328"/>
      <c r="E93" s="324"/>
      <c r="F93" s="281"/>
      <c r="H93" s="281"/>
      <c r="I93" s="281"/>
      <c r="J93" s="281"/>
      <c r="K93" s="323"/>
      <c r="L93" s="281"/>
    </row>
    <row r="94" spans="2:12" x14ac:dyDescent="0.25">
      <c r="B94" s="284"/>
      <c r="C94" s="284"/>
      <c r="D94" s="328"/>
      <c r="E94" s="324"/>
      <c r="F94" s="281"/>
      <c r="H94" s="281"/>
      <c r="I94" s="281"/>
      <c r="J94" s="281"/>
      <c r="K94" s="323"/>
      <c r="L94" s="281"/>
    </row>
    <row r="95" spans="2:12" x14ac:dyDescent="0.25">
      <c r="B95" s="284"/>
      <c r="C95" s="284"/>
      <c r="D95" s="328"/>
      <c r="E95" s="324"/>
      <c r="F95" s="281"/>
      <c r="H95" s="323"/>
      <c r="I95" s="281"/>
      <c r="J95" s="281"/>
      <c r="K95" s="323"/>
      <c r="L95" s="281"/>
    </row>
    <row r="96" spans="2:12" x14ac:dyDescent="0.25">
      <c r="B96" s="284"/>
      <c r="C96" s="284"/>
      <c r="D96" s="328"/>
      <c r="E96" s="324"/>
      <c r="F96" s="281"/>
      <c r="H96" s="281"/>
      <c r="I96" s="281"/>
      <c r="J96" s="281"/>
      <c r="K96" s="323"/>
      <c r="L96" s="281"/>
    </row>
    <row r="97" spans="2:12" x14ac:dyDescent="0.25">
      <c r="B97" s="284"/>
      <c r="C97" s="284"/>
      <c r="D97" s="328"/>
      <c r="E97" s="324"/>
      <c r="F97" s="281"/>
      <c r="H97" s="281"/>
      <c r="I97" s="281"/>
      <c r="J97" s="281"/>
      <c r="K97" s="323"/>
      <c r="L97" s="281"/>
    </row>
    <row r="98" spans="2:12" x14ac:dyDescent="0.25">
      <c r="B98" s="284"/>
      <c r="C98" s="284"/>
      <c r="D98" s="328"/>
      <c r="E98" s="324"/>
      <c r="F98" s="281"/>
      <c r="H98" s="323"/>
      <c r="I98" s="281"/>
      <c r="J98" s="281"/>
      <c r="K98" s="323"/>
      <c r="L98" s="281"/>
    </row>
    <row r="99" spans="2:12" x14ac:dyDescent="0.25">
      <c r="B99" s="325"/>
      <c r="C99" s="325"/>
      <c r="D99" s="325"/>
      <c r="E99" s="329"/>
      <c r="F99" s="330"/>
      <c r="H99" s="281"/>
      <c r="I99" s="281"/>
      <c r="J99" s="281"/>
      <c r="K99" s="323"/>
      <c r="L99" s="281"/>
    </row>
    <row r="100" spans="2:12" x14ac:dyDescent="0.25">
      <c r="B100" s="309"/>
      <c r="C100" s="309"/>
      <c r="D100" s="309"/>
      <c r="E100" s="309"/>
      <c r="F100" s="309"/>
      <c r="H100" s="281"/>
      <c r="I100" s="281"/>
      <c r="J100" s="281"/>
      <c r="K100" s="323"/>
      <c r="L100" s="281"/>
    </row>
    <row r="101" spans="2:12" x14ac:dyDescent="0.25">
      <c r="B101" s="309"/>
      <c r="C101" s="309"/>
      <c r="D101" s="309"/>
      <c r="E101" s="309"/>
      <c r="F101" s="309"/>
      <c r="H101" s="281"/>
      <c r="I101" s="281"/>
      <c r="J101" s="281"/>
      <c r="K101" s="323"/>
      <c r="L101" s="281"/>
    </row>
    <row r="102" spans="2:12" x14ac:dyDescent="0.25">
      <c r="B102" s="320"/>
      <c r="C102" s="320"/>
      <c r="D102" s="320"/>
      <c r="E102" s="320"/>
      <c r="F102" s="320"/>
      <c r="H102" s="281"/>
      <c r="I102" s="281"/>
      <c r="J102" s="281"/>
      <c r="K102" s="323"/>
      <c r="L102" s="281"/>
    </row>
    <row r="103" spans="2:12" x14ac:dyDescent="0.25">
      <c r="B103" s="309"/>
      <c r="C103" s="309"/>
      <c r="D103" s="309"/>
      <c r="E103" s="309"/>
      <c r="F103" s="309"/>
      <c r="H103" s="281"/>
      <c r="I103" s="281"/>
      <c r="J103" s="281"/>
      <c r="K103" s="323"/>
      <c r="L103" s="281"/>
    </row>
    <row r="104" spans="2:12" x14ac:dyDescent="0.25">
      <c r="B104" s="284"/>
      <c r="C104" s="284"/>
      <c r="D104" s="284"/>
      <c r="E104" s="284"/>
      <c r="F104" s="284"/>
      <c r="H104" s="281"/>
      <c r="I104" s="281"/>
      <c r="J104" s="281"/>
      <c r="K104" s="323"/>
      <c r="L104" s="281"/>
    </row>
    <row r="105" spans="2:12" x14ac:dyDescent="0.25">
      <c r="B105" s="284"/>
      <c r="C105" s="284"/>
      <c r="D105" s="328"/>
      <c r="E105" s="323"/>
      <c r="F105" s="281"/>
      <c r="H105" s="323"/>
      <c r="I105" s="324"/>
      <c r="J105" s="281"/>
      <c r="K105" s="323"/>
      <c r="L105" s="281"/>
    </row>
    <row r="106" spans="2:12" x14ac:dyDescent="0.25">
      <c r="B106" s="284"/>
      <c r="C106" s="284"/>
      <c r="D106" s="328"/>
      <c r="E106" s="324"/>
      <c r="F106" s="281"/>
      <c r="H106" s="281"/>
      <c r="I106" s="281"/>
      <c r="J106" s="281"/>
      <c r="K106" s="323"/>
      <c r="L106" s="281"/>
    </row>
    <row r="107" spans="2:12" x14ac:dyDescent="0.25">
      <c r="B107" s="284"/>
      <c r="C107" s="284"/>
      <c r="D107" s="328"/>
      <c r="E107" s="324"/>
      <c r="F107" s="281"/>
      <c r="H107" s="281"/>
      <c r="I107" s="281"/>
      <c r="J107" s="281"/>
      <c r="K107" s="323"/>
      <c r="L107" s="281"/>
    </row>
    <row r="108" spans="2:12" x14ac:dyDescent="0.25">
      <c r="B108" s="284"/>
      <c r="C108" s="284"/>
      <c r="D108" s="328"/>
      <c r="E108" s="324"/>
      <c r="F108" s="281"/>
      <c r="H108" s="281"/>
      <c r="I108" s="281"/>
      <c r="J108" s="281"/>
      <c r="K108" s="323"/>
      <c r="L108" s="281"/>
    </row>
    <row r="109" spans="2:12" x14ac:dyDescent="0.25">
      <c r="B109" s="284"/>
      <c r="C109" s="284"/>
      <c r="D109" s="328"/>
      <c r="E109" s="324"/>
      <c r="F109" s="281"/>
      <c r="H109" s="281"/>
      <c r="I109" s="281"/>
      <c r="J109" s="281"/>
      <c r="K109" s="323"/>
      <c r="L109" s="281"/>
    </row>
    <row r="110" spans="2:12" x14ac:dyDescent="0.25">
      <c r="B110" s="284"/>
      <c r="C110" s="284"/>
      <c r="D110" s="328"/>
      <c r="E110" s="324"/>
      <c r="F110" s="281"/>
      <c r="H110" s="281"/>
      <c r="I110" s="281"/>
      <c r="J110" s="281"/>
      <c r="K110" s="323"/>
      <c r="L110" s="281"/>
    </row>
    <row r="111" spans="2:12" x14ac:dyDescent="0.25">
      <c r="B111" s="284"/>
      <c r="C111" s="284"/>
      <c r="D111" s="328"/>
      <c r="E111" s="324"/>
      <c r="F111" s="281"/>
      <c r="H111" s="281"/>
      <c r="I111" s="281"/>
      <c r="J111" s="281"/>
      <c r="K111" s="323"/>
      <c r="L111" s="281"/>
    </row>
    <row r="112" spans="2:12" x14ac:dyDescent="0.25">
      <c r="B112" s="284"/>
      <c r="C112" s="284"/>
      <c r="D112" s="328"/>
      <c r="E112" s="324"/>
      <c r="F112" s="281"/>
      <c r="H112" s="281"/>
      <c r="I112" s="281"/>
      <c r="J112" s="281"/>
      <c r="K112" s="323"/>
      <c r="L112" s="281"/>
    </row>
    <row r="113" spans="2:12" x14ac:dyDescent="0.25">
      <c r="B113" s="325"/>
      <c r="C113" s="325"/>
      <c r="D113" s="325"/>
      <c r="E113" s="329"/>
      <c r="F113" s="330"/>
      <c r="H113" s="281"/>
      <c r="I113" s="281"/>
      <c r="J113" s="281"/>
      <c r="K113" s="323"/>
      <c r="L113" s="281"/>
    </row>
    <row r="114" spans="2:12" x14ac:dyDescent="0.25">
      <c r="B114" s="309"/>
      <c r="C114" s="309"/>
      <c r="D114" s="309"/>
      <c r="E114" s="309"/>
      <c r="F114" s="309"/>
      <c r="H114" s="281"/>
      <c r="I114" s="281"/>
      <c r="J114" s="281"/>
      <c r="K114" s="323"/>
      <c r="L114" s="281"/>
    </row>
    <row r="115" spans="2:12" x14ac:dyDescent="0.25">
      <c r="B115" s="309"/>
      <c r="C115" s="309"/>
      <c r="D115" s="309"/>
      <c r="E115" s="309"/>
      <c r="F115" s="309"/>
      <c r="H115" s="281"/>
      <c r="I115" s="281"/>
      <c r="J115" s="281"/>
      <c r="K115" s="323"/>
      <c r="L115" s="281"/>
    </row>
    <row r="116" spans="2:12" x14ac:dyDescent="0.25">
      <c r="B116" s="320"/>
      <c r="C116" s="320"/>
      <c r="D116" s="320"/>
      <c r="E116" s="320"/>
      <c r="F116" s="320"/>
      <c r="H116" s="281"/>
      <c r="I116" s="281"/>
      <c r="J116" s="281"/>
      <c r="K116" s="323"/>
      <c r="L116" s="281"/>
    </row>
    <row r="117" spans="2:12" x14ac:dyDescent="0.25">
      <c r="B117" s="309"/>
      <c r="C117" s="309"/>
      <c r="D117" s="309"/>
      <c r="E117" s="309"/>
      <c r="F117" s="309"/>
      <c r="H117" s="281"/>
      <c r="I117" s="281"/>
      <c r="J117" s="281"/>
      <c r="K117" s="323"/>
      <c r="L117" s="281"/>
    </row>
    <row r="118" spans="2:12" x14ac:dyDescent="0.25">
      <c r="B118" s="284"/>
      <c r="C118" s="284"/>
      <c r="D118" s="284"/>
      <c r="E118" s="284"/>
      <c r="F118" s="284"/>
      <c r="H118" s="281"/>
      <c r="I118" s="281"/>
      <c r="J118" s="281"/>
      <c r="K118" s="323"/>
      <c r="L118" s="281"/>
    </row>
    <row r="119" spans="2:12" x14ac:dyDescent="0.25">
      <c r="B119" s="284"/>
      <c r="C119" s="284"/>
      <c r="D119" s="328"/>
      <c r="E119" s="324"/>
      <c r="F119" s="281"/>
      <c r="H119" s="324"/>
      <c r="I119" s="324"/>
      <c r="J119" s="281"/>
      <c r="K119" s="323"/>
      <c r="L119" s="281"/>
    </row>
    <row r="120" spans="2:12" x14ac:dyDescent="0.25">
      <c r="B120" s="284"/>
      <c r="C120" s="284"/>
      <c r="D120" s="328"/>
      <c r="E120" s="324"/>
      <c r="F120" s="281"/>
      <c r="H120" s="281"/>
      <c r="I120" s="281"/>
      <c r="J120" s="281"/>
      <c r="K120" s="323"/>
      <c r="L120" s="281"/>
    </row>
    <row r="121" spans="2:12" x14ac:dyDescent="0.25">
      <c r="B121" s="284"/>
      <c r="C121" s="284"/>
      <c r="D121" s="328"/>
      <c r="E121" s="324"/>
      <c r="F121" s="281"/>
      <c r="H121" s="281"/>
      <c r="I121" s="281"/>
      <c r="J121" s="281"/>
      <c r="K121" s="323"/>
      <c r="L121" s="281"/>
    </row>
    <row r="122" spans="2:12" x14ac:dyDescent="0.25">
      <c r="B122" s="284"/>
      <c r="C122" s="284"/>
      <c r="D122" s="328"/>
      <c r="E122" s="324"/>
      <c r="F122" s="281"/>
      <c r="H122" s="281"/>
      <c r="I122" s="281"/>
      <c r="J122" s="281"/>
      <c r="K122" s="323"/>
      <c r="L122" s="281"/>
    </row>
    <row r="123" spans="2:12" x14ac:dyDescent="0.25">
      <c r="B123" s="284"/>
      <c r="C123" s="284"/>
      <c r="D123" s="328"/>
      <c r="E123" s="324"/>
      <c r="F123" s="281"/>
      <c r="H123" s="281"/>
      <c r="I123" s="281"/>
      <c r="J123" s="281"/>
      <c r="K123" s="323"/>
      <c r="L123" s="281"/>
    </row>
    <row r="124" spans="2:12" x14ac:dyDescent="0.25">
      <c r="B124" s="284"/>
      <c r="C124" s="284"/>
      <c r="D124" s="328"/>
      <c r="E124" s="324"/>
      <c r="F124" s="281"/>
      <c r="H124" s="281"/>
      <c r="I124" s="281"/>
      <c r="J124" s="281"/>
      <c r="K124" s="323"/>
      <c r="L124" s="281"/>
    </row>
    <row r="125" spans="2:12" x14ac:dyDescent="0.25">
      <c r="B125" s="284"/>
      <c r="C125" s="284"/>
      <c r="D125" s="328"/>
      <c r="E125" s="324"/>
      <c r="F125" s="281"/>
      <c r="H125" s="281"/>
      <c r="I125" s="281"/>
      <c r="J125" s="281"/>
      <c r="K125" s="323"/>
      <c r="L125" s="281"/>
    </row>
    <row r="126" spans="2:12" x14ac:dyDescent="0.25">
      <c r="B126" s="284"/>
      <c r="C126" s="284"/>
      <c r="D126" s="328"/>
      <c r="E126" s="324"/>
      <c r="F126" s="281"/>
      <c r="H126" s="281"/>
      <c r="I126" s="281"/>
      <c r="J126" s="281"/>
      <c r="K126" s="323"/>
      <c r="L126" s="281"/>
    </row>
    <row r="127" spans="2:12" x14ac:dyDescent="0.25">
      <c r="B127" s="325"/>
      <c r="C127" s="325"/>
      <c r="D127" s="325"/>
      <c r="E127" s="329"/>
      <c r="F127" s="330"/>
      <c r="H127" s="281"/>
      <c r="I127" s="281"/>
      <c r="J127" s="281"/>
      <c r="K127" s="323"/>
      <c r="L127" s="281"/>
    </row>
    <row r="128" spans="2:12" x14ac:dyDescent="0.25">
      <c r="B128" s="281"/>
      <c r="C128" s="281"/>
      <c r="D128" s="281"/>
      <c r="E128" s="281"/>
      <c r="F128" s="281"/>
      <c r="H128" s="281"/>
      <c r="I128" s="281"/>
      <c r="J128" s="281"/>
      <c r="K128" s="323"/>
      <c r="L128" s="281"/>
    </row>
    <row r="129" spans="2:12" x14ac:dyDescent="0.25">
      <c r="B129" s="281"/>
      <c r="C129" s="281"/>
      <c r="D129" s="281"/>
      <c r="E129" s="281"/>
      <c r="F129" s="281"/>
      <c r="H129" s="281"/>
      <c r="I129" s="281"/>
      <c r="J129" s="281"/>
      <c r="K129" s="323"/>
      <c r="L129" s="281"/>
    </row>
    <row r="130" spans="2:12" x14ac:dyDescent="0.25">
      <c r="B130" s="281"/>
      <c r="C130" s="281"/>
      <c r="D130" s="281"/>
      <c r="E130" s="281"/>
      <c r="F130" s="281"/>
      <c r="H130" s="281"/>
      <c r="I130" s="281"/>
      <c r="J130" s="281"/>
      <c r="K130" s="323"/>
      <c r="L130" s="281"/>
    </row>
    <row r="131" spans="2:12" x14ac:dyDescent="0.25">
      <c r="B131" s="281"/>
      <c r="C131" s="281"/>
      <c r="D131" s="281"/>
      <c r="E131" s="281"/>
      <c r="F131" s="281"/>
      <c r="H131" s="281"/>
      <c r="I131" s="281"/>
      <c r="J131" s="281"/>
      <c r="K131" s="323"/>
      <c r="L131" s="281"/>
    </row>
    <row r="132" spans="2:12" x14ac:dyDescent="0.25">
      <c r="B132" s="281"/>
      <c r="C132" s="281"/>
      <c r="D132" s="281"/>
      <c r="E132" s="281"/>
      <c r="F132" s="281"/>
      <c r="H132" s="281"/>
      <c r="I132" s="281"/>
      <c r="J132" s="281"/>
      <c r="K132" s="281"/>
      <c r="L132" s="281"/>
    </row>
    <row r="133" spans="2:12" x14ac:dyDescent="0.25">
      <c r="B133" s="281"/>
      <c r="C133" s="281"/>
      <c r="D133" s="281"/>
      <c r="E133" s="281"/>
      <c r="F133" s="281"/>
      <c r="H133" s="281"/>
      <c r="I133" s="281"/>
      <c r="J133" s="281"/>
      <c r="K133" s="281"/>
      <c r="L133" s="281"/>
    </row>
    <row r="134" spans="2:12" x14ac:dyDescent="0.25">
      <c r="B134" s="281"/>
      <c r="C134" s="281"/>
      <c r="D134" s="281"/>
      <c r="E134" s="281"/>
      <c r="F134" s="281"/>
      <c r="H134" s="281"/>
      <c r="I134" s="281"/>
      <c r="J134" s="281"/>
      <c r="K134" s="281"/>
      <c r="L134" s="281"/>
    </row>
    <row r="135" spans="2:12" x14ac:dyDescent="0.25">
      <c r="B135" s="281"/>
      <c r="C135" s="281"/>
      <c r="D135" s="281"/>
      <c r="E135" s="281"/>
      <c r="F135" s="281"/>
      <c r="H135" s="281"/>
      <c r="I135" s="281"/>
      <c r="J135" s="281"/>
      <c r="K135" s="281"/>
      <c r="L135" s="281"/>
    </row>
    <row r="136" spans="2:12" x14ac:dyDescent="0.25">
      <c r="B136" s="281"/>
      <c r="C136" s="281"/>
      <c r="D136" s="281"/>
      <c r="E136" s="281"/>
      <c r="F136" s="281"/>
      <c r="H136" s="281"/>
      <c r="I136" s="281"/>
      <c r="J136" s="281"/>
      <c r="K136" s="281"/>
      <c r="L136" s="281"/>
    </row>
    <row r="137" spans="2:12" x14ac:dyDescent="0.25">
      <c r="B137" s="281"/>
      <c r="C137" s="281"/>
      <c r="D137" s="281"/>
      <c r="E137" s="281"/>
      <c r="F137" s="281"/>
      <c r="H137" s="281"/>
      <c r="I137" s="281"/>
      <c r="J137" s="281"/>
      <c r="K137" s="281"/>
      <c r="L137" s="281"/>
    </row>
    <row r="138" spans="2:12" x14ac:dyDescent="0.25">
      <c r="B138" s="281"/>
      <c r="C138" s="281"/>
      <c r="D138" s="281"/>
      <c r="E138" s="281"/>
      <c r="F138" s="281"/>
      <c r="H138" s="281"/>
      <c r="I138" s="281"/>
      <c r="J138" s="281"/>
      <c r="K138" s="281"/>
      <c r="L138" s="281"/>
    </row>
    <row r="139" spans="2:12" x14ac:dyDescent="0.25">
      <c r="B139" s="281"/>
      <c r="C139" s="281"/>
      <c r="D139" s="281"/>
      <c r="E139" s="281"/>
      <c r="F139" s="281"/>
      <c r="H139" s="281"/>
      <c r="I139" s="281"/>
      <c r="J139" s="281"/>
      <c r="K139" s="281"/>
      <c r="L139" s="281"/>
    </row>
    <row r="140" spans="2:12" x14ac:dyDescent="0.25">
      <c r="B140" s="281"/>
      <c r="C140" s="281"/>
      <c r="D140" s="281"/>
      <c r="E140" s="281"/>
      <c r="F140" s="281"/>
      <c r="H140" s="281"/>
      <c r="I140" s="281"/>
      <c r="J140" s="281"/>
      <c r="K140" s="281"/>
      <c r="L140" s="281"/>
    </row>
    <row r="141" spans="2:12" x14ac:dyDescent="0.25">
      <c r="B141" s="281"/>
      <c r="C141" s="281"/>
      <c r="D141" s="281"/>
      <c r="E141" s="281"/>
      <c r="F141" s="281"/>
      <c r="H141" s="281"/>
      <c r="I141" s="281"/>
      <c r="J141" s="281"/>
      <c r="K141" s="281"/>
      <c r="L141" s="281"/>
    </row>
    <row r="142" spans="2:12" x14ac:dyDescent="0.25">
      <c r="B142" s="281"/>
      <c r="C142" s="281"/>
      <c r="D142" s="281"/>
      <c r="E142" s="281"/>
      <c r="F142" s="281"/>
      <c r="H142" s="281"/>
      <c r="I142" s="281"/>
      <c r="J142" s="281"/>
      <c r="K142" s="281"/>
      <c r="L142" s="281"/>
    </row>
    <row r="143" spans="2:12" x14ac:dyDescent="0.25">
      <c r="B143" s="281"/>
      <c r="C143" s="281"/>
      <c r="D143" s="281"/>
      <c r="E143" s="281"/>
      <c r="F143" s="281"/>
      <c r="H143" s="281"/>
      <c r="I143" s="281"/>
      <c r="J143" s="281"/>
      <c r="K143" s="281"/>
      <c r="L143" s="281"/>
    </row>
    <row r="144" spans="2:12" x14ac:dyDescent="0.25">
      <c r="B144" s="281"/>
      <c r="C144" s="281"/>
      <c r="D144" s="281"/>
      <c r="E144" s="281"/>
      <c r="F144" s="281"/>
      <c r="H144" s="281"/>
      <c r="I144" s="281"/>
      <c r="J144" s="281"/>
      <c r="K144" s="281"/>
      <c r="L144" s="281"/>
    </row>
    <row r="145" spans="2:12" x14ac:dyDescent="0.25">
      <c r="B145" s="281"/>
      <c r="C145" s="281"/>
      <c r="D145" s="281"/>
      <c r="E145" s="281"/>
      <c r="F145" s="281"/>
      <c r="H145" s="281"/>
      <c r="I145" s="281"/>
      <c r="J145" s="281"/>
      <c r="K145" s="281"/>
      <c r="L145" s="281"/>
    </row>
    <row r="146" spans="2:12" x14ac:dyDescent="0.25">
      <c r="B146" s="281"/>
      <c r="C146" s="281"/>
      <c r="D146" s="281"/>
      <c r="E146" s="281"/>
      <c r="F146" s="281"/>
      <c r="H146" s="281"/>
      <c r="I146" s="281"/>
      <c r="J146" s="281"/>
      <c r="K146" s="281"/>
      <c r="L146" s="281"/>
    </row>
    <row r="147" spans="2:12" x14ac:dyDescent="0.25">
      <c r="B147" s="281"/>
      <c r="C147" s="281"/>
      <c r="D147" s="281"/>
      <c r="E147" s="281"/>
      <c r="F147" s="281"/>
      <c r="H147" s="281"/>
      <c r="I147" s="281"/>
      <c r="J147" s="281"/>
      <c r="K147" s="281"/>
      <c r="L147" s="281"/>
    </row>
    <row r="148" spans="2:12" x14ac:dyDescent="0.25">
      <c r="B148" s="281"/>
      <c r="C148" s="281"/>
      <c r="D148" s="281"/>
      <c r="E148" s="281"/>
      <c r="F148" s="281"/>
      <c r="H148" s="281"/>
      <c r="I148" s="281"/>
      <c r="J148" s="281"/>
      <c r="K148" s="281"/>
      <c r="L148" s="281"/>
    </row>
    <row r="149" spans="2:12" x14ac:dyDescent="0.25">
      <c r="B149" s="281"/>
      <c r="C149" s="281"/>
      <c r="D149" s="281"/>
      <c r="E149" s="281"/>
      <c r="F149" s="281"/>
      <c r="H149" s="281"/>
      <c r="I149" s="281"/>
      <c r="J149" s="281"/>
      <c r="K149" s="281"/>
      <c r="L149" s="281"/>
    </row>
    <row r="150" spans="2:12" x14ac:dyDescent="0.25">
      <c r="B150" s="281"/>
      <c r="C150" s="281"/>
      <c r="D150" s="281"/>
      <c r="E150" s="281"/>
      <c r="F150" s="281"/>
      <c r="H150" s="281"/>
      <c r="I150" s="281"/>
      <c r="J150" s="281"/>
      <c r="K150" s="281"/>
      <c r="L150" s="281"/>
    </row>
    <row r="151" spans="2:12" x14ac:dyDescent="0.25">
      <c r="B151" s="281"/>
      <c r="C151" s="281"/>
      <c r="D151" s="281"/>
      <c r="E151" s="281"/>
      <c r="F151" s="281"/>
      <c r="H151" s="281"/>
      <c r="I151" s="281"/>
      <c r="J151" s="281"/>
      <c r="K151" s="281"/>
      <c r="L151" s="281"/>
    </row>
    <row r="152" spans="2:12" x14ac:dyDescent="0.25">
      <c r="B152" s="281"/>
      <c r="C152" s="281"/>
      <c r="D152" s="281"/>
      <c r="E152" s="281"/>
      <c r="F152" s="281"/>
      <c r="H152" s="281"/>
      <c r="I152" s="281"/>
      <c r="J152" s="281"/>
      <c r="K152" s="281"/>
      <c r="L152" s="281"/>
    </row>
    <row r="153" spans="2:12" x14ac:dyDescent="0.25">
      <c r="B153" s="281"/>
      <c r="C153" s="281"/>
      <c r="D153" s="281"/>
      <c r="E153" s="281"/>
      <c r="F153" s="281"/>
      <c r="H153" s="281"/>
      <c r="I153" s="281"/>
      <c r="J153" s="281"/>
      <c r="K153" s="281"/>
      <c r="L153" s="281"/>
    </row>
    <row r="154" spans="2:12" x14ac:dyDescent="0.25">
      <c r="B154" s="281"/>
      <c r="C154" s="281"/>
      <c r="D154" s="281"/>
      <c r="E154" s="281"/>
      <c r="F154" s="281"/>
      <c r="H154" s="281"/>
      <c r="I154" s="281"/>
      <c r="J154" s="281"/>
      <c r="K154" s="281"/>
      <c r="L154" s="281"/>
    </row>
    <row r="155" spans="2:12" x14ac:dyDescent="0.25">
      <c r="H155" s="281"/>
      <c r="I155" s="281"/>
      <c r="J155" s="281"/>
      <c r="K155" s="281"/>
      <c r="L155" s="281"/>
    </row>
    <row r="156" spans="2:12" x14ac:dyDescent="0.25">
      <c r="H156" s="281"/>
      <c r="I156" s="281"/>
      <c r="J156" s="281"/>
      <c r="K156" s="281"/>
      <c r="L156" s="281"/>
    </row>
    <row r="157" spans="2:12" x14ac:dyDescent="0.25">
      <c r="H157" s="281"/>
      <c r="I157" s="281"/>
      <c r="J157" s="281"/>
      <c r="K157" s="281"/>
      <c r="L157" s="281"/>
    </row>
    <row r="158" spans="2:12" x14ac:dyDescent="0.25">
      <c r="H158" s="281"/>
      <c r="I158" s="281"/>
      <c r="J158" s="281"/>
      <c r="K158" s="281"/>
      <c r="L158" s="281"/>
    </row>
    <row r="159" spans="2:12" x14ac:dyDescent="0.25">
      <c r="H159" s="281"/>
      <c r="I159" s="281"/>
      <c r="J159" s="281"/>
      <c r="K159" s="281"/>
      <c r="L159" s="281"/>
    </row>
    <row r="160" spans="2:12" x14ac:dyDescent="0.25">
      <c r="H160" s="281"/>
      <c r="I160" s="281"/>
      <c r="J160" s="281"/>
      <c r="K160" s="281"/>
      <c r="L160" s="281"/>
    </row>
    <row r="161" spans="8:12" x14ac:dyDescent="0.25">
      <c r="H161" s="281"/>
      <c r="I161" s="281"/>
      <c r="J161" s="281"/>
      <c r="K161" s="281"/>
      <c r="L161" s="281"/>
    </row>
    <row r="162" spans="8:12" x14ac:dyDescent="0.25">
      <c r="H162" s="281"/>
      <c r="I162" s="281"/>
      <c r="J162" s="281"/>
      <c r="K162" s="281"/>
      <c r="L162" s="281"/>
    </row>
    <row r="163" spans="8:12" x14ac:dyDescent="0.25">
      <c r="H163" s="281"/>
      <c r="I163" s="281"/>
      <c r="J163" s="281"/>
      <c r="K163" s="281"/>
      <c r="L163" s="281"/>
    </row>
    <row r="164" spans="8:12" x14ac:dyDescent="0.25">
      <c r="H164" s="281"/>
      <c r="I164" s="281"/>
      <c r="J164" s="281"/>
      <c r="K164" s="281"/>
      <c r="L164" s="281"/>
    </row>
    <row r="165" spans="8:12" x14ac:dyDescent="0.25">
      <c r="H165" s="281"/>
      <c r="I165" s="281"/>
      <c r="J165" s="281"/>
      <c r="K165" s="281"/>
      <c r="L165" s="281"/>
    </row>
    <row r="166" spans="8:12" x14ac:dyDescent="0.25">
      <c r="H166" s="281"/>
      <c r="I166" s="281"/>
      <c r="J166" s="281"/>
      <c r="K166" s="281"/>
      <c r="L166" s="281"/>
    </row>
    <row r="167" spans="8:12" x14ac:dyDescent="0.25">
      <c r="H167" s="281"/>
      <c r="I167" s="281"/>
      <c r="J167" s="281"/>
      <c r="K167" s="281"/>
      <c r="L167" s="281"/>
    </row>
    <row r="168" spans="8:12" x14ac:dyDescent="0.25">
      <c r="H168" s="281"/>
      <c r="I168" s="281"/>
      <c r="J168" s="281"/>
      <c r="K168" s="281"/>
      <c r="L168" s="281"/>
    </row>
    <row r="177" spans="11:11" x14ac:dyDescent="0.25">
      <c r="K177" s="282"/>
    </row>
    <row r="178" spans="11:11" x14ac:dyDescent="0.25">
      <c r="K178" s="282"/>
    </row>
    <row r="179" spans="11:11" x14ac:dyDescent="0.25">
      <c r="K179" s="282"/>
    </row>
    <row r="180" spans="11:11" x14ac:dyDescent="0.25">
      <c r="K180" s="282"/>
    </row>
    <row r="181" spans="11:11" x14ac:dyDescent="0.25">
      <c r="K181" s="282"/>
    </row>
    <row r="182" spans="11:11" x14ac:dyDescent="0.25">
      <c r="K182" s="282"/>
    </row>
    <row r="183" spans="11:11" x14ac:dyDescent="0.25">
      <c r="K183" s="282"/>
    </row>
    <row r="184" spans="11:11" x14ac:dyDescent="0.25">
      <c r="K184" s="282"/>
    </row>
    <row r="185" spans="11:11" x14ac:dyDescent="0.25">
      <c r="K185" s="282"/>
    </row>
    <row r="186" spans="11:11" x14ac:dyDescent="0.25">
      <c r="K186" s="282"/>
    </row>
    <row r="187" spans="11:11" x14ac:dyDescent="0.25">
      <c r="K187" s="282"/>
    </row>
    <row r="188" spans="11:11" x14ac:dyDescent="0.25">
      <c r="K188" s="282"/>
    </row>
    <row r="189" spans="11:11" x14ac:dyDescent="0.25">
      <c r="K189" s="282"/>
    </row>
    <row r="190" spans="11:11" x14ac:dyDescent="0.25">
      <c r="K190" s="282"/>
    </row>
  </sheetData>
  <mergeCells count="105">
    <mergeCell ref="B2:F2"/>
    <mergeCell ref="H2:L2"/>
    <mergeCell ref="O2:T2"/>
    <mergeCell ref="B3:F3"/>
    <mergeCell ref="H3:L3"/>
    <mergeCell ref="O3:T3"/>
    <mergeCell ref="H6:J6"/>
    <mergeCell ref="H7:J7"/>
    <mergeCell ref="H8:J8"/>
    <mergeCell ref="O8:T8"/>
    <mergeCell ref="H9:J9"/>
    <mergeCell ref="O9:R9"/>
    <mergeCell ref="B4:F4"/>
    <mergeCell ref="H4:L4"/>
    <mergeCell ref="O4:T4"/>
    <mergeCell ref="B5:F5"/>
    <mergeCell ref="H5:L5"/>
    <mergeCell ref="O5:O6"/>
    <mergeCell ref="P5:P6"/>
    <mergeCell ref="Q5:R6"/>
    <mergeCell ref="S5:S6"/>
    <mergeCell ref="T5:T6"/>
    <mergeCell ref="H14:J14"/>
    <mergeCell ref="O14:O15"/>
    <mergeCell ref="P14:P15"/>
    <mergeCell ref="Q14:R15"/>
    <mergeCell ref="S14:S15"/>
    <mergeCell ref="T14:T15"/>
    <mergeCell ref="H15:J15"/>
    <mergeCell ref="H10:J10"/>
    <mergeCell ref="O10:R10"/>
    <mergeCell ref="H11:L11"/>
    <mergeCell ref="O11:T12"/>
    <mergeCell ref="H12:L12"/>
    <mergeCell ref="H13:L13"/>
    <mergeCell ref="O13:T13"/>
    <mergeCell ref="B20:F20"/>
    <mergeCell ref="H20:L20"/>
    <mergeCell ref="O20:T21"/>
    <mergeCell ref="B21:F21"/>
    <mergeCell ref="H21:L21"/>
    <mergeCell ref="H22:J22"/>
    <mergeCell ref="O22:T22"/>
    <mergeCell ref="H16:J16"/>
    <mergeCell ref="B17:D17"/>
    <mergeCell ref="H17:J17"/>
    <mergeCell ref="O17:T17"/>
    <mergeCell ref="B18:F19"/>
    <mergeCell ref="H18:J18"/>
    <mergeCell ref="O18:R18"/>
    <mergeCell ref="H19:L19"/>
    <mergeCell ref="O19:R19"/>
    <mergeCell ref="H25:J25"/>
    <mergeCell ref="H26:J26"/>
    <mergeCell ref="O26:T26"/>
    <mergeCell ref="H27:L27"/>
    <mergeCell ref="H28:L28"/>
    <mergeCell ref="O28:T28"/>
    <mergeCell ref="H23:J23"/>
    <mergeCell ref="O23:O24"/>
    <mergeCell ref="P23:P24"/>
    <mergeCell ref="Q23:R24"/>
    <mergeCell ref="S23:S24"/>
    <mergeCell ref="T23:T24"/>
    <mergeCell ref="H24:J24"/>
    <mergeCell ref="B32:F32"/>
    <mergeCell ref="H32:J32"/>
    <mergeCell ref="O32:T32"/>
    <mergeCell ref="B33:F33"/>
    <mergeCell ref="H33:J33"/>
    <mergeCell ref="O33:R33"/>
    <mergeCell ref="B29:D29"/>
    <mergeCell ref="H29:L29"/>
    <mergeCell ref="B30:F31"/>
    <mergeCell ref="H30:J30"/>
    <mergeCell ref="O30:T30"/>
    <mergeCell ref="H31:J31"/>
    <mergeCell ref="H39:J39"/>
    <mergeCell ref="H40:J40"/>
    <mergeCell ref="B41:D41"/>
    <mergeCell ref="H41:J41"/>
    <mergeCell ref="B42:F43"/>
    <mergeCell ref="H42:J42"/>
    <mergeCell ref="H43:L43"/>
    <mergeCell ref="H34:J34"/>
    <mergeCell ref="O34:R34"/>
    <mergeCell ref="H35:L35"/>
    <mergeCell ref="H36:L36"/>
    <mergeCell ref="H37:L37"/>
    <mergeCell ref="H38:J38"/>
    <mergeCell ref="B66:F67"/>
    <mergeCell ref="O51:R51"/>
    <mergeCell ref="B53:D53"/>
    <mergeCell ref="B54:F55"/>
    <mergeCell ref="B56:F56"/>
    <mergeCell ref="B57:F57"/>
    <mergeCell ref="B65:D65"/>
    <mergeCell ref="B44:F44"/>
    <mergeCell ref="B45:F45"/>
    <mergeCell ref="O47:T47"/>
    <mergeCell ref="O48:P48"/>
    <mergeCell ref="Q48:R48"/>
    <mergeCell ref="O49:P50"/>
    <mergeCell ref="Q49:R49"/>
    <mergeCell ref="Q50:R50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7"/>
  <sheetViews>
    <sheetView workbookViewId="0">
      <selection sqref="A1:B1"/>
    </sheetView>
  </sheetViews>
  <sheetFormatPr defaultRowHeight="12.75" x14ac:dyDescent="0.2"/>
  <cols>
    <col min="1" max="1" width="24.5703125" style="118" customWidth="1"/>
    <col min="2" max="2" width="20.85546875" style="118" customWidth="1"/>
    <col min="3" max="1025" width="9.140625" style="118" customWidth="1"/>
  </cols>
  <sheetData>
    <row r="1" spans="1:2" ht="19.5" customHeight="1" x14ac:dyDescent="0.2">
      <c r="A1" s="487" t="s">
        <v>262</v>
      </c>
      <c r="B1" s="487"/>
    </row>
    <row r="2" spans="1:2" s="170" customFormat="1" ht="19.5" customHeight="1" x14ac:dyDescent="0.2">
      <c r="A2" s="264" t="s">
        <v>263</v>
      </c>
      <c r="B2" s="265" t="s">
        <v>264</v>
      </c>
    </row>
    <row r="3" spans="1:2" ht="19.5" customHeight="1" x14ac:dyDescent="0.2">
      <c r="A3" s="266">
        <v>1</v>
      </c>
      <c r="B3" s="267">
        <v>33.630000000000003</v>
      </c>
    </row>
    <row r="4" spans="1:2" ht="19.5" customHeight="1" x14ac:dyDescent="0.2">
      <c r="A4" s="266">
        <v>2</v>
      </c>
      <c r="B4" s="267">
        <v>43.13</v>
      </c>
    </row>
    <row r="5" spans="1:2" ht="19.5" customHeight="1" x14ac:dyDescent="0.2">
      <c r="A5" s="266">
        <v>3</v>
      </c>
      <c r="B5" s="267">
        <v>48.68</v>
      </c>
    </row>
    <row r="6" spans="1:2" ht="19.5" customHeight="1" x14ac:dyDescent="0.2">
      <c r="A6" s="266">
        <v>4</v>
      </c>
      <c r="B6" s="267">
        <v>52.62</v>
      </c>
    </row>
    <row r="7" spans="1:2" ht="19.5" customHeight="1" x14ac:dyDescent="0.2">
      <c r="A7" s="266">
        <v>5</v>
      </c>
      <c r="B7" s="267">
        <v>55.68</v>
      </c>
    </row>
    <row r="8" spans="1:2" ht="19.5" customHeight="1" x14ac:dyDescent="0.2">
      <c r="A8" s="266">
        <v>6</v>
      </c>
      <c r="B8" s="267">
        <v>58.18</v>
      </c>
    </row>
    <row r="9" spans="1:2" ht="19.5" customHeight="1" x14ac:dyDescent="0.2">
      <c r="A9" s="266">
        <v>7</v>
      </c>
      <c r="B9" s="267">
        <v>60.29</v>
      </c>
    </row>
    <row r="10" spans="1:2" ht="19.5" customHeight="1" x14ac:dyDescent="0.2">
      <c r="A10" s="266">
        <v>8</v>
      </c>
      <c r="B10" s="267">
        <v>62.12</v>
      </c>
    </row>
    <row r="11" spans="1:2" ht="19.5" customHeight="1" x14ac:dyDescent="0.2">
      <c r="A11" s="266">
        <v>9</v>
      </c>
      <c r="B11" s="267">
        <v>63.73</v>
      </c>
    </row>
    <row r="12" spans="1:2" ht="19.5" customHeight="1" x14ac:dyDescent="0.2">
      <c r="A12" s="266">
        <v>10</v>
      </c>
      <c r="B12" s="267">
        <v>65.180000000000007</v>
      </c>
    </row>
    <row r="13" spans="1:2" ht="19.5" customHeight="1" x14ac:dyDescent="0.2">
      <c r="A13" s="266">
        <v>11</v>
      </c>
      <c r="B13" s="267">
        <v>66.48</v>
      </c>
    </row>
    <row r="14" spans="1:2" ht="19.5" customHeight="1" x14ac:dyDescent="0.2">
      <c r="A14" s="266">
        <v>12</v>
      </c>
      <c r="B14" s="267">
        <v>67.67</v>
      </c>
    </row>
    <row r="15" spans="1:2" ht="19.5" customHeight="1" x14ac:dyDescent="0.2">
      <c r="A15" s="266">
        <v>13</v>
      </c>
      <c r="B15" s="267">
        <v>68.77</v>
      </c>
    </row>
    <row r="16" spans="1:2" ht="19.5" customHeight="1" x14ac:dyDescent="0.2">
      <c r="A16" s="266">
        <v>14</v>
      </c>
      <c r="B16" s="267">
        <v>69.790000000000006</v>
      </c>
    </row>
    <row r="17" spans="1:4" ht="19.5" customHeight="1" x14ac:dyDescent="0.2">
      <c r="A17" s="268">
        <v>15</v>
      </c>
      <c r="B17" s="269">
        <v>70.73</v>
      </c>
      <c r="D17" s="270"/>
    </row>
  </sheetData>
  <mergeCells count="1">
    <mergeCell ref="A1:B1"/>
  </mergeCells>
  <pageMargins left="0.905555555555556" right="0.51180555555555496" top="0.74791666666666701" bottom="0.74791666666666701" header="0.51180555555555496" footer="0.51180555555555496"/>
  <pageSetup paperSize="9" firstPageNumber="0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4</vt:i4>
      </vt:variant>
    </vt:vector>
  </HeadingPairs>
  <TitlesOfParts>
    <vt:vector size="12" baseType="lpstr">
      <vt:lpstr>Resumo</vt:lpstr>
      <vt:lpstr>1. Col Veg Vol e Int</vt:lpstr>
      <vt:lpstr>2.Encargos Sociais</vt:lpstr>
      <vt:lpstr>3.BDI</vt:lpstr>
      <vt:lpstr>4.Ton</vt:lpstr>
      <vt:lpstr>5.Horarios</vt:lpstr>
      <vt:lpstr>6.Rotas</vt:lpstr>
      <vt:lpstr>7. Depreciação</vt:lpstr>
      <vt:lpstr>AbaDeprec</vt:lpstr>
      <vt:lpstr>'1. Col Veg Vol e Int'!Area_de_impressao</vt:lpstr>
      <vt:lpstr>'2.Encargos Sociais'!Area_de_impressao</vt:lpstr>
      <vt:lpstr>'1. Col Veg Vol e Int'!Titulos_de_impressao</vt:lpstr>
    </vt:vector>
  </TitlesOfParts>
  <Company>dmlu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Ws</cp:lastModifiedBy>
  <cp:revision>1</cp:revision>
  <cp:lastPrinted>2024-03-21T14:47:09Z</cp:lastPrinted>
  <dcterms:created xsi:type="dcterms:W3CDTF">2000-12-13T10:02:50Z</dcterms:created>
  <dcterms:modified xsi:type="dcterms:W3CDTF">2024-03-31T22:39:54Z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dmlu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