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\Desktop\2026\Fontoura Xavier\Transporte Escolar\"/>
    </mc:Choice>
  </mc:AlternateContent>
  <bookViews>
    <workbookView xWindow="0" yWindow="0" windowWidth="24000" windowHeight="9135" tabRatio="909"/>
  </bookViews>
  <sheets>
    <sheet name="Resumo 2026 " sheetId="23" r:id="rId1"/>
    <sheet name="Linha 28" sheetId="90" r:id="rId2"/>
    <sheet name="Linha 29" sheetId="101" r:id="rId3"/>
    <sheet name="Linha 36" sheetId="100" r:id="rId4"/>
    <sheet name="Linha 41" sheetId="91" r:id="rId5"/>
    <sheet name="Roteiros" sheetId="97" r:id="rId6"/>
    <sheet name="Encargos Sociais" sheetId="8" r:id="rId7"/>
    <sheet name="BDI" sheetId="4" r:id="rId8"/>
    <sheet name="Depreciação" sheetId="6" r:id="rId9"/>
  </sheets>
  <definedNames>
    <definedName name="_____LO25" localSheetId="1">#N/A</definedName>
    <definedName name="_____LO25" localSheetId="2">#N/A</definedName>
    <definedName name="_____LO25" localSheetId="3">#N/A</definedName>
    <definedName name="_____LO25" localSheetId="4">#N/A</definedName>
    <definedName name="_____LO25" localSheetId="5">#N/A</definedName>
    <definedName name="_____LO25">#N/A</definedName>
    <definedName name="____LO25" localSheetId="1">#N/A</definedName>
    <definedName name="____LO25" localSheetId="2">#N/A</definedName>
    <definedName name="____LO25" localSheetId="3">#N/A</definedName>
    <definedName name="____LO25" localSheetId="4">#N/A</definedName>
    <definedName name="____LO25" localSheetId="5">#N/A</definedName>
    <definedName name="____LO25">#N/A</definedName>
    <definedName name="___LO25" localSheetId="1">#N/A</definedName>
    <definedName name="___LO25" localSheetId="2">#N/A</definedName>
    <definedName name="___LO25" localSheetId="3">#N/A</definedName>
    <definedName name="___LO25" localSheetId="4">#N/A</definedName>
    <definedName name="___LO25" localSheetId="5">#N/A</definedName>
    <definedName name="___LO25">#N/A</definedName>
    <definedName name="__LO25" localSheetId="1">#N/A</definedName>
    <definedName name="__LO25" localSheetId="2">#N/A</definedName>
    <definedName name="__LO25" localSheetId="3">#N/A</definedName>
    <definedName name="__LO25" localSheetId="4">#N/A</definedName>
    <definedName name="__LO25" localSheetId="5">#N/A</definedName>
    <definedName name="__LO25">#N/A</definedName>
    <definedName name="_xlnm._FilterDatabase" localSheetId="0" hidden="1">#N/A</definedName>
    <definedName name="_LO25" localSheetId="1">#N/A</definedName>
    <definedName name="_LO25" localSheetId="2">#N/A</definedName>
    <definedName name="_LO25" localSheetId="3">#N/A</definedName>
    <definedName name="_LO25" localSheetId="4">#N/A</definedName>
    <definedName name="_LO25" localSheetId="5">#N/A</definedName>
    <definedName name="_LO25">#N/A</definedName>
    <definedName name="AbaDeprec">#N/A</definedName>
    <definedName name="AbaRemun" localSheetId="1">#N/A</definedName>
    <definedName name="AbaRemun" localSheetId="2">#N/A</definedName>
    <definedName name="AbaRemun" localSheetId="3">#N/A</definedName>
    <definedName name="AbaRemun" localSheetId="4">#N/A</definedName>
    <definedName name="AbaRemun" localSheetId="5">#N/A</definedName>
    <definedName name="AbaRemun">#N/A</definedName>
    <definedName name="_xlnm.Print_Area" localSheetId="0">#N/A</definedName>
    <definedName name="sesi" localSheetId="1">#N/A</definedName>
    <definedName name="sesi" localSheetId="2">#N/A</definedName>
    <definedName name="sesi" localSheetId="3">#N/A</definedName>
    <definedName name="sesi" localSheetId="4">#N/A</definedName>
    <definedName name="sesi" localSheetId="0">#N/A</definedName>
    <definedName name="sesi" localSheetId="5">#N/A</definedName>
    <definedName name="sesi">#N/A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8" i="97" l="1"/>
  <c r="T24" i="97"/>
  <c r="T23" i="97"/>
  <c r="T22" i="97"/>
  <c r="B45" i="100"/>
  <c r="M12" i="97" l="1"/>
  <c r="T9" i="97"/>
  <c r="T34" i="97" s="1"/>
  <c r="M19" i="97"/>
  <c r="M18" i="97"/>
  <c r="M20" i="97" s="1"/>
  <c r="M31" i="97" s="1"/>
  <c r="M13" i="97"/>
  <c r="M14" i="97"/>
  <c r="M30" i="97" s="1"/>
  <c r="M8" i="97"/>
  <c r="M29" i="97" s="1"/>
  <c r="T25" i="97" l="1"/>
  <c r="T36" i="97" s="1"/>
  <c r="M32" i="97"/>
  <c r="T35" i="97"/>
  <c r="T37" i="97" l="1"/>
  <c r="B10" i="101" s="1"/>
  <c r="M33" i="97"/>
  <c r="M34" i="97"/>
  <c r="T38" i="97" l="1"/>
  <c r="T39" i="97"/>
  <c r="F47" i="101"/>
  <c r="A130" i="101"/>
  <c r="C99" i="101"/>
  <c r="B96" i="101"/>
  <c r="B94" i="101"/>
  <c r="A81" i="101"/>
  <c r="G77" i="101"/>
  <c r="A74" i="101"/>
  <c r="A72" i="101"/>
  <c r="A71" i="101"/>
  <c r="A70" i="101"/>
  <c r="A69" i="101"/>
  <c r="A67" i="101"/>
  <c r="A66" i="101"/>
  <c r="A65" i="101"/>
  <c r="F48" i="101"/>
  <c r="G44" i="101"/>
  <c r="H44" i="101" s="1"/>
  <c r="G47" i="101" s="1"/>
  <c r="F39" i="101"/>
  <c r="H39" i="101" s="1"/>
  <c r="E37" i="101"/>
  <c r="D37" i="101"/>
  <c r="F37" i="101" s="1"/>
  <c r="H37" i="101" s="1"/>
  <c r="B34" i="101"/>
  <c r="F29" i="101"/>
  <c r="H29" i="101" s="1"/>
  <c r="A28" i="101"/>
  <c r="A68" i="101" s="1"/>
  <c r="H27" i="101"/>
  <c r="G8" i="101"/>
  <c r="B9" i="23" s="1"/>
  <c r="G30" i="101" l="1"/>
  <c r="H30" i="101" s="1"/>
  <c r="G31" i="101" s="1"/>
  <c r="H47" i="101"/>
  <c r="G48" i="101" s="1"/>
  <c r="H48" i="101" s="1"/>
  <c r="B38" i="101" s="1"/>
  <c r="G23" i="101" l="1"/>
  <c r="G10" i="101"/>
  <c r="B13" i="101"/>
  <c r="F8" i="97"/>
  <c r="F17" i="97"/>
  <c r="F33" i="97" s="1"/>
  <c r="F24" i="97"/>
  <c r="F34" i="97" s="1"/>
  <c r="F32" i="97"/>
  <c r="G11" i="101" l="1"/>
  <c r="F9" i="23"/>
  <c r="B12" i="101"/>
  <c r="G13" i="101"/>
  <c r="G15" i="101" s="1"/>
  <c r="B44" i="101" s="1"/>
  <c r="F31" i="101"/>
  <c r="H31" i="101" s="1"/>
  <c r="B28" i="101" s="1"/>
  <c r="F68" i="101" s="1"/>
  <c r="B27" i="101"/>
  <c r="F67" i="101" s="1"/>
  <c r="H9" i="23"/>
  <c r="F35" i="97"/>
  <c r="F36" i="97" s="1"/>
  <c r="F37" i="97" l="1"/>
  <c r="B83" i="101"/>
  <c r="G76" i="101"/>
  <c r="G78" i="101" s="1"/>
  <c r="B26" i="101"/>
  <c r="B30" i="101" l="1"/>
  <c r="F66" i="101"/>
  <c r="F65" i="101" s="1"/>
  <c r="B10" i="90"/>
  <c r="AA13" i="97" l="1"/>
  <c r="AA18" i="97"/>
  <c r="AA28" i="97" s="1"/>
  <c r="AH19" i="97"/>
  <c r="AH13" i="97"/>
  <c r="AH8" i="97"/>
  <c r="AH28" i="97" s="1"/>
  <c r="AH14" i="97" l="1"/>
  <c r="AH29" i="97" s="1"/>
  <c r="AH18" i="97"/>
  <c r="AH20" i="97" s="1"/>
  <c r="AH30" i="97" s="1"/>
  <c r="AH32" i="97" l="1"/>
  <c r="AH31" i="97" s="1"/>
  <c r="AH33" i="97" s="1"/>
  <c r="F47" i="90" l="1"/>
  <c r="F47" i="100"/>
  <c r="F47" i="91"/>
  <c r="A130" i="90"/>
  <c r="A130" i="100"/>
  <c r="A130" i="91"/>
  <c r="AA7" i="97" l="1"/>
  <c r="AA26" i="97" s="1"/>
  <c r="C99" i="100"/>
  <c r="B96" i="100"/>
  <c r="B94" i="100"/>
  <c r="A81" i="100"/>
  <c r="G77" i="100"/>
  <c r="A74" i="100"/>
  <c r="A72" i="100"/>
  <c r="A71" i="100"/>
  <c r="A70" i="100"/>
  <c r="A69" i="100"/>
  <c r="A67" i="100"/>
  <c r="A66" i="100"/>
  <c r="A65" i="100"/>
  <c r="F48" i="100"/>
  <c r="G44" i="100"/>
  <c r="B34" i="100" s="1"/>
  <c r="F39" i="100"/>
  <c r="H39" i="100" s="1"/>
  <c r="E37" i="100"/>
  <c r="D37" i="100"/>
  <c r="F29" i="100"/>
  <c r="H29" i="100" s="1"/>
  <c r="A28" i="100"/>
  <c r="A68" i="100" s="1"/>
  <c r="H27" i="100"/>
  <c r="G8" i="100"/>
  <c r="B10" i="23" s="1"/>
  <c r="D37" i="90"/>
  <c r="D37" i="91"/>
  <c r="O8" i="23"/>
  <c r="O11" i="23"/>
  <c r="C99" i="91"/>
  <c r="B96" i="91"/>
  <c r="B94" i="91"/>
  <c r="A81" i="91"/>
  <c r="G77" i="91"/>
  <c r="A74" i="91"/>
  <c r="A72" i="91"/>
  <c r="A71" i="91"/>
  <c r="A70" i="91"/>
  <c r="A69" i="91"/>
  <c r="A67" i="91"/>
  <c r="A66" i="91"/>
  <c r="A65" i="91"/>
  <c r="F48" i="91"/>
  <c r="G44" i="91"/>
  <c r="B34" i="91" s="1"/>
  <c r="F39" i="91"/>
  <c r="H39" i="91" s="1"/>
  <c r="E37" i="91"/>
  <c r="F29" i="91"/>
  <c r="H29" i="91" s="1"/>
  <c r="A28" i="91"/>
  <c r="A68" i="91" s="1"/>
  <c r="H27" i="91"/>
  <c r="G8" i="91"/>
  <c r="B11" i="23" s="1"/>
  <c r="C99" i="90"/>
  <c r="B96" i="90"/>
  <c r="B94" i="90"/>
  <c r="A81" i="90"/>
  <c r="G77" i="90"/>
  <c r="A74" i="90"/>
  <c r="A72" i="90"/>
  <c r="A71" i="90"/>
  <c r="A70" i="90"/>
  <c r="A69" i="90"/>
  <c r="A67" i="90"/>
  <c r="A66" i="90"/>
  <c r="A65" i="90"/>
  <c r="F48" i="90"/>
  <c r="G44" i="90"/>
  <c r="B34" i="90" s="1"/>
  <c r="F39" i="90"/>
  <c r="H39" i="90" s="1"/>
  <c r="E37" i="90"/>
  <c r="F29" i="90"/>
  <c r="H29" i="90" s="1"/>
  <c r="A28" i="90"/>
  <c r="A68" i="90" s="1"/>
  <c r="H27" i="90"/>
  <c r="G8" i="90"/>
  <c r="B8" i="23" s="1"/>
  <c r="C16" i="4"/>
  <c r="C21" i="4" s="1"/>
  <c r="D54" i="101" s="1"/>
  <c r="F14" i="4"/>
  <c r="E14" i="4"/>
  <c r="D14" i="4"/>
  <c r="C18" i="8"/>
  <c r="C36" i="8"/>
  <c r="C26" i="8"/>
  <c r="C30" i="8"/>
  <c r="C33" i="8" s="1"/>
  <c r="G30" i="90" l="1"/>
  <c r="H30" i="90" s="1"/>
  <c r="G31" i="90" s="1"/>
  <c r="F37" i="91"/>
  <c r="H37" i="91" s="1"/>
  <c r="F37" i="90"/>
  <c r="H37" i="90" s="1"/>
  <c r="G30" i="91"/>
  <c r="H30" i="91" s="1"/>
  <c r="G31" i="91" s="1"/>
  <c r="F37" i="100"/>
  <c r="H37" i="100" s="1"/>
  <c r="C35" i="8"/>
  <c r="C37" i="8" s="1"/>
  <c r="C38" i="8" s="1"/>
  <c r="H44" i="100"/>
  <c r="G47" i="100" s="1"/>
  <c r="H47" i="100" s="1"/>
  <c r="G48" i="100" s="1"/>
  <c r="H48" i="100" s="1"/>
  <c r="B38" i="100" s="1"/>
  <c r="O13" i="23"/>
  <c r="D54" i="100"/>
  <c r="D54" i="90"/>
  <c r="D54" i="91"/>
  <c r="H44" i="90"/>
  <c r="G47" i="90" s="1"/>
  <c r="H47" i="90" s="1"/>
  <c r="G48" i="90" s="1"/>
  <c r="H48" i="90" s="1"/>
  <c r="B38" i="90" s="1"/>
  <c r="G30" i="100"/>
  <c r="H30" i="100" s="1"/>
  <c r="G31" i="100" s="1"/>
  <c r="H44" i="91"/>
  <c r="G47" i="91" s="1"/>
  <c r="H47" i="91" s="1"/>
  <c r="G48" i="91" s="1"/>
  <c r="H48" i="91" s="1"/>
  <c r="B38" i="91" s="1"/>
  <c r="B13" i="23"/>
  <c r="E35" i="90" l="1"/>
  <c r="F35" i="90" s="1"/>
  <c r="H35" i="90" s="1"/>
  <c r="H40" i="90" s="1"/>
  <c r="B41" i="90" s="1"/>
  <c r="E35" i="101"/>
  <c r="F35" i="101" s="1"/>
  <c r="H35" i="101" s="1"/>
  <c r="H40" i="101" s="1"/>
  <c r="B41" i="101" s="1"/>
  <c r="B42" i="101" s="1"/>
  <c r="B43" i="101" s="1"/>
  <c r="AA27" i="97"/>
  <c r="AA30" i="97" s="1"/>
  <c r="AA29" i="97" s="1"/>
  <c r="E35" i="91"/>
  <c r="F35" i="91" s="1"/>
  <c r="H35" i="91" s="1"/>
  <c r="H40" i="91" s="1"/>
  <c r="B41" i="91" s="1"/>
  <c r="B42" i="91" s="1"/>
  <c r="E35" i="100"/>
  <c r="F35" i="100" s="1"/>
  <c r="H35" i="100" s="1"/>
  <c r="H40" i="100" s="1"/>
  <c r="B41" i="100" s="1"/>
  <c r="B42" i="100" s="1"/>
  <c r="B13" i="90"/>
  <c r="G10" i="90"/>
  <c r="G11" i="90" s="1"/>
  <c r="G23" i="90"/>
  <c r="B10" i="91"/>
  <c r="B42" i="90"/>
  <c r="F70" i="101" l="1"/>
  <c r="H50" i="101"/>
  <c r="AA31" i="97"/>
  <c r="B10" i="100"/>
  <c r="G23" i="100" s="1"/>
  <c r="F8" i="23"/>
  <c r="AA8" i="23" s="1"/>
  <c r="B83" i="90"/>
  <c r="B26" i="90"/>
  <c r="G76" i="90"/>
  <c r="G78" i="90" s="1"/>
  <c r="B12" i="90"/>
  <c r="G13" i="90"/>
  <c r="G15" i="90" s="1"/>
  <c r="B44" i="90" s="1"/>
  <c r="B43" i="90" s="1"/>
  <c r="F70" i="90" s="1"/>
  <c r="F69" i="90" s="1"/>
  <c r="G23" i="91"/>
  <c r="B13" i="91"/>
  <c r="G10" i="91"/>
  <c r="G11" i="91" s="1"/>
  <c r="F31" i="90"/>
  <c r="H31" i="90" s="1"/>
  <c r="B28" i="90" s="1"/>
  <c r="F68" i="90" s="1"/>
  <c r="H8" i="23"/>
  <c r="B27" i="90"/>
  <c r="F67" i="90" s="1"/>
  <c r="E54" i="101" l="1"/>
  <c r="F54" i="101" s="1"/>
  <c r="G55" i="101" s="1"/>
  <c r="H57" i="101" s="1"/>
  <c r="F72" i="101" s="1"/>
  <c r="F69" i="101"/>
  <c r="AB8" i="23"/>
  <c r="B13" i="100"/>
  <c r="B12" i="100" s="1"/>
  <c r="G10" i="100"/>
  <c r="G11" i="100" s="1"/>
  <c r="B26" i="100" s="1"/>
  <c r="B30" i="90"/>
  <c r="H50" i="90" s="1"/>
  <c r="E54" i="90" s="1"/>
  <c r="F54" i="90" s="1"/>
  <c r="G55" i="90" s="1"/>
  <c r="H57" i="90" s="1"/>
  <c r="F72" i="90" s="1"/>
  <c r="F66" i="90"/>
  <c r="F65" i="90" s="1"/>
  <c r="F71" i="90" s="1"/>
  <c r="F31" i="100"/>
  <c r="H31" i="100" s="1"/>
  <c r="B28" i="100" s="1"/>
  <c r="F68" i="100" s="1"/>
  <c r="B27" i="100"/>
  <c r="F67" i="100" s="1"/>
  <c r="H10" i="23"/>
  <c r="F11" i="23"/>
  <c r="AA11" i="23" s="1"/>
  <c r="G76" i="91"/>
  <c r="G78" i="91" s="1"/>
  <c r="B26" i="91"/>
  <c r="B83" i="91"/>
  <c r="B27" i="91"/>
  <c r="F67" i="91" s="1"/>
  <c r="H11" i="23"/>
  <c r="F31" i="91"/>
  <c r="H31" i="91" s="1"/>
  <c r="B28" i="91" s="1"/>
  <c r="F68" i="91" s="1"/>
  <c r="B12" i="91"/>
  <c r="G13" i="91"/>
  <c r="G15" i="91" s="1"/>
  <c r="B44" i="91" s="1"/>
  <c r="B43" i="91" s="1"/>
  <c r="H59" i="101" l="1"/>
  <c r="F71" i="101"/>
  <c r="F74" i="101" s="1"/>
  <c r="G69" i="101" s="1"/>
  <c r="I9" i="23"/>
  <c r="J9" i="23" s="1"/>
  <c r="K9" i="23" s="1"/>
  <c r="H61" i="101"/>
  <c r="D85" i="101" s="1"/>
  <c r="G13" i="100"/>
  <c r="G15" i="100" s="1"/>
  <c r="B44" i="100" s="1"/>
  <c r="B43" i="100" s="1"/>
  <c r="G76" i="100"/>
  <c r="G78" i="100" s="1"/>
  <c r="F10" i="23"/>
  <c r="AA10" i="23" s="1"/>
  <c r="AB10" i="23" s="1"/>
  <c r="B83" i="100"/>
  <c r="AB11" i="23"/>
  <c r="H59" i="90"/>
  <c r="I8" i="23" s="1"/>
  <c r="J8" i="23" s="1"/>
  <c r="H13" i="23"/>
  <c r="F66" i="100"/>
  <c r="F65" i="100" s="1"/>
  <c r="B30" i="100"/>
  <c r="F70" i="91"/>
  <c r="F69" i="91" s="1"/>
  <c r="F66" i="91"/>
  <c r="F65" i="91" s="1"/>
  <c r="B30" i="91"/>
  <c r="H50" i="91" s="1"/>
  <c r="F74" i="90"/>
  <c r="G71" i="90" s="1"/>
  <c r="G72" i="101" l="1"/>
  <c r="G71" i="101"/>
  <c r="G79" i="101"/>
  <c r="G67" i="101"/>
  <c r="G68" i="101"/>
  <c r="G65" i="101"/>
  <c r="G66" i="101"/>
  <c r="G70" i="101"/>
  <c r="H50" i="100"/>
  <c r="E54" i="100" s="1"/>
  <c r="F54" i="100" s="1"/>
  <c r="G55" i="100" s="1"/>
  <c r="H57" i="100" s="1"/>
  <c r="F72" i="100" s="1"/>
  <c r="F70" i="100"/>
  <c r="F69" i="100" s="1"/>
  <c r="F71" i="100" s="1"/>
  <c r="F13" i="23"/>
  <c r="H61" i="90"/>
  <c r="D85" i="90" s="1"/>
  <c r="F71" i="91"/>
  <c r="E54" i="91"/>
  <c r="F54" i="91" s="1"/>
  <c r="G55" i="91" s="1"/>
  <c r="H57" i="91" s="1"/>
  <c r="F72" i="91" s="1"/>
  <c r="K8" i="23"/>
  <c r="P8" i="23" s="1"/>
  <c r="S8" i="23"/>
  <c r="G79" i="90"/>
  <c r="G68" i="90"/>
  <c r="G67" i="90"/>
  <c r="G70" i="90"/>
  <c r="G69" i="90"/>
  <c r="G66" i="90"/>
  <c r="G65" i="90"/>
  <c r="G72" i="90"/>
  <c r="G74" i="90" s="1"/>
  <c r="G74" i="101" l="1"/>
  <c r="F74" i="100"/>
  <c r="G71" i="100" s="1"/>
  <c r="F74" i="91"/>
  <c r="G71" i="91" s="1"/>
  <c r="H59" i="100"/>
  <c r="H59" i="91"/>
  <c r="G72" i="100" l="1"/>
  <c r="G74" i="100" s="1"/>
  <c r="G66" i="100"/>
  <c r="G69" i="100"/>
  <c r="G79" i="100"/>
  <c r="G68" i="100"/>
  <c r="G70" i="100"/>
  <c r="G65" i="100"/>
  <c r="G67" i="100"/>
  <c r="G79" i="91"/>
  <c r="G66" i="91"/>
  <c r="G72" i="91"/>
  <c r="G74" i="91" s="1"/>
  <c r="G68" i="91"/>
  <c r="G67" i="91"/>
  <c r="G69" i="91"/>
  <c r="G65" i="91"/>
  <c r="G70" i="91"/>
  <c r="H61" i="91"/>
  <c r="D85" i="91" s="1"/>
  <c r="I11" i="23"/>
  <c r="J11" i="23" s="1"/>
  <c r="H61" i="100"/>
  <c r="D85" i="100" s="1"/>
  <c r="I10" i="23"/>
  <c r="J10" i="23" s="1"/>
  <c r="K10" i="23" s="1"/>
  <c r="I13" i="23" l="1"/>
  <c r="S11" i="23"/>
  <c r="K11" i="23"/>
  <c r="P11" i="23" s="1"/>
  <c r="S13" i="23" l="1"/>
  <c r="P13" i="23"/>
  <c r="K13" i="23"/>
</calcChain>
</file>

<file path=xl/sharedStrings.xml><?xml version="1.0" encoding="utf-8"?>
<sst xmlns="http://schemas.openxmlformats.org/spreadsheetml/2006/main" count="1177" uniqueCount="327">
  <si>
    <t>%</t>
  </si>
  <si>
    <t>mês</t>
  </si>
  <si>
    <t>unidade</t>
  </si>
  <si>
    <t>km</t>
  </si>
  <si>
    <t>Benefícios e despesas indiretas</t>
  </si>
  <si>
    <t>Custo (R$/mês)</t>
  </si>
  <si>
    <t>Quantidade</t>
  </si>
  <si>
    <t>INSS</t>
  </si>
  <si>
    <t>FGTS</t>
  </si>
  <si>
    <t>Planilha de Composição de Custos</t>
  </si>
  <si>
    <t>Discriminação</t>
  </si>
  <si>
    <t>Unidade</t>
  </si>
  <si>
    <t>Subtotal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</si>
  <si>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</si>
  <si>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</si>
  <si>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</si>
  <si>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</si>
  <si>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</si>
  <si>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</si>
  <si>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</si>
  <si>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</si>
  <si>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</si>
  <si>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</si>
  <si>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</si>
  <si>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</si>
  <si>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</si>
  <si>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Vida útil do chassis</t>
  </si>
  <si>
    <t>anos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</si>
  <si>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</si>
  <si>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</si>
  <si>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</si>
  <si>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</si>
  <si>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</si>
  <si>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</si>
  <si>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</si>
  <si>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</si>
  <si>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</si>
  <si>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</si>
  <si>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</si>
  <si>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</si>
  <si>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</si>
  <si>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</si>
  <si>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</si>
  <si>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</si>
  <si>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</si>
  <si>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</si>
  <si>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</si>
  <si>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</si>
  <si>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</si>
  <si>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</si>
  <si>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</si>
  <si>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</si>
  <si>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</si>
  <si>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</si>
  <si>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</si>
  <si>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</si>
  <si>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</si>
  <si>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</si>
  <si>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</si>
  <si>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</si>
  <si>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</si>
  <si>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</si>
  <si>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</si>
  <si>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</si>
  <si>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</si>
  <si>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</si>
  <si>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</si>
  <si>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</si>
  <si>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</si>
  <si>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</si>
  <si>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</si>
  <si>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</si>
  <si>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</si>
  <si>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</si>
  <si>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</si>
  <si>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</si>
  <si>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</si>
  <si>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</si>
  <si>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</si>
  <si>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</si>
  <si>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</si>
  <si>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</si>
  <si>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</si>
  <si>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</si>
  <si>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</si>
  <si>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</si>
  <si>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Idade do veículo</t>
  </si>
  <si>
    <t>C2</t>
  </si>
  <si>
    <t>B3</t>
  </si>
  <si>
    <t xml:space="preserve">2. Composição dos Encargos Sociais </t>
  </si>
  <si>
    <t>Custo unitário</t>
  </si>
  <si>
    <t>Referência estudo TCE</t>
  </si>
  <si>
    <t>1. Esta planilha é somente um modelo-base e deve ser ajustada conforme cada caso concreto.</t>
  </si>
  <si>
    <t>i</t>
  </si>
  <si>
    <t>Depreciação Média</t>
  </si>
  <si>
    <t>Reincidência de FGTS sobre aviso prévio indenizado</t>
  </si>
  <si>
    <t>O TCE/RS não se responsabiliza pelo uso incorreto desta planilha.</t>
  </si>
  <si>
    <t xml:space="preserve">O orçamento deve ser realizado por responsável técnico habilitado e é </t>
  </si>
  <si>
    <t>de responsabilidade do seu autor.</t>
  </si>
  <si>
    <t xml:space="preserve">O orçamento deve ser realizado por responsável técnico habilitado e </t>
  </si>
  <si>
    <t>é de responsabilidade do seu autor.</t>
  </si>
  <si>
    <t>Tributos - PIS/COFINS/ e CPP se houver</t>
  </si>
  <si>
    <t>Valor R$</t>
  </si>
  <si>
    <t xml:space="preserve">PARAMÊTROS PARA CÁLCULO DE CUSTO DA LINHA </t>
  </si>
  <si>
    <t>TURNO</t>
  </si>
  <si>
    <t>TOTAL</t>
  </si>
  <si>
    <t>ALUNOS</t>
  </si>
  <si>
    <t>Km pavimentado</t>
  </si>
  <si>
    <t>Km total</t>
  </si>
  <si>
    <t>Tempo conduzindo o veículo</t>
  </si>
  <si>
    <t xml:space="preserve">Total horas </t>
  </si>
  <si>
    <t>Horas p/base de cálculo de custos</t>
  </si>
  <si>
    <t>Tempo total (horas)</t>
  </si>
  <si>
    <t>Veículo</t>
  </si>
  <si>
    <t xml:space="preserve">Média de dias letivos/mês </t>
  </si>
  <si>
    <t>1- CUSTO VARIÁVEL</t>
  </si>
  <si>
    <t>TOTAL (Comb + Manut)</t>
  </si>
  <si>
    <t xml:space="preserve">2 - TOTAL CUSTO FIXO MENSAL </t>
  </si>
  <si>
    <t>SALÁRIO</t>
  </si>
  <si>
    <t>% Encargos</t>
  </si>
  <si>
    <t>Custo Mensal</t>
  </si>
  <si>
    <t xml:space="preserve">Meses </t>
  </si>
  <si>
    <t>SEGURO OBRIGATÓRIO ANUAL</t>
  </si>
  <si>
    <t>LICENCIAMENTO ANUAL</t>
  </si>
  <si>
    <t>Vale Refeição R$</t>
  </si>
  <si>
    <t xml:space="preserve">Dias Mês </t>
  </si>
  <si>
    <t>DEPRECIAÇÃO ANUAL</t>
  </si>
  <si>
    <t xml:space="preserve">Custo Anual por motorista </t>
  </si>
  <si>
    <t>SEGURO TERCEIROS/ALUNOS ANO</t>
  </si>
  <si>
    <t>QUANT. DE MOTORISTAS</t>
  </si>
  <si>
    <t xml:space="preserve">Depreciação </t>
  </si>
  <si>
    <t>MOTORISTA CUSTO ANUAL</t>
  </si>
  <si>
    <t>TOTAL CUSTO FIXO ANO</t>
  </si>
  <si>
    <t>Custo  chassis</t>
  </si>
  <si>
    <t>2.1 TOTAL CUSTO FIXO MENSAL</t>
  </si>
  <si>
    <t>TAXA USO VEÍCULO</t>
  </si>
  <si>
    <t>Deprec. do chassis</t>
  </si>
  <si>
    <t xml:space="preserve">Deprec. mensal </t>
  </si>
  <si>
    <t>3- CUSTO TOTAL MENSAL COM DESPESAS OPERACIONAIS</t>
  </si>
  <si>
    <t xml:space="preserve">4- BENEFÍCIOS E DESPESAS INDIRETAS </t>
  </si>
  <si>
    <r>
      <t xml:space="preserve">Total </t>
    </r>
    <r>
      <rPr>
        <b/>
        <u/>
        <sz val="12"/>
        <rFont val="Arial"/>
        <family val="2"/>
      </rPr>
      <t>(R$)</t>
    </r>
  </si>
  <si>
    <t>Base para cálculo dos benefícios e despesas indiretas sobre total</t>
  </si>
  <si>
    <t>CUSTO MENSAL COM BDI</t>
  </si>
  <si>
    <t xml:space="preserve">5- PREÇO MENSAL TOTAL COM O TRANSPORTE ESCOLAR </t>
  </si>
  <si>
    <t xml:space="preserve">PREÇO MÁXIMO POR QUILÔMETRO RODADO </t>
  </si>
  <si>
    <t>Km total/dia</t>
  </si>
  <si>
    <t xml:space="preserve">Média de dias letivos mês </t>
  </si>
  <si>
    <t>km total/mês</t>
  </si>
  <si>
    <t xml:space="preserve">Custo por quilômetro rodado </t>
  </si>
  <si>
    <r>
      <t>b)</t>
    </r>
    <r>
      <rPr>
        <b/>
        <sz val="12"/>
        <rFont val="Times New Roman"/>
        <family val="1"/>
      </rPr>
      <t xml:space="preserve"> </t>
    </r>
    <r>
      <rPr>
        <b/>
        <sz val="12"/>
        <rFont val="Arial"/>
        <family val="2"/>
      </rPr>
      <t xml:space="preserve">Percurso de: </t>
    </r>
  </si>
  <si>
    <t>quilômetros diários;</t>
  </si>
  <si>
    <r>
      <t>d)</t>
    </r>
    <r>
      <rPr>
        <b/>
        <sz val="12"/>
        <rFont val="Times New Roman"/>
        <family val="1"/>
      </rPr>
      <t> </t>
    </r>
    <r>
      <rPr>
        <b/>
        <sz val="12"/>
        <rFont val="Arial"/>
        <family val="2"/>
      </rPr>
      <t>Valor máximo por quilômetro rodado</t>
    </r>
  </si>
  <si>
    <t xml:space="preserve">Memória de cálculo dos custos de transportes escolares </t>
  </si>
  <si>
    <t xml:space="preserve">&gt;  Número de alunos - determinado conforme arquivo em Anexo (Rotas no Processo de Licitação)  </t>
  </si>
  <si>
    <t xml:space="preserve">&gt;  Turno de aula dos alunos - determinado pela Secretaria de Educação, conforme matriculas dos alunos.  </t>
  </si>
  <si>
    <t xml:space="preserve">&gt;  Distância percorrida da rota - determinado conforme arquivo em Anexo (Rotas no Processo de Licitação)  </t>
  </si>
  <si>
    <t xml:space="preserve">&gt;  Tempo conduzindo o veículo - se refere ao tempo entre o início do roteiro até a chegada ao colégio e o retorno.   </t>
  </si>
  <si>
    <t xml:space="preserve">&gt;  Tempo total de horas - é o somatório do tempo conduzindo o veículo mais o tempo de espera.  </t>
  </si>
  <si>
    <t>&gt;  Idade dos veículos -</t>
  </si>
  <si>
    <t>&gt; Seguro Obrigatório - Valor apurado conforme pesquisa junto ao Detran/RS.</t>
  </si>
  <si>
    <t>&gt; Licenciamento - Valor apurado conforme pesquisa junto ao Detran/RS.</t>
  </si>
  <si>
    <t xml:space="preserve">&gt; Seguro de Terceiros/alunos ano - Conforme orçamento solicitado junto ao mercado. Valor de cobertura </t>
  </si>
  <si>
    <t xml:space="preserve">&gt; Custo do motorista - Foi determinado conforme tempo conduzindo o veículo nas rotas, bem como do tempo de </t>
  </si>
  <si>
    <t xml:space="preserve">Obs: Cada empresa deve prever os encargos sociais de acordo com a sua natureza jurídica.  </t>
  </si>
  <si>
    <t xml:space="preserve">&gt; Custo fixo total anual - contempla o somatório total dos custos fixos.  </t>
  </si>
  <si>
    <t>&gt; Custo fixo total mensal - contempla o somatório total dos custos fixos, dividido pelo número de 10 meses que é</t>
  </si>
  <si>
    <t xml:space="preserve">o período do ano letivo.  </t>
  </si>
  <si>
    <t xml:space="preserve">Obs: Cada empresa deve prever os Benefícios e Despesas Indiretas de acordo com a sua natureza jurídica.  </t>
  </si>
  <si>
    <t xml:space="preserve">&gt; Preço mensal total com transporte escolar - é o somatório das despesas operacionais, mais o BDI, para </t>
  </si>
  <si>
    <t>20 dias de aula no mês, sendo que o valor pode variar dependo do aumento ou a diminuição do número de</t>
  </si>
  <si>
    <t xml:space="preserve">dias letivos no mês correspondente.  </t>
  </si>
  <si>
    <t xml:space="preserve">&gt; Preço máximo por quilômetro rodado - é o preço mensal total com o transporte escolar, dividido pela </t>
  </si>
  <si>
    <t>RESUMO DAS LINHAS COM AS RESPECTIVAS ROTAS</t>
  </si>
  <si>
    <t xml:space="preserve">Resumo das Linhas </t>
  </si>
  <si>
    <t>Kms dia</t>
  </si>
  <si>
    <t xml:space="preserve">Kms mês </t>
  </si>
  <si>
    <t xml:space="preserve">Custo Mês </t>
  </si>
  <si>
    <t>Custo KM</t>
  </si>
  <si>
    <t xml:space="preserve">Custo ano </t>
  </si>
  <si>
    <t xml:space="preserve">Total </t>
  </si>
  <si>
    <t xml:space="preserve">Obs: Cada empresa deve prever os Benefícios e Despesas Indiretas de acordo com  </t>
  </si>
  <si>
    <t xml:space="preserve">a sua natureza jurídica. </t>
  </si>
  <si>
    <t xml:space="preserve">&gt;  Preço por litro do combustível - conforme preço médio determinado pela ANP.  </t>
  </si>
  <si>
    <t xml:space="preserve">1. Preencha previamente os dados de entrada na planilha </t>
  </si>
  <si>
    <t xml:space="preserve">&gt; Valor do veículo - Determinado pelo valor da FIPE de um veículo com idade média. </t>
  </si>
  <si>
    <t xml:space="preserve">&gt; Vistorias obrigatórias semestrais - Certificado de inspeção de segurança veicular, emitido por empresa credenciada Inmetro, </t>
  </si>
  <si>
    <t xml:space="preserve">parte das vias sem pavimentação.   </t>
  </si>
  <si>
    <t>VISTÓRIAS SEMESTRAIS (02 ANO)</t>
  </si>
  <si>
    <t xml:space="preserve">Previsão de kms/mês </t>
  </si>
  <si>
    <t xml:space="preserve">Custo do jogo de pneus </t>
  </si>
  <si>
    <t>Custo de recapagem</t>
  </si>
  <si>
    <t>km/jogo</t>
  </si>
  <si>
    <t>Custo mensal com pneus</t>
  </si>
  <si>
    <t>Nº de recapagens por pneu</t>
  </si>
  <si>
    <t>1.3 Pneus</t>
  </si>
  <si>
    <t xml:space="preserve">1.1 Combustível </t>
  </si>
  <si>
    <t xml:space="preserve">1.2 Manutenção e insumos </t>
  </si>
  <si>
    <t>1.1 Combustível  R$/litro conforme tabela ANP</t>
  </si>
  <si>
    <t xml:space="preserve">1.2 Custo de manutenção e insumos por km rodado </t>
  </si>
  <si>
    <t xml:space="preserve">&gt;  Custo de pneus - considerado o custo por km/rodado pela média de mercado com 02 recapagens.  </t>
  </si>
  <si>
    <t xml:space="preserve">&gt; Depreciação anual - Considerando que uma vida útil de 15 anos possuí depreciação, conforme referencial </t>
  </si>
  <si>
    <t xml:space="preserve">&gt; Taxa de uso do veículo - foi considerado o tempo de horas trabalhadas na semana pelo total de horas previstas na convenção.  </t>
  </si>
  <si>
    <t>Plano de Saúde</t>
  </si>
  <si>
    <t xml:space="preserve">Total de Kms/litro previsão de consumo </t>
  </si>
  <si>
    <t xml:space="preserve">Os encargos sociais foram determinados conforme legislação vigente, o vale refeição foi determinado conforme convenção coletiva. </t>
  </si>
  <si>
    <t xml:space="preserve">&gt; BDI - Benefícios e Despesas Indiretas - foram determinados em estudo de mercado e ajustado conforme legislação atual.   </t>
  </si>
  <si>
    <t>Custo jg. compl. + 2 recap./ km rodado</t>
  </si>
  <si>
    <t xml:space="preserve">quilometragem média percorrida no mês.  </t>
  </si>
  <si>
    <t xml:space="preserve">Vistoria DETRAN, Certificado de registro e licenciamento veicular (CRLV) e tacógrafo. Valores conforme preço de mercado.  </t>
  </si>
  <si>
    <t xml:space="preserve">Kms percorridos por dia </t>
  </si>
  <si>
    <r>
      <t>a)</t>
    </r>
    <r>
      <rPr>
        <b/>
        <sz val="12"/>
        <rFont val="Times New Roman"/>
        <family val="1"/>
      </rPr>
      <t xml:space="preserve"> </t>
    </r>
    <r>
      <rPr>
        <b/>
        <sz val="12"/>
        <rFont val="Arial"/>
        <family val="2"/>
      </rPr>
      <t xml:space="preserve">Trajeto - Conforme Mapa em Anexo </t>
    </r>
  </si>
  <si>
    <t>Composição do BDI - Benefícios e Despesas Indiretas</t>
  </si>
  <si>
    <t>Depreciação Referencial (%)</t>
  </si>
  <si>
    <t xml:space="preserve">&gt;  Km/litro - foi determinado a média de </t>
  </si>
  <si>
    <t xml:space="preserve">Km/litro </t>
  </si>
  <si>
    <t xml:space="preserve"> conforme pesquisa de mercado (considerado 2/3 sobre a </t>
  </si>
  <si>
    <t>&gt;  Média de dias letivos/mês = total de dias letivos ano (200 dias) dividido por 10 meses (período de aula)</t>
  </si>
  <si>
    <t xml:space="preserve">espera até à próxima rota. O valor foi determinado conforme convenção coletiva da categoria de trabalho. </t>
  </si>
  <si>
    <t xml:space="preserve">&gt; Custo total com despesas operacionais - contempla o somatário das despesas fixas e variáveis.  </t>
  </si>
  <si>
    <t>&gt;  Combustível - gasolina/óleo diesel, conforme determinado no manual do fabricante e da definição do veículo a ser utilizado</t>
  </si>
  <si>
    <t xml:space="preserve">média de previsão, em virtude de paradas para embarque e desembarque de alunos e também por ser maior </t>
  </si>
  <si>
    <t xml:space="preserve">&gt;  Custo de manutenção - considerado o custo de manutenão e insumos por km/rodado pela média de mercado.   </t>
  </si>
  <si>
    <t xml:space="preserve">ECZ, Assessoria, Consultoria e Treinamento LTDA.  </t>
  </si>
  <si>
    <t>Serviço de Transporte Escolar - Fontoura Xavier/RS</t>
  </si>
  <si>
    <t xml:space="preserve">Início da manhã  </t>
  </si>
  <si>
    <t>Trecho</t>
  </si>
  <si>
    <t>Cor Linha</t>
  </si>
  <si>
    <t>Ponto a Ponto</t>
  </si>
  <si>
    <t>Distância</t>
  </si>
  <si>
    <t>Unid</t>
  </si>
  <si>
    <t>Trecho 01</t>
  </si>
  <si>
    <t>1 - 2</t>
  </si>
  <si>
    <t>Trecho 02</t>
  </si>
  <si>
    <t>2 - 3</t>
  </si>
  <si>
    <t>Trecho 03</t>
  </si>
  <si>
    <t>Distância total da Rota:</t>
  </si>
  <si>
    <t>Meio Dia</t>
  </si>
  <si>
    <t xml:space="preserve">TOTAL MENSAL = LINHAS DE TRANSPORTE </t>
  </si>
  <si>
    <t>Total dos percursos de transporte escolar interior</t>
  </si>
  <si>
    <t>Final da Tarde</t>
  </si>
  <si>
    <t>Dias da semana</t>
  </si>
  <si>
    <t>Nº de Linhas Semanal</t>
  </si>
  <si>
    <t>Und.</t>
  </si>
  <si>
    <t>Inicio da Manhã</t>
  </si>
  <si>
    <t>Segunda á sexta</t>
  </si>
  <si>
    <t>x</t>
  </si>
  <si>
    <t>Total Diário</t>
  </si>
  <si>
    <t>Km</t>
  </si>
  <si>
    <t>Total Semanal</t>
  </si>
  <si>
    <t>Total Mensal</t>
  </si>
  <si>
    <t>Meio - Dia</t>
  </si>
  <si>
    <t>Volta da Tarde</t>
  </si>
  <si>
    <t>3 - 2</t>
  </si>
  <si>
    <t>2 - 1</t>
  </si>
  <si>
    <t>km antigo</t>
  </si>
  <si>
    <t>Manhã/Tarde</t>
  </si>
  <si>
    <t>Veículo no mínimo de 28 lugares</t>
  </si>
  <si>
    <t>horas</t>
  </si>
  <si>
    <t>km/h</t>
  </si>
  <si>
    <t>Manhã/Meio-dia/Tarde</t>
  </si>
  <si>
    <t>Tempo de espera (1:30 horas por turno)</t>
  </si>
  <si>
    <t xml:space="preserve">Total deve ser de no mínimo de 200 mil reais.  </t>
  </si>
  <si>
    <r>
      <t xml:space="preserve">&gt; Custo do Capital Investido - determinado pelo valor do veículo multiplicado pelo índice próximo a Taxa </t>
    </r>
    <r>
      <rPr>
        <u/>
        <sz val="14"/>
        <rFont val="Arial"/>
        <family val="2"/>
      </rPr>
      <t xml:space="preserve">Selic atual.  </t>
    </r>
  </si>
  <si>
    <t>PREGÃO ELETRÔNICO     /2026</t>
  </si>
  <si>
    <t>PREGÃO ELETRÔNICO       /2026</t>
  </si>
  <si>
    <t>Passageiro</t>
  </si>
  <si>
    <t>Com aluno</t>
  </si>
  <si>
    <t>Sem aluno</t>
  </si>
  <si>
    <t>Final da Tarde (segunda a quinta)</t>
  </si>
  <si>
    <t>Sexta</t>
  </si>
  <si>
    <t>Segunda á quinta</t>
  </si>
  <si>
    <t xml:space="preserve">LINHA 36 - ITINERÁRIO </t>
  </si>
  <si>
    <t>Linha 36</t>
  </si>
  <si>
    <t xml:space="preserve">LINHA 28 - ITINERÁRIO </t>
  </si>
  <si>
    <t xml:space="preserve">LINHA 41 - ITINERÁRIO </t>
  </si>
  <si>
    <t>Linha 28</t>
  </si>
  <si>
    <t>Linha 41</t>
  </si>
  <si>
    <t>sem rota a tarde</t>
  </si>
  <si>
    <r>
      <t>c)</t>
    </r>
    <r>
      <rPr>
        <b/>
        <sz val="12"/>
        <rFont val="Times New Roman"/>
        <family val="1"/>
      </rPr>
      <t xml:space="preserve"> </t>
    </r>
    <r>
      <rPr>
        <b/>
        <sz val="12"/>
        <rFont val="Arial"/>
        <family val="2"/>
      </rPr>
      <t xml:space="preserve">Turno –  manhã e tarde </t>
    </r>
  </si>
  <si>
    <t xml:space="preserve">Geral Três Pinheiros </t>
  </si>
  <si>
    <t>Descrição da Linha</t>
  </si>
  <si>
    <t>Veículo no mínimo de 38 lugares</t>
  </si>
  <si>
    <t>Tempo de espera (2:00 horas por turno)</t>
  </si>
  <si>
    <t>&gt;  Veículo - Micro-ônibus/van</t>
  </si>
  <si>
    <t>3 - 1</t>
  </si>
  <si>
    <t>Veículo no máximo 20 anos de uso - Base Tabela FIPE</t>
  </si>
  <si>
    <t xml:space="preserve">Veículo </t>
  </si>
  <si>
    <t>Ônibus</t>
  </si>
  <si>
    <t>Micro-ônibus</t>
  </si>
  <si>
    <t>&gt;  Veículo - Ônibus</t>
  </si>
  <si>
    <t>Manhã</t>
  </si>
  <si>
    <t>Tarde</t>
  </si>
  <si>
    <t>Integral</t>
  </si>
  <si>
    <t>CUSTO CAPITAL INV. ANO (14,00%)</t>
  </si>
  <si>
    <t>ROTAS DE TRANSPORTE ESCOLAR INTERIOR - Linha 36 - Geral Três Pinheiros (Tuias)</t>
  </si>
  <si>
    <t xml:space="preserve">Li-nhas </t>
  </si>
  <si>
    <t xml:space="preserve">Alu-nos </t>
  </si>
  <si>
    <t>Veíc Lug.</t>
  </si>
  <si>
    <t>Final da Tarde (sexta)</t>
  </si>
  <si>
    <t>ROTAS DE TRANSPORTE ESCOLAR INTERIOR - Linha 41 - Geral Carrapicho</t>
  </si>
  <si>
    <t>Geral Carrapicho</t>
  </si>
  <si>
    <t xml:space="preserve"> </t>
  </si>
  <si>
    <t>SEGURO OBRIG. ANUAL</t>
  </si>
  <si>
    <t>Trecho 04</t>
  </si>
  <si>
    <t>Gramado/Centro</t>
  </si>
  <si>
    <t>3 - 4</t>
  </si>
  <si>
    <t>4 - 3</t>
  </si>
  <si>
    <t>2 - 4</t>
  </si>
  <si>
    <t>Trecho 05</t>
  </si>
  <si>
    <t>4 - 2</t>
  </si>
  <si>
    <t>Linha 15</t>
  </si>
  <si>
    <t>ROTAS DE TRANSPORTE ESCOLAR INTERIOR - Linha 13 e 15 - Geral Campo Novo/Guavirova</t>
  </si>
  <si>
    <t xml:space="preserve">LINHA 29 - ITINERÁRIO </t>
  </si>
  <si>
    <t xml:space="preserve"> Tarde</t>
  </si>
  <si>
    <t>sem rota de manhã</t>
  </si>
  <si>
    <t>&gt;  Veículo - Micro-ônibus/ônibus</t>
  </si>
  <si>
    <t>Linha 29</t>
  </si>
  <si>
    <t>ROTAS DE TRANSPORTE ESCOLAR INTERIOR - Linha 28 - Gramado/Centro</t>
  </si>
  <si>
    <t>ROTAS DE TRANSPORTE ESCOLAR INTERIOR - Linha 29 - Fátima/Gramado</t>
  </si>
  <si>
    <t>4 - 1</t>
  </si>
  <si>
    <t>1 - 4</t>
  </si>
  <si>
    <r>
      <t>c)</t>
    </r>
    <r>
      <rPr>
        <b/>
        <sz val="12"/>
        <rFont val="Times New Roman"/>
        <family val="1"/>
      </rPr>
      <t xml:space="preserve"> </t>
    </r>
    <r>
      <rPr>
        <b/>
        <sz val="12"/>
        <rFont val="Arial"/>
        <family val="2"/>
      </rPr>
      <t>Turno –  manhã e tarde</t>
    </r>
  </si>
  <si>
    <r>
      <t>c)</t>
    </r>
    <r>
      <rPr>
        <b/>
        <sz val="12"/>
        <rFont val="Times New Roman"/>
        <family val="1"/>
      </rPr>
      <t xml:space="preserve"> </t>
    </r>
    <r>
      <rPr>
        <b/>
        <sz val="12"/>
        <rFont val="Arial"/>
        <family val="2"/>
      </rPr>
      <t xml:space="preserve">Turno – Manhã e  tarde </t>
    </r>
  </si>
  <si>
    <t>Fátima/Gramado</t>
  </si>
  <si>
    <t>Veículo no mínimo de 32 lugares</t>
  </si>
  <si>
    <t>Pedágio (32 vezes mês x R$13,80)</t>
  </si>
  <si>
    <t>Fontoura Xavier, 05 de outubro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</si>
</sst>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R$ &quot;#,##0.00"/>
    <numFmt numFmtId="167" formatCode="_-* #,##0.0_-;\-* #,##0.0_-;_-* &quot;-&quot;??_-;_-@_-"/>
    <numFmt numFmtId="168" formatCode="_ * #,##0.00_ ;_ * \-#,##0.00_ ;_ * &quot;-&quot;??_ ;_ @_ "/>
    <numFmt numFmtId="169" formatCode="#,##0.00;[Red]#,##0.00"/>
    <numFmt numFmtId="170" formatCode="0.000"/>
    <numFmt numFmtId="171" formatCode="#,##0.000"/>
    <numFmt numFmtId="172" formatCode="_(&quot;R$ &quot;* #,##0.00_);_(&quot;R$ &quot;* \(#,##0.00\);_(&quot;R$ &quot;* &quot;-&quot;??_);_(@_)"/>
    <numFmt numFmtId="173" formatCode="#,##0.00000"/>
    <numFmt numFmtId="174" formatCode="h:mm;@"/>
    <numFmt numFmtId="175" formatCode="0.0000"/>
  </numFmts>
  <fonts count="3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4"/>
      <name val="Arial"/>
      <family val="2"/>
    </font>
    <font>
      <b/>
      <sz val="12"/>
      <name val="Times New Roman"/>
      <family val="1"/>
    </font>
    <font>
      <u/>
      <sz val="14"/>
      <name val="Arial"/>
      <family val="2"/>
    </font>
    <font>
      <b/>
      <sz val="13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sz val="12"/>
      <color rgb="FFC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10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57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" fontId="12" fillId="0" borderId="0"/>
    <xf numFmtId="4" fontId="1" fillId="0" borderId="0"/>
    <xf numFmtId="0" fontId="19" fillId="0" borderId="0"/>
    <xf numFmtId="0" fontId="19" fillId="0" borderId="0"/>
    <xf numFmtId="0" fontId="19" fillId="0" borderId="0"/>
    <xf numFmtId="4" fontId="1" fillId="0" borderId="0"/>
    <xf numFmtId="0" fontId="19" fillId="0" borderId="0"/>
    <xf numFmtId="0" fontId="1" fillId="0" borderId="0"/>
    <xf numFmtId="0" fontId="19" fillId="0" borderId="0"/>
    <xf numFmtId="0" fontId="1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2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1" fillId="0" borderId="0"/>
  </cellStyleXfs>
  <cellXfs count="752">
    <xf numFmtId="0" fontId="0" fillId="0" borderId="0" xfId="0"/>
    <xf numFmtId="0" fontId="5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4" fontId="0" fillId="0" borderId="0" xfId="49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4" fontId="5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2" fontId="20" fillId="6" borderId="1" xfId="0" applyNumberFormat="1" applyFont="1" applyFill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2" fontId="20" fillId="6" borderId="4" xfId="0" applyNumberFormat="1" applyFont="1" applyFill="1" applyBorder="1" applyAlignment="1">
      <alignment horizontal="right" vertical="center"/>
    </xf>
    <xf numFmtId="0" fontId="20" fillId="0" borderId="2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5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10" fontId="21" fillId="0" borderId="5" xfId="0" applyNumberFormat="1" applyFont="1" applyBorder="1" applyAlignment="1">
      <alignment horizontal="right" vertical="center"/>
    </xf>
    <xf numFmtId="0" fontId="20" fillId="7" borderId="2" xfId="0" applyFont="1" applyFill="1" applyBorder="1" applyAlignment="1">
      <alignment horizontal="left" vertical="center"/>
    </xf>
    <xf numFmtId="0" fontId="21" fillId="7" borderId="1" xfId="0" applyFont="1" applyFill="1" applyBorder="1" applyAlignment="1">
      <alignment horizontal="left" vertical="center"/>
    </xf>
    <xf numFmtId="10" fontId="21" fillId="7" borderId="5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9" fontId="20" fillId="0" borderId="0" xfId="28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10" fontId="21" fillId="8" borderId="6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10" fontId="21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justify" vertical="center"/>
    </xf>
    <xf numFmtId="0" fontId="7" fillId="0" borderId="0" xfId="1" applyBorder="1" applyAlignment="1" applyProtection="1">
      <alignment horizontal="left" vertical="center"/>
    </xf>
    <xf numFmtId="0" fontId="25" fillId="0" borderId="0" xfId="0" applyFont="1"/>
    <xf numFmtId="0" fontId="20" fillId="0" borderId="0" xfId="0" applyFont="1" applyAlignment="1">
      <alignment horizontal="right" vertical="center"/>
    </xf>
    <xf numFmtId="0" fontId="7" fillId="0" borderId="0" xfId="1" applyBorder="1" applyAlignment="1" applyProtection="1">
      <alignment vertical="center"/>
    </xf>
    <xf numFmtId="0" fontId="4" fillId="0" borderId="2" xfId="0" applyFont="1" applyBorder="1"/>
    <xf numFmtId="0" fontId="6" fillId="0" borderId="7" xfId="0" applyFont="1" applyBorder="1" applyAlignment="1">
      <alignment horizontal="left" vertical="center"/>
    </xf>
    <xf numFmtId="9" fontId="4" fillId="0" borderId="2" xfId="28" applyFont="1" applyBorder="1"/>
    <xf numFmtId="9" fontId="4" fillId="0" borderId="1" xfId="28" applyFont="1" applyBorder="1" applyAlignment="1">
      <alignment horizontal="center"/>
    </xf>
    <xf numFmtId="9" fontId="4" fillId="0" borderId="5" xfId="28" applyFont="1" applyBorder="1"/>
    <xf numFmtId="10" fontId="4" fillId="0" borderId="5" xfId="28" applyNumberFormat="1" applyFont="1" applyBorder="1"/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0" fontId="4" fillId="10" borderId="5" xfId="0" applyNumberFormat="1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center" vertical="center"/>
    </xf>
    <xf numFmtId="10" fontId="4" fillId="10" borderId="1" xfId="28" applyNumberFormat="1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0" borderId="5" xfId="0" applyFont="1" applyBorder="1"/>
    <xf numFmtId="0" fontId="4" fillId="0" borderId="3" xfId="0" applyFont="1" applyBorder="1" applyAlignment="1">
      <alignment horizontal="left" vertical="center"/>
    </xf>
    <xf numFmtId="10" fontId="4" fillId="10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10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vertical="center"/>
    </xf>
    <xf numFmtId="0" fontId="6" fillId="7" borderId="14" xfId="0" applyFont="1" applyFill="1" applyBorder="1" applyAlignment="1">
      <alignment vertical="center" wrapText="1"/>
    </xf>
    <xf numFmtId="0" fontId="4" fillId="7" borderId="15" xfId="0" applyFont="1" applyFill="1" applyBorder="1" applyAlignment="1">
      <alignment vertical="center"/>
    </xf>
    <xf numFmtId="10" fontId="6" fillId="7" borderId="16" xfId="0" applyNumberFormat="1" applyFont="1" applyFill="1" applyBorder="1" applyAlignment="1">
      <alignment horizontal="center" vertical="center" wrapText="1"/>
    </xf>
    <xf numFmtId="10" fontId="4" fillId="0" borderId="2" xfId="28" applyNumberFormat="1" applyFont="1" applyBorder="1" applyAlignment="1">
      <alignment horizontal="right"/>
    </xf>
    <xf numFmtId="10" fontId="4" fillId="0" borderId="1" xfId="28" applyNumberFormat="1" applyFont="1" applyBorder="1" applyAlignment="1">
      <alignment horizontal="right"/>
    </xf>
    <xf numFmtId="10" fontId="4" fillId="0" borderId="5" xfId="28" applyNumberFormat="1" applyFont="1" applyBorder="1" applyAlignment="1">
      <alignment horizontal="right"/>
    </xf>
    <xf numFmtId="10" fontId="4" fillId="0" borderId="3" xfId="28" applyNumberFormat="1" applyFont="1" applyBorder="1" applyAlignment="1">
      <alignment horizontal="right"/>
    </xf>
    <xf numFmtId="10" fontId="4" fillId="0" borderId="4" xfId="28" applyNumberFormat="1" applyFont="1" applyBorder="1" applyAlignment="1">
      <alignment horizontal="right"/>
    </xf>
    <xf numFmtId="10" fontId="4" fillId="0" borderId="6" xfId="28" applyNumberFormat="1" applyFont="1" applyBorder="1" applyAlignment="1">
      <alignment horizontal="right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right"/>
    </xf>
    <xf numFmtId="4" fontId="26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0" xfId="12" applyFont="1"/>
    <xf numFmtId="4" fontId="3" fillId="0" borderId="0" xfId="12" applyFont="1" applyAlignment="1">
      <alignment horizontal="center"/>
    </xf>
    <xf numFmtId="4" fontId="0" fillId="0" borderId="0" xfId="12" applyFont="1"/>
    <xf numFmtId="0" fontId="6" fillId="0" borderId="0" xfId="12" applyNumberFormat="1" applyFont="1" applyAlignment="1">
      <alignment vertical="center"/>
    </xf>
    <xf numFmtId="0" fontId="6" fillId="0" borderId="0" xfId="12" applyNumberFormat="1" applyFont="1" applyAlignment="1">
      <alignment horizontal="center" vertical="center"/>
    </xf>
    <xf numFmtId="4" fontId="3" fillId="0" borderId="0" xfId="12" applyFont="1" applyAlignment="1">
      <alignment horizontal="left"/>
    </xf>
    <xf numFmtId="4" fontId="3" fillId="0" borderId="1" xfId="12" applyFont="1" applyBorder="1" applyAlignment="1">
      <alignment horizontal="left"/>
    </xf>
    <xf numFmtId="4" fontId="3" fillId="0" borderId="1" xfId="12" applyFont="1" applyBorder="1" applyAlignment="1">
      <alignment horizontal="center"/>
    </xf>
    <xf numFmtId="4" fontId="10" fillId="0" borderId="0" xfId="12" applyFont="1"/>
    <xf numFmtId="0" fontId="10" fillId="2" borderId="1" xfId="12" applyNumberFormat="1" applyFont="1" applyFill="1" applyBorder="1" applyAlignment="1">
      <alignment horizontal="center"/>
    </xf>
    <xf numFmtId="0" fontId="3" fillId="2" borderId="1" xfId="12" applyNumberFormat="1" applyFont="1" applyFill="1" applyBorder="1" applyAlignment="1">
      <alignment horizontal="center"/>
    </xf>
    <xf numFmtId="164" fontId="10" fillId="2" borderId="1" xfId="37" applyNumberFormat="1" applyFont="1" applyFill="1" applyBorder="1" applyAlignment="1">
      <alignment horizontal="center"/>
    </xf>
    <xf numFmtId="164" fontId="3" fillId="2" borderId="1" xfId="37" applyNumberFormat="1" applyFont="1" applyFill="1" applyBorder="1" applyAlignment="1">
      <alignment horizontal="center"/>
    </xf>
    <xf numFmtId="164" fontId="3" fillId="0" borderId="1" xfId="37" applyNumberFormat="1" applyFont="1" applyBorder="1" applyAlignment="1">
      <alignment horizontal="center"/>
    </xf>
    <xf numFmtId="4" fontId="3" fillId="0" borderId="1" xfId="12" applyFont="1" applyBorder="1"/>
    <xf numFmtId="171" fontId="10" fillId="0" borderId="0" xfId="12" applyNumberFormat="1" applyFont="1"/>
    <xf numFmtId="4" fontId="10" fillId="0" borderId="0" xfId="12" applyFont="1" applyAlignment="1">
      <alignment horizontal="right"/>
    </xf>
    <xf numFmtId="164" fontId="3" fillId="9" borderId="1" xfId="37" applyNumberFormat="1" applyFont="1" applyFill="1" applyBorder="1" applyAlignment="1">
      <alignment horizontal="center"/>
    </xf>
    <xf numFmtId="165" fontId="3" fillId="2" borderId="1" xfId="37" applyNumberFormat="1" applyFont="1" applyFill="1" applyBorder="1" applyAlignment="1">
      <alignment horizontal="center"/>
    </xf>
    <xf numFmtId="4" fontId="3" fillId="4" borderId="1" xfId="12" applyFont="1" applyFill="1" applyBorder="1"/>
    <xf numFmtId="4" fontId="3" fillId="4" borderId="1" xfId="12" applyFont="1" applyFill="1" applyBorder="1" applyAlignment="1">
      <alignment horizontal="center"/>
    </xf>
    <xf numFmtId="164" fontId="10" fillId="0" borderId="0" xfId="37" applyNumberFormat="1" applyFont="1" applyBorder="1"/>
    <xf numFmtId="4" fontId="10" fillId="0" borderId="1" xfId="12" applyFont="1" applyBorder="1"/>
    <xf numFmtId="4" fontId="10" fillId="0" borderId="18" xfId="12" applyFont="1" applyBorder="1"/>
    <xf numFmtId="4" fontId="3" fillId="0" borderId="18" xfId="12" applyFont="1" applyBorder="1" applyAlignment="1">
      <alignment horizontal="center"/>
    </xf>
    <xf numFmtId="10" fontId="10" fillId="0" borderId="1" xfId="32" applyNumberFormat="1" applyFont="1" applyBorder="1" applyAlignment="1">
      <alignment horizontal="center"/>
    </xf>
    <xf numFmtId="164" fontId="10" fillId="0" borderId="1" xfId="37" applyNumberFormat="1" applyFont="1" applyBorder="1" applyAlignment="1">
      <alignment horizontal="center"/>
    </xf>
    <xf numFmtId="4" fontId="10" fillId="0" borderId="1" xfId="12" applyFont="1" applyBorder="1" applyAlignment="1">
      <alignment horizontal="center"/>
    </xf>
    <xf numFmtId="3" fontId="10" fillId="0" borderId="1" xfId="12" applyNumberFormat="1" applyFont="1" applyBorder="1"/>
    <xf numFmtId="164" fontId="10" fillId="0" borderId="1" xfId="37" applyNumberFormat="1" applyFont="1" applyBorder="1" applyAlignment="1">
      <alignment vertical="center" wrapText="1"/>
    </xf>
    <xf numFmtId="3" fontId="10" fillId="0" borderId="1" xfId="12" applyNumberFormat="1" applyFont="1" applyBorder="1" applyAlignment="1">
      <alignment horizontal="center"/>
    </xf>
    <xf numFmtId="164" fontId="3" fillId="0" borderId="1" xfId="37" applyNumberFormat="1" applyFont="1" applyBorder="1" applyAlignment="1">
      <alignment vertical="center" wrapText="1"/>
    </xf>
    <xf numFmtId="4" fontId="10" fillId="2" borderId="1" xfId="12" applyFont="1" applyFill="1" applyBorder="1"/>
    <xf numFmtId="4" fontId="10" fillId="2" borderId="0" xfId="12" applyFont="1" applyFill="1"/>
    <xf numFmtId="4" fontId="3" fillId="0" borderId="19" xfId="12" applyFont="1" applyBorder="1" applyAlignment="1">
      <alignment vertical="center" wrapText="1"/>
    </xf>
    <xf numFmtId="4" fontId="10" fillId="0" borderId="0" xfId="12" applyFont="1" applyAlignment="1">
      <alignment vertical="center" wrapText="1"/>
    </xf>
    <xf numFmtId="4" fontId="8" fillId="3" borderId="20" xfId="12" applyFont="1" applyFill="1" applyBorder="1" applyAlignment="1">
      <alignment horizontal="center" vertical="center"/>
    </xf>
    <xf numFmtId="4" fontId="8" fillId="3" borderId="21" xfId="12" applyFont="1" applyFill="1" applyBorder="1" applyAlignment="1">
      <alignment horizontal="center" vertical="center"/>
    </xf>
    <xf numFmtId="164" fontId="8" fillId="3" borderId="21" xfId="37" applyNumberFormat="1" applyFont="1" applyFill="1" applyBorder="1" applyAlignment="1">
      <alignment horizontal="center" vertical="center"/>
    </xf>
    <xf numFmtId="4" fontId="1" fillId="0" borderId="18" xfId="12" applyFont="1" applyBorder="1" applyAlignment="1">
      <alignment vertical="center"/>
    </xf>
    <xf numFmtId="4" fontId="10" fillId="0" borderId="18" xfId="12" applyFont="1" applyBorder="1" applyAlignment="1">
      <alignment horizontal="center" vertical="center"/>
    </xf>
    <xf numFmtId="3" fontId="10" fillId="0" borderId="18" xfId="12" applyNumberFormat="1" applyFont="1" applyBorder="1" applyAlignment="1">
      <alignment horizontal="center" vertical="center"/>
    </xf>
    <xf numFmtId="164" fontId="10" fillId="10" borderId="18" xfId="37" applyNumberFormat="1" applyFont="1" applyFill="1" applyBorder="1" applyAlignment="1">
      <alignment horizontal="center" vertical="center"/>
    </xf>
    <xf numFmtId="164" fontId="10" fillId="0" borderId="18" xfId="37" applyNumberFormat="1" applyFont="1" applyBorder="1" applyAlignment="1">
      <alignment horizontal="center" vertical="center"/>
    </xf>
    <xf numFmtId="4" fontId="1" fillId="0" borderId="1" xfId="12" applyFont="1" applyBorder="1" applyAlignment="1">
      <alignment vertical="center"/>
    </xf>
    <xf numFmtId="4" fontId="10" fillId="0" borderId="1" xfId="12" applyFont="1" applyBorder="1" applyAlignment="1">
      <alignment horizontal="center" vertical="center"/>
    </xf>
    <xf numFmtId="3" fontId="10" fillId="0" borderId="1" xfId="12" applyNumberFormat="1" applyFont="1" applyBorder="1" applyAlignment="1">
      <alignment horizontal="center" vertical="center"/>
    </xf>
    <xf numFmtId="164" fontId="10" fillId="0" borderId="1" xfId="37" applyNumberFormat="1" applyFont="1" applyFill="1" applyBorder="1" applyAlignment="1">
      <alignment horizontal="center" vertical="center"/>
    </xf>
    <xf numFmtId="164" fontId="10" fillId="0" borderId="1" xfId="37" applyNumberFormat="1" applyFont="1" applyBorder="1" applyAlignment="1">
      <alignment horizontal="center" vertical="center"/>
    </xf>
    <xf numFmtId="2" fontId="3" fillId="0" borderId="0" xfId="12" applyNumberFormat="1" applyFont="1"/>
    <xf numFmtId="3" fontId="10" fillId="10" borderId="1" xfId="12" applyNumberFormat="1" applyFont="1" applyFill="1" applyBorder="1" applyAlignment="1">
      <alignment horizontal="center" vertical="center"/>
    </xf>
    <xf numFmtId="164" fontId="10" fillId="11" borderId="1" xfId="37" applyNumberFormat="1" applyFont="1" applyFill="1" applyBorder="1" applyAlignment="1">
      <alignment horizontal="center" vertical="center"/>
    </xf>
    <xf numFmtId="4" fontId="2" fillId="0" borderId="22" xfId="12" applyFont="1" applyBorder="1" applyAlignment="1">
      <alignment vertical="center"/>
    </xf>
    <xf numFmtId="4" fontId="3" fillId="0" borderId="22" xfId="12" applyFont="1" applyBorder="1" applyAlignment="1">
      <alignment horizontal="center" vertical="center"/>
    </xf>
    <xf numFmtId="3" fontId="3" fillId="0" borderId="22" xfId="12" applyNumberFormat="1" applyFont="1" applyBorder="1" applyAlignment="1">
      <alignment horizontal="center" vertical="center"/>
    </xf>
    <xf numFmtId="164" fontId="3" fillId="0" borderId="22" xfId="37" applyNumberFormat="1" applyFont="1" applyBorder="1" applyAlignment="1">
      <alignment horizontal="center" vertical="center"/>
    </xf>
    <xf numFmtId="0" fontId="1" fillId="0" borderId="0" xfId="12" applyNumberFormat="1" applyFont="1" applyAlignment="1">
      <alignment vertical="center"/>
    </xf>
    <xf numFmtId="164" fontId="1" fillId="0" borderId="0" xfId="37" applyNumberFormat="1" applyFont="1" applyAlignment="1">
      <alignment vertical="center"/>
    </xf>
    <xf numFmtId="0" fontId="3" fillId="3" borderId="23" xfId="12" applyNumberFormat="1" applyFont="1" applyFill="1" applyBorder="1" applyAlignment="1">
      <alignment horizontal="center" vertical="center"/>
    </xf>
    <xf numFmtId="0" fontId="3" fillId="3" borderId="21" xfId="12" applyNumberFormat="1" applyFont="1" applyFill="1" applyBorder="1" applyAlignment="1">
      <alignment horizontal="center" vertical="center"/>
    </xf>
    <xf numFmtId="164" fontId="3" fillId="3" borderId="21" xfId="37" applyNumberFormat="1" applyFont="1" applyFill="1" applyBorder="1" applyAlignment="1">
      <alignment horizontal="center" vertical="center"/>
    </xf>
    <xf numFmtId="164" fontId="3" fillId="3" borderId="24" xfId="37" applyNumberFormat="1" applyFont="1" applyFill="1" applyBorder="1" applyAlignment="1">
      <alignment horizontal="center" vertical="center"/>
    </xf>
    <xf numFmtId="10" fontId="0" fillId="0" borderId="0" xfId="32" applyNumberFormat="1" applyFont="1"/>
    <xf numFmtId="0" fontId="3" fillId="0" borderId="18" xfId="12" applyNumberFormat="1" applyFont="1" applyBorder="1" applyAlignment="1">
      <alignment vertical="center"/>
    </xf>
    <xf numFmtId="0" fontId="1" fillId="0" borderId="18" xfId="12" applyNumberFormat="1" applyFont="1" applyBorder="1" applyAlignment="1">
      <alignment horizontal="center" vertical="center"/>
    </xf>
    <xf numFmtId="10" fontId="10" fillId="11" borderId="1" xfId="32" applyNumberFormat="1" applyFont="1" applyFill="1" applyBorder="1" applyAlignment="1">
      <alignment horizontal="center" vertical="center"/>
    </xf>
    <xf numFmtId="164" fontId="10" fillId="0" borderId="0" xfId="37" applyNumberFormat="1" applyFont="1" applyAlignment="1">
      <alignment vertical="center"/>
    </xf>
    <xf numFmtId="0" fontId="10" fillId="0" borderId="1" xfId="12" applyNumberFormat="1" applyFont="1" applyBorder="1" applyAlignment="1">
      <alignment vertical="center"/>
    </xf>
    <xf numFmtId="0" fontId="1" fillId="0" borderId="1" xfId="12" applyNumberFormat="1" applyFont="1" applyBorder="1" applyAlignment="1">
      <alignment vertical="center"/>
    </xf>
    <xf numFmtId="10" fontId="10" fillId="0" borderId="1" xfId="32" applyNumberFormat="1" applyFont="1" applyBorder="1" applyAlignment="1">
      <alignment vertical="center"/>
    </xf>
    <xf numFmtId="164" fontId="10" fillId="0" borderId="1" xfId="37" applyNumberFormat="1" applyFont="1" applyBorder="1" applyAlignment="1">
      <alignment vertical="center"/>
    </xf>
    <xf numFmtId="44" fontId="3" fillId="3" borderId="16" xfId="2" applyFont="1" applyFill="1" applyBorder="1" applyAlignment="1">
      <alignment horizontal="center" vertical="center"/>
    </xf>
    <xf numFmtId="0" fontId="10" fillId="0" borderId="0" xfId="12" applyNumberFormat="1" applyFont="1" applyAlignment="1">
      <alignment vertical="center"/>
    </xf>
    <xf numFmtId="0" fontId="3" fillId="0" borderId="14" xfId="12" applyNumberFormat="1" applyFont="1" applyBorder="1" applyAlignment="1">
      <alignment vertical="center"/>
    </xf>
    <xf numFmtId="0" fontId="1" fillId="0" borderId="15" xfId="12" applyNumberFormat="1" applyFont="1" applyBorder="1" applyAlignment="1">
      <alignment vertical="center"/>
    </xf>
    <xf numFmtId="0" fontId="10" fillId="0" borderId="15" xfId="12" applyNumberFormat="1" applyFont="1" applyBorder="1" applyAlignment="1">
      <alignment vertical="center"/>
    </xf>
    <xf numFmtId="164" fontId="10" fillId="0" borderId="15" xfId="37" applyNumberFormat="1" applyFont="1" applyBorder="1" applyAlignment="1">
      <alignment vertical="center"/>
    </xf>
    <xf numFmtId="164" fontId="10" fillId="0" borderId="16" xfId="37" applyNumberFormat="1" applyFont="1" applyBorder="1" applyAlignment="1">
      <alignment vertical="center"/>
    </xf>
    <xf numFmtId="44" fontId="3" fillId="3" borderId="19" xfId="2" applyFont="1" applyFill="1" applyBorder="1" applyAlignment="1">
      <alignment horizontal="center" vertical="center"/>
    </xf>
    <xf numFmtId="164" fontId="1" fillId="0" borderId="15" xfId="37" applyNumberFormat="1" applyFont="1" applyBorder="1" applyAlignment="1">
      <alignment vertical="center"/>
    </xf>
    <xf numFmtId="164" fontId="1" fillId="0" borderId="16" xfId="37" applyNumberFormat="1" applyFont="1" applyBorder="1" applyAlignment="1">
      <alignment vertical="center"/>
    </xf>
    <xf numFmtId="44" fontId="3" fillId="3" borderId="19" xfId="2" applyFont="1" applyFill="1" applyBorder="1" applyAlignment="1">
      <alignment vertical="center"/>
    </xf>
    <xf numFmtId="4" fontId="3" fillId="0" borderId="23" xfId="12" applyFont="1" applyBorder="1"/>
    <xf numFmtId="4" fontId="3" fillId="0" borderId="24" xfId="12" applyFont="1" applyBorder="1"/>
    <xf numFmtId="164" fontId="3" fillId="0" borderId="25" xfId="37" applyNumberFormat="1" applyFont="1" applyBorder="1" applyAlignment="1">
      <alignment vertical="center"/>
    </xf>
    <xf numFmtId="4" fontId="3" fillId="10" borderId="0" xfId="12" applyFont="1" applyFill="1"/>
    <xf numFmtId="4" fontId="2" fillId="0" borderId="0" xfId="12" applyFont="1"/>
    <xf numFmtId="172" fontId="6" fillId="10" borderId="0" xfId="6" applyNumberFormat="1" applyFont="1" applyFill="1"/>
    <xf numFmtId="172" fontId="4" fillId="0" borderId="0" xfId="6" applyNumberFormat="1" applyFont="1" applyFill="1"/>
    <xf numFmtId="4" fontId="9" fillId="0" borderId="0" xfId="12" applyFont="1" applyAlignment="1">
      <alignment horizontal="left"/>
    </xf>
    <xf numFmtId="4" fontId="14" fillId="0" borderId="0" xfId="12" applyFont="1"/>
    <xf numFmtId="4" fontId="17" fillId="0" borderId="0" xfId="12" applyFont="1"/>
    <xf numFmtId="0" fontId="3" fillId="0" borderId="1" xfId="12" applyNumberFormat="1" applyFont="1" applyBorder="1" applyAlignment="1">
      <alignment horizontal="center"/>
    </xf>
    <xf numFmtId="164" fontId="3" fillId="0" borderId="1" xfId="38" applyNumberFormat="1" applyFont="1" applyFill="1" applyBorder="1" applyAlignment="1">
      <alignment horizontal="center"/>
    </xf>
    <xf numFmtId="0" fontId="3" fillId="0" borderId="26" xfId="12" applyNumberFormat="1" applyFont="1" applyBorder="1" applyAlignment="1">
      <alignment horizontal="center"/>
    </xf>
    <xf numFmtId="0" fontId="3" fillId="0" borderId="27" xfId="12" applyNumberFormat="1" applyFont="1" applyBorder="1" applyAlignment="1">
      <alignment horizontal="center"/>
    </xf>
    <xf numFmtId="4" fontId="3" fillId="0" borderId="27" xfId="12" applyFont="1" applyBorder="1" applyAlignment="1">
      <alignment horizontal="right"/>
    </xf>
    <xf numFmtId="164" fontId="3" fillId="0" borderId="25" xfId="38" applyNumberFormat="1" applyFont="1" applyFill="1" applyBorder="1"/>
    <xf numFmtId="4" fontId="20" fillId="0" borderId="0" xfId="12" applyFont="1" applyAlignment="1">
      <alignment horizontal="left" vertical="center"/>
    </xf>
    <xf numFmtId="4" fontId="3" fillId="0" borderId="26" xfId="12" applyFont="1" applyBorder="1" applyAlignment="1">
      <alignment horizontal="left"/>
    </xf>
    <xf numFmtId="4" fontId="1" fillId="0" borderId="0" xfId="12" applyFont="1"/>
    <xf numFmtId="4" fontId="1" fillId="0" borderId="21" xfId="12" applyFont="1" applyBorder="1"/>
    <xf numFmtId="0" fontId="3" fillId="0" borderId="0" xfId="12" applyNumberFormat="1" applyFont="1" applyAlignment="1">
      <alignment vertical="center"/>
    </xf>
    <xf numFmtId="0" fontId="3" fillId="0" borderId="0" xfId="12" applyNumberFormat="1" applyFont="1" applyAlignment="1">
      <alignment horizontal="center" vertical="center"/>
    </xf>
    <xf numFmtId="10" fontId="10" fillId="0" borderId="0" xfId="28" applyNumberFormat="1" applyFont="1"/>
    <xf numFmtId="4" fontId="3" fillId="10" borderId="1" xfId="12" applyFont="1" applyFill="1" applyBorder="1"/>
    <xf numFmtId="164" fontId="3" fillId="10" borderId="1" xfId="37" applyNumberFormat="1" applyFont="1" applyFill="1" applyBorder="1" applyAlignment="1">
      <alignment horizont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164" fontId="1" fillId="10" borderId="18" xfId="49" applyFont="1" applyFill="1" applyBorder="1" applyAlignment="1">
      <alignment horizontal="center" vertical="center"/>
    </xf>
    <xf numFmtId="164" fontId="1" fillId="0" borderId="18" xfId="49" applyFont="1" applyBorder="1" applyAlignment="1">
      <alignment horizontal="center" vertical="center"/>
    </xf>
    <xf numFmtId="164" fontId="1" fillId="0" borderId="18" xfId="49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10" borderId="1" xfId="0" applyNumberFormat="1" applyFont="1" applyFill="1" applyBorder="1" applyAlignment="1">
      <alignment horizontal="center" vertical="center"/>
    </xf>
    <xf numFmtId="164" fontId="1" fillId="0" borderId="1" xfId="49" applyFont="1" applyBorder="1" applyAlignment="1">
      <alignment horizontal="center" vertical="center"/>
    </xf>
    <xf numFmtId="165" fontId="1" fillId="0" borderId="1" xfId="49" applyNumberFormat="1" applyFont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164" fontId="8" fillId="3" borderId="28" xfId="49" applyFont="1" applyFill="1" applyBorder="1" applyAlignment="1">
      <alignment horizontal="center" vertical="center"/>
    </xf>
    <xf numFmtId="4" fontId="3" fillId="0" borderId="26" xfId="12" applyFont="1" applyBorder="1" applyAlignment="1">
      <alignment horizontal="center"/>
    </xf>
    <xf numFmtId="0" fontId="1" fillId="0" borderId="27" xfId="0" applyFont="1" applyBorder="1" applyAlignment="1">
      <alignment vertical="center"/>
    </xf>
    <xf numFmtId="164" fontId="1" fillId="0" borderId="27" xfId="49" applyFont="1" applyBorder="1" applyAlignment="1">
      <alignment vertical="center"/>
    </xf>
    <xf numFmtId="164" fontId="1" fillId="0" borderId="25" xfId="49" applyFont="1" applyBorder="1" applyAlignment="1">
      <alignment vertical="center"/>
    </xf>
    <xf numFmtId="164" fontId="2" fillId="0" borderId="1" xfId="49" applyFont="1" applyBorder="1" applyAlignment="1">
      <alignment horizontal="center" vertical="center"/>
    </xf>
    <xf numFmtId="164" fontId="10" fillId="0" borderId="1" xfId="49" applyFont="1" applyBorder="1"/>
    <xf numFmtId="165" fontId="1" fillId="0" borderId="18" xfId="49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10" fontId="4" fillId="10" borderId="30" xfId="0" applyNumberFormat="1" applyFont="1" applyFill="1" applyBorder="1" applyAlignment="1">
      <alignment horizontal="center" vertical="center"/>
    </xf>
    <xf numFmtId="10" fontId="4" fillId="0" borderId="29" xfId="28" applyNumberFormat="1" applyFont="1" applyBorder="1" applyAlignment="1">
      <alignment horizontal="right"/>
    </xf>
    <xf numFmtId="10" fontId="4" fillId="0" borderId="18" xfId="28" applyNumberFormat="1" applyFont="1" applyBorder="1" applyAlignment="1">
      <alignment horizontal="right"/>
    </xf>
    <xf numFmtId="10" fontId="4" fillId="0" borderId="30" xfId="28" applyNumberFormat="1" applyFont="1" applyBorder="1" applyAlignment="1">
      <alignment horizontal="right"/>
    </xf>
    <xf numFmtId="0" fontId="4" fillId="0" borderId="31" xfId="0" applyFont="1" applyBorder="1"/>
    <xf numFmtId="0" fontId="4" fillId="0" borderId="32" xfId="0" applyFont="1" applyBorder="1"/>
    <xf numFmtId="164" fontId="10" fillId="10" borderId="1" xfId="37" applyNumberFormat="1" applyFont="1" applyFill="1" applyBorder="1" applyAlignment="1">
      <alignment horizontal="center"/>
    </xf>
    <xf numFmtId="4" fontId="10" fillId="10" borderId="1" xfId="12" applyFont="1" applyFill="1" applyBorder="1"/>
    <xf numFmtId="4" fontId="10" fillId="10" borderId="18" xfId="12" applyFont="1" applyFill="1" applyBorder="1"/>
    <xf numFmtId="4" fontId="14" fillId="0" borderId="0" xfId="13" applyFont="1"/>
    <xf numFmtId="4" fontId="0" fillId="0" borderId="0" xfId="13" applyFont="1"/>
    <xf numFmtId="4" fontId="0" fillId="0" borderId="0" xfId="0" applyNumberFormat="1"/>
    <xf numFmtId="43" fontId="0" fillId="0" borderId="0" xfId="0" applyNumberFormat="1"/>
    <xf numFmtId="173" fontId="10" fillId="0" borderId="0" xfId="12" applyNumberFormat="1" applyFont="1"/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164" fontId="3" fillId="0" borderId="33" xfId="37" applyNumberFormat="1" applyFont="1" applyBorder="1" applyAlignment="1">
      <alignment horizontal="center" vertical="center"/>
    </xf>
    <xf numFmtId="164" fontId="10" fillId="0" borderId="27" xfId="37" applyNumberFormat="1" applyFont="1" applyBorder="1" applyAlignment="1">
      <alignment vertical="center"/>
    </xf>
    <xf numFmtId="164" fontId="3" fillId="0" borderId="5" xfId="37" applyNumberFormat="1" applyFont="1" applyBorder="1" applyAlignment="1">
      <alignment horizontal="center" vertical="center"/>
    </xf>
    <xf numFmtId="164" fontId="3" fillId="0" borderId="7" xfId="37" applyNumberFormat="1" applyFont="1" applyBorder="1" applyAlignment="1">
      <alignment vertical="center"/>
    </xf>
    <xf numFmtId="164" fontId="3" fillId="0" borderId="0" xfId="12" applyNumberFormat="1" applyFont="1" applyAlignment="1">
      <alignment vertical="center"/>
    </xf>
    <xf numFmtId="164" fontId="3" fillId="0" borderId="0" xfId="37" applyNumberFormat="1" applyFont="1" applyBorder="1" applyAlignment="1">
      <alignment vertical="center"/>
    </xf>
    <xf numFmtId="164" fontId="3" fillId="0" borderId="34" xfId="37" applyNumberFormat="1" applyFont="1" applyBorder="1" applyAlignment="1">
      <alignment vertical="center"/>
    </xf>
    <xf numFmtId="10" fontId="3" fillId="0" borderId="5" xfId="32" applyNumberFormat="1" applyFont="1" applyBorder="1" applyAlignment="1">
      <alignment vertical="center"/>
    </xf>
    <xf numFmtId="164" fontId="10" fillId="0" borderId="33" xfId="37" applyNumberFormat="1" applyFont="1" applyBorder="1" applyAlignment="1">
      <alignment vertical="center"/>
    </xf>
    <xf numFmtId="164" fontId="10" fillId="0" borderId="27" xfId="12" applyNumberFormat="1" applyFont="1" applyBorder="1" applyAlignment="1">
      <alignment vertical="center"/>
    </xf>
    <xf numFmtId="164" fontId="10" fillId="0" borderId="25" xfId="37" applyNumberFormat="1" applyFont="1" applyBorder="1" applyAlignment="1">
      <alignment vertical="center"/>
    </xf>
    <xf numFmtId="10" fontId="10" fillId="0" borderId="5" xfId="32" applyNumberFormat="1" applyFont="1" applyBorder="1" applyAlignment="1">
      <alignment vertical="center"/>
    </xf>
    <xf numFmtId="164" fontId="10" fillId="0" borderId="35" xfId="37" applyNumberFormat="1" applyFont="1" applyBorder="1" applyAlignment="1">
      <alignment vertical="center"/>
    </xf>
    <xf numFmtId="164" fontId="10" fillId="0" borderId="36" xfId="12" applyNumberFormat="1" applyFont="1" applyBorder="1" applyAlignment="1">
      <alignment vertical="center"/>
    </xf>
    <xf numFmtId="164" fontId="10" fillId="0" borderId="36" xfId="37" applyNumberFormat="1" applyFont="1" applyBorder="1" applyAlignment="1">
      <alignment vertical="center"/>
    </xf>
    <xf numFmtId="164" fontId="10" fillId="0" borderId="37" xfId="37" applyNumberFormat="1" applyFont="1" applyBorder="1" applyAlignment="1">
      <alignment vertical="center"/>
    </xf>
    <xf numFmtId="164" fontId="3" fillId="0" borderId="35" xfId="37" applyNumberFormat="1" applyFont="1" applyBorder="1" applyAlignment="1">
      <alignment vertical="center"/>
    </xf>
    <xf numFmtId="164" fontId="3" fillId="0" borderId="33" xfId="37" applyNumberFormat="1" applyFont="1" applyBorder="1" applyAlignment="1">
      <alignment vertical="center"/>
    </xf>
    <xf numFmtId="164" fontId="3" fillId="0" borderId="27" xfId="37" applyNumberFormat="1" applyFont="1" applyBorder="1" applyAlignment="1">
      <alignment vertical="center"/>
    </xf>
    <xf numFmtId="164" fontId="3" fillId="0" borderId="37" xfId="37" applyNumberFormat="1" applyFont="1" applyBorder="1" applyAlignment="1">
      <alignment vertical="center"/>
    </xf>
    <xf numFmtId="164" fontId="3" fillId="0" borderId="33" xfId="37" applyNumberFormat="1" applyFont="1" applyBorder="1" applyAlignment="1">
      <alignment horizontal="left" vertical="center"/>
    </xf>
    <xf numFmtId="4" fontId="3" fillId="0" borderId="27" xfId="12" applyFont="1" applyBorder="1" applyAlignment="1">
      <alignment horizontal="centerContinuous" vertical="center"/>
    </xf>
    <xf numFmtId="164" fontId="3" fillId="0" borderId="11" xfId="37" applyNumberFormat="1" applyFont="1" applyBorder="1" applyAlignment="1">
      <alignment horizontal="left" vertical="center"/>
    </xf>
    <xf numFmtId="4" fontId="3" fillId="0" borderId="12" xfId="12" applyFont="1" applyBorder="1" applyAlignment="1">
      <alignment horizontal="centerContinuous" vertical="center"/>
    </xf>
    <xf numFmtId="164" fontId="3" fillId="0" borderId="12" xfId="37" applyNumberFormat="1" applyFont="1" applyBorder="1" applyAlignment="1">
      <alignment vertical="center"/>
    </xf>
    <xf numFmtId="164" fontId="3" fillId="0" borderId="38" xfId="37" applyNumberFormat="1" applyFont="1" applyBorder="1" applyAlignment="1">
      <alignment vertical="center"/>
    </xf>
    <xf numFmtId="166" fontId="3" fillId="0" borderId="38" xfId="12" applyNumberFormat="1" applyFont="1" applyBorder="1" applyAlignment="1">
      <alignment vertical="center"/>
    </xf>
    <xf numFmtId="10" fontId="3" fillId="0" borderId="39" xfId="32" applyNumberFormat="1" applyFont="1" applyBorder="1" applyAlignment="1">
      <alignment vertical="center"/>
    </xf>
    <xf numFmtId="164" fontId="3" fillId="0" borderId="23" xfId="37" applyNumberFormat="1" applyFont="1" applyBorder="1" applyAlignment="1">
      <alignment horizontal="left" vertical="center"/>
    </xf>
    <xf numFmtId="4" fontId="3" fillId="0" borderId="21" xfId="12" applyFont="1" applyBorder="1" applyAlignment="1">
      <alignment horizontal="centerContinuous" vertical="center"/>
    </xf>
    <xf numFmtId="164" fontId="3" fillId="0" borderId="21" xfId="37" applyNumberFormat="1" applyFont="1" applyBorder="1" applyAlignment="1">
      <alignment vertical="center"/>
    </xf>
    <xf numFmtId="10" fontId="3" fillId="0" borderId="24" xfId="32" applyNumberFormat="1" applyFont="1" applyBorder="1" applyAlignment="1">
      <alignment vertical="center"/>
    </xf>
    <xf numFmtId="4" fontId="10" fillId="0" borderId="40" xfId="12" applyFont="1" applyBorder="1"/>
    <xf numFmtId="4" fontId="10" fillId="0" borderId="41" xfId="12" applyFont="1" applyBorder="1"/>
    <xf numFmtId="4" fontId="10" fillId="0" borderId="42" xfId="12" applyFont="1" applyBorder="1"/>
    <xf numFmtId="4" fontId="3" fillId="0" borderId="2" xfId="12" applyFont="1" applyBorder="1"/>
    <xf numFmtId="4" fontId="3" fillId="0" borderId="5" xfId="12" applyFont="1" applyBorder="1"/>
    <xf numFmtId="3" fontId="3" fillId="0" borderId="5" xfId="12" applyNumberFormat="1" applyFont="1" applyBorder="1"/>
    <xf numFmtId="4" fontId="3" fillId="0" borderId="3" xfId="12" applyFont="1" applyBorder="1"/>
    <xf numFmtId="4" fontId="3" fillId="0" borderId="4" xfId="12" applyFont="1" applyBorder="1"/>
    <xf numFmtId="4" fontId="3" fillId="0" borderId="6" xfId="12" applyFont="1" applyBorder="1"/>
    <xf numFmtId="4" fontId="10" fillId="0" borderId="0" xfId="12" applyFont="1" applyAlignment="1">
      <alignment horizontal="left"/>
    </xf>
    <xf numFmtId="2" fontId="3" fillId="0" borderId="1" xfId="37" applyNumberFormat="1" applyFont="1" applyBorder="1" applyAlignment="1">
      <alignment horizontal="center"/>
    </xf>
    <xf numFmtId="2" fontId="3" fillId="0" borderId="1" xfId="12" applyNumberFormat="1" applyFont="1" applyBorder="1" applyAlignment="1">
      <alignment horizontal="center" vertical="center"/>
    </xf>
    <xf numFmtId="2" fontId="3" fillId="0" borderId="1" xfId="37" applyNumberFormat="1" applyFont="1" applyBorder="1" applyAlignment="1">
      <alignment horizontal="center" vertical="center"/>
    </xf>
    <xf numFmtId="4" fontId="27" fillId="0" borderId="47" xfId="0" applyNumberFormat="1" applyFont="1" applyBorder="1" applyAlignment="1">
      <alignment horizontal="right"/>
    </xf>
    <xf numFmtId="4" fontId="10" fillId="0" borderId="0" xfId="12" applyFont="1" applyAlignment="1">
      <alignment horizontal="center"/>
    </xf>
    <xf numFmtId="2" fontId="3" fillId="0" borderId="25" xfId="12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2" fontId="3" fillId="0" borderId="25" xfId="12" applyNumberFormat="1" applyFont="1" applyBorder="1" applyAlignment="1">
      <alignment vertical="center"/>
    </xf>
    <xf numFmtId="0" fontId="1" fillId="0" borderId="0" xfId="0" applyFont="1"/>
    <xf numFmtId="174" fontId="3" fillId="0" borderId="26" xfId="12" applyNumberFormat="1" applyFont="1" applyBorder="1" applyAlignment="1">
      <alignment horizontal="right" vertical="center"/>
    </xf>
    <xf numFmtId="175" fontId="3" fillId="0" borderId="1" xfId="12" applyNumberFormat="1" applyFont="1" applyBorder="1"/>
    <xf numFmtId="0" fontId="27" fillId="0" borderId="49" xfId="0" applyFont="1" applyBorder="1" applyAlignment="1">
      <alignment horizontal="center"/>
    </xf>
    <xf numFmtId="0" fontId="27" fillId="0" borderId="50" xfId="0" applyFont="1" applyBorder="1" applyAlignment="1">
      <alignment horizontal="center"/>
    </xf>
    <xf numFmtId="0" fontId="27" fillId="0" borderId="51" xfId="0" applyFont="1" applyBorder="1" applyAlignment="1">
      <alignment horizontal="center"/>
    </xf>
    <xf numFmtId="0" fontId="27" fillId="0" borderId="52" xfId="0" applyFont="1" applyBorder="1"/>
    <xf numFmtId="2" fontId="28" fillId="0" borderId="53" xfId="0" applyNumberFormat="1" applyFont="1" applyBorder="1"/>
    <xf numFmtId="0" fontId="28" fillId="0" borderId="54" xfId="0" applyFont="1" applyBorder="1"/>
    <xf numFmtId="0" fontId="27" fillId="0" borderId="40" xfId="0" applyFont="1" applyBorder="1" applyAlignment="1">
      <alignment horizontal="center"/>
    </xf>
    <xf numFmtId="0" fontId="27" fillId="0" borderId="41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4" fontId="27" fillId="0" borderId="1" xfId="0" applyNumberFormat="1" applyFont="1" applyBorder="1" applyAlignment="1">
      <alignment horizontal="right"/>
    </xf>
    <xf numFmtId="0" fontId="27" fillId="0" borderId="5" xfId="0" applyFont="1" applyBorder="1"/>
    <xf numFmtId="4" fontId="27" fillId="0" borderId="4" xfId="0" applyNumberFormat="1" applyFont="1" applyBorder="1" applyAlignment="1">
      <alignment horizontal="right"/>
    </xf>
    <xf numFmtId="0" fontId="27" fillId="0" borderId="6" xfId="0" applyFont="1" applyBorder="1"/>
    <xf numFmtId="2" fontId="28" fillId="0" borderId="55" xfId="0" applyNumberFormat="1" applyFont="1" applyBorder="1"/>
    <xf numFmtId="0" fontId="28" fillId="0" borderId="56" xfId="0" applyFont="1" applyBorder="1"/>
    <xf numFmtId="2" fontId="27" fillId="0" borderId="48" xfId="0" applyNumberFormat="1" applyFont="1" applyBorder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47" xfId="0" applyFont="1" applyBorder="1" applyAlignment="1">
      <alignment horizontal="right" vertical="center" wrapText="1"/>
    </xf>
    <xf numFmtId="0" fontId="27" fillId="0" borderId="47" xfId="0" applyFont="1" applyBorder="1" applyAlignment="1">
      <alignment horizontal="left" vertical="center"/>
    </xf>
    <xf numFmtId="2" fontId="27" fillId="0" borderId="47" xfId="0" applyNumberFormat="1" applyFont="1" applyBorder="1" applyAlignment="1">
      <alignment horizontal="right" vertical="center" wrapText="1"/>
    </xf>
    <xf numFmtId="2" fontId="27" fillId="0" borderId="52" xfId="0" applyNumberFormat="1" applyFont="1" applyBorder="1"/>
    <xf numFmtId="2" fontId="27" fillId="0" borderId="57" xfId="0" applyNumberFormat="1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8" xfId="0" applyFont="1" applyBorder="1" applyAlignment="1">
      <alignment horizontal="right" vertical="center" wrapText="1"/>
    </xf>
    <xf numFmtId="0" fontId="27" fillId="0" borderId="58" xfId="0" applyFont="1" applyBorder="1" applyAlignment="1">
      <alignment horizontal="left" vertical="center"/>
    </xf>
    <xf numFmtId="2" fontId="27" fillId="0" borderId="58" xfId="0" applyNumberFormat="1" applyFont="1" applyBorder="1" applyAlignment="1">
      <alignment horizontal="right" vertical="center" wrapText="1"/>
    </xf>
    <xf numFmtId="2" fontId="27" fillId="0" borderId="59" xfId="0" applyNumberFormat="1" applyFont="1" applyBorder="1"/>
    <xf numFmtId="2" fontId="28" fillId="0" borderId="60" xfId="0" applyNumberFormat="1" applyFont="1" applyBorder="1"/>
    <xf numFmtId="2" fontId="28" fillId="0" borderId="61" xfId="0" applyNumberFormat="1" applyFont="1" applyBorder="1"/>
    <xf numFmtId="2" fontId="28" fillId="0" borderId="47" xfId="0" applyNumberFormat="1" applyFont="1" applyBorder="1"/>
    <xf numFmtId="2" fontId="28" fillId="0" borderId="52" xfId="0" applyNumberFormat="1" applyFont="1" applyBorder="1"/>
    <xf numFmtId="4" fontId="28" fillId="0" borderId="58" xfId="0" applyNumberFormat="1" applyFont="1" applyBorder="1"/>
    <xf numFmtId="2" fontId="28" fillId="0" borderId="59" xfId="0" applyNumberFormat="1" applyFont="1" applyBorder="1"/>
    <xf numFmtId="2" fontId="27" fillId="0" borderId="2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/>
    </xf>
    <xf numFmtId="2" fontId="27" fillId="0" borderId="1" xfId="0" applyNumberFormat="1" applyFont="1" applyBorder="1" applyAlignment="1">
      <alignment horizontal="right" vertical="center" wrapText="1"/>
    </xf>
    <xf numFmtId="2" fontId="27" fillId="0" borderId="5" xfId="0" applyNumberFormat="1" applyFont="1" applyBorder="1"/>
    <xf numFmtId="2" fontId="27" fillId="0" borderId="3" xfId="0" applyNumberFormat="1" applyFont="1" applyBorder="1" applyAlignment="1">
      <alignment horizontal="center"/>
    </xf>
    <xf numFmtId="0" fontId="27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right" vertical="center" wrapText="1"/>
    </xf>
    <xf numFmtId="0" fontId="27" fillId="0" borderId="4" xfId="0" applyFont="1" applyBorder="1" applyAlignment="1">
      <alignment horizontal="left" vertical="center"/>
    </xf>
    <xf numFmtId="2" fontId="27" fillId="0" borderId="4" xfId="0" applyNumberFormat="1" applyFont="1" applyBorder="1" applyAlignment="1">
      <alignment horizontal="right" vertical="center" wrapText="1"/>
    </xf>
    <xf numFmtId="2" fontId="27" fillId="0" borderId="6" xfId="0" applyNumberFormat="1" applyFont="1" applyBorder="1"/>
    <xf numFmtId="0" fontId="31" fillId="0" borderId="0" xfId="0" applyFont="1"/>
    <xf numFmtId="4" fontId="3" fillId="0" borderId="1" xfId="12" applyFont="1" applyBorder="1" applyAlignment="1">
      <alignment horizontal="center" vertical="center"/>
    </xf>
    <xf numFmtId="4" fontId="3" fillId="0" borderId="1" xfId="12" applyFont="1" applyBorder="1" applyAlignment="1">
      <alignment horizontal="center" vertical="center" wrapText="1"/>
    </xf>
    <xf numFmtId="0" fontId="6" fillId="0" borderId="1" xfId="12" applyNumberFormat="1" applyFont="1" applyBorder="1" applyAlignment="1">
      <alignment horizontal="center"/>
    </xf>
    <xf numFmtId="0" fontId="6" fillId="0" borderId="1" xfId="12" applyNumberFormat="1" applyFont="1" applyBorder="1" applyAlignment="1">
      <alignment horizontal="left"/>
    </xf>
    <xf numFmtId="10" fontId="10" fillId="0" borderId="0" xfId="28" applyNumberFormat="1" applyFont="1" applyFill="1"/>
    <xf numFmtId="3" fontId="10" fillId="0" borderId="0" xfId="12" applyNumberFormat="1" applyFont="1"/>
    <xf numFmtId="3" fontId="1" fillId="0" borderId="0" xfId="12" applyNumberFormat="1" applyFont="1"/>
    <xf numFmtId="0" fontId="27" fillId="0" borderId="1" xfId="0" quotePrefix="1" applyFont="1" applyBorder="1" applyAlignment="1">
      <alignment horizontal="left" vertical="center"/>
    </xf>
    <xf numFmtId="0" fontId="3" fillId="0" borderId="1" xfId="12" applyNumberFormat="1" applyFont="1" applyBorder="1" applyAlignment="1">
      <alignment horizontal="center" wrapText="1"/>
    </xf>
    <xf numFmtId="2" fontId="0" fillId="0" borderId="0" xfId="0" applyNumberFormat="1"/>
    <xf numFmtId="4" fontId="1" fillId="0" borderId="0" xfId="0" applyNumberFormat="1" applyFont="1"/>
    <xf numFmtId="0" fontId="27" fillId="0" borderId="49" xfId="56" applyFont="1" applyBorder="1" applyAlignment="1">
      <alignment horizontal="center"/>
    </xf>
    <xf numFmtId="0" fontId="27" fillId="0" borderId="50" xfId="56" applyFont="1" applyBorder="1" applyAlignment="1">
      <alignment horizontal="center"/>
    </xf>
    <xf numFmtId="0" fontId="27" fillId="0" borderId="51" xfId="56" applyFont="1" applyBorder="1" applyAlignment="1">
      <alignment horizontal="center"/>
    </xf>
    <xf numFmtId="0" fontId="27" fillId="0" borderId="48" xfId="56" applyFont="1" applyBorder="1" applyAlignment="1">
      <alignment horizontal="center"/>
    </xf>
    <xf numFmtId="0" fontId="27" fillId="0" borderId="47" xfId="56" applyFont="1" applyBorder="1" applyAlignment="1">
      <alignment horizontal="center"/>
    </xf>
    <xf numFmtId="4" fontId="27" fillId="0" borderId="47" xfId="56" applyNumberFormat="1" applyFont="1" applyBorder="1" applyAlignment="1">
      <alignment horizontal="right"/>
    </xf>
    <xf numFmtId="0" fontId="27" fillId="0" borderId="52" xfId="56" applyFont="1" applyBorder="1"/>
    <xf numFmtId="2" fontId="28" fillId="0" borderId="53" xfId="56" applyNumberFormat="1" applyFont="1" applyBorder="1"/>
    <xf numFmtId="0" fontId="28" fillId="0" borderId="54" xfId="56" applyFont="1" applyBorder="1"/>
    <xf numFmtId="0" fontId="27" fillId="0" borderId="40" xfId="56" applyFont="1" applyBorder="1" applyAlignment="1">
      <alignment horizontal="center"/>
    </xf>
    <xf numFmtId="0" fontId="27" fillId="0" borderId="41" xfId="56" applyFont="1" applyBorder="1" applyAlignment="1">
      <alignment horizontal="center"/>
    </xf>
    <xf numFmtId="0" fontId="27" fillId="0" borderId="42" xfId="56" applyFont="1" applyBorder="1" applyAlignment="1">
      <alignment horizontal="center"/>
    </xf>
    <xf numFmtId="0" fontId="27" fillId="0" borderId="2" xfId="56" applyFont="1" applyBorder="1" applyAlignment="1">
      <alignment horizontal="center"/>
    </xf>
    <xf numFmtId="4" fontId="27" fillId="0" borderId="1" xfId="56" applyNumberFormat="1" applyFont="1" applyBorder="1" applyAlignment="1">
      <alignment horizontal="right"/>
    </xf>
    <xf numFmtId="0" fontId="27" fillId="0" borderId="5" xfId="56" applyFont="1" applyBorder="1"/>
    <xf numFmtId="0" fontId="27" fillId="0" borderId="1" xfId="56" applyFont="1" applyBorder="1" applyAlignment="1">
      <alignment horizontal="center"/>
    </xf>
    <xf numFmtId="2" fontId="28" fillId="0" borderId="55" xfId="56" applyNumberFormat="1" applyFont="1" applyBorder="1"/>
    <xf numFmtId="0" fontId="28" fillId="0" borderId="56" xfId="56" applyFont="1" applyBorder="1"/>
    <xf numFmtId="0" fontId="27" fillId="0" borderId="3" xfId="56" applyFont="1" applyBorder="1" applyAlignment="1">
      <alignment horizontal="center"/>
    </xf>
    <xf numFmtId="0" fontId="27" fillId="0" borderId="4" xfId="56" applyFont="1" applyBorder="1" applyAlignment="1">
      <alignment horizontal="center"/>
    </xf>
    <xf numFmtId="4" fontId="27" fillId="0" borderId="4" xfId="56" applyNumberFormat="1" applyFont="1" applyBorder="1" applyAlignment="1">
      <alignment horizontal="right"/>
    </xf>
    <xf numFmtId="0" fontId="27" fillId="0" borderId="6" xfId="56" applyFont="1" applyBorder="1"/>
    <xf numFmtId="2" fontId="27" fillId="0" borderId="48" xfId="56" applyNumberFormat="1" applyFont="1" applyBorder="1" applyAlignment="1">
      <alignment horizontal="center"/>
    </xf>
    <xf numFmtId="0" fontId="27" fillId="0" borderId="47" xfId="56" applyFont="1" applyBorder="1" applyAlignment="1">
      <alignment horizontal="center" vertical="center"/>
    </xf>
    <xf numFmtId="0" fontId="27" fillId="0" borderId="47" xfId="56" applyFont="1" applyBorder="1" applyAlignment="1">
      <alignment horizontal="right" vertical="center" wrapText="1"/>
    </xf>
    <xf numFmtId="0" fontId="27" fillId="0" borderId="47" xfId="56" applyFont="1" applyBorder="1" applyAlignment="1">
      <alignment horizontal="left" vertical="center"/>
    </xf>
    <xf numFmtId="2" fontId="27" fillId="0" borderId="47" xfId="56" applyNumberFormat="1" applyFont="1" applyBorder="1" applyAlignment="1">
      <alignment horizontal="right" vertical="center" wrapText="1"/>
    </xf>
    <xf numFmtId="2" fontId="27" fillId="0" borderId="52" xfId="56" applyNumberFormat="1" applyFont="1" applyBorder="1"/>
    <xf numFmtId="2" fontId="27" fillId="0" borderId="57" xfId="56" applyNumberFormat="1" applyFont="1" applyBorder="1" applyAlignment="1">
      <alignment horizontal="center"/>
    </xf>
    <xf numFmtId="0" fontId="27" fillId="0" borderId="58" xfId="56" applyFont="1" applyBorder="1" applyAlignment="1">
      <alignment horizontal="center" vertical="center"/>
    </xf>
    <xf numFmtId="0" fontId="27" fillId="0" borderId="58" xfId="56" applyFont="1" applyBorder="1" applyAlignment="1">
      <alignment horizontal="right" vertical="center" wrapText="1"/>
    </xf>
    <xf numFmtId="0" fontId="27" fillId="0" borderId="58" xfId="56" applyFont="1" applyBorder="1" applyAlignment="1">
      <alignment horizontal="left" vertical="center"/>
    </xf>
    <xf numFmtId="2" fontId="27" fillId="0" borderId="58" xfId="56" applyNumberFormat="1" applyFont="1" applyBorder="1" applyAlignment="1">
      <alignment horizontal="right" vertical="center" wrapText="1"/>
    </xf>
    <xf numFmtId="2" fontId="27" fillId="0" borderId="59" xfId="56" applyNumberFormat="1" applyFont="1" applyBorder="1"/>
    <xf numFmtId="2" fontId="28" fillId="0" borderId="60" xfId="56" applyNumberFormat="1" applyFont="1" applyBorder="1"/>
    <xf numFmtId="2" fontId="28" fillId="0" borderId="61" xfId="56" applyNumberFormat="1" applyFont="1" applyBorder="1"/>
    <xf numFmtId="2" fontId="28" fillId="0" borderId="47" xfId="56" applyNumberFormat="1" applyFont="1" applyBorder="1"/>
    <xf numFmtId="2" fontId="28" fillId="0" borderId="52" xfId="56" applyNumberFormat="1" applyFont="1" applyBorder="1"/>
    <xf numFmtId="4" fontId="28" fillId="0" borderId="58" xfId="56" applyNumberFormat="1" applyFont="1" applyBorder="1"/>
    <xf numFmtId="2" fontId="28" fillId="0" borderId="59" xfId="56" applyNumberFormat="1" applyFont="1" applyBorder="1"/>
    <xf numFmtId="4" fontId="3" fillId="0" borderId="0" xfId="13" applyFont="1"/>
    <xf numFmtId="0" fontId="6" fillId="0" borderId="0" xfId="13" applyNumberFormat="1" applyFont="1" applyAlignment="1">
      <alignment vertical="center"/>
    </xf>
    <xf numFmtId="0" fontId="6" fillId="0" borderId="0" xfId="13" applyNumberFormat="1" applyFont="1" applyAlignment="1">
      <alignment horizontal="center" vertical="center"/>
    </xf>
    <xf numFmtId="4" fontId="3" fillId="0" borderId="0" xfId="13" applyFont="1" applyAlignment="1">
      <alignment horizontal="center"/>
    </xf>
    <xf numFmtId="4" fontId="3" fillId="0" borderId="0" xfId="13" applyFont="1" applyAlignment="1">
      <alignment horizontal="left"/>
    </xf>
    <xf numFmtId="4" fontId="3" fillId="0" borderId="1" xfId="13" applyFont="1" applyBorder="1" applyAlignment="1">
      <alignment horizontal="left"/>
    </xf>
    <xf numFmtId="4" fontId="3" fillId="0" borderId="26" xfId="13" applyFont="1" applyBorder="1" applyAlignment="1">
      <alignment horizontal="center"/>
    </xf>
    <xf numFmtId="4" fontId="3" fillId="0" borderId="1" xfId="13" applyFont="1" applyBorder="1" applyAlignment="1">
      <alignment horizontal="center"/>
    </xf>
    <xf numFmtId="4" fontId="10" fillId="0" borderId="0" xfId="13" applyFont="1"/>
    <xf numFmtId="4" fontId="1" fillId="0" borderId="0" xfId="13"/>
    <xf numFmtId="0" fontId="10" fillId="2" borderId="1" xfId="13" applyNumberFormat="1" applyFont="1" applyFill="1" applyBorder="1" applyAlignment="1">
      <alignment horizontal="center"/>
    </xf>
    <xf numFmtId="0" fontId="3" fillId="2" borderId="1" xfId="13" applyNumberFormat="1" applyFont="1" applyFill="1" applyBorder="1" applyAlignment="1">
      <alignment horizontal="center"/>
    </xf>
    <xf numFmtId="4" fontId="10" fillId="0" borderId="1" xfId="13" applyFont="1" applyBorder="1" applyAlignment="1">
      <alignment horizontal="center"/>
    </xf>
    <xf numFmtId="164" fontId="10" fillId="2" borderId="1" xfId="53" applyNumberFormat="1" applyFont="1" applyFill="1" applyBorder="1" applyAlignment="1">
      <alignment horizontal="center"/>
    </xf>
    <xf numFmtId="2" fontId="3" fillId="0" borderId="1" xfId="53" applyNumberFormat="1" applyFont="1" applyBorder="1" applyAlignment="1">
      <alignment horizontal="center"/>
    </xf>
    <xf numFmtId="164" fontId="3" fillId="2" borderId="1" xfId="53" applyNumberFormat="1" applyFont="1" applyFill="1" applyBorder="1" applyAlignment="1">
      <alignment horizontal="center"/>
    </xf>
    <xf numFmtId="4" fontId="3" fillId="0" borderId="26" xfId="13" applyFont="1" applyBorder="1" applyAlignment="1">
      <alignment horizontal="left"/>
    </xf>
    <xf numFmtId="164" fontId="3" fillId="0" borderId="1" xfId="53" applyNumberFormat="1" applyFont="1" applyBorder="1" applyAlignment="1">
      <alignment horizontal="center"/>
    </xf>
    <xf numFmtId="174" fontId="3" fillId="0" borderId="26" xfId="13" applyNumberFormat="1" applyFont="1" applyBorder="1" applyAlignment="1">
      <alignment horizontal="right" vertical="center"/>
    </xf>
    <xf numFmtId="2" fontId="3" fillId="0" borderId="25" xfId="13" applyNumberFormat="1" applyFont="1" applyBorder="1" applyAlignment="1">
      <alignment vertical="center"/>
    </xf>
    <xf numFmtId="2" fontId="3" fillId="0" borderId="25" xfId="13" applyNumberFormat="1" applyFont="1" applyBorder="1" applyAlignment="1">
      <alignment horizontal="center" vertical="center"/>
    </xf>
    <xf numFmtId="2" fontId="3" fillId="0" borderId="1" xfId="13" applyNumberFormat="1" applyFont="1" applyBorder="1" applyAlignment="1">
      <alignment horizontal="center" vertical="center"/>
    </xf>
    <xf numFmtId="4" fontId="3" fillId="0" borderId="1" xfId="13" applyFont="1" applyBorder="1"/>
    <xf numFmtId="2" fontId="3" fillId="0" borderId="1" xfId="53" applyNumberFormat="1" applyFont="1" applyBorder="1" applyAlignment="1">
      <alignment horizontal="center" vertical="center"/>
    </xf>
    <xf numFmtId="171" fontId="10" fillId="0" borderId="0" xfId="13" applyNumberFormat="1" applyFont="1"/>
    <xf numFmtId="173" fontId="10" fillId="0" borderId="0" xfId="13" applyNumberFormat="1" applyFont="1"/>
    <xf numFmtId="4" fontId="10" fillId="0" borderId="0" xfId="13" applyFont="1" applyAlignment="1">
      <alignment horizontal="right"/>
    </xf>
    <xf numFmtId="4" fontId="10" fillId="0" borderId="0" xfId="13" applyFont="1" applyAlignment="1">
      <alignment horizontal="center"/>
    </xf>
    <xf numFmtId="164" fontId="3" fillId="9" borderId="1" xfId="53" applyNumberFormat="1" applyFont="1" applyFill="1" applyBorder="1" applyAlignment="1">
      <alignment horizontal="center"/>
    </xf>
    <xf numFmtId="4" fontId="3" fillId="10" borderId="1" xfId="13" applyFont="1" applyFill="1" applyBorder="1"/>
    <xf numFmtId="164" fontId="3" fillId="10" borderId="1" xfId="53" applyNumberFormat="1" applyFont="1" applyFill="1" applyBorder="1" applyAlignment="1">
      <alignment horizontal="center"/>
    </xf>
    <xf numFmtId="165" fontId="3" fillId="2" borderId="1" xfId="53" applyNumberFormat="1" applyFont="1" applyFill="1" applyBorder="1" applyAlignment="1">
      <alignment horizontal="center"/>
    </xf>
    <xf numFmtId="4" fontId="3" fillId="4" borderId="1" xfId="13" applyFont="1" applyFill="1" applyBorder="1"/>
    <xf numFmtId="4" fontId="3" fillId="4" borderId="1" xfId="13" applyFont="1" applyFill="1" applyBorder="1" applyAlignment="1">
      <alignment horizontal="center"/>
    </xf>
    <xf numFmtId="164" fontId="10" fillId="0" borderId="0" xfId="53" applyNumberFormat="1" applyFont="1" applyBorder="1"/>
    <xf numFmtId="4" fontId="10" fillId="0" borderId="18" xfId="13" applyFont="1" applyBorder="1"/>
    <xf numFmtId="4" fontId="10" fillId="10" borderId="18" xfId="13" applyFont="1" applyFill="1" applyBorder="1"/>
    <xf numFmtId="4" fontId="3" fillId="0" borderId="18" xfId="13" applyFont="1" applyBorder="1" applyAlignment="1">
      <alignment horizontal="center"/>
    </xf>
    <xf numFmtId="4" fontId="10" fillId="0" borderId="1" xfId="13" applyFont="1" applyBorder="1"/>
    <xf numFmtId="164" fontId="10" fillId="10" borderId="1" xfId="53" applyNumberFormat="1" applyFont="1" applyFill="1" applyBorder="1" applyAlignment="1">
      <alignment horizontal="center"/>
    </xf>
    <xf numFmtId="10" fontId="10" fillId="0" borderId="1" xfId="54" applyNumberFormat="1" applyFont="1" applyBorder="1" applyAlignment="1">
      <alignment horizontal="center"/>
    </xf>
    <xf numFmtId="164" fontId="10" fillId="0" borderId="1" xfId="53" applyNumberFormat="1" applyFont="1" applyBorder="1" applyAlignment="1">
      <alignment horizontal="center"/>
    </xf>
    <xf numFmtId="4" fontId="10" fillId="10" borderId="1" xfId="13" applyFont="1" applyFill="1" applyBorder="1"/>
    <xf numFmtId="3" fontId="10" fillId="0" borderId="1" xfId="13" applyNumberFormat="1" applyFont="1" applyBorder="1"/>
    <xf numFmtId="164" fontId="10" fillId="0" borderId="1" xfId="53" applyNumberFormat="1" applyFont="1" applyBorder="1" applyAlignment="1">
      <alignment vertical="center" wrapText="1"/>
    </xf>
    <xf numFmtId="3" fontId="10" fillId="0" borderId="1" xfId="13" applyNumberFormat="1" applyFont="1" applyBorder="1" applyAlignment="1">
      <alignment horizontal="center"/>
    </xf>
    <xf numFmtId="4" fontId="10" fillId="2" borderId="1" xfId="13" applyFont="1" applyFill="1" applyBorder="1"/>
    <xf numFmtId="164" fontId="3" fillId="0" borderId="1" xfId="53" applyNumberFormat="1" applyFont="1" applyBorder="1" applyAlignment="1">
      <alignment vertical="center" wrapText="1"/>
    </xf>
    <xf numFmtId="4" fontId="10" fillId="2" borderId="0" xfId="13" applyFont="1" applyFill="1"/>
    <xf numFmtId="4" fontId="3" fillId="0" borderId="19" xfId="13" applyFont="1" applyBorder="1" applyAlignment="1">
      <alignment vertical="center" wrapText="1"/>
    </xf>
    <xf numFmtId="4" fontId="10" fillId="0" borderId="0" xfId="13" applyFont="1" applyAlignment="1">
      <alignment vertical="center" wrapText="1"/>
    </xf>
    <xf numFmtId="4" fontId="8" fillId="3" borderId="20" xfId="13" applyFont="1" applyFill="1" applyBorder="1" applyAlignment="1">
      <alignment horizontal="center" vertical="center"/>
    </xf>
    <xf numFmtId="4" fontId="8" fillId="3" borderId="21" xfId="13" applyFont="1" applyFill="1" applyBorder="1" applyAlignment="1">
      <alignment horizontal="center" vertical="center"/>
    </xf>
    <xf numFmtId="164" fontId="8" fillId="3" borderId="21" xfId="53" applyNumberFormat="1" applyFont="1" applyFill="1" applyBorder="1" applyAlignment="1">
      <alignment horizontal="center" vertical="center"/>
    </xf>
    <xf numFmtId="175" fontId="3" fillId="0" borderId="1" xfId="13" applyNumberFormat="1" applyFont="1" applyBorder="1"/>
    <xf numFmtId="4" fontId="1" fillId="0" borderId="18" xfId="13" applyBorder="1" applyAlignment="1">
      <alignment vertical="center"/>
    </xf>
    <xf numFmtId="4" fontId="10" fillId="0" borderId="18" xfId="13" applyFont="1" applyBorder="1" applyAlignment="1">
      <alignment horizontal="center" vertical="center"/>
    </xf>
    <xf numFmtId="3" fontId="10" fillId="0" borderId="18" xfId="13" applyNumberFormat="1" applyFont="1" applyBorder="1" applyAlignment="1">
      <alignment horizontal="center" vertical="center"/>
    </xf>
    <xf numFmtId="164" fontId="10" fillId="10" borderId="18" xfId="53" applyNumberFormat="1" applyFont="1" applyFill="1" applyBorder="1" applyAlignment="1">
      <alignment horizontal="center" vertical="center"/>
    </xf>
    <xf numFmtId="164" fontId="10" fillId="0" borderId="18" xfId="53" applyNumberFormat="1" applyFont="1" applyBorder="1" applyAlignment="1">
      <alignment horizontal="center" vertical="center"/>
    </xf>
    <xf numFmtId="4" fontId="1" fillId="0" borderId="1" xfId="13" applyBorder="1" applyAlignment="1">
      <alignment vertical="center"/>
    </xf>
    <xf numFmtId="4" fontId="10" fillId="0" borderId="1" xfId="13" applyFont="1" applyBorder="1" applyAlignment="1">
      <alignment horizontal="center" vertical="center"/>
    </xf>
    <xf numFmtId="3" fontId="10" fillId="0" borderId="1" xfId="13" applyNumberFormat="1" applyFont="1" applyBorder="1" applyAlignment="1">
      <alignment horizontal="center" vertical="center"/>
    </xf>
    <xf numFmtId="164" fontId="10" fillId="0" borderId="1" xfId="53" applyNumberFormat="1" applyFont="1" applyFill="1" applyBorder="1" applyAlignment="1">
      <alignment horizontal="center" vertical="center"/>
    </xf>
    <xf numFmtId="164" fontId="10" fillId="0" borderId="1" xfId="53" applyNumberFormat="1" applyFont="1" applyBorder="1" applyAlignment="1">
      <alignment horizontal="center" vertical="center"/>
    </xf>
    <xf numFmtId="2" fontId="3" fillId="0" borderId="0" xfId="13" applyNumberFormat="1" applyFont="1"/>
    <xf numFmtId="3" fontId="10" fillId="10" borderId="1" xfId="13" applyNumberFormat="1" applyFont="1" applyFill="1" applyBorder="1" applyAlignment="1">
      <alignment horizontal="center" vertical="center"/>
    </xf>
    <xf numFmtId="164" fontId="10" fillId="11" borderId="1" xfId="53" applyNumberFormat="1" applyFont="1" applyFill="1" applyBorder="1" applyAlignment="1">
      <alignment horizontal="center" vertical="center"/>
    </xf>
    <xf numFmtId="4" fontId="2" fillId="0" borderId="22" xfId="13" applyFont="1" applyBorder="1" applyAlignment="1">
      <alignment vertical="center"/>
    </xf>
    <xf numFmtId="4" fontId="3" fillId="0" borderId="22" xfId="13" applyFont="1" applyBorder="1" applyAlignment="1">
      <alignment horizontal="center" vertical="center"/>
    </xf>
    <xf numFmtId="3" fontId="3" fillId="0" borderId="22" xfId="13" applyNumberFormat="1" applyFont="1" applyBorder="1" applyAlignment="1">
      <alignment horizontal="center" vertical="center"/>
    </xf>
    <xf numFmtId="164" fontId="3" fillId="0" borderId="22" xfId="53" applyNumberFormat="1" applyFont="1" applyBorder="1" applyAlignment="1">
      <alignment horizontal="center" vertical="center"/>
    </xf>
    <xf numFmtId="0" fontId="1" fillId="0" borderId="0" xfId="13" applyNumberFormat="1" applyAlignment="1">
      <alignment vertical="center"/>
    </xf>
    <xf numFmtId="164" fontId="1" fillId="0" borderId="0" xfId="53" applyNumberFormat="1" applyFont="1" applyAlignment="1">
      <alignment vertical="center"/>
    </xf>
    <xf numFmtId="0" fontId="3" fillId="3" borderId="23" xfId="13" applyNumberFormat="1" applyFont="1" applyFill="1" applyBorder="1" applyAlignment="1">
      <alignment horizontal="center" vertical="center"/>
    </xf>
    <xf numFmtId="0" fontId="3" fillId="3" borderId="21" xfId="13" applyNumberFormat="1" applyFont="1" applyFill="1" applyBorder="1" applyAlignment="1">
      <alignment horizontal="center" vertical="center"/>
    </xf>
    <xf numFmtId="164" fontId="3" fillId="3" borderId="21" xfId="53" applyNumberFormat="1" applyFont="1" applyFill="1" applyBorder="1" applyAlignment="1">
      <alignment horizontal="center" vertical="center"/>
    </xf>
    <xf numFmtId="164" fontId="3" fillId="3" borderId="24" xfId="53" applyNumberFormat="1" applyFont="1" applyFill="1" applyBorder="1" applyAlignment="1">
      <alignment horizontal="center" vertical="center"/>
    </xf>
    <xf numFmtId="10" fontId="0" fillId="0" borderId="0" xfId="54" applyNumberFormat="1" applyFont="1"/>
    <xf numFmtId="0" fontId="3" fillId="0" borderId="18" xfId="13" applyNumberFormat="1" applyFont="1" applyBorder="1" applyAlignment="1">
      <alignment vertical="center"/>
    </xf>
    <xf numFmtId="0" fontId="1" fillId="0" borderId="18" xfId="13" applyNumberFormat="1" applyBorder="1" applyAlignment="1">
      <alignment horizontal="center" vertical="center"/>
    </xf>
    <xf numFmtId="10" fontId="10" fillId="11" borderId="1" xfId="54" applyNumberFormat="1" applyFont="1" applyFill="1" applyBorder="1" applyAlignment="1">
      <alignment horizontal="center" vertical="center"/>
    </xf>
    <xf numFmtId="164" fontId="10" fillId="0" borderId="0" xfId="53" applyNumberFormat="1" applyFont="1" applyAlignment="1">
      <alignment vertical="center"/>
    </xf>
    <xf numFmtId="0" fontId="10" fillId="0" borderId="1" xfId="13" applyNumberFormat="1" applyFont="1" applyBorder="1" applyAlignment="1">
      <alignment vertical="center"/>
    </xf>
    <xf numFmtId="0" fontId="1" fillId="0" borderId="1" xfId="13" applyNumberFormat="1" applyBorder="1" applyAlignment="1">
      <alignment vertical="center"/>
    </xf>
    <xf numFmtId="10" fontId="10" fillId="0" borderId="1" xfId="54" applyNumberFormat="1" applyFont="1" applyBorder="1" applyAlignment="1">
      <alignment vertical="center"/>
    </xf>
    <xf numFmtId="164" fontId="10" fillId="0" borderId="1" xfId="53" applyNumberFormat="1" applyFont="1" applyBorder="1" applyAlignment="1">
      <alignment vertical="center"/>
    </xf>
    <xf numFmtId="0" fontId="10" fillId="0" borderId="0" xfId="13" applyNumberFormat="1" applyFont="1" applyAlignment="1">
      <alignment vertical="center"/>
    </xf>
    <xf numFmtId="0" fontId="3" fillId="0" borderId="14" xfId="13" applyNumberFormat="1" applyFont="1" applyBorder="1" applyAlignment="1">
      <alignment vertical="center"/>
    </xf>
    <xf numFmtId="0" fontId="1" fillId="0" borderId="15" xfId="13" applyNumberFormat="1" applyBorder="1" applyAlignment="1">
      <alignment vertical="center"/>
    </xf>
    <xf numFmtId="0" fontId="10" fillId="0" borderId="15" xfId="13" applyNumberFormat="1" applyFont="1" applyBorder="1" applyAlignment="1">
      <alignment vertical="center"/>
    </xf>
    <xf numFmtId="164" fontId="10" fillId="0" borderId="15" xfId="53" applyNumberFormat="1" applyFont="1" applyBorder="1" applyAlignment="1">
      <alignment vertical="center"/>
    </xf>
    <xf numFmtId="164" fontId="10" fillId="0" borderId="16" xfId="53" applyNumberFormat="1" applyFont="1" applyBorder="1" applyAlignment="1">
      <alignment vertical="center"/>
    </xf>
    <xf numFmtId="164" fontId="1" fillId="0" borderId="15" xfId="53" applyNumberFormat="1" applyFont="1" applyBorder="1" applyAlignment="1">
      <alignment vertical="center"/>
    </xf>
    <xf numFmtId="164" fontId="1" fillId="0" borderId="16" xfId="53" applyNumberFormat="1" applyFont="1" applyBorder="1" applyAlignment="1">
      <alignment vertical="center"/>
    </xf>
    <xf numFmtId="4" fontId="3" fillId="0" borderId="23" xfId="13" applyFont="1" applyBorder="1"/>
    <xf numFmtId="4" fontId="1" fillId="0" borderId="21" xfId="13" applyBorder="1"/>
    <xf numFmtId="4" fontId="3" fillId="0" borderId="24" xfId="13" applyFont="1" applyBorder="1"/>
    <xf numFmtId="164" fontId="3" fillId="0" borderId="33" xfId="53" applyNumberFormat="1" applyFont="1" applyBorder="1" applyAlignment="1">
      <alignment horizontal="center" vertical="center"/>
    </xf>
    <xf numFmtId="164" fontId="10" fillId="0" borderId="27" xfId="53" applyNumberFormat="1" applyFont="1" applyBorder="1" applyAlignment="1">
      <alignment vertical="center"/>
    </xf>
    <xf numFmtId="164" fontId="3" fillId="0" borderId="25" xfId="53" applyNumberFormat="1" applyFont="1" applyBorder="1" applyAlignment="1">
      <alignment vertical="center"/>
    </xf>
    <xf numFmtId="164" fontId="3" fillId="0" borderId="5" xfId="53" applyNumberFormat="1" applyFont="1" applyBorder="1" applyAlignment="1">
      <alignment horizontal="center" vertical="center"/>
    </xf>
    <xf numFmtId="164" fontId="3" fillId="0" borderId="7" xfId="53" applyNumberFormat="1" applyFont="1" applyBorder="1" applyAlignment="1">
      <alignment vertical="center"/>
    </xf>
    <xf numFmtId="164" fontId="3" fillId="0" borderId="0" xfId="13" applyNumberFormat="1" applyFont="1" applyAlignment="1">
      <alignment vertical="center"/>
    </xf>
    <xf numFmtId="164" fontId="3" fillId="0" borderId="0" xfId="53" applyNumberFormat="1" applyFont="1" applyBorder="1" applyAlignment="1">
      <alignment vertical="center"/>
    </xf>
    <xf numFmtId="164" fontId="3" fillId="0" borderId="34" xfId="53" applyNumberFormat="1" applyFont="1" applyBorder="1" applyAlignment="1">
      <alignment vertical="center"/>
    </xf>
    <xf numFmtId="10" fontId="3" fillId="0" borderId="5" xfId="54" applyNumberFormat="1" applyFont="1" applyBorder="1" applyAlignment="1">
      <alignment vertical="center"/>
    </xf>
    <xf numFmtId="164" fontId="10" fillId="0" borderId="33" xfId="53" applyNumberFormat="1" applyFont="1" applyBorder="1" applyAlignment="1">
      <alignment vertical="center"/>
    </xf>
    <xf numFmtId="164" fontId="10" fillId="0" borderId="27" xfId="13" applyNumberFormat="1" applyFont="1" applyBorder="1" applyAlignment="1">
      <alignment vertical="center"/>
    </xf>
    <xf numFmtId="164" fontId="10" fillId="0" borderId="25" xfId="53" applyNumberFormat="1" applyFont="1" applyBorder="1" applyAlignment="1">
      <alignment vertical="center"/>
    </xf>
    <xf numFmtId="10" fontId="10" fillId="0" borderId="5" xfId="54" applyNumberFormat="1" applyFont="1" applyBorder="1" applyAlignment="1">
      <alignment vertical="center"/>
    </xf>
    <xf numFmtId="164" fontId="10" fillId="0" borderId="35" xfId="53" applyNumberFormat="1" applyFont="1" applyBorder="1" applyAlignment="1">
      <alignment vertical="center"/>
    </xf>
    <xf numFmtId="164" fontId="10" fillId="0" borderId="36" xfId="13" applyNumberFormat="1" applyFont="1" applyBorder="1" applyAlignment="1">
      <alignment vertical="center"/>
    </xf>
    <xf numFmtId="164" fontId="10" fillId="0" borderId="36" xfId="53" applyNumberFormat="1" applyFont="1" applyBorder="1" applyAlignment="1">
      <alignment vertical="center"/>
    </xf>
    <xf numFmtId="164" fontId="10" fillId="0" borderId="37" xfId="53" applyNumberFormat="1" applyFont="1" applyBorder="1" applyAlignment="1">
      <alignment vertical="center"/>
    </xf>
    <xf numFmtId="164" fontId="3" fillId="0" borderId="35" xfId="53" applyNumberFormat="1" applyFont="1" applyBorder="1" applyAlignment="1">
      <alignment vertical="center"/>
    </xf>
    <xf numFmtId="164" fontId="3" fillId="0" borderId="33" xfId="53" applyNumberFormat="1" applyFont="1" applyBorder="1" applyAlignment="1">
      <alignment vertical="center"/>
    </xf>
    <xf numFmtId="164" fontId="3" fillId="0" borderId="27" xfId="53" applyNumberFormat="1" applyFont="1" applyBorder="1" applyAlignment="1">
      <alignment vertical="center"/>
    </xf>
    <xf numFmtId="164" fontId="3" fillId="0" borderId="37" xfId="53" applyNumberFormat="1" applyFont="1" applyBorder="1" applyAlignment="1">
      <alignment vertical="center"/>
    </xf>
    <xf numFmtId="164" fontId="3" fillId="0" borderId="33" xfId="53" applyNumberFormat="1" applyFont="1" applyBorder="1" applyAlignment="1">
      <alignment horizontal="left" vertical="center"/>
    </xf>
    <xf numFmtId="4" fontId="3" fillId="0" borderId="27" xfId="13" applyFont="1" applyBorder="1" applyAlignment="1">
      <alignment horizontal="centerContinuous" vertical="center"/>
    </xf>
    <xf numFmtId="164" fontId="3" fillId="0" borderId="11" xfId="53" applyNumberFormat="1" applyFont="1" applyBorder="1" applyAlignment="1">
      <alignment horizontal="left" vertical="center"/>
    </xf>
    <xf numFmtId="4" fontId="3" fillId="0" borderId="12" xfId="13" applyFont="1" applyBorder="1" applyAlignment="1">
      <alignment horizontal="centerContinuous" vertical="center"/>
    </xf>
    <xf numFmtId="164" fontId="3" fillId="0" borderId="12" xfId="53" applyNumberFormat="1" applyFont="1" applyBorder="1" applyAlignment="1">
      <alignment vertical="center"/>
    </xf>
    <xf numFmtId="164" fontId="3" fillId="0" borderId="38" xfId="53" applyNumberFormat="1" applyFont="1" applyBorder="1" applyAlignment="1">
      <alignment vertical="center"/>
    </xf>
    <xf numFmtId="166" fontId="3" fillId="0" borderId="38" xfId="13" applyNumberFormat="1" applyFont="1" applyBorder="1" applyAlignment="1">
      <alignment vertical="center"/>
    </xf>
    <xf numFmtId="10" fontId="3" fillId="0" borderId="39" xfId="54" applyNumberFormat="1" applyFont="1" applyBorder="1" applyAlignment="1">
      <alignment vertical="center"/>
    </xf>
    <xf numFmtId="164" fontId="3" fillId="0" borderId="23" xfId="53" applyNumberFormat="1" applyFont="1" applyBorder="1" applyAlignment="1">
      <alignment horizontal="left" vertical="center"/>
    </xf>
    <xf numFmtId="4" fontId="3" fillId="0" borderId="21" xfId="13" applyFont="1" applyBorder="1" applyAlignment="1">
      <alignment horizontal="centerContinuous" vertical="center"/>
    </xf>
    <xf numFmtId="164" fontId="3" fillId="0" borderId="21" xfId="53" applyNumberFormat="1" applyFont="1" applyBorder="1" applyAlignment="1">
      <alignment vertical="center"/>
    </xf>
    <xf numFmtId="10" fontId="3" fillId="0" borderId="24" xfId="54" applyNumberFormat="1" applyFont="1" applyBorder="1" applyAlignment="1">
      <alignment vertical="center"/>
    </xf>
    <xf numFmtId="4" fontId="10" fillId="0" borderId="40" xfId="13" applyFont="1" applyBorder="1"/>
    <xf numFmtId="4" fontId="10" fillId="0" borderId="41" xfId="13" applyFont="1" applyBorder="1"/>
    <xf numFmtId="4" fontId="10" fillId="0" borderId="42" xfId="13" applyFont="1" applyBorder="1"/>
    <xf numFmtId="4" fontId="3" fillId="0" borderId="2" xfId="13" applyFont="1" applyBorder="1"/>
    <xf numFmtId="4" fontId="3" fillId="0" borderId="5" xfId="13" applyFont="1" applyBorder="1"/>
    <xf numFmtId="3" fontId="3" fillId="0" borderId="5" xfId="13" applyNumberFormat="1" applyFont="1" applyBorder="1"/>
    <xf numFmtId="4" fontId="3" fillId="0" borderId="3" xfId="13" applyFont="1" applyBorder="1"/>
    <xf numFmtId="4" fontId="3" fillId="0" borderId="4" xfId="13" applyFont="1" applyBorder="1"/>
    <xf numFmtId="4" fontId="3" fillId="0" borderId="6" xfId="13" applyFont="1" applyBorder="1"/>
    <xf numFmtId="4" fontId="10" fillId="0" borderId="0" xfId="13" applyFont="1" applyAlignment="1">
      <alignment horizontal="left"/>
    </xf>
    <xf numFmtId="4" fontId="3" fillId="10" borderId="0" xfId="13" applyFont="1" applyFill="1"/>
    <xf numFmtId="4" fontId="2" fillId="0" borderId="0" xfId="13" applyFont="1"/>
    <xf numFmtId="172" fontId="6" fillId="10" borderId="0" xfId="55" applyNumberFormat="1" applyFont="1" applyFill="1"/>
    <xf numFmtId="172" fontId="4" fillId="0" borderId="0" xfId="55" applyNumberFormat="1" applyFont="1" applyFill="1"/>
    <xf numFmtId="4" fontId="9" fillId="0" borderId="0" xfId="13" applyFont="1" applyAlignment="1">
      <alignment horizontal="left"/>
    </xf>
    <xf numFmtId="4" fontId="17" fillId="0" borderId="0" xfId="13" applyFont="1"/>
    <xf numFmtId="2" fontId="27" fillId="0" borderId="106" xfId="0" applyNumberFormat="1" applyFont="1" applyBorder="1" applyAlignment="1">
      <alignment horizontal="center"/>
    </xf>
    <xf numFmtId="2" fontId="27" fillId="0" borderId="107" xfId="0" applyNumberFormat="1" applyFont="1" applyBorder="1"/>
    <xf numFmtId="0" fontId="27" fillId="0" borderId="0" xfId="0" applyFont="1" applyAlignment="1">
      <alignment horizontal="center"/>
    </xf>
    <xf numFmtId="4" fontId="3" fillId="11" borderId="14" xfId="12" applyFont="1" applyFill="1" applyBorder="1" applyAlignment="1">
      <alignment horizontal="center"/>
    </xf>
    <xf numFmtId="4" fontId="3" fillId="11" borderId="15" xfId="12" applyFont="1" applyFill="1" applyBorder="1" applyAlignment="1">
      <alignment horizontal="center"/>
    </xf>
    <xf numFmtId="4" fontId="3" fillId="11" borderId="16" xfId="12" applyFont="1" applyFill="1" applyBorder="1" applyAlignment="1">
      <alignment horizontal="center"/>
    </xf>
    <xf numFmtId="4" fontId="3" fillId="12" borderId="14" xfId="12" applyFont="1" applyFill="1" applyBorder="1" applyAlignment="1">
      <alignment horizontal="center"/>
    </xf>
    <xf numFmtId="4" fontId="3" fillId="12" borderId="15" xfId="12" applyFont="1" applyFill="1" applyBorder="1" applyAlignment="1">
      <alignment horizontal="center"/>
    </xf>
    <xf numFmtId="4" fontId="3" fillId="12" borderId="16" xfId="12" applyFont="1" applyFill="1" applyBorder="1" applyAlignment="1">
      <alignment horizontal="center"/>
    </xf>
    <xf numFmtId="0" fontId="3" fillId="12" borderId="14" xfId="12" applyNumberFormat="1" applyFont="1" applyFill="1" applyBorder="1" applyAlignment="1">
      <alignment horizontal="center" vertical="center"/>
    </xf>
    <xf numFmtId="0" fontId="3" fillId="12" borderId="15" xfId="12" applyNumberFormat="1" applyFont="1" applyFill="1" applyBorder="1" applyAlignment="1">
      <alignment horizontal="center" vertical="center"/>
    </xf>
    <xf numFmtId="0" fontId="3" fillId="12" borderId="16" xfId="12" applyNumberFormat="1" applyFont="1" applyFill="1" applyBorder="1" applyAlignment="1">
      <alignment horizontal="center" vertical="center"/>
    </xf>
    <xf numFmtId="4" fontId="3" fillId="0" borderId="31" xfId="12" applyFont="1" applyBorder="1" applyAlignment="1">
      <alignment horizontal="center"/>
    </xf>
    <xf numFmtId="164" fontId="3" fillId="13" borderId="43" xfId="37" applyNumberFormat="1" applyFont="1" applyFill="1" applyBorder="1" applyAlignment="1">
      <alignment horizontal="center" vertical="center"/>
    </xf>
    <xf numFmtId="164" fontId="3" fillId="13" borderId="44" xfId="37" applyNumberFormat="1" applyFont="1" applyFill="1" applyBorder="1" applyAlignment="1">
      <alignment horizontal="center" vertical="center"/>
    </xf>
    <xf numFmtId="164" fontId="3" fillId="13" borderId="41" xfId="37" applyNumberFormat="1" applyFont="1" applyFill="1" applyBorder="1" applyAlignment="1">
      <alignment horizontal="center" vertical="center"/>
    </xf>
    <xf numFmtId="164" fontId="3" fillId="13" borderId="42" xfId="37" applyNumberFormat="1" applyFont="1" applyFill="1" applyBorder="1" applyAlignment="1">
      <alignment horizontal="center" vertical="center"/>
    </xf>
    <xf numFmtId="4" fontId="30" fillId="0" borderId="0" xfId="12" applyFont="1" applyAlignment="1">
      <alignment horizontal="left" vertical="top"/>
    </xf>
    <xf numFmtId="4" fontId="3" fillId="0" borderId="26" xfId="12" applyFont="1" applyBorder="1" applyAlignment="1">
      <alignment horizontal="left"/>
    </xf>
    <xf numFmtId="4" fontId="3" fillId="0" borderId="27" xfId="12" applyFont="1" applyBorder="1" applyAlignment="1">
      <alignment horizontal="left"/>
    </xf>
    <xf numFmtId="4" fontId="3" fillId="0" borderId="25" xfId="12" applyFont="1" applyBorder="1" applyAlignment="1">
      <alignment horizontal="left"/>
    </xf>
    <xf numFmtId="4" fontId="3" fillId="4" borderId="26" xfId="12" applyFont="1" applyFill="1" applyBorder="1" applyAlignment="1">
      <alignment horizontal="left"/>
    </xf>
    <xf numFmtId="4" fontId="3" fillId="4" borderId="27" xfId="12" applyFont="1" applyFill="1" applyBorder="1" applyAlignment="1">
      <alignment horizontal="left"/>
    </xf>
    <xf numFmtId="4" fontId="3" fillId="4" borderId="25" xfId="12" applyFont="1" applyFill="1" applyBorder="1" applyAlignment="1">
      <alignment horizontal="left"/>
    </xf>
    <xf numFmtId="4" fontId="3" fillId="2" borderId="26" xfId="12" applyFont="1" applyFill="1" applyBorder="1" applyAlignment="1">
      <alignment horizontal="center"/>
    </xf>
    <xf numFmtId="4" fontId="3" fillId="2" borderId="27" xfId="12" applyFont="1" applyFill="1" applyBorder="1" applyAlignment="1">
      <alignment horizontal="center"/>
    </xf>
    <xf numFmtId="4" fontId="3" fillId="2" borderId="25" xfId="12" applyFont="1" applyFill="1" applyBorder="1" applyAlignment="1">
      <alignment horizontal="center"/>
    </xf>
    <xf numFmtId="4" fontId="3" fillId="5" borderId="14" xfId="12" applyFont="1" applyFill="1" applyBorder="1" applyAlignment="1">
      <alignment horizontal="center"/>
    </xf>
    <xf numFmtId="4" fontId="3" fillId="5" borderId="15" xfId="12" applyFont="1" applyFill="1" applyBorder="1" applyAlignment="1">
      <alignment horizontal="center"/>
    </xf>
    <xf numFmtId="4" fontId="3" fillId="5" borderId="16" xfId="12" applyFont="1" applyFill="1" applyBorder="1" applyAlignment="1">
      <alignment horizontal="center"/>
    </xf>
    <xf numFmtId="0" fontId="6" fillId="13" borderId="14" xfId="12" applyNumberFormat="1" applyFont="1" applyFill="1" applyBorder="1" applyAlignment="1">
      <alignment horizontal="center" vertical="center"/>
    </xf>
    <xf numFmtId="0" fontId="6" fillId="13" borderId="15" xfId="12" applyNumberFormat="1" applyFont="1" applyFill="1" applyBorder="1" applyAlignment="1">
      <alignment horizontal="center" vertical="center"/>
    </xf>
    <xf numFmtId="0" fontId="6" fillId="13" borderId="16" xfId="12" applyNumberFormat="1" applyFont="1" applyFill="1" applyBorder="1" applyAlignment="1">
      <alignment horizontal="center" vertical="center"/>
    </xf>
    <xf numFmtId="4" fontId="3" fillId="0" borderId="36" xfId="12" applyFont="1" applyBorder="1" applyAlignment="1">
      <alignment horizontal="left"/>
    </xf>
    <xf numFmtId="2" fontId="3" fillId="0" borderId="45" xfId="12" applyNumberFormat="1" applyFont="1" applyBorder="1" applyAlignment="1">
      <alignment horizontal="center" vertical="center"/>
    </xf>
    <xf numFmtId="2" fontId="3" fillId="0" borderId="46" xfId="12" applyNumberFormat="1" applyFont="1" applyBorder="1" applyAlignment="1">
      <alignment horizontal="center" vertical="center"/>
    </xf>
    <xf numFmtId="4" fontId="3" fillId="0" borderId="26" xfId="12" applyFont="1" applyBorder="1" applyAlignment="1">
      <alignment horizontal="center"/>
    </xf>
    <xf numFmtId="4" fontId="3" fillId="0" borderId="25" xfId="12" applyFont="1" applyBorder="1" applyAlignment="1">
      <alignment horizontal="center"/>
    </xf>
    <xf numFmtId="0" fontId="10" fillId="2" borderId="26" xfId="12" applyNumberFormat="1" applyFont="1" applyFill="1" applyBorder="1" applyAlignment="1">
      <alignment horizontal="center"/>
    </xf>
    <xf numFmtId="0" fontId="10" fillId="2" borderId="25" xfId="12" applyNumberFormat="1" applyFont="1" applyFill="1" applyBorder="1" applyAlignment="1">
      <alignment horizontal="center"/>
    </xf>
    <xf numFmtId="2" fontId="3" fillId="0" borderId="26" xfId="37" applyNumberFormat="1" applyFont="1" applyBorder="1" applyAlignment="1">
      <alignment horizontal="center" vertical="center"/>
    </xf>
    <xf numFmtId="2" fontId="3" fillId="0" borderId="25" xfId="37" applyNumberFormat="1" applyFont="1" applyBorder="1" applyAlignment="1">
      <alignment horizontal="center" vertical="center"/>
    </xf>
    <xf numFmtId="4" fontId="30" fillId="0" borderId="0" xfId="13" applyFont="1" applyAlignment="1">
      <alignment horizontal="left" vertical="top"/>
    </xf>
    <xf numFmtId="4" fontId="3" fillId="2" borderId="26" xfId="13" applyFont="1" applyFill="1" applyBorder="1" applyAlignment="1">
      <alignment horizontal="center"/>
    </xf>
    <xf numFmtId="4" fontId="3" fillId="2" borderId="27" xfId="13" applyFont="1" applyFill="1" applyBorder="1" applyAlignment="1">
      <alignment horizontal="center"/>
    </xf>
    <xf numFmtId="4" fontId="3" fillId="2" borderId="25" xfId="13" applyFont="1" applyFill="1" applyBorder="1" applyAlignment="1">
      <alignment horizontal="center"/>
    </xf>
    <xf numFmtId="4" fontId="3" fillId="0" borderId="26" xfId="13" applyFont="1" applyBorder="1" applyAlignment="1">
      <alignment horizontal="left"/>
    </xf>
    <xf numFmtId="4" fontId="3" fillId="0" borderId="27" xfId="13" applyFont="1" applyBorder="1" applyAlignment="1">
      <alignment horizontal="left"/>
    </xf>
    <xf numFmtId="4" fontId="3" fillId="0" borderId="25" xfId="13" applyFont="1" applyBorder="1" applyAlignment="1">
      <alignment horizontal="left"/>
    </xf>
    <xf numFmtId="4" fontId="3" fillId="4" borderId="26" xfId="13" applyFont="1" applyFill="1" applyBorder="1" applyAlignment="1">
      <alignment horizontal="left"/>
    </xf>
    <xf numFmtId="4" fontId="3" fillId="4" borderId="27" xfId="13" applyFont="1" applyFill="1" applyBorder="1" applyAlignment="1">
      <alignment horizontal="left"/>
    </xf>
    <xf numFmtId="4" fontId="3" fillId="4" borderId="25" xfId="13" applyFont="1" applyFill="1" applyBorder="1" applyAlignment="1">
      <alignment horizontal="left"/>
    </xf>
    <xf numFmtId="164" fontId="3" fillId="13" borderId="43" xfId="53" applyNumberFormat="1" applyFont="1" applyFill="1" applyBorder="1" applyAlignment="1">
      <alignment horizontal="center" vertical="center"/>
    </xf>
    <xf numFmtId="164" fontId="3" fillId="13" borderId="44" xfId="53" applyNumberFormat="1" applyFont="1" applyFill="1" applyBorder="1" applyAlignment="1">
      <alignment horizontal="center" vertical="center"/>
    </xf>
    <xf numFmtId="164" fontId="3" fillId="13" borderId="41" xfId="53" applyNumberFormat="1" applyFont="1" applyFill="1" applyBorder="1" applyAlignment="1">
      <alignment horizontal="center" vertical="center"/>
    </xf>
    <xf numFmtId="164" fontId="3" fillId="13" borderId="42" xfId="53" applyNumberFormat="1" applyFont="1" applyFill="1" applyBorder="1" applyAlignment="1">
      <alignment horizontal="center" vertical="center"/>
    </xf>
    <xf numFmtId="4" fontId="3" fillId="5" borderId="14" xfId="13" applyFont="1" applyFill="1" applyBorder="1" applyAlignment="1">
      <alignment horizontal="center"/>
    </xf>
    <xf numFmtId="4" fontId="3" fillId="5" borderId="15" xfId="13" applyFont="1" applyFill="1" applyBorder="1" applyAlignment="1">
      <alignment horizontal="center"/>
    </xf>
    <xf numFmtId="4" fontId="3" fillId="5" borderId="16" xfId="13" applyFont="1" applyFill="1" applyBorder="1" applyAlignment="1">
      <alignment horizontal="center"/>
    </xf>
    <xf numFmtId="4" fontId="3" fillId="11" borderId="14" xfId="13" applyFont="1" applyFill="1" applyBorder="1" applyAlignment="1">
      <alignment horizontal="center"/>
    </xf>
    <xf numFmtId="4" fontId="3" fillId="11" borderId="15" xfId="13" applyFont="1" applyFill="1" applyBorder="1" applyAlignment="1">
      <alignment horizontal="center"/>
    </xf>
    <xf numFmtId="4" fontId="3" fillId="11" borderId="16" xfId="13" applyFont="1" applyFill="1" applyBorder="1" applyAlignment="1">
      <alignment horizontal="center"/>
    </xf>
    <xf numFmtId="0" fontId="6" fillId="13" borderId="14" xfId="13" applyNumberFormat="1" applyFont="1" applyFill="1" applyBorder="1" applyAlignment="1">
      <alignment horizontal="center" vertical="center"/>
    </xf>
    <xf numFmtId="0" fontId="6" fillId="13" borderId="15" xfId="13" applyNumberFormat="1" applyFont="1" applyFill="1" applyBorder="1" applyAlignment="1">
      <alignment horizontal="center" vertical="center"/>
    </xf>
    <xf numFmtId="0" fontId="6" fillId="13" borderId="16" xfId="13" applyNumberFormat="1" applyFont="1" applyFill="1" applyBorder="1" applyAlignment="1">
      <alignment horizontal="center" vertical="center"/>
    </xf>
    <xf numFmtId="4" fontId="3" fillId="0" borderId="26" xfId="13" applyFont="1" applyBorder="1" applyAlignment="1">
      <alignment horizontal="center"/>
    </xf>
    <xf numFmtId="4" fontId="3" fillId="0" borderId="25" xfId="13" applyFont="1" applyBorder="1" applyAlignment="1">
      <alignment horizontal="center"/>
    </xf>
    <xf numFmtId="0" fontId="10" fillId="2" borderId="26" xfId="13" applyNumberFormat="1" applyFont="1" applyFill="1" applyBorder="1" applyAlignment="1">
      <alignment horizontal="center"/>
    </xf>
    <xf numFmtId="0" fontId="10" fillId="2" borderId="25" xfId="13" applyNumberFormat="1" applyFont="1" applyFill="1" applyBorder="1" applyAlignment="1">
      <alignment horizontal="center"/>
    </xf>
    <xf numFmtId="2" fontId="3" fillId="0" borderId="26" xfId="53" applyNumberFormat="1" applyFont="1" applyBorder="1" applyAlignment="1">
      <alignment horizontal="center" vertical="center"/>
    </xf>
    <xf numFmtId="2" fontId="3" fillId="0" borderId="25" xfId="53" applyNumberFormat="1" applyFont="1" applyBorder="1" applyAlignment="1">
      <alignment horizontal="center" vertical="center"/>
    </xf>
    <xf numFmtId="4" fontId="3" fillId="0" borderId="36" xfId="13" applyFont="1" applyBorder="1" applyAlignment="1">
      <alignment horizontal="left"/>
    </xf>
    <xf numFmtId="2" fontId="3" fillId="0" borderId="45" xfId="13" applyNumberFormat="1" applyFont="1" applyBorder="1" applyAlignment="1">
      <alignment horizontal="center" vertical="center"/>
    </xf>
    <xf numFmtId="2" fontId="3" fillId="0" borderId="46" xfId="13" applyNumberFormat="1" applyFont="1" applyBorder="1" applyAlignment="1">
      <alignment horizontal="center" vertical="center"/>
    </xf>
    <xf numFmtId="49" fontId="27" fillId="0" borderId="1" xfId="0" applyNumberFormat="1" applyFont="1" applyBorder="1" applyAlignment="1">
      <alignment horizontal="center"/>
    </xf>
    <xf numFmtId="0" fontId="29" fillId="0" borderId="81" xfId="0" applyFont="1" applyBorder="1" applyAlignment="1">
      <alignment horizontal="right"/>
    </xf>
    <xf numFmtId="0" fontId="29" fillId="0" borderId="82" xfId="0" applyFont="1" applyBorder="1" applyAlignment="1">
      <alignment horizontal="right"/>
    </xf>
    <xf numFmtId="0" fontId="29" fillId="0" borderId="83" xfId="0" applyFont="1" applyBorder="1" applyAlignment="1">
      <alignment horizontal="right"/>
    </xf>
    <xf numFmtId="0" fontId="28" fillId="0" borderId="70" xfId="0" applyFont="1" applyBorder="1" applyAlignment="1">
      <alignment horizontal="center"/>
    </xf>
    <xf numFmtId="0" fontId="28" fillId="0" borderId="71" xfId="0" applyFont="1" applyBorder="1" applyAlignment="1">
      <alignment horizontal="center"/>
    </xf>
    <xf numFmtId="0" fontId="28" fillId="0" borderId="73" xfId="0" applyFont="1" applyBorder="1" applyAlignment="1">
      <alignment horizontal="center"/>
    </xf>
    <xf numFmtId="0" fontId="28" fillId="0" borderId="74" xfId="0" applyFont="1" applyBorder="1" applyAlignment="1">
      <alignment horizontal="center"/>
    </xf>
    <xf numFmtId="0" fontId="28" fillId="0" borderId="75" xfId="0" applyFont="1" applyBorder="1" applyAlignment="1">
      <alignment horizontal="center"/>
    </xf>
    <xf numFmtId="0" fontId="28" fillId="0" borderId="76" xfId="0" applyFont="1" applyBorder="1" applyAlignment="1">
      <alignment horizontal="center"/>
    </xf>
    <xf numFmtId="0" fontId="27" fillId="0" borderId="41" xfId="0" applyFont="1" applyBorder="1" applyAlignment="1">
      <alignment horizontal="center"/>
    </xf>
    <xf numFmtId="49" fontId="27" fillId="0" borderId="4" xfId="0" applyNumberFormat="1" applyFont="1" applyBorder="1" applyAlignment="1">
      <alignment horizontal="center"/>
    </xf>
    <xf numFmtId="0" fontId="29" fillId="0" borderId="70" xfId="0" applyFont="1" applyBorder="1" applyAlignment="1">
      <alignment horizontal="right"/>
    </xf>
    <xf numFmtId="0" fontId="29" fillId="0" borderId="71" xfId="0" applyFont="1" applyBorder="1" applyAlignment="1">
      <alignment horizontal="right"/>
    </xf>
    <xf numFmtId="0" fontId="29" fillId="0" borderId="72" xfId="0" applyFont="1" applyBorder="1" applyAlignment="1">
      <alignment horizontal="right"/>
    </xf>
    <xf numFmtId="0" fontId="27" fillId="0" borderId="94" xfId="0" applyFont="1" applyBorder="1" applyAlignment="1">
      <alignment horizontal="center"/>
    </xf>
    <xf numFmtId="0" fontId="27" fillId="0" borderId="66" xfId="0" applyFont="1" applyBorder="1" applyAlignment="1">
      <alignment horizontal="center"/>
    </xf>
    <xf numFmtId="0" fontId="28" fillId="15" borderId="70" xfId="0" applyFont="1" applyFill="1" applyBorder="1" applyAlignment="1">
      <alignment horizontal="center" vertical="center"/>
    </xf>
    <xf numFmtId="0" fontId="28" fillId="15" borderId="71" xfId="0" applyFont="1" applyFill="1" applyBorder="1" applyAlignment="1">
      <alignment horizontal="center" vertical="center"/>
    </xf>
    <xf numFmtId="0" fontId="28" fillId="15" borderId="73" xfId="0" applyFont="1" applyFill="1" applyBorder="1" applyAlignment="1">
      <alignment horizontal="center" vertical="center"/>
    </xf>
    <xf numFmtId="49" fontId="27" fillId="0" borderId="77" xfId="0" applyNumberFormat="1" applyFont="1" applyBorder="1" applyAlignment="1">
      <alignment horizontal="center"/>
    </xf>
    <xf numFmtId="49" fontId="27" fillId="0" borderId="78" xfId="0" applyNumberFormat="1" applyFont="1" applyBorder="1" applyAlignment="1">
      <alignment horizontal="center"/>
    </xf>
    <xf numFmtId="0" fontId="27" fillId="0" borderId="4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92" xfId="0" applyFont="1" applyBorder="1" applyAlignment="1">
      <alignment horizontal="center" vertical="center" wrapText="1"/>
    </xf>
    <xf numFmtId="0" fontId="27" fillId="0" borderId="93" xfId="0" applyFont="1" applyBorder="1" applyAlignment="1">
      <alignment horizontal="center" vertical="center" wrapText="1"/>
    </xf>
    <xf numFmtId="0" fontId="27" fillId="0" borderId="91" xfId="0" applyFont="1" applyBorder="1" applyAlignment="1">
      <alignment horizontal="center" vertical="center" wrapText="1"/>
    </xf>
    <xf numFmtId="0" fontId="29" fillId="0" borderId="74" xfId="0" applyFont="1" applyBorder="1" applyAlignment="1">
      <alignment horizontal="center"/>
    </xf>
    <xf numFmtId="0" fontId="29" fillId="0" borderId="75" xfId="0" applyFont="1" applyBorder="1" applyAlignment="1">
      <alignment horizontal="center"/>
    </xf>
    <xf numFmtId="0" fontId="29" fillId="0" borderId="76" xfId="0" applyFont="1" applyBorder="1" applyAlignment="1">
      <alignment horizontal="center"/>
    </xf>
    <xf numFmtId="0" fontId="29" fillId="0" borderId="81" xfId="0" applyFont="1" applyBorder="1" applyAlignment="1">
      <alignment horizontal="center"/>
    </xf>
    <xf numFmtId="0" fontId="29" fillId="0" borderId="82" xfId="0" applyFont="1" applyBorder="1" applyAlignment="1">
      <alignment horizontal="center"/>
    </xf>
    <xf numFmtId="0" fontId="29" fillId="0" borderId="84" xfId="0" applyFont="1" applyBorder="1" applyAlignment="1">
      <alignment horizontal="center"/>
    </xf>
    <xf numFmtId="0" fontId="28" fillId="0" borderId="70" xfId="0" applyFont="1" applyBorder="1" applyAlignment="1">
      <alignment horizontal="center" wrapText="1"/>
    </xf>
    <xf numFmtId="0" fontId="28" fillId="0" borderId="71" xfId="0" applyFont="1" applyBorder="1" applyAlignment="1">
      <alignment horizontal="center" wrapText="1"/>
    </xf>
    <xf numFmtId="0" fontId="28" fillId="0" borderId="73" xfId="0" applyFont="1" applyBorder="1" applyAlignment="1">
      <alignment horizontal="center" wrapText="1"/>
    </xf>
    <xf numFmtId="0" fontId="27" fillId="0" borderId="70" xfId="0" applyFont="1" applyBorder="1" applyAlignment="1">
      <alignment horizontal="center" wrapText="1"/>
    </xf>
    <xf numFmtId="0" fontId="27" fillId="0" borderId="71" xfId="0" applyFont="1" applyBorder="1" applyAlignment="1">
      <alignment horizontal="center" wrapText="1"/>
    </xf>
    <xf numFmtId="0" fontId="27" fillId="0" borderId="73" xfId="0" applyFont="1" applyBorder="1" applyAlignment="1">
      <alignment horizontal="center" wrapText="1"/>
    </xf>
    <xf numFmtId="0" fontId="28" fillId="0" borderId="70" xfId="0" applyFont="1" applyBorder="1" applyAlignment="1">
      <alignment horizontal="center" vertical="center" wrapText="1"/>
    </xf>
    <xf numFmtId="0" fontId="28" fillId="0" borderId="71" xfId="0" applyFont="1" applyBorder="1" applyAlignment="1">
      <alignment horizontal="center" vertical="center" wrapText="1"/>
    </xf>
    <xf numFmtId="0" fontId="28" fillId="0" borderId="73" xfId="0" applyFont="1" applyBorder="1" applyAlignment="1">
      <alignment horizontal="center" vertical="center" wrapText="1"/>
    </xf>
    <xf numFmtId="49" fontId="27" fillId="0" borderId="85" xfId="0" applyNumberFormat="1" applyFont="1" applyBorder="1" applyAlignment="1">
      <alignment horizontal="center"/>
    </xf>
    <xf numFmtId="49" fontId="27" fillId="0" borderId="69" xfId="0" applyNumberFormat="1" applyFont="1" applyBorder="1" applyAlignment="1">
      <alignment horizontal="center"/>
    </xf>
    <xf numFmtId="0" fontId="27" fillId="0" borderId="79" xfId="0" applyFont="1" applyBorder="1" applyAlignment="1">
      <alignment horizontal="center" vertical="center" wrapText="1"/>
    </xf>
    <xf numFmtId="0" fontId="27" fillId="0" borderId="80" xfId="0" applyFont="1" applyBorder="1" applyAlignment="1">
      <alignment horizontal="center" vertical="center" wrapText="1"/>
    </xf>
    <xf numFmtId="0" fontId="27" fillId="0" borderId="78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2" fontId="27" fillId="0" borderId="86" xfId="0" applyNumberFormat="1" applyFont="1" applyBorder="1" applyAlignment="1">
      <alignment horizontal="center" vertical="center"/>
    </xf>
    <xf numFmtId="2" fontId="27" fillId="0" borderId="87" xfId="0" applyNumberFormat="1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 wrapText="1"/>
    </xf>
    <xf numFmtId="0" fontId="27" fillId="0" borderId="66" xfId="0" applyFont="1" applyBorder="1" applyAlignment="1">
      <alignment horizontal="center" vertical="center" wrapText="1"/>
    </xf>
    <xf numFmtId="0" fontId="27" fillId="0" borderId="67" xfId="0" applyFont="1" applyBorder="1" applyAlignment="1">
      <alignment horizontal="center" vertical="center" wrapText="1"/>
    </xf>
    <xf numFmtId="0" fontId="27" fillId="0" borderId="68" xfId="0" applyFont="1" applyBorder="1" applyAlignment="1">
      <alignment horizontal="center" vertical="center" wrapText="1"/>
    </xf>
    <xf numFmtId="0" fontId="27" fillId="0" borderId="69" xfId="0" applyFont="1" applyBorder="1" applyAlignment="1">
      <alignment horizontal="center" vertical="center" wrapText="1"/>
    </xf>
    <xf numFmtId="0" fontId="27" fillId="0" borderId="88" xfId="0" applyFont="1" applyBorder="1" applyAlignment="1">
      <alignment horizontal="center" vertical="center" wrapText="1"/>
    </xf>
    <xf numFmtId="0" fontId="27" fillId="0" borderId="89" xfId="0" applyFont="1" applyBorder="1" applyAlignment="1">
      <alignment horizontal="center" vertical="center" wrapText="1"/>
    </xf>
    <xf numFmtId="0" fontId="27" fillId="0" borderId="90" xfId="0" applyFont="1" applyBorder="1" applyAlignment="1">
      <alignment horizontal="center" vertical="center" wrapText="1"/>
    </xf>
    <xf numFmtId="0" fontId="28" fillId="0" borderId="74" xfId="0" applyFont="1" applyBorder="1" applyAlignment="1">
      <alignment horizontal="center" vertical="center" wrapText="1"/>
    </xf>
    <xf numFmtId="0" fontId="28" fillId="0" borderId="75" xfId="0" applyFont="1" applyBorder="1" applyAlignment="1">
      <alignment horizontal="center" vertical="center" wrapText="1"/>
    </xf>
    <xf numFmtId="0" fontId="28" fillId="0" borderId="76" xfId="0" applyFont="1" applyBorder="1" applyAlignment="1">
      <alignment horizontal="center" vertical="center" wrapText="1"/>
    </xf>
    <xf numFmtId="2" fontId="27" fillId="0" borderId="40" xfId="0" applyNumberFormat="1" applyFont="1" applyBorder="1" applyAlignment="1">
      <alignment horizontal="center" vertical="center"/>
    </xf>
    <xf numFmtId="2" fontId="27" fillId="0" borderId="2" xfId="0" applyNumberFormat="1" applyFont="1" applyBorder="1" applyAlignment="1">
      <alignment horizontal="center" vertical="center"/>
    </xf>
    <xf numFmtId="49" fontId="27" fillId="0" borderId="98" xfId="56" applyNumberFormat="1" applyFont="1" applyBorder="1" applyAlignment="1">
      <alignment horizontal="center"/>
    </xf>
    <xf numFmtId="49" fontId="27" fillId="0" borderId="99" xfId="56" applyNumberFormat="1" applyFont="1" applyBorder="1" applyAlignment="1">
      <alignment horizontal="center"/>
    </xf>
    <xf numFmtId="0" fontId="29" fillId="0" borderId="95" xfId="56" applyFont="1" applyBorder="1" applyAlignment="1">
      <alignment horizontal="right"/>
    </xf>
    <xf numFmtId="0" fontId="29" fillId="0" borderId="96" xfId="56" applyFont="1" applyBorder="1" applyAlignment="1">
      <alignment horizontal="right"/>
    </xf>
    <xf numFmtId="0" fontId="29" fillId="0" borderId="97" xfId="56" applyFont="1" applyBorder="1" applyAlignment="1">
      <alignment horizontal="right"/>
    </xf>
    <xf numFmtId="0" fontId="29" fillId="0" borderId="74" xfId="56" applyFont="1" applyBorder="1" applyAlignment="1">
      <alignment horizontal="center"/>
    </xf>
    <xf numFmtId="0" fontId="29" fillId="0" borderId="75" xfId="56" applyFont="1" applyBorder="1" applyAlignment="1">
      <alignment horizontal="center"/>
    </xf>
    <xf numFmtId="0" fontId="29" fillId="0" borderId="76" xfId="56" applyFont="1" applyBorder="1" applyAlignment="1">
      <alignment horizontal="center"/>
    </xf>
    <xf numFmtId="0" fontId="29" fillId="0" borderId="81" xfId="56" applyFont="1" applyBorder="1" applyAlignment="1">
      <alignment horizontal="center"/>
    </xf>
    <xf numFmtId="0" fontId="29" fillId="0" borderId="82" xfId="56" applyFont="1" applyBorder="1" applyAlignment="1">
      <alignment horizontal="center"/>
    </xf>
    <xf numFmtId="0" fontId="29" fillId="0" borderId="84" xfId="56" applyFont="1" applyBorder="1" applyAlignment="1">
      <alignment horizontal="center"/>
    </xf>
    <xf numFmtId="0" fontId="28" fillId="0" borderId="70" xfId="56" applyFont="1" applyBorder="1" applyAlignment="1">
      <alignment horizontal="center" wrapText="1"/>
    </xf>
    <xf numFmtId="0" fontId="28" fillId="0" borderId="71" xfId="56" applyFont="1" applyBorder="1" applyAlignment="1">
      <alignment horizontal="center" wrapText="1"/>
    </xf>
    <xf numFmtId="0" fontId="28" fillId="0" borderId="73" xfId="56" applyFont="1" applyBorder="1" applyAlignment="1">
      <alignment horizontal="center" wrapText="1"/>
    </xf>
    <xf numFmtId="0" fontId="27" fillId="0" borderId="70" xfId="56" applyFont="1" applyBorder="1" applyAlignment="1">
      <alignment horizontal="center" wrapText="1"/>
    </xf>
    <xf numFmtId="0" fontId="27" fillId="0" borderId="71" xfId="56" applyFont="1" applyBorder="1" applyAlignment="1">
      <alignment horizontal="center" wrapText="1"/>
    </xf>
    <xf numFmtId="0" fontId="27" fillId="0" borderId="73" xfId="56" applyFont="1" applyBorder="1" applyAlignment="1">
      <alignment horizontal="center" wrapText="1"/>
    </xf>
    <xf numFmtId="0" fontId="28" fillId="0" borderId="70" xfId="56" applyFont="1" applyBorder="1" applyAlignment="1">
      <alignment horizontal="center" vertical="center" wrapText="1"/>
    </xf>
    <xf numFmtId="0" fontId="28" fillId="0" borderId="71" xfId="56" applyFont="1" applyBorder="1" applyAlignment="1">
      <alignment horizontal="center" vertical="center" wrapText="1"/>
    </xf>
    <xf numFmtId="0" fontId="28" fillId="0" borderId="73" xfId="56" applyFont="1" applyBorder="1" applyAlignment="1">
      <alignment horizontal="center" vertical="center" wrapText="1"/>
    </xf>
    <xf numFmtId="2" fontId="27" fillId="0" borderId="86" xfId="56" applyNumberFormat="1" applyFont="1" applyBorder="1" applyAlignment="1">
      <alignment horizontal="center" vertical="center"/>
    </xf>
    <xf numFmtId="2" fontId="27" fillId="0" borderId="87" xfId="56" applyNumberFormat="1" applyFont="1" applyBorder="1" applyAlignment="1">
      <alignment horizontal="center" vertical="center"/>
    </xf>
    <xf numFmtId="0" fontId="27" fillId="0" borderId="62" xfId="56" applyFont="1" applyBorder="1" applyAlignment="1">
      <alignment horizontal="center" vertical="center" wrapText="1"/>
    </xf>
    <xf numFmtId="0" fontId="27" fillId="0" borderId="60" xfId="56" applyFont="1" applyBorder="1" applyAlignment="1">
      <alignment horizontal="center" vertical="center" wrapText="1"/>
    </xf>
    <xf numFmtId="0" fontId="27" fillId="0" borderId="88" xfId="56" applyFont="1" applyBorder="1" applyAlignment="1">
      <alignment horizontal="center" vertical="center" wrapText="1"/>
    </xf>
    <xf numFmtId="0" fontId="27" fillId="0" borderId="89" xfId="56" applyFont="1" applyBorder="1" applyAlignment="1">
      <alignment horizontal="center" vertical="center" wrapText="1"/>
    </xf>
    <xf numFmtId="0" fontId="27" fillId="0" borderId="90" xfId="56" applyFont="1" applyBorder="1" applyAlignment="1">
      <alignment horizontal="center" vertical="center" wrapText="1"/>
    </xf>
    <xf numFmtId="0" fontId="27" fillId="0" borderId="91" xfId="56" applyFont="1" applyBorder="1" applyAlignment="1">
      <alignment horizontal="center" vertical="center" wrapText="1"/>
    </xf>
    <xf numFmtId="0" fontId="27" fillId="0" borderId="63" xfId="56" applyFont="1" applyBorder="1" applyAlignment="1">
      <alignment horizontal="center" vertical="center" wrapText="1"/>
    </xf>
    <xf numFmtId="0" fontId="27" fillId="0" borderId="61" xfId="56" applyFont="1" applyBorder="1" applyAlignment="1">
      <alignment horizontal="center" vertical="center" wrapText="1"/>
    </xf>
    <xf numFmtId="0" fontId="27" fillId="0" borderId="64" xfId="56" applyFont="1" applyBorder="1" applyAlignment="1">
      <alignment horizontal="center" vertical="center" wrapText="1"/>
    </xf>
    <xf numFmtId="0" fontId="27" fillId="0" borderId="65" xfId="56" applyFont="1" applyBorder="1" applyAlignment="1">
      <alignment horizontal="center" vertical="center" wrapText="1"/>
    </xf>
    <xf numFmtId="0" fontId="27" fillId="0" borderId="66" xfId="56" applyFont="1" applyBorder="1" applyAlignment="1">
      <alignment horizontal="center" vertical="center" wrapText="1"/>
    </xf>
    <xf numFmtId="0" fontId="27" fillId="0" borderId="79" xfId="56" applyFont="1" applyBorder="1" applyAlignment="1">
      <alignment horizontal="center" vertical="center" wrapText="1"/>
    </xf>
    <xf numFmtId="0" fontId="27" fillId="0" borderId="80" xfId="56" applyFont="1" applyBorder="1" applyAlignment="1">
      <alignment horizontal="center" vertical="center" wrapText="1"/>
    </xf>
    <xf numFmtId="0" fontId="27" fillId="0" borderId="78" xfId="56" applyFont="1" applyBorder="1" applyAlignment="1">
      <alignment horizontal="center" vertical="center" wrapText="1"/>
    </xf>
    <xf numFmtId="0" fontId="27" fillId="0" borderId="67" xfId="56" applyFont="1" applyBorder="1" applyAlignment="1">
      <alignment horizontal="center" vertical="center" wrapText="1"/>
    </xf>
    <xf numFmtId="0" fontId="27" fillId="0" borderId="68" xfId="56" applyFont="1" applyBorder="1" applyAlignment="1">
      <alignment horizontal="center" vertical="center" wrapText="1"/>
    </xf>
    <xf numFmtId="0" fontId="27" fillId="0" borderId="69" xfId="56" applyFont="1" applyBorder="1" applyAlignment="1">
      <alignment horizontal="center" vertical="center" wrapText="1"/>
    </xf>
    <xf numFmtId="0" fontId="28" fillId="16" borderId="70" xfId="56" applyFont="1" applyFill="1" applyBorder="1" applyAlignment="1">
      <alignment horizontal="center" vertical="center"/>
    </xf>
    <xf numFmtId="0" fontId="28" fillId="16" borderId="71" xfId="56" applyFont="1" applyFill="1" applyBorder="1" applyAlignment="1">
      <alignment horizontal="center" vertical="center"/>
    </xf>
    <xf numFmtId="0" fontId="28" fillId="16" borderId="73" xfId="56" applyFont="1" applyFill="1" applyBorder="1" applyAlignment="1">
      <alignment horizontal="center" vertical="center"/>
    </xf>
    <xf numFmtId="0" fontId="28" fillId="0" borderId="70" xfId="56" applyFont="1" applyBorder="1" applyAlignment="1">
      <alignment horizontal="center"/>
    </xf>
    <xf numFmtId="0" fontId="28" fillId="0" borderId="71" xfId="56" applyFont="1" applyBorder="1" applyAlignment="1">
      <alignment horizontal="center"/>
    </xf>
    <xf numFmtId="0" fontId="28" fillId="0" borderId="73" xfId="56" applyFont="1" applyBorder="1" applyAlignment="1">
      <alignment horizontal="center"/>
    </xf>
    <xf numFmtId="0" fontId="27" fillId="0" borderId="94" xfId="56" applyFont="1" applyBorder="1" applyAlignment="1">
      <alignment horizontal="center"/>
    </xf>
    <xf numFmtId="0" fontId="27" fillId="0" borderId="66" xfId="56" applyFont="1" applyBorder="1" applyAlignment="1">
      <alignment horizontal="center"/>
    </xf>
    <xf numFmtId="49" fontId="27" fillId="0" borderId="77" xfId="56" applyNumberFormat="1" applyFont="1" applyBorder="1" applyAlignment="1">
      <alignment horizontal="center"/>
    </xf>
    <xf numFmtId="49" fontId="27" fillId="0" borderId="78" xfId="56" applyNumberFormat="1" applyFont="1" applyBorder="1" applyAlignment="1">
      <alignment horizontal="center"/>
    </xf>
    <xf numFmtId="49" fontId="27" fillId="0" borderId="85" xfId="56" applyNumberFormat="1" applyFont="1" applyBorder="1" applyAlignment="1">
      <alignment horizontal="center"/>
    </xf>
    <xf numFmtId="49" fontId="27" fillId="0" borderId="69" xfId="56" applyNumberFormat="1" applyFont="1" applyBorder="1" applyAlignment="1">
      <alignment horizontal="center"/>
    </xf>
    <xf numFmtId="0" fontId="29" fillId="0" borderId="70" xfId="56" applyFont="1" applyBorder="1" applyAlignment="1">
      <alignment horizontal="right"/>
    </xf>
    <xf numFmtId="0" fontId="29" fillId="0" borderId="71" xfId="56" applyFont="1" applyBorder="1" applyAlignment="1">
      <alignment horizontal="right"/>
    </xf>
    <xf numFmtId="0" fontId="29" fillId="0" borderId="72" xfId="56" applyFont="1" applyBorder="1" applyAlignment="1">
      <alignment horizontal="right"/>
    </xf>
    <xf numFmtId="0" fontId="28" fillId="0" borderId="102" xfId="56" applyFont="1" applyBorder="1" applyAlignment="1">
      <alignment horizontal="center"/>
    </xf>
    <xf numFmtId="0" fontId="28" fillId="0" borderId="103" xfId="56" applyFont="1" applyBorder="1" applyAlignment="1">
      <alignment horizontal="center"/>
    </xf>
    <xf numFmtId="0" fontId="28" fillId="0" borderId="104" xfId="56" applyFont="1" applyBorder="1" applyAlignment="1">
      <alignment horizontal="center"/>
    </xf>
    <xf numFmtId="0" fontId="27" fillId="0" borderId="100" xfId="56" applyFont="1" applyBorder="1" applyAlignment="1">
      <alignment horizontal="center"/>
    </xf>
    <xf numFmtId="0" fontId="27" fillId="0" borderId="101" xfId="56" applyFont="1" applyBorder="1" applyAlignment="1">
      <alignment horizontal="center"/>
    </xf>
    <xf numFmtId="49" fontId="27" fillId="0" borderId="105" xfId="56" applyNumberFormat="1" applyFont="1" applyBorder="1" applyAlignment="1">
      <alignment horizontal="center"/>
    </xf>
    <xf numFmtId="49" fontId="27" fillId="0" borderId="25" xfId="56" applyNumberFormat="1" applyFont="1" applyBorder="1" applyAlignment="1">
      <alignment horizontal="center"/>
    </xf>
    <xf numFmtId="49" fontId="27" fillId="0" borderId="26" xfId="56" applyNumberFormat="1" applyFont="1" applyBorder="1" applyAlignment="1">
      <alignment horizontal="center"/>
    </xf>
    <xf numFmtId="0" fontId="29" fillId="0" borderId="81" xfId="56" applyFont="1" applyBorder="1" applyAlignment="1">
      <alignment horizontal="right"/>
    </xf>
    <xf numFmtId="0" fontId="29" fillId="0" borderId="82" xfId="56" applyFont="1" applyBorder="1" applyAlignment="1">
      <alignment horizontal="right"/>
    </xf>
    <xf numFmtId="0" fontId="29" fillId="0" borderId="83" xfId="56" applyFont="1" applyBorder="1" applyAlignment="1">
      <alignment horizontal="right"/>
    </xf>
    <xf numFmtId="0" fontId="9" fillId="13" borderId="40" xfId="0" applyFont="1" applyFill="1" applyBorder="1" applyAlignment="1">
      <alignment horizontal="center" vertical="center"/>
    </xf>
    <xf numFmtId="0" fontId="9" fillId="13" borderId="41" xfId="0" applyFont="1" applyFill="1" applyBorder="1" applyAlignment="1">
      <alignment horizontal="center" vertical="center"/>
    </xf>
    <xf numFmtId="0" fontId="9" fillId="13" borderId="4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6" fillId="0" borderId="40" xfId="28" applyFont="1" applyBorder="1" applyAlignment="1">
      <alignment horizontal="center"/>
    </xf>
    <xf numFmtId="9" fontId="6" fillId="0" borderId="41" xfId="28" applyFont="1" applyBorder="1" applyAlignment="1">
      <alignment horizontal="center"/>
    </xf>
    <xf numFmtId="9" fontId="6" fillId="0" borderId="42" xfId="28" applyFont="1" applyBorder="1" applyAlignment="1">
      <alignment horizontal="center"/>
    </xf>
    <xf numFmtId="0" fontId="3" fillId="14" borderId="8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3" fillId="0" borderId="1" xfId="13" applyNumberFormat="1" applyFont="1" applyFill="1" applyBorder="1" applyAlignment="1">
      <alignment horizontal="center"/>
    </xf>
    <xf numFmtId="0" fontId="6" fillId="0" borderId="1" xfId="13" applyNumberFormat="1" applyFont="1" applyFill="1" applyBorder="1" applyAlignment="1">
      <alignment horizontal="left"/>
    </xf>
    <xf numFmtId="164" fontId="3" fillId="0" borderId="1" xfId="51" applyNumberFormat="1" applyFont="1" applyFill="1" applyBorder="1" applyAlignment="1">
      <alignment horizontal="center"/>
    </xf>
  </cellXfs>
  <cellStyles count="57">
    <cellStyle name="Hiperlink" xfId="1" builtinId="8"/>
    <cellStyle name="Moeda 2" xfId="2"/>
    <cellStyle name="Moeda 2 2" xfId="3"/>
    <cellStyle name="Moeda 2 3" xfId="4"/>
    <cellStyle name="Moeda 3" xfId="5"/>
    <cellStyle name="Moeda 4" xfId="6"/>
    <cellStyle name="Moeda 4 2" xfId="55"/>
    <cellStyle name="Normal" xfId="0" builtinId="0"/>
    <cellStyle name="Normal 10" xfId="7"/>
    <cellStyle name="Normal 11" xfId="8"/>
    <cellStyle name="Normal 12" xfId="9"/>
    <cellStyle name="Normal 13" xfId="10"/>
    <cellStyle name="Normal 14" xfId="11"/>
    <cellStyle name="Normal 15" xfId="12"/>
    <cellStyle name="Normal 15 2" xfId="13"/>
    <cellStyle name="Normal 16" xfId="14"/>
    <cellStyle name="Normal 17" xfId="15"/>
    <cellStyle name="Normal 18" xfId="16"/>
    <cellStyle name="Normal 19" xfId="17"/>
    <cellStyle name="Normal 2" xfId="18"/>
    <cellStyle name="Normal 2 2" xfId="19"/>
    <cellStyle name="Normal 2 3" xfId="20"/>
    <cellStyle name="Normal 20" xfId="52"/>
    <cellStyle name="Normal 20 2" xfId="56"/>
    <cellStyle name="Normal 3" xfId="21"/>
    <cellStyle name="Normal 4" xfId="22"/>
    <cellStyle name="Normal 5" xfId="23"/>
    <cellStyle name="Normal 6" xfId="24"/>
    <cellStyle name="Normal 7" xfId="25"/>
    <cellStyle name="Normal 8" xfId="26"/>
    <cellStyle name="Normal 9" xfId="27"/>
    <cellStyle name="Porcentagem" xfId="28" builtinId="5"/>
    <cellStyle name="Porcentagem 2" xfId="29"/>
    <cellStyle name="Porcentagem 2 2" xfId="30"/>
    <cellStyle name="Porcentagem 3" xfId="31"/>
    <cellStyle name="Porcentagem 4" xfId="32"/>
    <cellStyle name="Porcentagem 4 2" xfId="54"/>
    <cellStyle name="Separador de milhares 10" xfId="33"/>
    <cellStyle name="Separador de milhares 11" xfId="34"/>
    <cellStyle name="Separador de milhares 12" xfId="35"/>
    <cellStyle name="Separador de milhares 13" xfId="36"/>
    <cellStyle name="Separador de milhares 14" xfId="37"/>
    <cellStyle name="Separador de milhares 14 2" xfId="53"/>
    <cellStyle name="Separador de milhares 15" xfId="38"/>
    <cellStyle name="Separador de milhares 15 2" xfId="51"/>
    <cellStyle name="Separador de milhares 16" xfId="39"/>
    <cellStyle name="Separador de milhares 17" xfId="40"/>
    <cellStyle name="Separador de milhares 2" xfId="41"/>
    <cellStyle name="Separador de milhares 3" xfId="42"/>
    <cellStyle name="Separador de milhares 4" xfId="43"/>
    <cellStyle name="Separador de milhares 5" xfId="44"/>
    <cellStyle name="Separador de milhares 6" xfId="45"/>
    <cellStyle name="Separador de milhares 7" xfId="46"/>
    <cellStyle name="Separador de milhares 8" xfId="47"/>
    <cellStyle name="Separador de milhares 9" xfId="48"/>
    <cellStyle name="Vírgula" xfId="49" builtinId="3"/>
    <cellStyle name="Vírgula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5"/>
  <sheetViews>
    <sheetView tabSelected="1" workbookViewId="0">
      <selection activeCell="J9" sqref="J9"/>
    </sheetView>
  </sheetViews>
  <sheetFormatPr defaultColWidth="8.85546875" defaultRowHeight="15" x14ac:dyDescent="0.2"/>
  <cols>
    <col min="1" max="1" width="8.42578125" style="90" customWidth="1"/>
    <col min="2" max="2" width="6.85546875" style="90" customWidth="1"/>
    <col min="3" max="3" width="6.140625" style="90" bestFit="1" customWidth="1"/>
    <col min="4" max="4" width="15.85546875" style="90" customWidth="1"/>
    <col min="5" max="5" width="22.28515625" style="90" customWidth="1"/>
    <col min="6" max="6" width="9.7109375" style="90" bestFit="1" customWidth="1"/>
    <col min="7" max="7" width="7.28515625" style="90" customWidth="1"/>
    <col min="8" max="8" width="12.85546875" style="90" bestFit="1" customWidth="1"/>
    <col min="9" max="9" width="14.28515625" style="90" bestFit="1" customWidth="1"/>
    <col min="10" max="10" width="8.42578125" style="90" bestFit="1" customWidth="1"/>
    <col min="11" max="11" width="16.140625" style="90" bestFit="1" customWidth="1"/>
    <col min="12" max="12" width="9.28515625" style="90" customWidth="1"/>
    <col min="13" max="13" width="11.7109375" style="90" hidden="1" customWidth="1"/>
    <col min="14" max="14" width="10.140625" style="90" hidden="1" customWidth="1"/>
    <col min="15" max="17" width="12.7109375" style="90" hidden="1" customWidth="1"/>
    <col min="18" max="18" width="5.7109375" style="90" hidden="1" customWidth="1"/>
    <col min="19" max="19" width="10.140625" style="90" hidden="1" customWidth="1"/>
    <col min="20" max="20" width="4.28515625" style="90" hidden="1" customWidth="1"/>
    <col min="21" max="21" width="0" style="90" hidden="1" customWidth="1"/>
    <col min="22" max="24" width="0" style="335" hidden="1" customWidth="1"/>
    <col min="25" max="25" width="0" style="336" hidden="1" customWidth="1"/>
    <col min="26" max="26" width="0" style="335" hidden="1" customWidth="1"/>
    <col min="27" max="27" width="10.140625" style="90" hidden="1" customWidth="1"/>
    <col min="28" max="28" width="0" style="90" hidden="1" customWidth="1"/>
    <col min="29" max="16384" width="8.85546875" style="90"/>
  </cols>
  <sheetData>
    <row r="1" spans="1:28" ht="18.600000000000001" customHeight="1" thickBot="1" x14ac:dyDescent="0.3">
      <c r="A1" s="531" t="s">
        <v>263</v>
      </c>
      <c r="B1" s="532"/>
      <c r="C1" s="532"/>
      <c r="D1" s="532"/>
      <c r="E1" s="532"/>
      <c r="F1" s="532"/>
      <c r="G1" s="532"/>
      <c r="H1" s="532"/>
      <c r="I1" s="532"/>
      <c r="J1" s="532"/>
      <c r="K1" s="533"/>
      <c r="L1" s="82"/>
      <c r="M1" s="82"/>
    </row>
    <row r="2" spans="1:28" ht="16.899999999999999" customHeight="1" thickBot="1" x14ac:dyDescent="0.3">
      <c r="A2" s="534" t="s">
        <v>172</v>
      </c>
      <c r="B2" s="535"/>
      <c r="C2" s="535"/>
      <c r="D2" s="535"/>
      <c r="E2" s="535"/>
      <c r="F2" s="535"/>
      <c r="G2" s="535"/>
      <c r="H2" s="535"/>
      <c r="I2" s="535"/>
      <c r="J2" s="535"/>
      <c r="K2" s="536"/>
      <c r="L2" s="82"/>
      <c r="M2" s="82"/>
    </row>
    <row r="3" spans="1:28" ht="15.6" customHeight="1" thickBot="1" x14ac:dyDescent="0.3">
      <c r="A3" s="531" t="s">
        <v>223</v>
      </c>
      <c r="B3" s="532"/>
      <c r="C3" s="532"/>
      <c r="D3" s="532"/>
      <c r="E3" s="532"/>
      <c r="F3" s="532"/>
      <c r="G3" s="532"/>
      <c r="H3" s="532"/>
      <c r="I3" s="532"/>
      <c r="J3" s="532"/>
      <c r="K3" s="533"/>
      <c r="L3" s="82"/>
      <c r="M3" s="82"/>
    </row>
    <row r="4" spans="1:28" ht="17.45" customHeight="1" thickBot="1" x14ac:dyDescent="0.25">
      <c r="A4" s="537" t="s">
        <v>9</v>
      </c>
      <c r="B4" s="538"/>
      <c r="C4" s="538"/>
      <c r="D4" s="538"/>
      <c r="E4" s="538"/>
      <c r="F4" s="538"/>
      <c r="G4" s="538"/>
      <c r="H4" s="538"/>
      <c r="I4" s="538"/>
      <c r="J4" s="538"/>
      <c r="K4" s="539"/>
      <c r="L4" s="184"/>
      <c r="M4" s="184"/>
    </row>
    <row r="5" spans="1:28" ht="15.75" x14ac:dyDescent="0.25">
      <c r="A5" s="185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83"/>
      <c r="M5" s="83"/>
    </row>
    <row r="6" spans="1:28" ht="15.75" x14ac:dyDescent="0.25">
      <c r="A6" s="540" t="s">
        <v>173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83"/>
      <c r="M6" s="83"/>
    </row>
    <row r="7" spans="1:28" ht="34.5" customHeight="1" x14ac:dyDescent="0.2">
      <c r="A7" s="331" t="s">
        <v>295</v>
      </c>
      <c r="B7" s="331" t="s">
        <v>296</v>
      </c>
      <c r="C7" s="331" t="s">
        <v>297</v>
      </c>
      <c r="D7" s="331" t="s">
        <v>286</v>
      </c>
      <c r="E7" s="331" t="s">
        <v>280</v>
      </c>
      <c r="F7" s="331" t="s">
        <v>174</v>
      </c>
      <c r="G7" s="331" t="s">
        <v>125</v>
      </c>
      <c r="H7" s="330" t="s">
        <v>175</v>
      </c>
      <c r="I7" s="330" t="s">
        <v>176</v>
      </c>
      <c r="J7" s="331" t="s">
        <v>177</v>
      </c>
      <c r="K7" s="330" t="s">
        <v>178</v>
      </c>
      <c r="M7" s="274" t="s">
        <v>254</v>
      </c>
      <c r="V7" s="335" t="s">
        <v>290</v>
      </c>
      <c r="W7" s="335" t="s">
        <v>291</v>
      </c>
      <c r="X7" s="335" t="s">
        <v>292</v>
      </c>
    </row>
    <row r="8" spans="1:28" ht="15.75" x14ac:dyDescent="0.25">
      <c r="A8" s="174">
        <v>28</v>
      </c>
      <c r="B8" s="174">
        <f>'Linha 28'!G8</f>
        <v>28</v>
      </c>
      <c r="C8" s="174">
        <v>32</v>
      </c>
      <c r="D8" s="174" t="s">
        <v>288</v>
      </c>
      <c r="E8" s="333" t="s">
        <v>304</v>
      </c>
      <c r="F8" s="175">
        <f>'Linha 28'!G11</f>
        <v>97.5</v>
      </c>
      <c r="G8" s="174">
        <v>20</v>
      </c>
      <c r="H8" s="175">
        <f>'Linha 28'!G23</f>
        <v>1950</v>
      </c>
      <c r="I8" s="175">
        <f>'Linha 28'!H59</f>
        <v>17349.605225932093</v>
      </c>
      <c r="J8" s="175">
        <f t="shared" ref="J8:J9" si="0">I8/H8</f>
        <v>8.8972334491959444</v>
      </c>
      <c r="K8" s="175">
        <f t="shared" ref="K8:K9" si="1">F8*200*J8</f>
        <v>173496.05225932092</v>
      </c>
      <c r="M8" s="90">
        <v>129</v>
      </c>
      <c r="N8" s="90">
        <v>4.5999999999999996</v>
      </c>
      <c r="O8" s="90">
        <f t="shared" ref="O8" si="2">M8*20*10*N8</f>
        <v>118679.99999999999</v>
      </c>
      <c r="P8" s="90">
        <f t="shared" ref="P8" si="3">K8-O8</f>
        <v>54816.052259320932</v>
      </c>
      <c r="Q8" s="90">
        <v>11546.292408939156</v>
      </c>
      <c r="R8" s="90">
        <v>5.9196261701240651</v>
      </c>
      <c r="S8" s="90">
        <f t="shared" ref="S8" si="4">J8-R8</f>
        <v>2.9776072790718793</v>
      </c>
      <c r="U8" s="335">
        <v>5</v>
      </c>
      <c r="AA8" s="90">
        <f t="shared" ref="AA8:AA11" si="5">F8*G8</f>
        <v>1950</v>
      </c>
      <c r="AB8" s="90">
        <f t="shared" ref="AB8:AB11" si="6">AA8-H8</f>
        <v>0</v>
      </c>
    </row>
    <row r="9" spans="1:28" ht="15.75" x14ac:dyDescent="0.25">
      <c r="A9" s="749">
        <v>29</v>
      </c>
      <c r="B9" s="749">
        <f>'Linha 29'!G8</f>
        <v>28</v>
      </c>
      <c r="C9" s="749">
        <v>32</v>
      </c>
      <c r="D9" s="749" t="s">
        <v>288</v>
      </c>
      <c r="E9" s="750" t="s">
        <v>323</v>
      </c>
      <c r="F9" s="751">
        <f>'Linha 29'!G10</f>
        <v>58.899999999999991</v>
      </c>
      <c r="G9" s="749">
        <v>20</v>
      </c>
      <c r="H9" s="751">
        <f>'Linha 29'!G23</f>
        <v>1177.9999999999998</v>
      </c>
      <c r="I9" s="751">
        <f>'Linha 29'!H59</f>
        <v>10913.134739421446</v>
      </c>
      <c r="J9" s="751">
        <f t="shared" si="0"/>
        <v>9.2641211709859501</v>
      </c>
      <c r="K9" s="751">
        <f t="shared" si="1"/>
        <v>109131.34739421448</v>
      </c>
      <c r="U9" s="335"/>
    </row>
    <row r="10" spans="1:28" ht="15.75" x14ac:dyDescent="0.25">
      <c r="A10" s="174">
        <v>36</v>
      </c>
      <c r="B10" s="174">
        <f>'Linha 36'!G8</f>
        <v>62</v>
      </c>
      <c r="C10" s="174">
        <v>38</v>
      </c>
      <c r="D10" s="174" t="s">
        <v>287</v>
      </c>
      <c r="E10" s="333" t="s">
        <v>279</v>
      </c>
      <c r="F10" s="175">
        <f>'Linha 36'!G11</f>
        <v>59</v>
      </c>
      <c r="G10" s="174">
        <v>20</v>
      </c>
      <c r="H10" s="175">
        <f>'Linha 36'!G23</f>
        <v>1180</v>
      </c>
      <c r="I10" s="175">
        <f>'Linha 36'!H59</f>
        <v>11334.713788773564</v>
      </c>
      <c r="J10" s="175">
        <f>I10/H10</f>
        <v>9.6056896515030203</v>
      </c>
      <c r="K10" s="175">
        <f>F10*200*J10</f>
        <v>113347.13788773563</v>
      </c>
      <c r="U10" s="335">
        <v>8</v>
      </c>
      <c r="AA10" s="90">
        <f t="shared" si="5"/>
        <v>1180</v>
      </c>
      <c r="AB10" s="90">
        <f t="shared" si="6"/>
        <v>0</v>
      </c>
    </row>
    <row r="11" spans="1:28" ht="15.75" x14ac:dyDescent="0.25">
      <c r="A11" s="174">
        <v>41</v>
      </c>
      <c r="B11" s="174">
        <f>'Linha 41'!G8</f>
        <v>43</v>
      </c>
      <c r="C11" s="174">
        <v>28</v>
      </c>
      <c r="D11" s="338" t="s">
        <v>288</v>
      </c>
      <c r="E11" s="333" t="s">
        <v>300</v>
      </c>
      <c r="F11" s="175">
        <f>'Linha 41'!G11</f>
        <v>58.6</v>
      </c>
      <c r="G11" s="174">
        <v>20</v>
      </c>
      <c r="H11" s="175">
        <f>'Linha 41'!G23</f>
        <v>1172</v>
      </c>
      <c r="I11" s="175">
        <f>'Linha 41'!H59</f>
        <v>9816.5014006574202</v>
      </c>
      <c r="J11" s="175">
        <f>I11/H11</f>
        <v>8.3758544374210064</v>
      </c>
      <c r="K11" s="175">
        <f>F11*200*J11</f>
        <v>98165.014006574202</v>
      </c>
      <c r="M11" s="90">
        <v>120</v>
      </c>
      <c r="N11" s="90">
        <v>4.5999999999999996</v>
      </c>
      <c r="O11" s="90">
        <f>M11*20*10*N11</f>
        <v>110399.99999999999</v>
      </c>
      <c r="P11" s="90">
        <f>K11-O11</f>
        <v>-12234.985993425784</v>
      </c>
      <c r="Q11" s="90">
        <v>9184.4028648991443</v>
      </c>
      <c r="R11" s="90">
        <v>5.070017080140043</v>
      </c>
      <c r="S11" s="90">
        <f>J11-R11</f>
        <v>3.3058373572809634</v>
      </c>
      <c r="U11" s="335">
        <v>10</v>
      </c>
      <c r="AA11" s="90">
        <f t="shared" si="5"/>
        <v>1172</v>
      </c>
      <c r="AB11" s="90">
        <f t="shared" si="6"/>
        <v>0</v>
      </c>
    </row>
    <row r="12" spans="1:28" ht="18" customHeight="1" x14ac:dyDescent="0.25">
      <c r="A12" s="174"/>
      <c r="B12" s="174"/>
      <c r="C12" s="174"/>
      <c r="D12" s="174"/>
      <c r="E12" s="332"/>
      <c r="F12" s="175"/>
      <c r="G12" s="174"/>
      <c r="H12" s="175"/>
      <c r="I12" s="175"/>
      <c r="J12" s="175"/>
      <c r="K12" s="175"/>
    </row>
    <row r="13" spans="1:28" ht="15.75" x14ac:dyDescent="0.25">
      <c r="A13" s="174" t="s">
        <v>179</v>
      </c>
      <c r="B13" s="174">
        <f>SUM(B8:B11)</f>
        <v>161</v>
      </c>
      <c r="C13" s="174"/>
      <c r="D13" s="174"/>
      <c r="E13" s="332"/>
      <c r="F13" s="175">
        <f>SUM(F8:F12)</f>
        <v>274</v>
      </c>
      <c r="G13" s="174"/>
      <c r="H13" s="175">
        <f>SUM(H8:H11)</f>
        <v>5480</v>
      </c>
      <c r="I13" s="175">
        <f>SUM(I8:I11)</f>
        <v>49413.955154784526</v>
      </c>
      <c r="J13" s="175"/>
      <c r="K13" s="175">
        <f>SUM(K8:K11)</f>
        <v>494139.55154784524</v>
      </c>
      <c r="O13" s="90">
        <f>SUM(O8:O12)</f>
        <v>229079.99999999997</v>
      </c>
      <c r="P13" s="90">
        <f>SUM(P8:P12)</f>
        <v>42581.066265895148</v>
      </c>
      <c r="Q13" s="90">
        <v>107854.50714100244</v>
      </c>
      <c r="S13" s="90">
        <f>I13-Q13</f>
        <v>-58440.551986217914</v>
      </c>
    </row>
    <row r="14" spans="1:28" ht="15.75" x14ac:dyDescent="0.25">
      <c r="A14" s="176"/>
      <c r="B14" s="177"/>
      <c r="C14" s="177"/>
      <c r="D14" s="177"/>
      <c r="E14" s="177"/>
      <c r="F14" s="178"/>
      <c r="G14" s="178"/>
      <c r="H14" s="178"/>
      <c r="I14" s="179"/>
      <c r="J14" s="179"/>
      <c r="K14" s="179"/>
    </row>
    <row r="15" spans="1:28" ht="15.75" x14ac:dyDescent="0.25">
      <c r="A15" s="82"/>
    </row>
    <row r="16" spans="1:28" ht="15.75" x14ac:dyDescent="0.25">
      <c r="A16" s="82" t="s">
        <v>326</v>
      </c>
    </row>
    <row r="18" spans="1:9" x14ac:dyDescent="0.2">
      <c r="I18" s="334"/>
    </row>
    <row r="22" spans="1:9" x14ac:dyDescent="0.2">
      <c r="F22" s="186"/>
    </row>
    <row r="23" spans="1:9" x14ac:dyDescent="0.2">
      <c r="F23" s="186"/>
    </row>
    <row r="25" spans="1:9" ht="15.75" x14ac:dyDescent="0.25">
      <c r="A25" s="82" t="s">
        <v>222</v>
      </c>
    </row>
  </sheetData>
  <mergeCells count="5">
    <mergeCell ref="A1:K1"/>
    <mergeCell ref="A2:K2"/>
    <mergeCell ref="A3:K3"/>
    <mergeCell ref="A4:K4"/>
    <mergeCell ref="A6:K6"/>
  </mergeCells>
  <pageMargins left="0.78740157480314965" right="0.59055118110236227" top="0.59055118110236227" bottom="0.59055118110236227" header="0.51181102362204722" footer="0.31496062992125984"/>
  <pageSetup paperSize="9"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6"/>
  <sheetViews>
    <sheetView topLeftCell="A21" workbookViewId="0">
      <selection activeCell="J9" sqref="J9"/>
    </sheetView>
  </sheetViews>
  <sheetFormatPr defaultRowHeight="12.75" x14ac:dyDescent="0.2"/>
  <cols>
    <col min="1" max="1" width="39.28515625" customWidth="1"/>
    <col min="2" max="2" width="12.85546875" customWidth="1"/>
    <col min="3" max="3" width="11.7109375" customWidth="1"/>
    <col min="4" max="4" width="22.85546875" customWidth="1"/>
    <col min="5" max="5" width="18.42578125" bestFit="1" customWidth="1"/>
    <col min="6" max="6" width="19.7109375" bestFit="1" customWidth="1"/>
    <col min="7" max="7" width="15.28515625" bestFit="1" customWidth="1"/>
    <col min="8" max="8" width="16.5703125" bestFit="1" customWidth="1"/>
    <col min="9" max="9" width="17.85546875" hidden="1" customWidth="1"/>
    <col min="10" max="10" width="5.140625" hidden="1" customWidth="1"/>
    <col min="11" max="11" width="10.7109375" bestFit="1" customWidth="1"/>
  </cols>
  <sheetData>
    <row r="1" spans="1:12" ht="16.5" thickBot="1" x14ac:dyDescent="0.3">
      <c r="A1" s="555" t="s">
        <v>264</v>
      </c>
      <c r="B1" s="556"/>
      <c r="C1" s="556"/>
      <c r="D1" s="556"/>
      <c r="E1" s="556"/>
      <c r="F1" s="556"/>
      <c r="G1" s="556"/>
      <c r="H1" s="557"/>
      <c r="I1" s="82"/>
    </row>
    <row r="2" spans="1:12" ht="16.5" thickBot="1" x14ac:dyDescent="0.3">
      <c r="A2" s="531" t="s">
        <v>273</v>
      </c>
      <c r="B2" s="532"/>
      <c r="C2" s="532"/>
      <c r="D2" s="532"/>
      <c r="E2" s="532"/>
      <c r="F2" s="532"/>
      <c r="G2" s="532"/>
      <c r="H2" s="533"/>
      <c r="I2" s="82"/>
    </row>
    <row r="3" spans="1:12" ht="16.5" thickBot="1" x14ac:dyDescent="0.3">
      <c r="A3" s="555" t="s">
        <v>223</v>
      </c>
      <c r="B3" s="556"/>
      <c r="C3" s="556"/>
      <c r="D3" s="556"/>
      <c r="E3" s="556"/>
      <c r="F3" s="556"/>
      <c r="G3" s="556"/>
      <c r="H3" s="557"/>
      <c r="I3" s="82"/>
    </row>
    <row r="4" spans="1:12" ht="15.75" thickBot="1" x14ac:dyDescent="0.25">
      <c r="A4" s="558" t="s">
        <v>9</v>
      </c>
      <c r="B4" s="559"/>
      <c r="C4" s="559"/>
      <c r="D4" s="559"/>
      <c r="E4" s="559"/>
      <c r="F4" s="559"/>
      <c r="G4" s="559"/>
      <c r="H4" s="560"/>
      <c r="I4" s="85"/>
    </row>
    <row r="5" spans="1:12" ht="8.4499999999999993" customHeight="1" x14ac:dyDescent="0.25">
      <c r="A5" s="86"/>
      <c r="B5" s="86"/>
      <c r="C5" s="86"/>
      <c r="D5" s="86"/>
      <c r="E5" s="86"/>
      <c r="F5" s="86"/>
      <c r="G5" s="86"/>
      <c r="H5" s="83"/>
      <c r="I5" s="83"/>
    </row>
    <row r="6" spans="1:12" ht="15.75" x14ac:dyDescent="0.25">
      <c r="A6" s="87" t="s">
        <v>103</v>
      </c>
      <c r="B6" s="83"/>
      <c r="C6" s="83"/>
      <c r="D6" s="83"/>
      <c r="E6" s="83"/>
      <c r="F6" s="83"/>
      <c r="G6" s="83"/>
      <c r="H6" s="83"/>
      <c r="I6" s="83"/>
    </row>
    <row r="7" spans="1:12" ht="15.75" x14ac:dyDescent="0.25">
      <c r="A7" s="88" t="s">
        <v>104</v>
      </c>
      <c r="B7" s="564" t="s">
        <v>259</v>
      </c>
      <c r="C7" s="565"/>
      <c r="D7" s="89"/>
      <c r="E7" s="89"/>
      <c r="F7" s="89"/>
      <c r="G7" s="89" t="s">
        <v>105</v>
      </c>
      <c r="H7" s="90"/>
      <c r="I7" s="182">
        <v>25</v>
      </c>
      <c r="J7" s="281" t="s">
        <v>258</v>
      </c>
    </row>
    <row r="8" spans="1:12" ht="15.75" x14ac:dyDescent="0.25">
      <c r="A8" s="88" t="s">
        <v>106</v>
      </c>
      <c r="B8" s="566">
        <v>28</v>
      </c>
      <c r="C8" s="567"/>
      <c r="D8" s="91"/>
      <c r="E8" s="91"/>
      <c r="F8" s="91"/>
      <c r="G8" s="92">
        <f>SUM(B8:F8)</f>
        <v>28</v>
      </c>
      <c r="H8" s="90"/>
      <c r="I8" s="90"/>
    </row>
    <row r="9" spans="1:12" ht="15.75" hidden="1" x14ac:dyDescent="0.25">
      <c r="A9" s="88" t="s">
        <v>107</v>
      </c>
      <c r="B9" s="109"/>
      <c r="C9" s="109"/>
      <c r="D9" s="109"/>
      <c r="E9" s="109"/>
      <c r="F9" s="109"/>
      <c r="G9" s="93">
        <v>0</v>
      </c>
      <c r="H9" s="90"/>
      <c r="I9" s="90"/>
    </row>
    <row r="10" spans="1:12" ht="15.75" x14ac:dyDescent="0.25">
      <c r="A10" s="88" t="s">
        <v>209</v>
      </c>
      <c r="B10" s="568">
        <f>Roteiros!M32</f>
        <v>97.5</v>
      </c>
      <c r="C10" s="569"/>
      <c r="D10" s="270"/>
      <c r="E10" s="270"/>
      <c r="F10" s="270"/>
      <c r="G10" s="94">
        <f>SUM(B10:F10)</f>
        <v>97.5</v>
      </c>
      <c r="H10" s="90"/>
      <c r="I10" s="90"/>
      <c r="K10" s="223"/>
      <c r="L10" s="223"/>
    </row>
    <row r="11" spans="1:12" ht="15.75" x14ac:dyDescent="0.25">
      <c r="A11" s="546" t="s">
        <v>108</v>
      </c>
      <c r="B11" s="561"/>
      <c r="C11" s="561"/>
      <c r="D11" s="547"/>
      <c r="E11" s="547"/>
      <c r="F11" s="548"/>
      <c r="G11" s="95">
        <f>G10+G9</f>
        <v>97.5</v>
      </c>
      <c r="H11" s="90"/>
      <c r="I11" s="90"/>
    </row>
    <row r="12" spans="1:12" ht="15.75" x14ac:dyDescent="0.25">
      <c r="A12" s="181" t="s">
        <v>109</v>
      </c>
      <c r="B12" s="282">
        <f>B13/24</f>
        <v>0.16250000000000001</v>
      </c>
      <c r="C12" s="280" t="s">
        <v>257</v>
      </c>
      <c r="D12" s="275"/>
      <c r="E12" s="271"/>
      <c r="F12" s="271"/>
      <c r="G12" s="96" t="s">
        <v>110</v>
      </c>
      <c r="H12" s="90"/>
      <c r="I12" s="90"/>
      <c r="J12" s="182"/>
      <c r="K12" s="224"/>
    </row>
    <row r="13" spans="1:12" ht="15.75" x14ac:dyDescent="0.25">
      <c r="A13" s="181" t="s">
        <v>111</v>
      </c>
      <c r="B13" s="562">
        <f>B10/I7</f>
        <v>3.9</v>
      </c>
      <c r="C13" s="563"/>
      <c r="D13" s="271"/>
      <c r="E13" s="272"/>
      <c r="F13" s="272"/>
      <c r="G13" s="94">
        <f>SUM(B13:F13)</f>
        <v>3.9</v>
      </c>
      <c r="H13" s="97"/>
      <c r="I13" s="225"/>
      <c r="J13" s="90"/>
    </row>
    <row r="14" spans="1:12" ht="15.75" x14ac:dyDescent="0.25">
      <c r="A14" s="546" t="s">
        <v>260</v>
      </c>
      <c r="B14" s="547"/>
      <c r="C14" s="547"/>
      <c r="D14" s="547"/>
      <c r="E14" s="547"/>
      <c r="F14" s="548"/>
      <c r="G14" s="94">
        <v>3</v>
      </c>
      <c r="H14" s="98"/>
      <c r="I14" s="274" t="s">
        <v>277</v>
      </c>
      <c r="J14" s="98"/>
    </row>
    <row r="15" spans="1:12" ht="15.75" x14ac:dyDescent="0.25">
      <c r="A15" s="546" t="s">
        <v>112</v>
      </c>
      <c r="B15" s="547"/>
      <c r="C15" s="547"/>
      <c r="D15" s="547"/>
      <c r="E15" s="547"/>
      <c r="F15" s="548"/>
      <c r="G15" s="95">
        <f>(G14+G13)</f>
        <v>6.9</v>
      </c>
      <c r="H15" s="98"/>
      <c r="I15" s="98"/>
      <c r="J15" s="98"/>
    </row>
    <row r="16" spans="1:12" ht="15.75" x14ac:dyDescent="0.25">
      <c r="A16" s="546"/>
      <c r="B16" s="547"/>
      <c r="C16" s="547"/>
      <c r="D16" s="547"/>
      <c r="E16" s="547"/>
      <c r="F16" s="548"/>
      <c r="G16" s="99"/>
      <c r="H16" s="90"/>
      <c r="I16" s="90"/>
    </row>
    <row r="17" spans="1:9" ht="15.75" x14ac:dyDescent="0.25">
      <c r="A17" s="96" t="s">
        <v>113</v>
      </c>
      <c r="B17" s="552" t="s">
        <v>324</v>
      </c>
      <c r="C17" s="553"/>
      <c r="D17" s="553"/>
      <c r="E17" s="553"/>
      <c r="F17" s="553"/>
      <c r="G17" s="554"/>
      <c r="H17" s="90"/>
      <c r="I17" s="90"/>
    </row>
    <row r="18" spans="1:9" ht="15.75" x14ac:dyDescent="0.25">
      <c r="A18" s="546" t="s">
        <v>285</v>
      </c>
      <c r="B18" s="547"/>
      <c r="C18" s="547"/>
      <c r="D18" s="547"/>
      <c r="E18" s="547"/>
      <c r="F18" s="548"/>
      <c r="G18" s="187">
        <v>180000</v>
      </c>
      <c r="H18" s="90"/>
      <c r="I18" s="90"/>
    </row>
    <row r="19" spans="1:9" ht="15.75" x14ac:dyDescent="0.25">
      <c r="A19" s="546" t="s">
        <v>197</v>
      </c>
      <c r="B19" s="547"/>
      <c r="C19" s="547"/>
      <c r="D19" s="547"/>
      <c r="E19" s="547"/>
      <c r="F19" s="548"/>
      <c r="G19" s="188">
        <v>7.32</v>
      </c>
      <c r="H19" s="90"/>
      <c r="I19" s="90"/>
    </row>
    <row r="20" spans="1:9" ht="15.75" x14ac:dyDescent="0.25">
      <c r="A20" s="546" t="s">
        <v>203</v>
      </c>
      <c r="B20" s="547"/>
      <c r="C20" s="547"/>
      <c r="D20" s="547"/>
      <c r="E20" s="547"/>
      <c r="F20" s="548"/>
      <c r="G20" s="188">
        <v>3.8</v>
      </c>
      <c r="H20" s="90"/>
      <c r="I20" s="90"/>
    </row>
    <row r="21" spans="1:9" ht="15.75" x14ac:dyDescent="0.25">
      <c r="A21" s="546" t="s">
        <v>198</v>
      </c>
      <c r="B21" s="547"/>
      <c r="C21" s="547"/>
      <c r="D21" s="547"/>
      <c r="E21" s="547"/>
      <c r="F21" s="548"/>
      <c r="G21" s="188">
        <v>0.75</v>
      </c>
      <c r="H21" s="90"/>
      <c r="I21" s="90"/>
    </row>
    <row r="22" spans="1:9" ht="15.75" x14ac:dyDescent="0.25">
      <c r="A22" s="546" t="s">
        <v>114</v>
      </c>
      <c r="B22" s="547"/>
      <c r="C22" s="547"/>
      <c r="D22" s="547"/>
      <c r="E22" s="547"/>
      <c r="F22" s="548"/>
      <c r="G22" s="100">
        <v>20</v>
      </c>
      <c r="H22" s="90"/>
      <c r="I22" s="90"/>
    </row>
    <row r="23" spans="1:9" ht="15.75" x14ac:dyDescent="0.25">
      <c r="A23" s="546" t="s">
        <v>188</v>
      </c>
      <c r="B23" s="547"/>
      <c r="C23" s="547"/>
      <c r="D23" s="547"/>
      <c r="E23" s="547"/>
      <c r="F23" s="548"/>
      <c r="G23" s="94">
        <f>G22*B10</f>
        <v>1950</v>
      </c>
      <c r="H23" s="90"/>
      <c r="I23" s="90"/>
    </row>
    <row r="24" spans="1:9" ht="13.15" customHeight="1" x14ac:dyDescent="0.2">
      <c r="A24" s="90"/>
      <c r="B24" s="90"/>
      <c r="C24" s="90"/>
      <c r="D24" s="90"/>
      <c r="E24" s="90"/>
      <c r="F24" s="90"/>
      <c r="G24" s="90"/>
      <c r="H24" s="90"/>
      <c r="I24" s="90"/>
    </row>
    <row r="25" spans="1:9" ht="15.75" x14ac:dyDescent="0.25">
      <c r="A25" s="101" t="s">
        <v>115</v>
      </c>
      <c r="B25" s="102" t="s">
        <v>102</v>
      </c>
      <c r="C25" s="83"/>
      <c r="D25" s="203" t="s">
        <v>194</v>
      </c>
      <c r="E25" s="204"/>
      <c r="F25" s="204"/>
      <c r="G25" s="205"/>
      <c r="H25" s="206"/>
      <c r="I25" s="90"/>
    </row>
    <row r="26" spans="1:9" ht="16.5" thickBot="1" x14ac:dyDescent="0.3">
      <c r="A26" s="96" t="s">
        <v>195</v>
      </c>
      <c r="B26" s="208">
        <f>(G22*G11*G19)/G20</f>
        <v>3756.3157894736842</v>
      </c>
      <c r="C26" s="103"/>
      <c r="D26" s="200" t="s">
        <v>10</v>
      </c>
      <c r="E26" s="201" t="s">
        <v>11</v>
      </c>
      <c r="F26" s="201" t="s">
        <v>6</v>
      </c>
      <c r="G26" s="202" t="s">
        <v>90</v>
      </c>
      <c r="H26" s="202" t="s">
        <v>12</v>
      </c>
      <c r="I26" s="90"/>
    </row>
    <row r="27" spans="1:9" ht="15.75" x14ac:dyDescent="0.25">
      <c r="A27" s="96" t="s">
        <v>196</v>
      </c>
      <c r="B27" s="208">
        <f>G21*G23</f>
        <v>1462.5</v>
      </c>
      <c r="C27" s="103"/>
      <c r="D27" s="189" t="s">
        <v>189</v>
      </c>
      <c r="E27" s="190" t="s">
        <v>2</v>
      </c>
      <c r="F27" s="191">
        <v>6</v>
      </c>
      <c r="G27" s="192">
        <v>1500</v>
      </c>
      <c r="H27" s="193">
        <f>F27*G27</f>
        <v>9000</v>
      </c>
      <c r="I27" s="90"/>
    </row>
    <row r="28" spans="1:9" ht="15.75" x14ac:dyDescent="0.25">
      <c r="A28" s="96" t="str">
        <f>D25</f>
        <v>1.3 Pneus</v>
      </c>
      <c r="B28" s="208">
        <f>H31</f>
        <v>351</v>
      </c>
      <c r="C28" s="90"/>
      <c r="D28" s="189" t="s">
        <v>193</v>
      </c>
      <c r="E28" s="190" t="s">
        <v>2</v>
      </c>
      <c r="F28" s="190">
        <v>2</v>
      </c>
      <c r="G28" s="194"/>
      <c r="H28" s="193"/>
      <c r="I28" s="90"/>
    </row>
    <row r="29" spans="1:9" ht="15.75" x14ac:dyDescent="0.25">
      <c r="A29" s="89"/>
      <c r="B29" s="96"/>
      <c r="C29" s="82"/>
      <c r="D29" s="189" t="s">
        <v>190</v>
      </c>
      <c r="E29" s="190" t="s">
        <v>2</v>
      </c>
      <c r="F29" s="209">
        <f>F27*F28</f>
        <v>12</v>
      </c>
      <c r="G29" s="192">
        <v>450</v>
      </c>
      <c r="H29" s="193">
        <f>F29*G29</f>
        <v>5400</v>
      </c>
      <c r="I29" s="90"/>
    </row>
    <row r="30" spans="1:9" ht="15.75" x14ac:dyDescent="0.25">
      <c r="A30" s="89" t="s">
        <v>116</v>
      </c>
      <c r="B30" s="96">
        <f>SUM(B26:B29)</f>
        <v>5569.8157894736842</v>
      </c>
      <c r="C30" s="82"/>
      <c r="D30" s="195" t="s">
        <v>206</v>
      </c>
      <c r="E30" s="196" t="s">
        <v>191</v>
      </c>
      <c r="F30" s="197">
        <v>80000</v>
      </c>
      <c r="G30" s="198">
        <f>H27+H29</f>
        <v>14400</v>
      </c>
      <c r="H30" s="198">
        <f>IFERROR(G30/F30,"-")</f>
        <v>0.18</v>
      </c>
      <c r="I30" s="90"/>
    </row>
    <row r="31" spans="1:9" ht="15.75" x14ac:dyDescent="0.25">
      <c r="A31" s="83"/>
      <c r="B31" s="82"/>
      <c r="C31" s="82"/>
      <c r="D31" s="195" t="s">
        <v>192</v>
      </c>
      <c r="E31" s="196" t="s">
        <v>3</v>
      </c>
      <c r="F31" s="199">
        <f>G23</f>
        <v>1950</v>
      </c>
      <c r="G31" s="198">
        <f>H30</f>
        <v>0.18</v>
      </c>
      <c r="H31" s="207">
        <f>IFERROR(F31*G31,0)</f>
        <v>351</v>
      </c>
      <c r="I31" s="90"/>
    </row>
    <row r="32" spans="1:9" ht="12.6" customHeight="1" x14ac:dyDescent="0.25">
      <c r="A32" s="83"/>
      <c r="B32" s="90"/>
      <c r="C32" s="90"/>
      <c r="D32" s="90"/>
      <c r="E32" s="90"/>
      <c r="F32" s="90"/>
      <c r="G32" s="90"/>
      <c r="H32" s="90"/>
      <c r="I32" s="90"/>
    </row>
    <row r="33" spans="1:9" ht="15.75" x14ac:dyDescent="0.25">
      <c r="A33" s="549" t="s">
        <v>117</v>
      </c>
      <c r="B33" s="550"/>
      <c r="C33" s="550"/>
      <c r="D33" s="550"/>
      <c r="E33" s="550"/>
      <c r="F33" s="550"/>
      <c r="G33" s="550"/>
      <c r="H33" s="550"/>
      <c r="I33" s="82"/>
    </row>
    <row r="34" spans="1:9" ht="15.75" x14ac:dyDescent="0.25">
      <c r="A34" s="105" t="s">
        <v>293</v>
      </c>
      <c r="B34" s="220">
        <f>G44*0.14</f>
        <v>25200.000000000004</v>
      </c>
      <c r="C34" s="90"/>
      <c r="D34" s="106" t="s">
        <v>118</v>
      </c>
      <c r="E34" s="106" t="s">
        <v>119</v>
      </c>
      <c r="F34" s="106" t="s">
        <v>120</v>
      </c>
      <c r="G34" s="106" t="s">
        <v>121</v>
      </c>
      <c r="H34" s="106" t="s">
        <v>105</v>
      </c>
      <c r="I34" s="84"/>
    </row>
    <row r="35" spans="1:9" ht="15.75" x14ac:dyDescent="0.25">
      <c r="A35" s="104" t="s">
        <v>122</v>
      </c>
      <c r="B35" s="104">
        <v>0</v>
      </c>
      <c r="C35" s="90"/>
      <c r="D35" s="218">
        <v>3767.43</v>
      </c>
      <c r="E35" s="107">
        <f>'Encargos Sociais'!C38</f>
        <v>0.3078166</v>
      </c>
      <c r="F35" s="108">
        <f>(D35*E35)+D35</f>
        <v>4927.1074933379996</v>
      </c>
      <c r="G35" s="109">
        <v>11.2</v>
      </c>
      <c r="H35" s="95">
        <f>F35*G35</f>
        <v>55183.603925385592</v>
      </c>
      <c r="I35" s="84"/>
    </row>
    <row r="36" spans="1:9" ht="15.75" x14ac:dyDescent="0.25">
      <c r="A36" s="104" t="s">
        <v>123</v>
      </c>
      <c r="B36" s="219">
        <v>109.27</v>
      </c>
      <c r="C36" s="90"/>
      <c r="D36" s="89" t="s">
        <v>124</v>
      </c>
      <c r="E36" s="89" t="s">
        <v>125</v>
      </c>
      <c r="F36" s="89" t="s">
        <v>120</v>
      </c>
      <c r="G36" s="89" t="s">
        <v>121</v>
      </c>
      <c r="H36" s="89" t="s">
        <v>105</v>
      </c>
      <c r="I36" s="84"/>
    </row>
    <row r="37" spans="1:9" ht="15.75" x14ac:dyDescent="0.25">
      <c r="A37" s="104" t="s">
        <v>187</v>
      </c>
      <c r="B37" s="219">
        <v>1500</v>
      </c>
      <c r="C37" s="90"/>
      <c r="D37" s="219">
        <f>37*0.9493</f>
        <v>35.124099999999999</v>
      </c>
      <c r="E37" s="110">
        <f>G22</f>
        <v>20</v>
      </c>
      <c r="F37" s="111">
        <f>D37*E37</f>
        <v>702.48199999999997</v>
      </c>
      <c r="G37" s="112">
        <v>10</v>
      </c>
      <c r="H37" s="95">
        <f>F37*G37</f>
        <v>7024.82</v>
      </c>
      <c r="I37" s="84"/>
    </row>
    <row r="38" spans="1:9" ht="15.75" x14ac:dyDescent="0.25">
      <c r="A38" s="104" t="s">
        <v>126</v>
      </c>
      <c r="B38" s="104">
        <f>H48</f>
        <v>8487.5999999999985</v>
      </c>
      <c r="C38" s="90"/>
      <c r="D38" s="89" t="s">
        <v>202</v>
      </c>
      <c r="E38" s="89" t="s">
        <v>125</v>
      </c>
      <c r="F38" s="89" t="s">
        <v>120</v>
      </c>
      <c r="G38" s="89" t="s">
        <v>121</v>
      </c>
      <c r="H38" s="89" t="s">
        <v>105</v>
      </c>
      <c r="I38" s="84"/>
    </row>
    <row r="39" spans="1:9" ht="15.75" x14ac:dyDescent="0.25">
      <c r="A39" s="104" t="s">
        <v>128</v>
      </c>
      <c r="B39" s="219">
        <v>3000</v>
      </c>
      <c r="C39" s="90"/>
      <c r="D39" s="219">
        <v>216</v>
      </c>
      <c r="E39" s="110">
        <v>1</v>
      </c>
      <c r="F39" s="111">
        <f>D39*E39</f>
        <v>216</v>
      </c>
      <c r="G39" s="112">
        <v>12</v>
      </c>
      <c r="H39" s="95">
        <f>F39*G39</f>
        <v>2592</v>
      </c>
      <c r="I39" s="84"/>
    </row>
    <row r="40" spans="1:9" ht="15.75" x14ac:dyDescent="0.25">
      <c r="A40" s="104" t="s">
        <v>129</v>
      </c>
      <c r="B40" s="114">
        <v>1</v>
      </c>
      <c r="C40" s="90"/>
      <c r="D40" s="88" t="s">
        <v>127</v>
      </c>
      <c r="E40" s="110"/>
      <c r="F40" s="113"/>
      <c r="G40" s="112"/>
      <c r="H40" s="95">
        <f>H35+H37+H39</f>
        <v>64800.423925385592</v>
      </c>
      <c r="I40" s="84"/>
    </row>
    <row r="41" spans="1:9" ht="15.75" thickBot="1" x14ac:dyDescent="0.25">
      <c r="A41" s="104" t="s">
        <v>131</v>
      </c>
      <c r="B41" s="104">
        <f>H40*B40</f>
        <v>64800.423925385592</v>
      </c>
      <c r="C41" s="90"/>
      <c r="D41" s="90"/>
      <c r="E41" s="182"/>
      <c r="F41" s="182"/>
      <c r="G41" s="182"/>
      <c r="H41" s="182"/>
      <c r="I41" s="84"/>
    </row>
    <row r="42" spans="1:9" ht="16.5" thickBot="1" x14ac:dyDescent="0.3">
      <c r="A42" s="96" t="s">
        <v>132</v>
      </c>
      <c r="B42" s="96">
        <f>SUM(B34:B39)+B41</f>
        <v>103097.2939253856</v>
      </c>
      <c r="C42" s="115"/>
      <c r="D42" s="116" t="s">
        <v>130</v>
      </c>
      <c r="E42" s="117"/>
      <c r="F42" s="117"/>
      <c r="G42" s="90"/>
      <c r="H42" s="90"/>
      <c r="I42" s="84"/>
    </row>
    <row r="43" spans="1:9" ht="16.5" thickBot="1" x14ac:dyDescent="0.3">
      <c r="A43" s="96" t="s">
        <v>134</v>
      </c>
      <c r="B43" s="96">
        <f>B42/10*B44</f>
        <v>8083.765091876825</v>
      </c>
      <c r="C43" s="90"/>
      <c r="D43" s="118" t="s">
        <v>10</v>
      </c>
      <c r="E43" s="119" t="s">
        <v>11</v>
      </c>
      <c r="F43" s="119" t="s">
        <v>6</v>
      </c>
      <c r="G43" s="120" t="s">
        <v>90</v>
      </c>
      <c r="H43" s="120" t="s">
        <v>12</v>
      </c>
      <c r="I43" s="84"/>
    </row>
    <row r="44" spans="1:9" ht="15.75" x14ac:dyDescent="0.25">
      <c r="A44" s="96" t="s">
        <v>135</v>
      </c>
      <c r="B44" s="283">
        <f>(G15*5)/44</f>
        <v>0.78409090909090906</v>
      </c>
      <c r="C44" s="82"/>
      <c r="D44" s="121" t="s">
        <v>133</v>
      </c>
      <c r="E44" s="122" t="s">
        <v>2</v>
      </c>
      <c r="F44" s="123">
        <v>1</v>
      </c>
      <c r="G44" s="124">
        <f>G18</f>
        <v>180000</v>
      </c>
      <c r="H44" s="125">
        <f>F44*G44</f>
        <v>180000</v>
      </c>
      <c r="I44" s="84"/>
    </row>
    <row r="45" spans="1:9" ht="15.75" x14ac:dyDescent="0.25">
      <c r="C45" s="82"/>
      <c r="D45" s="126" t="s">
        <v>26</v>
      </c>
      <c r="E45" s="127" t="s">
        <v>27</v>
      </c>
      <c r="F45" s="128">
        <v>15</v>
      </c>
      <c r="G45" s="129"/>
      <c r="H45" s="130"/>
      <c r="I45" s="84"/>
    </row>
    <row r="46" spans="1:9" ht="15.75" x14ac:dyDescent="0.25">
      <c r="C46" s="131"/>
      <c r="D46" s="126" t="s">
        <v>86</v>
      </c>
      <c r="E46" s="127" t="s">
        <v>27</v>
      </c>
      <c r="F46" s="132">
        <v>0</v>
      </c>
      <c r="G46" s="130"/>
      <c r="H46" s="130"/>
      <c r="I46" s="84"/>
    </row>
    <row r="47" spans="1:9" ht="15" x14ac:dyDescent="0.2">
      <c r="A47" s="182"/>
      <c r="B47" s="182"/>
      <c r="C47" s="182"/>
      <c r="D47" s="126" t="s">
        <v>136</v>
      </c>
      <c r="E47" s="127" t="s">
        <v>0</v>
      </c>
      <c r="F47" s="133">
        <f>Depreciação!B17</f>
        <v>70.73</v>
      </c>
      <c r="G47" s="130">
        <f>H44</f>
        <v>180000</v>
      </c>
      <c r="H47" s="130">
        <f>F47*G47/100</f>
        <v>127314</v>
      </c>
      <c r="I47" s="84"/>
    </row>
    <row r="48" spans="1:9" ht="16.5" thickBot="1" x14ac:dyDescent="0.25">
      <c r="A48" s="90"/>
      <c r="B48" s="90"/>
      <c r="C48" s="90"/>
      <c r="D48" s="134" t="s">
        <v>137</v>
      </c>
      <c r="E48" s="135" t="s">
        <v>1</v>
      </c>
      <c r="F48" s="136">
        <f>F45*12</f>
        <v>180</v>
      </c>
      <c r="G48" s="137">
        <f>IF(F46&lt;=F45,H47,0)</f>
        <v>127314</v>
      </c>
      <c r="H48" s="137">
        <f>IFERROR(G48/F48,0)*12</f>
        <v>8487.5999999999985</v>
      </c>
      <c r="I48" s="84"/>
    </row>
    <row r="49" spans="1:9" ht="15.75" thickTop="1" x14ac:dyDescent="0.2">
      <c r="A49" s="90"/>
      <c r="B49" s="90"/>
      <c r="C49" s="90"/>
      <c r="D49" s="90"/>
      <c r="E49" s="90"/>
      <c r="F49" s="182"/>
      <c r="G49" s="182"/>
      <c r="H49" s="182"/>
      <c r="I49" s="84"/>
    </row>
    <row r="50" spans="1:9" ht="15.75" x14ac:dyDescent="0.25">
      <c r="A50" s="549" t="s">
        <v>138</v>
      </c>
      <c r="B50" s="550"/>
      <c r="C50" s="550"/>
      <c r="D50" s="550"/>
      <c r="E50" s="550"/>
      <c r="F50" s="550"/>
      <c r="G50" s="551"/>
      <c r="H50" s="96">
        <f>($B$43+$B$30)</f>
        <v>13653.58088135051</v>
      </c>
      <c r="I50" s="84"/>
    </row>
    <row r="51" spans="1:9" x14ac:dyDescent="0.2">
      <c r="A51" s="138"/>
      <c r="B51" s="138"/>
      <c r="C51" s="138"/>
      <c r="D51" s="138"/>
      <c r="E51" s="138"/>
      <c r="F51" s="139"/>
      <c r="G51" s="139"/>
      <c r="H51" s="139"/>
      <c r="I51" s="84"/>
    </row>
    <row r="52" spans="1:9" ht="16.5" thickBot="1" x14ac:dyDescent="0.3">
      <c r="A52" s="549" t="s">
        <v>139</v>
      </c>
      <c r="B52" s="550"/>
      <c r="C52" s="550"/>
      <c r="D52" s="550"/>
      <c r="E52" s="550"/>
      <c r="F52" s="550"/>
      <c r="G52" s="551"/>
      <c r="H52" s="139"/>
      <c r="I52" s="84"/>
    </row>
    <row r="53" spans="1:9" ht="16.5" thickBot="1" x14ac:dyDescent="0.25">
      <c r="A53" s="140" t="s">
        <v>10</v>
      </c>
      <c r="B53" s="141" t="s">
        <v>11</v>
      </c>
      <c r="C53" s="141"/>
      <c r="D53" s="141" t="s">
        <v>6</v>
      </c>
      <c r="E53" s="142" t="s">
        <v>90</v>
      </c>
      <c r="F53" s="142" t="s">
        <v>12</v>
      </c>
      <c r="G53" s="143" t="s">
        <v>140</v>
      </c>
      <c r="H53" s="182"/>
      <c r="I53" s="144"/>
    </row>
    <row r="54" spans="1:9" ht="16.5" thickBot="1" x14ac:dyDescent="0.25">
      <c r="A54" s="145" t="s">
        <v>4</v>
      </c>
      <c r="B54" s="146" t="s">
        <v>0</v>
      </c>
      <c r="C54" s="146"/>
      <c r="D54" s="147">
        <f>BDI!C21</f>
        <v>0.2707</v>
      </c>
      <c r="E54" s="125">
        <f>H50</f>
        <v>13653.58088135051</v>
      </c>
      <c r="F54" s="125">
        <f>D54*E54/1</f>
        <v>3696.0243445815831</v>
      </c>
      <c r="G54" s="148"/>
      <c r="H54" s="90"/>
      <c r="I54" s="84"/>
    </row>
    <row r="55" spans="1:9" ht="16.5" thickBot="1" x14ac:dyDescent="0.25">
      <c r="A55" s="149" t="s">
        <v>141</v>
      </c>
      <c r="B55" s="150"/>
      <c r="C55" s="150"/>
      <c r="D55" s="149"/>
      <c r="E55" s="151"/>
      <c r="F55" s="152"/>
      <c r="G55" s="153">
        <f>+F54</f>
        <v>3696.0243445815831</v>
      </c>
      <c r="H55" s="90"/>
      <c r="I55" s="144"/>
    </row>
    <row r="56" spans="1:9" ht="15.75" thickBot="1" x14ac:dyDescent="0.25">
      <c r="A56" s="138"/>
      <c r="B56" s="138"/>
      <c r="C56" s="138"/>
      <c r="D56" s="154"/>
      <c r="E56" s="154"/>
      <c r="F56" s="148"/>
      <c r="G56" s="148"/>
      <c r="H56" s="148"/>
      <c r="I56" s="84"/>
    </row>
    <row r="57" spans="1:9" ht="16.5" thickBot="1" x14ac:dyDescent="0.25">
      <c r="A57" s="155" t="s">
        <v>142</v>
      </c>
      <c r="B57" s="156"/>
      <c r="C57" s="156"/>
      <c r="D57" s="157"/>
      <c r="E57" s="157"/>
      <c r="F57" s="158"/>
      <c r="G57" s="159"/>
      <c r="H57" s="160">
        <f>G55</f>
        <v>3696.0243445815831</v>
      </c>
      <c r="I57" s="84"/>
    </row>
    <row r="58" spans="1:9" ht="13.5" thickBot="1" x14ac:dyDescent="0.25">
      <c r="A58" s="138"/>
      <c r="B58" s="138"/>
      <c r="C58" s="138"/>
      <c r="D58" s="138"/>
      <c r="E58" s="138"/>
      <c r="F58" s="139"/>
      <c r="G58" s="139"/>
      <c r="H58" s="139"/>
      <c r="I58" s="84"/>
    </row>
    <row r="59" spans="1:9" ht="16.5" thickBot="1" x14ac:dyDescent="0.25">
      <c r="A59" s="155" t="s">
        <v>143</v>
      </c>
      <c r="B59" s="156"/>
      <c r="C59" s="156"/>
      <c r="D59" s="156"/>
      <c r="E59" s="156"/>
      <c r="F59" s="161"/>
      <c r="G59" s="162"/>
      <c r="H59" s="163">
        <f>H50+H57</f>
        <v>17349.605225932093</v>
      </c>
      <c r="I59" s="84"/>
    </row>
    <row r="60" spans="1:9" ht="15.75" thickBot="1" x14ac:dyDescent="0.25">
      <c r="A60" s="90"/>
      <c r="B60" s="90"/>
      <c r="C60" s="90"/>
      <c r="D60" s="90"/>
      <c r="E60" s="90"/>
      <c r="F60" s="182"/>
      <c r="G60" s="182"/>
      <c r="H60" s="90"/>
      <c r="I60" s="84"/>
    </row>
    <row r="61" spans="1:9" ht="16.5" thickBot="1" x14ac:dyDescent="0.3">
      <c r="A61" s="164" t="s">
        <v>144</v>
      </c>
      <c r="B61" s="183"/>
      <c r="C61" s="183"/>
      <c r="D61" s="183"/>
      <c r="E61" s="183"/>
      <c r="F61" s="183"/>
      <c r="G61" s="183"/>
      <c r="H61" s="165">
        <f>H59/(G11*G22)</f>
        <v>8.8972334491959444</v>
      </c>
      <c r="I61" s="84"/>
    </row>
    <row r="62" spans="1:9" ht="10.9" customHeight="1" thickBot="1" x14ac:dyDescent="0.25">
      <c r="A62" s="90"/>
      <c r="B62" s="90"/>
      <c r="C62" s="90"/>
      <c r="D62" s="90"/>
      <c r="E62" s="90"/>
      <c r="F62" s="90"/>
      <c r="G62" s="90"/>
      <c r="H62" s="90"/>
      <c r="I62" s="90"/>
    </row>
    <row r="63" spans="1:9" ht="15.75" x14ac:dyDescent="0.2">
      <c r="A63" s="541" t="s">
        <v>82</v>
      </c>
      <c r="B63" s="542"/>
      <c r="C63" s="542"/>
      <c r="D63" s="542"/>
      <c r="E63" s="542"/>
      <c r="F63" s="543"/>
      <c r="G63" s="544"/>
      <c r="H63" s="90"/>
      <c r="I63" s="90"/>
    </row>
    <row r="64" spans="1:9" ht="15.75" x14ac:dyDescent="0.2">
      <c r="A64" s="228" t="s">
        <v>81</v>
      </c>
      <c r="B64" s="229"/>
      <c r="C64" s="229"/>
      <c r="D64" s="229"/>
      <c r="E64" s="166"/>
      <c r="F64" s="166" t="s">
        <v>5</v>
      </c>
      <c r="G64" s="230" t="s">
        <v>0</v>
      </c>
      <c r="H64" s="90"/>
      <c r="I64" s="90"/>
    </row>
    <row r="65" spans="1:9" ht="15.75" x14ac:dyDescent="0.2">
      <c r="A65" s="231" t="str">
        <f>A25</f>
        <v>1- CUSTO VARIÁVEL</v>
      </c>
      <c r="B65" s="232"/>
      <c r="C65" s="232"/>
      <c r="D65" s="233"/>
      <c r="E65" s="234"/>
      <c r="F65" s="166">
        <f>SUM(F66:F68)</f>
        <v>5569.8157894736842</v>
      </c>
      <c r="G65" s="235">
        <f>F65/$F$74</f>
        <v>0.32103415132170249</v>
      </c>
      <c r="H65" s="90"/>
      <c r="I65" s="90"/>
    </row>
    <row r="66" spans="1:9" ht="15" x14ac:dyDescent="0.2">
      <c r="A66" s="236" t="str">
        <f>A26</f>
        <v xml:space="preserve">1.1 Combustível </v>
      </c>
      <c r="B66" s="237"/>
      <c r="C66" s="237"/>
      <c r="D66" s="229"/>
      <c r="E66" s="238"/>
      <c r="F66" s="238">
        <f>B26</f>
        <v>3756.3157894736842</v>
      </c>
      <c r="G66" s="239">
        <f t="shared" ref="G66:G72" si="0">F66/$F$74</f>
        <v>0.21650727728716254</v>
      </c>
      <c r="H66" s="90"/>
      <c r="I66" s="90"/>
    </row>
    <row r="67" spans="1:9" ht="15" x14ac:dyDescent="0.2">
      <c r="A67" s="240" t="str">
        <f>A27</f>
        <v xml:space="preserve">1.2 Manutenção e insumos </v>
      </c>
      <c r="B67" s="241"/>
      <c r="C67" s="241"/>
      <c r="D67" s="242"/>
      <c r="E67" s="243"/>
      <c r="F67" s="152">
        <f>B27</f>
        <v>1462.5</v>
      </c>
      <c r="G67" s="239">
        <f t="shared" si="0"/>
        <v>8.4295866156887056E-2</v>
      </c>
      <c r="H67" s="90"/>
      <c r="I67" s="90"/>
    </row>
    <row r="68" spans="1:9" ht="15" x14ac:dyDescent="0.2">
      <c r="A68" s="240" t="str">
        <f>A28</f>
        <v>1.3 Pneus</v>
      </c>
      <c r="B68" s="241"/>
      <c r="C68" s="241"/>
      <c r="D68" s="242"/>
      <c r="E68" s="243"/>
      <c r="F68" s="238">
        <f>B28</f>
        <v>351</v>
      </c>
      <c r="G68" s="239">
        <f t="shared" si="0"/>
        <v>2.0231007877652894E-2</v>
      </c>
      <c r="H68" s="90"/>
      <c r="I68" s="90"/>
    </row>
    <row r="69" spans="1:9" ht="15.75" x14ac:dyDescent="0.2">
      <c r="A69" s="244" t="str">
        <f>A33</f>
        <v xml:space="preserve">2 - TOTAL CUSTO FIXO MENSAL </v>
      </c>
      <c r="B69" s="241"/>
      <c r="C69" s="241"/>
      <c r="D69" s="242"/>
      <c r="E69" s="243"/>
      <c r="F69" s="166">
        <f>SUM(F70)</f>
        <v>8083.765091876825</v>
      </c>
      <c r="G69" s="235">
        <f t="shared" si="0"/>
        <v>0.46593366169474509</v>
      </c>
      <c r="H69" s="90"/>
      <c r="I69" s="90"/>
    </row>
    <row r="70" spans="1:9" ht="15" x14ac:dyDescent="0.2">
      <c r="A70" s="240" t="str">
        <f>A43</f>
        <v>2.1 TOTAL CUSTO FIXO MENSAL</v>
      </c>
      <c r="B70" s="241"/>
      <c r="C70" s="241"/>
      <c r="D70" s="242"/>
      <c r="E70" s="243"/>
      <c r="F70" s="238">
        <f>B43</f>
        <v>8083.765091876825</v>
      </c>
      <c r="G70" s="239">
        <f>F70/$F$74</f>
        <v>0.46593366169474509</v>
      </c>
      <c r="H70" s="90"/>
      <c r="I70" s="90"/>
    </row>
    <row r="71" spans="1:9" ht="15.75" x14ac:dyDescent="0.2">
      <c r="A71" s="245" t="str">
        <f>A50</f>
        <v>3- CUSTO TOTAL MENSAL COM DESPESAS OPERACIONAIS</v>
      </c>
      <c r="B71" s="246"/>
      <c r="C71" s="246"/>
      <c r="D71" s="246"/>
      <c r="E71" s="247"/>
      <c r="F71" s="166">
        <f>F65+F69</f>
        <v>13653.58088135051</v>
      </c>
      <c r="G71" s="235">
        <f t="shared" si="0"/>
        <v>0.78696781301644758</v>
      </c>
      <c r="H71" s="90"/>
      <c r="I71" s="90"/>
    </row>
    <row r="72" spans="1:9" ht="15.75" x14ac:dyDescent="0.2">
      <c r="A72" s="248" t="str">
        <f>A52</f>
        <v xml:space="preserve">4- BENEFÍCIOS E DESPESAS INDIRETAS </v>
      </c>
      <c r="B72" s="249"/>
      <c r="C72" s="249"/>
      <c r="D72" s="246"/>
      <c r="E72" s="166"/>
      <c r="F72" s="166">
        <f>H57</f>
        <v>3696.0243445815831</v>
      </c>
      <c r="G72" s="235">
        <f t="shared" si="0"/>
        <v>0.21303218698355236</v>
      </c>
      <c r="H72" s="90"/>
      <c r="I72" s="90"/>
    </row>
    <row r="73" spans="1:9" ht="16.5" thickBot="1" x14ac:dyDescent="0.25">
      <c r="A73" s="250"/>
      <c r="B73" s="251"/>
      <c r="C73" s="251"/>
      <c r="D73" s="252"/>
      <c r="E73" s="253"/>
      <c r="F73" s="254"/>
      <c r="G73" s="255"/>
      <c r="H73" s="90"/>
      <c r="I73" s="90"/>
    </row>
    <row r="74" spans="1:9" ht="16.5" thickBot="1" x14ac:dyDescent="0.25">
      <c r="A74" s="256" t="str">
        <f>A59</f>
        <v xml:space="preserve">5- PREÇO MENSAL TOTAL COM O TRANSPORTE ESCOLAR </v>
      </c>
      <c r="B74" s="257"/>
      <c r="C74" s="257"/>
      <c r="D74" s="258"/>
      <c r="E74" s="258"/>
      <c r="F74" s="258">
        <f>F71+F72</f>
        <v>17349.605225932093</v>
      </c>
      <c r="G74" s="259">
        <f>G71+G72</f>
        <v>1</v>
      </c>
      <c r="H74" s="90"/>
      <c r="I74" s="90"/>
    </row>
    <row r="75" spans="1:9" ht="15" x14ac:dyDescent="0.2">
      <c r="A75" s="260"/>
      <c r="B75" s="261"/>
      <c r="C75" s="261"/>
      <c r="D75" s="261"/>
      <c r="E75" s="261"/>
      <c r="F75" s="261"/>
      <c r="G75" s="262"/>
      <c r="H75" s="90"/>
      <c r="I75" s="90"/>
    </row>
    <row r="76" spans="1:9" ht="15.75" x14ac:dyDescent="0.25">
      <c r="A76" s="263" t="s">
        <v>145</v>
      </c>
      <c r="B76" s="104"/>
      <c r="C76" s="104"/>
      <c r="D76" s="104"/>
      <c r="E76" s="104"/>
      <c r="F76" s="104"/>
      <c r="G76" s="264">
        <f>G11</f>
        <v>97.5</v>
      </c>
      <c r="H76" s="90"/>
      <c r="I76" s="90"/>
    </row>
    <row r="77" spans="1:9" ht="15.75" x14ac:dyDescent="0.25">
      <c r="A77" s="263" t="s">
        <v>146</v>
      </c>
      <c r="B77" s="104"/>
      <c r="C77" s="104"/>
      <c r="D77" s="104"/>
      <c r="E77" s="104"/>
      <c r="F77" s="104"/>
      <c r="G77" s="265">
        <f>G22</f>
        <v>20</v>
      </c>
      <c r="H77" s="90"/>
      <c r="I77" s="90"/>
    </row>
    <row r="78" spans="1:9" ht="15.75" x14ac:dyDescent="0.25">
      <c r="A78" s="263" t="s">
        <v>147</v>
      </c>
      <c r="B78" s="104"/>
      <c r="C78" s="104"/>
      <c r="D78" s="104"/>
      <c r="E78" s="104"/>
      <c r="F78" s="104"/>
      <c r="G78" s="264">
        <f>G76*G77</f>
        <v>1950</v>
      </c>
      <c r="H78" s="90"/>
    </row>
    <row r="79" spans="1:9" ht="16.5" thickBot="1" x14ac:dyDescent="0.3">
      <c r="A79" s="266" t="s">
        <v>148</v>
      </c>
      <c r="B79" s="267"/>
      <c r="C79" s="267"/>
      <c r="D79" s="267"/>
      <c r="E79" s="267"/>
      <c r="F79" s="267"/>
      <c r="G79" s="268">
        <f>F74/G78</f>
        <v>8.8972334491959444</v>
      </c>
      <c r="H79" s="90"/>
      <c r="I79" s="90"/>
    </row>
    <row r="80" spans="1:9" ht="15" x14ac:dyDescent="0.2">
      <c r="A80" s="90"/>
      <c r="B80" s="90"/>
      <c r="C80" s="90"/>
      <c r="D80" s="90"/>
      <c r="E80" s="90"/>
      <c r="F80" s="90"/>
      <c r="G80" s="90"/>
      <c r="H80" s="90"/>
      <c r="I80" s="90"/>
    </row>
    <row r="81" spans="1:9" ht="15" x14ac:dyDescent="0.2">
      <c r="A81" s="269" t="str">
        <f>A2</f>
        <v xml:space="preserve">LINHA 28 - ITINERÁRIO </v>
      </c>
      <c r="B81" s="90"/>
      <c r="C81" s="90"/>
      <c r="D81" s="90"/>
      <c r="E81" s="90"/>
      <c r="F81" s="90"/>
      <c r="G81" s="90"/>
      <c r="H81" s="90"/>
      <c r="I81" s="90"/>
    </row>
    <row r="82" spans="1:9" ht="15.75" x14ac:dyDescent="0.25">
      <c r="A82" s="87" t="s">
        <v>210</v>
      </c>
      <c r="B82" s="90"/>
      <c r="C82" s="90"/>
      <c r="D82" s="90"/>
      <c r="E82" s="90"/>
      <c r="F82" s="90"/>
      <c r="G82" s="90"/>
      <c r="H82" s="90"/>
      <c r="I82" s="90"/>
    </row>
    <row r="83" spans="1:9" ht="15.75" x14ac:dyDescent="0.25">
      <c r="A83" s="87" t="s">
        <v>149</v>
      </c>
      <c r="B83" s="167">
        <f>G11</f>
        <v>97.5</v>
      </c>
      <c r="C83" s="167"/>
      <c r="D83" s="82" t="s">
        <v>150</v>
      </c>
      <c r="E83" s="90"/>
      <c r="F83" s="90"/>
      <c r="G83" s="90"/>
      <c r="H83" s="90"/>
      <c r="I83" s="90"/>
    </row>
    <row r="84" spans="1:9" ht="15.75" x14ac:dyDescent="0.25">
      <c r="A84" s="87" t="s">
        <v>321</v>
      </c>
      <c r="B84" s="82"/>
      <c r="C84" s="82"/>
      <c r="D84" s="82"/>
      <c r="E84" s="90"/>
      <c r="F84" s="90"/>
      <c r="G84" s="90"/>
      <c r="H84" s="90"/>
      <c r="I84" s="90"/>
    </row>
    <row r="85" spans="1:9" ht="15.75" x14ac:dyDescent="0.25">
      <c r="A85" s="87" t="s">
        <v>151</v>
      </c>
      <c r="B85" s="168"/>
      <c r="C85" s="168"/>
      <c r="D85" s="169">
        <f>H61</f>
        <v>8.8972334491959444</v>
      </c>
      <c r="E85" s="170"/>
      <c r="F85" s="545"/>
      <c r="G85" s="545"/>
      <c r="H85" s="545"/>
      <c r="I85" s="90"/>
    </row>
    <row r="86" spans="1:9" ht="15.75" x14ac:dyDescent="0.25">
      <c r="A86" s="87"/>
      <c r="B86" s="84"/>
      <c r="C86" s="84"/>
      <c r="D86" s="84"/>
      <c r="E86" s="84"/>
      <c r="F86" s="545"/>
      <c r="G86" s="545"/>
      <c r="H86" s="545"/>
      <c r="I86" s="90"/>
    </row>
    <row r="87" spans="1:9" ht="18" x14ac:dyDescent="0.25">
      <c r="A87" s="171" t="s">
        <v>152</v>
      </c>
      <c r="B87" s="84"/>
      <c r="C87" s="84"/>
      <c r="D87" s="84"/>
      <c r="E87" s="84"/>
      <c r="F87" s="84"/>
      <c r="G87" s="84"/>
      <c r="H87" s="84"/>
      <c r="I87" s="90"/>
    </row>
    <row r="88" spans="1:9" ht="18" x14ac:dyDescent="0.25">
      <c r="A88" s="172"/>
      <c r="B88" s="172"/>
      <c r="C88" s="172"/>
      <c r="D88" s="172"/>
      <c r="E88" s="172"/>
      <c r="F88" s="172"/>
      <c r="G88" s="172"/>
      <c r="H88" s="172"/>
      <c r="I88" s="84"/>
    </row>
    <row r="89" spans="1:9" ht="18" x14ac:dyDescent="0.25">
      <c r="A89" s="221" t="s">
        <v>153</v>
      </c>
      <c r="B89" s="221"/>
      <c r="C89" s="221"/>
      <c r="D89" s="221"/>
      <c r="E89" s="221"/>
      <c r="F89" s="221"/>
      <c r="G89" s="221"/>
      <c r="H89" s="172"/>
      <c r="I89" s="84"/>
    </row>
    <row r="90" spans="1:9" ht="18" x14ac:dyDescent="0.25">
      <c r="A90" s="221" t="s">
        <v>154</v>
      </c>
      <c r="B90" s="221"/>
      <c r="C90" s="221"/>
      <c r="D90" s="221"/>
      <c r="E90" s="221"/>
      <c r="F90" s="221"/>
      <c r="G90" s="221"/>
      <c r="H90" s="172"/>
      <c r="I90" s="84"/>
    </row>
    <row r="91" spans="1:9" ht="18" x14ac:dyDescent="0.25">
      <c r="A91" s="221" t="s">
        <v>155</v>
      </c>
      <c r="B91" s="221"/>
      <c r="C91" s="221"/>
      <c r="D91" s="221"/>
      <c r="E91" s="221"/>
      <c r="F91" s="221"/>
      <c r="G91" s="221"/>
      <c r="H91" s="172"/>
      <c r="I91" s="84"/>
    </row>
    <row r="92" spans="1:9" ht="18" x14ac:dyDescent="0.25">
      <c r="A92" s="221" t="s">
        <v>156</v>
      </c>
      <c r="B92" s="221"/>
      <c r="C92" s="221"/>
      <c r="D92" s="221"/>
      <c r="E92" s="221"/>
      <c r="F92" s="221"/>
      <c r="G92" s="221"/>
      <c r="H92" s="172"/>
      <c r="I92" s="84"/>
    </row>
    <row r="93" spans="1:9" ht="18" x14ac:dyDescent="0.25">
      <c r="A93" s="221" t="s">
        <v>157</v>
      </c>
      <c r="B93" s="221"/>
      <c r="C93" s="221"/>
      <c r="D93" s="221"/>
      <c r="E93" s="221"/>
      <c r="F93" s="221"/>
      <c r="G93" s="221"/>
      <c r="H93" s="172"/>
      <c r="I93" s="84"/>
    </row>
    <row r="94" spans="1:9" ht="18" x14ac:dyDescent="0.25">
      <c r="A94" s="221" t="s">
        <v>315</v>
      </c>
      <c r="B94" s="221" t="str">
        <f>B17</f>
        <v>Veículo no mínimo de 32 lugares</v>
      </c>
      <c r="C94" s="221"/>
      <c r="D94" s="221"/>
      <c r="E94" s="221"/>
      <c r="F94" s="221"/>
      <c r="G94" s="221"/>
      <c r="H94" s="172"/>
      <c r="I94" s="84"/>
    </row>
    <row r="95" spans="1:9" ht="18" x14ac:dyDescent="0.25">
      <c r="A95" s="221" t="s">
        <v>184</v>
      </c>
      <c r="B95" s="221"/>
      <c r="C95" s="221"/>
      <c r="D95" s="221"/>
      <c r="E95" s="221"/>
      <c r="F95" s="221"/>
      <c r="G95" s="221"/>
      <c r="H95" s="172"/>
      <c r="I95" s="84"/>
    </row>
    <row r="96" spans="1:9" ht="18" x14ac:dyDescent="0.25">
      <c r="A96" s="221" t="s">
        <v>158</v>
      </c>
      <c r="B96" s="221" t="str">
        <f>A18</f>
        <v>Veículo no máximo 20 anos de uso - Base Tabela FIPE</v>
      </c>
      <c r="C96" s="221"/>
      <c r="D96" s="221"/>
      <c r="E96" s="221"/>
      <c r="F96" s="221"/>
      <c r="G96" s="221"/>
      <c r="H96" s="172"/>
      <c r="I96" s="84"/>
    </row>
    <row r="97" spans="1:9" ht="18" x14ac:dyDescent="0.25">
      <c r="A97" s="221" t="s">
        <v>219</v>
      </c>
      <c r="B97" s="221"/>
      <c r="C97" s="221"/>
      <c r="D97" s="221"/>
      <c r="E97" s="221"/>
      <c r="F97" s="221"/>
      <c r="G97" s="221"/>
      <c r="H97" s="172"/>
      <c r="I97" s="84"/>
    </row>
    <row r="98" spans="1:9" ht="18" x14ac:dyDescent="0.25">
      <c r="A98" s="221" t="s">
        <v>182</v>
      </c>
      <c r="B98" s="221"/>
      <c r="C98" s="221"/>
      <c r="D98" s="221"/>
      <c r="E98" s="221"/>
      <c r="F98" s="221"/>
      <c r="G98" s="221"/>
      <c r="H98" s="172"/>
      <c r="I98" s="84"/>
    </row>
    <row r="99" spans="1:9" ht="18" x14ac:dyDescent="0.25">
      <c r="A99" s="221" t="s">
        <v>213</v>
      </c>
      <c r="B99" s="221"/>
      <c r="C99" s="221">
        <f>G20</f>
        <v>3.8</v>
      </c>
      <c r="D99" s="221" t="s">
        <v>214</v>
      </c>
      <c r="E99" s="221" t="s">
        <v>215</v>
      </c>
      <c r="F99" s="221"/>
      <c r="G99" s="221"/>
      <c r="H99" s="172"/>
      <c r="I99" s="84"/>
    </row>
    <row r="100" spans="1:9" ht="18" x14ac:dyDescent="0.25">
      <c r="A100" s="221" t="s">
        <v>220</v>
      </c>
      <c r="B100" s="221"/>
      <c r="C100" s="221"/>
      <c r="D100" s="221"/>
      <c r="E100" s="221"/>
      <c r="F100" s="221"/>
      <c r="G100" s="221"/>
      <c r="H100" s="172"/>
      <c r="I100" s="84"/>
    </row>
    <row r="101" spans="1:9" ht="18" x14ac:dyDescent="0.25">
      <c r="A101" s="221" t="s">
        <v>186</v>
      </c>
      <c r="B101" s="221"/>
      <c r="C101" s="221"/>
      <c r="D101" s="221"/>
      <c r="E101" s="221"/>
      <c r="F101" s="221"/>
      <c r="G101" s="221"/>
      <c r="H101" s="172"/>
      <c r="I101" s="84"/>
    </row>
    <row r="102" spans="1:9" ht="18" x14ac:dyDescent="0.25">
      <c r="A102" s="221" t="s">
        <v>221</v>
      </c>
      <c r="B102" s="221"/>
      <c r="C102" s="221"/>
      <c r="D102" s="221"/>
      <c r="E102" s="221"/>
      <c r="F102" s="221"/>
      <c r="G102" s="221"/>
      <c r="H102" s="172"/>
      <c r="I102" s="84"/>
    </row>
    <row r="103" spans="1:9" ht="18" x14ac:dyDescent="0.25">
      <c r="A103" s="221" t="s">
        <v>199</v>
      </c>
      <c r="B103" s="221"/>
      <c r="C103" s="221"/>
      <c r="D103" s="221"/>
      <c r="E103" s="221"/>
      <c r="F103" s="221"/>
      <c r="G103" s="221"/>
      <c r="H103" s="172"/>
      <c r="I103" s="84"/>
    </row>
    <row r="104" spans="1:9" ht="18" x14ac:dyDescent="0.25">
      <c r="A104" s="221" t="s">
        <v>216</v>
      </c>
      <c r="B104" s="221"/>
      <c r="C104" s="221"/>
      <c r="D104" s="221"/>
      <c r="E104" s="221"/>
      <c r="F104" s="221"/>
      <c r="G104" s="221"/>
      <c r="H104" s="172"/>
      <c r="I104" s="84"/>
    </row>
    <row r="105" spans="1:9" ht="18" x14ac:dyDescent="0.25">
      <c r="A105" s="221" t="s">
        <v>262</v>
      </c>
      <c r="B105" s="221"/>
      <c r="C105" s="221"/>
      <c r="D105" s="221"/>
      <c r="E105" s="221"/>
      <c r="F105" s="221"/>
      <c r="G105" s="221"/>
      <c r="H105" s="172"/>
      <c r="I105" s="84"/>
    </row>
    <row r="106" spans="1:9" ht="18" x14ac:dyDescent="0.25">
      <c r="A106" s="221" t="s">
        <v>159</v>
      </c>
      <c r="B106" s="221"/>
      <c r="C106" s="221"/>
      <c r="D106" s="221"/>
      <c r="E106" s="221"/>
      <c r="F106" s="221"/>
      <c r="G106" s="221"/>
      <c r="H106" s="172"/>
      <c r="I106" s="84"/>
    </row>
    <row r="107" spans="1:9" ht="18" x14ac:dyDescent="0.25">
      <c r="A107" s="221" t="s">
        <v>160</v>
      </c>
      <c r="B107" s="221"/>
      <c r="C107" s="221"/>
      <c r="D107" s="221"/>
      <c r="E107" s="221"/>
      <c r="F107" s="221"/>
      <c r="G107" s="221"/>
      <c r="H107" s="172"/>
      <c r="I107" s="84"/>
    </row>
    <row r="108" spans="1:9" ht="18" x14ac:dyDescent="0.25">
      <c r="A108" s="221" t="s">
        <v>185</v>
      </c>
      <c r="B108" s="221"/>
      <c r="C108" s="221"/>
      <c r="D108" s="221"/>
      <c r="E108" s="221"/>
      <c r="F108" s="221"/>
      <c r="G108" s="221"/>
      <c r="H108" s="172"/>
      <c r="I108" s="84"/>
    </row>
    <row r="109" spans="1:9" ht="18" x14ac:dyDescent="0.25">
      <c r="A109" s="221" t="s">
        <v>208</v>
      </c>
      <c r="B109" s="221"/>
      <c r="C109" s="221"/>
      <c r="D109" s="221"/>
      <c r="E109" s="221"/>
      <c r="F109" s="221"/>
      <c r="G109" s="221"/>
      <c r="H109" s="172"/>
      <c r="I109" s="84"/>
    </row>
    <row r="110" spans="1:9" ht="18" x14ac:dyDescent="0.25">
      <c r="A110" s="221" t="s">
        <v>200</v>
      </c>
      <c r="B110" s="221"/>
      <c r="C110" s="221"/>
      <c r="D110" s="221"/>
      <c r="E110" s="221"/>
      <c r="F110" s="221"/>
      <c r="G110" s="221"/>
      <c r="H110" s="172"/>
      <c r="I110" s="84"/>
    </row>
    <row r="111" spans="1:9" ht="18" x14ac:dyDescent="0.25">
      <c r="A111" s="221" t="s">
        <v>161</v>
      </c>
      <c r="B111" s="221"/>
      <c r="C111" s="221"/>
      <c r="D111" s="221"/>
      <c r="E111" s="221"/>
      <c r="F111" s="221"/>
      <c r="G111" s="221"/>
      <c r="H111" s="172"/>
      <c r="I111" s="84"/>
    </row>
    <row r="112" spans="1:9" ht="18" x14ac:dyDescent="0.25">
      <c r="A112" s="221" t="s">
        <v>261</v>
      </c>
      <c r="B112" s="221"/>
      <c r="C112" s="221"/>
      <c r="D112" s="221"/>
      <c r="E112" s="221"/>
      <c r="F112" s="221"/>
      <c r="G112" s="221"/>
      <c r="H112" s="172"/>
      <c r="I112" s="84"/>
    </row>
    <row r="113" spans="1:9" ht="18" x14ac:dyDescent="0.25">
      <c r="A113" s="221" t="s">
        <v>162</v>
      </c>
      <c r="B113" s="221"/>
      <c r="C113" s="221"/>
      <c r="D113" s="221"/>
      <c r="E113" s="221"/>
      <c r="F113" s="221"/>
      <c r="G113" s="221"/>
      <c r="H113" s="172"/>
      <c r="I113" s="84"/>
    </row>
    <row r="114" spans="1:9" ht="18" x14ac:dyDescent="0.25">
      <c r="A114" s="221" t="s">
        <v>217</v>
      </c>
      <c r="B114" s="221"/>
      <c r="C114" s="221"/>
      <c r="D114" s="221"/>
      <c r="E114" s="221"/>
      <c r="F114" s="221"/>
      <c r="G114" s="221"/>
      <c r="H114" s="172"/>
      <c r="I114" s="84"/>
    </row>
    <row r="115" spans="1:9" ht="18" x14ac:dyDescent="0.25">
      <c r="A115" s="221" t="s">
        <v>204</v>
      </c>
      <c r="B115" s="221"/>
      <c r="C115" s="221"/>
      <c r="D115" s="221"/>
      <c r="E115" s="221"/>
      <c r="F115" s="221"/>
      <c r="G115" s="221"/>
      <c r="H115" s="172"/>
      <c r="I115" s="84"/>
    </row>
    <row r="116" spans="1:9" ht="18" x14ac:dyDescent="0.25">
      <c r="A116" s="221" t="s">
        <v>163</v>
      </c>
      <c r="B116" s="221"/>
      <c r="C116" s="221"/>
      <c r="D116" s="221"/>
      <c r="E116" s="221"/>
      <c r="F116" s="221"/>
      <c r="G116" s="221"/>
      <c r="H116" s="172"/>
      <c r="I116" s="84"/>
    </row>
    <row r="117" spans="1:9" ht="18" x14ac:dyDescent="0.25">
      <c r="A117" s="221" t="s">
        <v>164</v>
      </c>
      <c r="B117" s="221"/>
      <c r="C117" s="221"/>
      <c r="D117" s="221"/>
      <c r="E117" s="221"/>
      <c r="F117" s="221"/>
      <c r="G117" s="221"/>
      <c r="H117" s="172"/>
      <c r="I117" s="84"/>
    </row>
    <row r="118" spans="1:9" ht="18" x14ac:dyDescent="0.25">
      <c r="A118" s="221" t="s">
        <v>165</v>
      </c>
      <c r="B118" s="221"/>
      <c r="C118" s="221"/>
      <c r="D118" s="221"/>
      <c r="E118" s="221"/>
      <c r="F118" s="221"/>
      <c r="G118" s="221"/>
      <c r="H118" s="172"/>
      <c r="I118" s="84"/>
    </row>
    <row r="119" spans="1:9" ht="18" x14ac:dyDescent="0.25">
      <c r="A119" s="221" t="s">
        <v>166</v>
      </c>
      <c r="B119" s="221"/>
      <c r="C119" s="221"/>
      <c r="D119" s="221"/>
      <c r="E119" s="221"/>
      <c r="F119" s="221"/>
      <c r="G119" s="221"/>
      <c r="H119" s="172"/>
      <c r="I119" s="84"/>
    </row>
    <row r="120" spans="1:9" ht="18" x14ac:dyDescent="0.25">
      <c r="A120" s="221" t="s">
        <v>201</v>
      </c>
      <c r="B120" s="221"/>
      <c r="C120" s="221"/>
      <c r="D120" s="221"/>
      <c r="E120" s="221"/>
      <c r="F120" s="221"/>
      <c r="G120" s="221"/>
      <c r="H120" s="172"/>
      <c r="I120" s="84"/>
    </row>
    <row r="121" spans="1:9" ht="18" x14ac:dyDescent="0.25">
      <c r="A121" s="221" t="s">
        <v>218</v>
      </c>
      <c r="B121" s="222"/>
      <c r="C121" s="222"/>
      <c r="D121" s="222"/>
      <c r="E121" s="222"/>
      <c r="F121" s="222"/>
      <c r="G121" s="222"/>
      <c r="H121" s="172"/>
      <c r="I121" s="84"/>
    </row>
    <row r="122" spans="1:9" ht="18" x14ac:dyDescent="0.25">
      <c r="A122" s="221" t="s">
        <v>205</v>
      </c>
      <c r="B122" s="222"/>
      <c r="C122" s="222"/>
      <c r="D122" s="222"/>
      <c r="E122" s="222"/>
      <c r="F122" s="222"/>
      <c r="G122" s="222"/>
      <c r="H122" s="172"/>
      <c r="I122" s="84"/>
    </row>
    <row r="123" spans="1:9" ht="18" x14ac:dyDescent="0.25">
      <c r="A123" s="221" t="s">
        <v>167</v>
      </c>
      <c r="B123" s="222"/>
      <c r="C123" s="222"/>
      <c r="D123" s="222"/>
      <c r="E123" s="222"/>
      <c r="F123" s="222"/>
      <c r="G123" s="222"/>
      <c r="H123" s="172"/>
      <c r="I123" s="84"/>
    </row>
    <row r="124" spans="1:9" ht="18" x14ac:dyDescent="0.25">
      <c r="A124" s="221" t="s">
        <v>168</v>
      </c>
      <c r="B124" s="222"/>
      <c r="C124" s="222"/>
      <c r="D124" s="222"/>
      <c r="E124" s="222"/>
      <c r="F124" s="222"/>
      <c r="G124" s="222"/>
      <c r="H124" s="172"/>
      <c r="I124" s="84"/>
    </row>
    <row r="125" spans="1:9" ht="18" x14ac:dyDescent="0.25">
      <c r="A125" s="221" t="s">
        <v>169</v>
      </c>
      <c r="B125" s="222"/>
      <c r="C125" s="222"/>
      <c r="D125" s="222"/>
      <c r="E125" s="222"/>
      <c r="F125" s="222"/>
      <c r="G125" s="222"/>
      <c r="H125" s="84"/>
      <c r="I125" s="84"/>
    </row>
    <row r="126" spans="1:9" ht="18" x14ac:dyDescent="0.25">
      <c r="A126" s="221" t="s">
        <v>170</v>
      </c>
      <c r="B126" s="222"/>
      <c r="C126" s="222"/>
      <c r="D126" s="222"/>
      <c r="E126" s="222"/>
      <c r="F126" s="222"/>
      <c r="G126" s="222"/>
      <c r="H126" s="84"/>
      <c r="I126" s="84"/>
    </row>
    <row r="127" spans="1:9" ht="18" x14ac:dyDescent="0.25">
      <c r="A127" s="221" t="s">
        <v>171</v>
      </c>
      <c r="B127" s="222"/>
      <c r="C127" s="222"/>
      <c r="D127" s="222"/>
      <c r="E127" s="222"/>
      <c r="F127" s="222"/>
      <c r="G127" s="222"/>
      <c r="H127" s="84"/>
      <c r="I127" s="84"/>
    </row>
    <row r="128" spans="1:9" ht="18" x14ac:dyDescent="0.25">
      <c r="A128" s="221" t="s">
        <v>207</v>
      </c>
      <c r="B128" s="222"/>
      <c r="C128" s="222"/>
      <c r="D128" s="222"/>
      <c r="E128" s="222"/>
      <c r="F128" s="222"/>
      <c r="G128" s="222"/>
      <c r="H128" s="84"/>
      <c r="I128" s="84"/>
    </row>
    <row r="129" spans="1:9" ht="16.5" x14ac:dyDescent="0.25">
      <c r="A129" s="173"/>
      <c r="B129" s="84"/>
      <c r="C129" s="84"/>
      <c r="D129" s="84"/>
      <c r="E129" s="84"/>
      <c r="F129" s="84"/>
      <c r="G129" s="84"/>
      <c r="H129" s="84"/>
      <c r="I129" s="84"/>
    </row>
    <row r="130" spans="1:9" ht="18" x14ac:dyDescent="0.25">
      <c r="A130" s="172" t="str">
        <f>'Resumo 2026 '!A16</f>
        <v>Fontoura Xavier, 05 de outubro de 2026</v>
      </c>
      <c r="B130" s="84"/>
      <c r="C130" s="84"/>
      <c r="D130" s="84"/>
      <c r="E130" s="84"/>
      <c r="F130" s="84"/>
      <c r="G130" s="84"/>
      <c r="H130" s="84"/>
      <c r="I130" s="84"/>
    </row>
    <row r="131" spans="1:9" ht="18" x14ac:dyDescent="0.25">
      <c r="A131" s="172"/>
      <c r="B131" s="84"/>
      <c r="C131" s="84"/>
      <c r="D131" s="84"/>
      <c r="E131" s="84"/>
      <c r="F131" s="84"/>
      <c r="G131" s="84"/>
      <c r="H131" s="84"/>
      <c r="I131" s="84"/>
    </row>
    <row r="132" spans="1:9" ht="18" x14ac:dyDescent="0.25">
      <c r="A132" s="172"/>
      <c r="B132" s="84"/>
      <c r="C132" s="84"/>
      <c r="D132" s="84"/>
      <c r="E132" s="84"/>
      <c r="F132" s="84"/>
      <c r="G132" s="84"/>
      <c r="H132" s="84"/>
      <c r="I132" s="84"/>
    </row>
    <row r="133" spans="1:9" ht="18" x14ac:dyDescent="0.25">
      <c r="A133" s="172"/>
      <c r="B133" s="84"/>
      <c r="C133" s="84"/>
      <c r="D133" s="84"/>
      <c r="E133" s="84"/>
      <c r="F133" s="84"/>
      <c r="G133" s="84"/>
      <c r="H133" s="84"/>
      <c r="I133" s="84"/>
    </row>
    <row r="134" spans="1:9" x14ac:dyDescent="0.2">
      <c r="A134" s="84"/>
      <c r="B134" s="84"/>
      <c r="C134" s="84"/>
      <c r="D134" s="84"/>
      <c r="E134" s="84"/>
      <c r="F134" s="84"/>
      <c r="G134" s="84"/>
      <c r="H134" s="84"/>
      <c r="I134" s="84"/>
    </row>
    <row r="135" spans="1:9" x14ac:dyDescent="0.2">
      <c r="A135" s="84"/>
      <c r="B135" s="84"/>
      <c r="C135" s="84"/>
      <c r="D135" s="84"/>
      <c r="E135" s="84"/>
      <c r="F135" s="84"/>
      <c r="G135" s="84"/>
      <c r="H135" s="84"/>
      <c r="I135" s="84"/>
    </row>
    <row r="136" spans="1:9" x14ac:dyDescent="0.2">
      <c r="A136" s="84"/>
      <c r="B136" s="84"/>
      <c r="C136" s="84"/>
      <c r="D136" s="84"/>
      <c r="E136" s="84"/>
      <c r="F136" s="84"/>
      <c r="G136" s="84"/>
      <c r="H136" s="84"/>
      <c r="I136" s="84"/>
    </row>
  </sheetData>
  <mergeCells count="24">
    <mergeCell ref="B17:G17"/>
    <mergeCell ref="A18:F18"/>
    <mergeCell ref="A19:F19"/>
    <mergeCell ref="A20:F20"/>
    <mergeCell ref="A1:H1"/>
    <mergeCell ref="A2:H2"/>
    <mergeCell ref="A3:H3"/>
    <mergeCell ref="A4:H4"/>
    <mergeCell ref="A11:F11"/>
    <mergeCell ref="B13:C13"/>
    <mergeCell ref="A14:F14"/>
    <mergeCell ref="B7:C7"/>
    <mergeCell ref="B8:C8"/>
    <mergeCell ref="B10:C10"/>
    <mergeCell ref="A16:F16"/>
    <mergeCell ref="A15:F15"/>
    <mergeCell ref="A63:G63"/>
    <mergeCell ref="F85:H86"/>
    <mergeCell ref="A21:F21"/>
    <mergeCell ref="A22:F22"/>
    <mergeCell ref="A23:F23"/>
    <mergeCell ref="A33:H33"/>
    <mergeCell ref="A50:G50"/>
    <mergeCell ref="A52:G52"/>
  </mergeCells>
  <pageMargins left="0.70866141732283472" right="0.70866141732283472" top="0.78740157480314965" bottom="0.78740157480314965" header="0.51181102362204722" footer="0.70866141732283472"/>
  <pageSetup paperSize="9" scale="56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6"/>
  <sheetViews>
    <sheetView workbookViewId="0">
      <selection activeCell="J9" sqref="J9"/>
    </sheetView>
  </sheetViews>
  <sheetFormatPr defaultRowHeight="12.75" x14ac:dyDescent="0.2"/>
  <cols>
    <col min="1" max="1" width="39.28515625" customWidth="1"/>
    <col min="2" max="2" width="12.85546875" customWidth="1"/>
    <col min="3" max="3" width="12.7109375" customWidth="1"/>
    <col min="4" max="4" width="22.85546875" customWidth="1"/>
    <col min="5" max="5" width="18.42578125" bestFit="1" customWidth="1"/>
    <col min="6" max="6" width="19.7109375" bestFit="1" customWidth="1"/>
    <col min="7" max="7" width="15.28515625" bestFit="1" customWidth="1"/>
    <col min="8" max="8" width="16.5703125" bestFit="1" customWidth="1"/>
    <col min="9" max="9" width="7" hidden="1" customWidth="1"/>
    <col min="10" max="10" width="5.140625" hidden="1" customWidth="1"/>
    <col min="11" max="11" width="10.7109375" bestFit="1" customWidth="1"/>
  </cols>
  <sheetData>
    <row r="1" spans="1:12" ht="16.5" thickBot="1" x14ac:dyDescent="0.3">
      <c r="A1" s="584" t="s">
        <v>264</v>
      </c>
      <c r="B1" s="585"/>
      <c r="C1" s="585"/>
      <c r="D1" s="585"/>
      <c r="E1" s="585"/>
      <c r="F1" s="585"/>
      <c r="G1" s="585"/>
      <c r="H1" s="586"/>
      <c r="I1" s="381"/>
    </row>
    <row r="2" spans="1:12" ht="16.5" thickBot="1" x14ac:dyDescent="0.3">
      <c r="A2" s="587" t="s">
        <v>312</v>
      </c>
      <c r="B2" s="588"/>
      <c r="C2" s="588"/>
      <c r="D2" s="588"/>
      <c r="E2" s="588"/>
      <c r="F2" s="588"/>
      <c r="G2" s="588"/>
      <c r="H2" s="589"/>
      <c r="I2" s="381"/>
    </row>
    <row r="3" spans="1:12" ht="16.5" thickBot="1" x14ac:dyDescent="0.3">
      <c r="A3" s="584" t="s">
        <v>223</v>
      </c>
      <c r="B3" s="585"/>
      <c r="C3" s="585"/>
      <c r="D3" s="585"/>
      <c r="E3" s="585"/>
      <c r="F3" s="585"/>
      <c r="G3" s="585"/>
      <c r="H3" s="586"/>
      <c r="I3" s="381"/>
    </row>
    <row r="4" spans="1:12" ht="15.75" thickBot="1" x14ac:dyDescent="0.25">
      <c r="A4" s="590" t="s">
        <v>9</v>
      </c>
      <c r="B4" s="591"/>
      <c r="C4" s="591"/>
      <c r="D4" s="591"/>
      <c r="E4" s="591"/>
      <c r="F4" s="591"/>
      <c r="G4" s="591"/>
      <c r="H4" s="592"/>
      <c r="I4" s="382"/>
    </row>
    <row r="5" spans="1:12" ht="8.4499999999999993" customHeight="1" x14ac:dyDescent="0.25">
      <c r="A5" s="383"/>
      <c r="B5" s="383"/>
      <c r="C5" s="383"/>
      <c r="D5" s="383"/>
      <c r="E5" s="383"/>
      <c r="F5" s="383"/>
      <c r="G5" s="383"/>
      <c r="H5" s="384"/>
      <c r="I5" s="384"/>
    </row>
    <row r="6" spans="1:12" ht="15.75" x14ac:dyDescent="0.25">
      <c r="A6" s="385" t="s">
        <v>103</v>
      </c>
      <c r="B6" s="384"/>
      <c r="C6" s="384"/>
      <c r="D6" s="384"/>
      <c r="E6" s="384"/>
      <c r="F6" s="384"/>
      <c r="G6" s="384"/>
      <c r="H6" s="384"/>
      <c r="I6" s="384"/>
    </row>
    <row r="7" spans="1:12" ht="15.75" x14ac:dyDescent="0.25">
      <c r="A7" s="386" t="s">
        <v>104</v>
      </c>
      <c r="B7" s="593" t="s">
        <v>313</v>
      </c>
      <c r="C7" s="594"/>
      <c r="D7" s="388"/>
      <c r="E7" s="388"/>
      <c r="F7" s="388"/>
      <c r="G7" s="388" t="s">
        <v>105</v>
      </c>
      <c r="H7" s="389"/>
      <c r="I7" s="390">
        <v>25</v>
      </c>
      <c r="J7" s="281" t="s">
        <v>258</v>
      </c>
    </row>
    <row r="8" spans="1:12" ht="15.75" x14ac:dyDescent="0.25">
      <c r="A8" s="386" t="s">
        <v>106</v>
      </c>
      <c r="B8" s="595">
        <v>28</v>
      </c>
      <c r="C8" s="596"/>
      <c r="D8" s="391"/>
      <c r="E8" s="391"/>
      <c r="F8" s="391"/>
      <c r="G8" s="392">
        <f>SUM(B8:F8)</f>
        <v>28</v>
      </c>
      <c r="H8" s="389"/>
      <c r="I8" s="389"/>
    </row>
    <row r="9" spans="1:12" ht="15.75" hidden="1" x14ac:dyDescent="0.25">
      <c r="A9" s="386" t="s">
        <v>107</v>
      </c>
      <c r="B9" s="393"/>
      <c r="C9" s="393"/>
      <c r="D9" s="393"/>
      <c r="E9" s="393"/>
      <c r="F9" s="393"/>
      <c r="G9" s="394">
        <v>0</v>
      </c>
      <c r="H9" s="389"/>
      <c r="I9" s="389"/>
    </row>
    <row r="10" spans="1:12" ht="15.75" x14ac:dyDescent="0.25">
      <c r="A10" s="386" t="s">
        <v>209</v>
      </c>
      <c r="B10" s="597">
        <f>Roteiros!T37</f>
        <v>58.899999999999991</v>
      </c>
      <c r="C10" s="598"/>
      <c r="D10" s="395"/>
      <c r="E10" s="395"/>
      <c r="F10" s="395"/>
      <c r="G10" s="396">
        <f>SUM(B10:F10)</f>
        <v>58.899999999999991</v>
      </c>
      <c r="H10" s="389"/>
      <c r="I10" s="389"/>
      <c r="K10" s="223"/>
      <c r="L10" s="223"/>
    </row>
    <row r="11" spans="1:12" ht="15.75" x14ac:dyDescent="0.25">
      <c r="A11" s="574" t="s">
        <v>108</v>
      </c>
      <c r="B11" s="599"/>
      <c r="C11" s="599"/>
      <c r="D11" s="575"/>
      <c r="E11" s="575"/>
      <c r="F11" s="576"/>
      <c r="G11" s="398">
        <f>G10+G9</f>
        <v>58.899999999999991</v>
      </c>
      <c r="H11" s="389"/>
      <c r="I11" s="389"/>
    </row>
    <row r="12" spans="1:12" ht="15.75" x14ac:dyDescent="0.25">
      <c r="A12" s="397" t="s">
        <v>109</v>
      </c>
      <c r="B12" s="399">
        <f>B13/24</f>
        <v>9.8166666666666666E-2</v>
      </c>
      <c r="C12" s="400" t="s">
        <v>257</v>
      </c>
      <c r="D12" s="401"/>
      <c r="E12" s="402"/>
      <c r="F12" s="402"/>
      <c r="G12" s="403" t="s">
        <v>110</v>
      </c>
      <c r="H12" s="389"/>
      <c r="I12" s="389"/>
      <c r="J12" s="390"/>
      <c r="K12" s="224"/>
    </row>
    <row r="13" spans="1:12" ht="15.75" x14ac:dyDescent="0.25">
      <c r="A13" s="397" t="s">
        <v>111</v>
      </c>
      <c r="B13" s="600">
        <f>B10/I7</f>
        <v>2.3559999999999999</v>
      </c>
      <c r="C13" s="601"/>
      <c r="D13" s="402"/>
      <c r="E13" s="404"/>
      <c r="F13" s="404"/>
      <c r="G13" s="396">
        <f>SUM(B13:F13)</f>
        <v>2.3559999999999999</v>
      </c>
      <c r="H13" s="405"/>
      <c r="I13" s="406"/>
      <c r="J13" s="389"/>
    </row>
    <row r="14" spans="1:12" ht="15.75" x14ac:dyDescent="0.25">
      <c r="A14" s="574" t="s">
        <v>282</v>
      </c>
      <c r="B14" s="575"/>
      <c r="C14" s="575"/>
      <c r="D14" s="575"/>
      <c r="E14" s="575"/>
      <c r="F14" s="576"/>
      <c r="G14" s="396">
        <v>2</v>
      </c>
      <c r="H14" s="407"/>
      <c r="I14" s="408" t="s">
        <v>314</v>
      </c>
      <c r="J14" s="407"/>
    </row>
    <row r="15" spans="1:12" ht="15.75" x14ac:dyDescent="0.25">
      <c r="A15" s="574" t="s">
        <v>112</v>
      </c>
      <c r="B15" s="575"/>
      <c r="C15" s="575"/>
      <c r="D15" s="575"/>
      <c r="E15" s="575"/>
      <c r="F15" s="576"/>
      <c r="G15" s="398">
        <f>(G14+G13)</f>
        <v>4.3559999999999999</v>
      </c>
      <c r="H15" s="407"/>
      <c r="I15" s="407"/>
      <c r="J15" s="407"/>
    </row>
    <row r="16" spans="1:12" ht="15.75" x14ac:dyDescent="0.25">
      <c r="A16" s="574"/>
      <c r="B16" s="575"/>
      <c r="C16" s="575"/>
      <c r="D16" s="575"/>
      <c r="E16" s="575"/>
      <c r="F16" s="576"/>
      <c r="G16" s="409"/>
      <c r="H16" s="389"/>
      <c r="I16" s="389"/>
    </row>
    <row r="17" spans="1:9" ht="15.75" x14ac:dyDescent="0.25">
      <c r="A17" s="403" t="s">
        <v>113</v>
      </c>
      <c r="B17" s="571" t="s">
        <v>324</v>
      </c>
      <c r="C17" s="572"/>
      <c r="D17" s="572"/>
      <c r="E17" s="572"/>
      <c r="F17" s="572"/>
      <c r="G17" s="573"/>
      <c r="H17" s="389"/>
      <c r="I17" s="389"/>
    </row>
    <row r="18" spans="1:9" ht="15.75" x14ac:dyDescent="0.25">
      <c r="A18" s="574" t="s">
        <v>285</v>
      </c>
      <c r="B18" s="575"/>
      <c r="C18" s="575"/>
      <c r="D18" s="575"/>
      <c r="E18" s="575"/>
      <c r="F18" s="576"/>
      <c r="G18" s="410">
        <v>180000</v>
      </c>
      <c r="H18" s="389"/>
      <c r="I18" s="389"/>
    </row>
    <row r="19" spans="1:9" ht="15.75" x14ac:dyDescent="0.25">
      <c r="A19" s="574" t="s">
        <v>197</v>
      </c>
      <c r="B19" s="575"/>
      <c r="C19" s="575"/>
      <c r="D19" s="575"/>
      <c r="E19" s="575"/>
      <c r="F19" s="576"/>
      <c r="G19" s="411">
        <v>7.32</v>
      </c>
      <c r="H19" s="389"/>
      <c r="I19" s="389"/>
    </row>
    <row r="20" spans="1:9" ht="15.75" x14ac:dyDescent="0.25">
      <c r="A20" s="574" t="s">
        <v>203</v>
      </c>
      <c r="B20" s="575"/>
      <c r="C20" s="575"/>
      <c r="D20" s="575"/>
      <c r="E20" s="575"/>
      <c r="F20" s="576"/>
      <c r="G20" s="411">
        <v>3.7</v>
      </c>
      <c r="H20" s="389"/>
      <c r="I20" s="389"/>
    </row>
    <row r="21" spans="1:9" ht="15.75" x14ac:dyDescent="0.25">
      <c r="A21" s="574" t="s">
        <v>198</v>
      </c>
      <c r="B21" s="575"/>
      <c r="C21" s="575"/>
      <c r="D21" s="575"/>
      <c r="E21" s="575"/>
      <c r="F21" s="576"/>
      <c r="G21" s="411">
        <v>0.8</v>
      </c>
      <c r="H21" s="389"/>
      <c r="I21" s="389"/>
    </row>
    <row r="22" spans="1:9" ht="15.75" x14ac:dyDescent="0.25">
      <c r="A22" s="574" t="s">
        <v>114</v>
      </c>
      <c r="B22" s="575"/>
      <c r="C22" s="575"/>
      <c r="D22" s="575"/>
      <c r="E22" s="575"/>
      <c r="F22" s="576"/>
      <c r="G22" s="412">
        <v>20</v>
      </c>
      <c r="H22" s="389"/>
      <c r="I22" s="389"/>
    </row>
    <row r="23" spans="1:9" ht="15.75" x14ac:dyDescent="0.25">
      <c r="A23" s="574" t="s">
        <v>188</v>
      </c>
      <c r="B23" s="575"/>
      <c r="C23" s="575"/>
      <c r="D23" s="575"/>
      <c r="E23" s="575"/>
      <c r="F23" s="576"/>
      <c r="G23" s="396">
        <f>G22*B10</f>
        <v>1177.9999999999998</v>
      </c>
      <c r="H23" s="389"/>
      <c r="I23" s="389"/>
    </row>
    <row r="24" spans="1:9" ht="13.15" customHeight="1" x14ac:dyDescent="0.2">
      <c r="A24" s="389"/>
      <c r="B24" s="389"/>
      <c r="C24" s="389"/>
      <c r="D24" s="389"/>
      <c r="E24" s="389"/>
      <c r="F24" s="389"/>
      <c r="G24" s="389"/>
      <c r="H24" s="389"/>
      <c r="I24" s="389"/>
    </row>
    <row r="25" spans="1:9" ht="15.75" x14ac:dyDescent="0.25">
      <c r="A25" s="413" t="s">
        <v>115</v>
      </c>
      <c r="B25" s="414" t="s">
        <v>102</v>
      </c>
      <c r="C25" s="384"/>
      <c r="D25" s="387" t="s">
        <v>194</v>
      </c>
      <c r="E25" s="204"/>
      <c r="F25" s="204"/>
      <c r="G25" s="205"/>
      <c r="H25" s="206"/>
      <c r="I25" s="389"/>
    </row>
    <row r="26" spans="1:9" ht="16.5" thickBot="1" x14ac:dyDescent="0.3">
      <c r="A26" s="403" t="s">
        <v>195</v>
      </c>
      <c r="B26" s="208">
        <f>(G22*G11*G19)/G20</f>
        <v>2330.5297297297293</v>
      </c>
      <c r="C26" s="415"/>
      <c r="D26" s="200" t="s">
        <v>10</v>
      </c>
      <c r="E26" s="201" t="s">
        <v>11</v>
      </c>
      <c r="F26" s="201" t="s">
        <v>6</v>
      </c>
      <c r="G26" s="202" t="s">
        <v>90</v>
      </c>
      <c r="H26" s="202" t="s">
        <v>12</v>
      </c>
      <c r="I26" s="389"/>
    </row>
    <row r="27" spans="1:9" ht="15.75" x14ac:dyDescent="0.25">
      <c r="A27" s="403" t="s">
        <v>196</v>
      </c>
      <c r="B27" s="208">
        <f>G21*G23</f>
        <v>942.39999999999986</v>
      </c>
      <c r="C27" s="415"/>
      <c r="D27" s="189" t="s">
        <v>189</v>
      </c>
      <c r="E27" s="190" t="s">
        <v>2</v>
      </c>
      <c r="F27" s="191">
        <v>6</v>
      </c>
      <c r="G27" s="192">
        <v>1500</v>
      </c>
      <c r="H27" s="193">
        <f>F27*G27</f>
        <v>9000</v>
      </c>
      <c r="I27" s="389"/>
    </row>
    <row r="28" spans="1:9" ht="15.75" x14ac:dyDescent="0.25">
      <c r="A28" s="403" t="str">
        <f>D25</f>
        <v>1.3 Pneus</v>
      </c>
      <c r="B28" s="208">
        <f>H31</f>
        <v>212.03999999999996</v>
      </c>
      <c r="C28" s="389"/>
      <c r="D28" s="189" t="s">
        <v>193</v>
      </c>
      <c r="E28" s="190" t="s">
        <v>2</v>
      </c>
      <c r="F28" s="190">
        <v>2</v>
      </c>
      <c r="G28" s="194"/>
      <c r="H28" s="193"/>
      <c r="I28" s="389"/>
    </row>
    <row r="29" spans="1:9" ht="15.75" x14ac:dyDescent="0.25">
      <c r="A29" s="388"/>
      <c r="B29" s="403"/>
      <c r="C29" s="381"/>
      <c r="D29" s="189" t="s">
        <v>190</v>
      </c>
      <c r="E29" s="190" t="s">
        <v>2</v>
      </c>
      <c r="F29" s="209">
        <f>F27*F28</f>
        <v>12</v>
      </c>
      <c r="G29" s="192">
        <v>450</v>
      </c>
      <c r="H29" s="193">
        <f>F29*G29</f>
        <v>5400</v>
      </c>
      <c r="I29" s="389"/>
    </row>
    <row r="30" spans="1:9" ht="15.75" x14ac:dyDescent="0.25">
      <c r="A30" s="388" t="s">
        <v>116</v>
      </c>
      <c r="B30" s="403">
        <f>SUM(B26:B29)</f>
        <v>3484.9697297297289</v>
      </c>
      <c r="C30" s="381"/>
      <c r="D30" s="195" t="s">
        <v>206</v>
      </c>
      <c r="E30" s="196" t="s">
        <v>191</v>
      </c>
      <c r="F30" s="197">
        <v>80000</v>
      </c>
      <c r="G30" s="198">
        <f>H27+H29</f>
        <v>14400</v>
      </c>
      <c r="H30" s="198">
        <f>IFERROR(G30/F30,"-")</f>
        <v>0.18</v>
      </c>
      <c r="I30" s="389"/>
    </row>
    <row r="31" spans="1:9" ht="15.75" x14ac:dyDescent="0.25">
      <c r="A31" s="384"/>
      <c r="B31" s="381"/>
      <c r="C31" s="381"/>
      <c r="D31" s="195" t="s">
        <v>192</v>
      </c>
      <c r="E31" s="196" t="s">
        <v>3</v>
      </c>
      <c r="F31" s="199">
        <f>G23</f>
        <v>1177.9999999999998</v>
      </c>
      <c r="G31" s="198">
        <f>H30</f>
        <v>0.18</v>
      </c>
      <c r="H31" s="207">
        <f>IFERROR(F31*G31,0)</f>
        <v>212.03999999999996</v>
      </c>
      <c r="I31" s="389"/>
    </row>
    <row r="32" spans="1:9" ht="12.6" customHeight="1" x14ac:dyDescent="0.25">
      <c r="A32" s="384"/>
      <c r="B32" s="389"/>
      <c r="C32" s="389"/>
      <c r="D32" s="389"/>
      <c r="E32" s="389"/>
      <c r="F32" s="389"/>
      <c r="G32" s="389"/>
      <c r="H32" s="389"/>
      <c r="I32" s="389"/>
    </row>
    <row r="33" spans="1:9" ht="15.75" x14ac:dyDescent="0.25">
      <c r="A33" s="577" t="s">
        <v>117</v>
      </c>
      <c r="B33" s="578"/>
      <c r="C33" s="578"/>
      <c r="D33" s="578"/>
      <c r="E33" s="578"/>
      <c r="F33" s="578"/>
      <c r="G33" s="578"/>
      <c r="H33" s="578"/>
      <c r="I33" s="381"/>
    </row>
    <row r="34" spans="1:9" ht="15.75" x14ac:dyDescent="0.25">
      <c r="A34" s="416" t="s">
        <v>293</v>
      </c>
      <c r="B34" s="417">
        <f>G44*0.14</f>
        <v>25200.000000000004</v>
      </c>
      <c r="C34" s="389"/>
      <c r="D34" s="418" t="s">
        <v>118</v>
      </c>
      <c r="E34" s="418" t="s">
        <v>119</v>
      </c>
      <c r="F34" s="418" t="s">
        <v>120</v>
      </c>
      <c r="G34" s="418" t="s">
        <v>121</v>
      </c>
      <c r="H34" s="418" t="s">
        <v>105</v>
      </c>
      <c r="I34" s="222"/>
    </row>
    <row r="35" spans="1:9" ht="15.75" x14ac:dyDescent="0.25">
      <c r="A35" s="419" t="s">
        <v>122</v>
      </c>
      <c r="B35" s="419">
        <v>0</v>
      </c>
      <c r="C35" s="389"/>
      <c r="D35" s="420">
        <v>3767.43</v>
      </c>
      <c r="E35" s="421">
        <f>'Encargos Sociais'!C38</f>
        <v>0.3078166</v>
      </c>
      <c r="F35" s="422">
        <f>(D35*E35)+D35</f>
        <v>4927.1074933379996</v>
      </c>
      <c r="G35" s="393">
        <v>11.2</v>
      </c>
      <c r="H35" s="398">
        <f>F35*G35</f>
        <v>55183.603925385592</v>
      </c>
      <c r="I35" s="222"/>
    </row>
    <row r="36" spans="1:9" ht="15.75" x14ac:dyDescent="0.25">
      <c r="A36" s="419" t="s">
        <v>123</v>
      </c>
      <c r="B36" s="423">
        <v>109.27</v>
      </c>
      <c r="C36" s="389"/>
      <c r="D36" s="388" t="s">
        <v>124</v>
      </c>
      <c r="E36" s="388" t="s">
        <v>125</v>
      </c>
      <c r="F36" s="388" t="s">
        <v>120</v>
      </c>
      <c r="G36" s="388" t="s">
        <v>121</v>
      </c>
      <c r="H36" s="388" t="s">
        <v>105</v>
      </c>
      <c r="I36" s="222"/>
    </row>
    <row r="37" spans="1:9" ht="15.75" x14ac:dyDescent="0.25">
      <c r="A37" s="419" t="s">
        <v>187</v>
      </c>
      <c r="B37" s="423">
        <v>1500</v>
      </c>
      <c r="C37" s="389"/>
      <c r="D37" s="423">
        <f>37*0.9493</f>
        <v>35.124099999999999</v>
      </c>
      <c r="E37" s="424">
        <f>G22</f>
        <v>20</v>
      </c>
      <c r="F37" s="425">
        <f>D37*E37</f>
        <v>702.48199999999997</v>
      </c>
      <c r="G37" s="426">
        <v>10</v>
      </c>
      <c r="H37" s="398">
        <f>F37*G37</f>
        <v>7024.82</v>
      </c>
      <c r="I37" s="222"/>
    </row>
    <row r="38" spans="1:9" ht="15.75" x14ac:dyDescent="0.25">
      <c r="A38" s="419" t="s">
        <v>126</v>
      </c>
      <c r="B38" s="419">
        <f>H48</f>
        <v>8487.5999999999985</v>
      </c>
      <c r="C38" s="389"/>
      <c r="D38" s="388" t="s">
        <v>202</v>
      </c>
      <c r="E38" s="388" t="s">
        <v>125</v>
      </c>
      <c r="F38" s="388" t="s">
        <v>120</v>
      </c>
      <c r="G38" s="388" t="s">
        <v>121</v>
      </c>
      <c r="H38" s="388" t="s">
        <v>105</v>
      </c>
      <c r="I38" s="222"/>
    </row>
    <row r="39" spans="1:9" ht="15.75" x14ac:dyDescent="0.25">
      <c r="A39" s="419" t="s">
        <v>128</v>
      </c>
      <c r="B39" s="423">
        <v>3000</v>
      </c>
      <c r="C39" s="389"/>
      <c r="D39" s="423">
        <v>216</v>
      </c>
      <c r="E39" s="424">
        <v>1</v>
      </c>
      <c r="F39" s="425">
        <f>D39*E39</f>
        <v>216</v>
      </c>
      <c r="G39" s="426">
        <v>12</v>
      </c>
      <c r="H39" s="398">
        <f>F39*G39</f>
        <v>2592</v>
      </c>
      <c r="I39" s="222"/>
    </row>
    <row r="40" spans="1:9" ht="15.75" x14ac:dyDescent="0.25">
      <c r="A40" s="419" t="s">
        <v>129</v>
      </c>
      <c r="B40" s="427">
        <v>1</v>
      </c>
      <c r="C40" s="389"/>
      <c r="D40" s="386" t="s">
        <v>127</v>
      </c>
      <c r="E40" s="424"/>
      <c r="F40" s="428"/>
      <c r="G40" s="426"/>
      <c r="H40" s="398">
        <f>H35+H37+H39</f>
        <v>64800.423925385592</v>
      </c>
      <c r="I40" s="222"/>
    </row>
    <row r="41" spans="1:9" ht="15.75" thickBot="1" x14ac:dyDescent="0.25">
      <c r="A41" s="419" t="s">
        <v>131</v>
      </c>
      <c r="B41" s="419">
        <f>H40*B40</f>
        <v>64800.423925385592</v>
      </c>
      <c r="C41" s="389"/>
      <c r="D41" s="389"/>
      <c r="E41" s="390"/>
      <c r="F41" s="390"/>
      <c r="G41" s="390"/>
      <c r="H41" s="390"/>
      <c r="I41" s="222"/>
    </row>
    <row r="42" spans="1:9" ht="16.5" thickBot="1" x14ac:dyDescent="0.3">
      <c r="A42" s="403" t="s">
        <v>132</v>
      </c>
      <c r="B42" s="403">
        <f>SUM(B34:B39)+B41</f>
        <v>103097.2939253856</v>
      </c>
      <c r="C42" s="429"/>
      <c r="D42" s="430" t="s">
        <v>130</v>
      </c>
      <c r="E42" s="431"/>
      <c r="F42" s="431"/>
      <c r="G42" s="389"/>
      <c r="H42" s="389"/>
      <c r="I42" s="222"/>
    </row>
    <row r="43" spans="1:9" ht="16.5" thickBot="1" x14ac:dyDescent="0.3">
      <c r="A43" s="403" t="s">
        <v>134</v>
      </c>
      <c r="B43" s="403">
        <f>B42/10*B44</f>
        <v>5103.316049306588</v>
      </c>
      <c r="C43" s="389"/>
      <c r="D43" s="432" t="s">
        <v>10</v>
      </c>
      <c r="E43" s="433" t="s">
        <v>11</v>
      </c>
      <c r="F43" s="433" t="s">
        <v>6</v>
      </c>
      <c r="G43" s="434" t="s">
        <v>90</v>
      </c>
      <c r="H43" s="434" t="s">
        <v>12</v>
      </c>
      <c r="I43" s="222"/>
    </row>
    <row r="44" spans="1:9" ht="15.75" x14ac:dyDescent="0.25">
      <c r="A44" s="403" t="s">
        <v>135</v>
      </c>
      <c r="B44" s="435">
        <f>(G15*5)/44</f>
        <v>0.49500000000000005</v>
      </c>
      <c r="C44" s="381"/>
      <c r="D44" s="436" t="s">
        <v>133</v>
      </c>
      <c r="E44" s="437" t="s">
        <v>2</v>
      </c>
      <c r="F44" s="438">
        <v>1</v>
      </c>
      <c r="G44" s="439">
        <f>G18</f>
        <v>180000</v>
      </c>
      <c r="H44" s="440">
        <f>F44*G44</f>
        <v>180000</v>
      </c>
      <c r="I44" s="222"/>
    </row>
    <row r="45" spans="1:9" ht="15.75" x14ac:dyDescent="0.25">
      <c r="C45" s="381"/>
      <c r="D45" s="441" t="s">
        <v>26</v>
      </c>
      <c r="E45" s="442" t="s">
        <v>27</v>
      </c>
      <c r="F45" s="443">
        <v>15</v>
      </c>
      <c r="G45" s="444"/>
      <c r="H45" s="445"/>
      <c r="I45" s="222"/>
    </row>
    <row r="46" spans="1:9" ht="15.75" x14ac:dyDescent="0.25">
      <c r="C46" s="446"/>
      <c r="D46" s="441" t="s">
        <v>86</v>
      </c>
      <c r="E46" s="442" t="s">
        <v>27</v>
      </c>
      <c r="F46" s="447">
        <v>0</v>
      </c>
      <c r="G46" s="445"/>
      <c r="H46" s="445"/>
      <c r="I46" s="222"/>
    </row>
    <row r="47" spans="1:9" ht="15" x14ac:dyDescent="0.2">
      <c r="A47" s="390"/>
      <c r="B47" s="390"/>
      <c r="C47" s="390"/>
      <c r="D47" s="441" t="s">
        <v>136</v>
      </c>
      <c r="E47" s="442" t="s">
        <v>0</v>
      </c>
      <c r="F47" s="448">
        <f>Depreciação!B17</f>
        <v>70.73</v>
      </c>
      <c r="G47" s="445">
        <f>H44</f>
        <v>180000</v>
      </c>
      <c r="H47" s="445">
        <f>F47*G47/100</f>
        <v>127314</v>
      </c>
      <c r="I47" s="222"/>
    </row>
    <row r="48" spans="1:9" ht="16.5" thickBot="1" x14ac:dyDescent="0.25">
      <c r="A48" s="389"/>
      <c r="B48" s="389"/>
      <c r="C48" s="389"/>
      <c r="D48" s="449" t="s">
        <v>137</v>
      </c>
      <c r="E48" s="450" t="s">
        <v>1</v>
      </c>
      <c r="F48" s="451">
        <f>F45*12</f>
        <v>180</v>
      </c>
      <c r="G48" s="452">
        <f>IF(F46&lt;=F45,H47,0)</f>
        <v>127314</v>
      </c>
      <c r="H48" s="452">
        <f>IFERROR(G48/F48,0)*12</f>
        <v>8487.5999999999985</v>
      </c>
      <c r="I48" s="222"/>
    </row>
    <row r="49" spans="1:9" ht="15.75" thickTop="1" x14ac:dyDescent="0.2">
      <c r="A49" s="389"/>
      <c r="B49" s="389"/>
      <c r="C49" s="389"/>
      <c r="D49" s="389"/>
      <c r="E49" s="389"/>
      <c r="F49" s="390"/>
      <c r="G49" s="390"/>
      <c r="H49" s="390"/>
      <c r="I49" s="222"/>
    </row>
    <row r="50" spans="1:9" ht="15.75" x14ac:dyDescent="0.25">
      <c r="A50" s="577" t="s">
        <v>138</v>
      </c>
      <c r="B50" s="578"/>
      <c r="C50" s="578"/>
      <c r="D50" s="578"/>
      <c r="E50" s="578"/>
      <c r="F50" s="578"/>
      <c r="G50" s="579"/>
      <c r="H50" s="403">
        <f>($B$43+$B$30)</f>
        <v>8588.2857790363159</v>
      </c>
      <c r="I50" s="222"/>
    </row>
    <row r="51" spans="1:9" x14ac:dyDescent="0.2">
      <c r="A51" s="453"/>
      <c r="B51" s="453"/>
      <c r="C51" s="453"/>
      <c r="D51" s="453"/>
      <c r="E51" s="453"/>
      <c r="F51" s="454"/>
      <c r="G51" s="454"/>
      <c r="H51" s="454"/>
      <c r="I51" s="222"/>
    </row>
    <row r="52" spans="1:9" ht="16.5" thickBot="1" x14ac:dyDescent="0.3">
      <c r="A52" s="577" t="s">
        <v>139</v>
      </c>
      <c r="B52" s="578"/>
      <c r="C52" s="578"/>
      <c r="D52" s="578"/>
      <c r="E52" s="578"/>
      <c r="F52" s="578"/>
      <c r="G52" s="579"/>
      <c r="H52" s="454"/>
      <c r="I52" s="222"/>
    </row>
    <row r="53" spans="1:9" ht="16.5" thickBot="1" x14ac:dyDescent="0.25">
      <c r="A53" s="455" t="s">
        <v>10</v>
      </c>
      <c r="B53" s="456" t="s">
        <v>11</v>
      </c>
      <c r="C53" s="456"/>
      <c r="D53" s="456" t="s">
        <v>6</v>
      </c>
      <c r="E53" s="457" t="s">
        <v>90</v>
      </c>
      <c r="F53" s="457" t="s">
        <v>12</v>
      </c>
      <c r="G53" s="458" t="s">
        <v>140</v>
      </c>
      <c r="H53" s="390"/>
      <c r="I53" s="459"/>
    </row>
    <row r="54" spans="1:9" ht="16.5" thickBot="1" x14ac:dyDescent="0.25">
      <c r="A54" s="460" t="s">
        <v>4</v>
      </c>
      <c r="B54" s="461" t="s">
        <v>0</v>
      </c>
      <c r="C54" s="461"/>
      <c r="D54" s="462">
        <f>BDI!C21</f>
        <v>0.2707</v>
      </c>
      <c r="E54" s="440">
        <f>H50</f>
        <v>8588.2857790363159</v>
      </c>
      <c r="F54" s="440">
        <f>D54*E54/1</f>
        <v>2324.8489603851308</v>
      </c>
      <c r="G54" s="463"/>
      <c r="H54" s="389"/>
      <c r="I54" s="222"/>
    </row>
    <row r="55" spans="1:9" ht="16.5" thickBot="1" x14ac:dyDescent="0.25">
      <c r="A55" s="464" t="s">
        <v>141</v>
      </c>
      <c r="B55" s="465"/>
      <c r="C55" s="465"/>
      <c r="D55" s="464"/>
      <c r="E55" s="466"/>
      <c r="F55" s="467"/>
      <c r="G55" s="153">
        <f>+F54</f>
        <v>2324.8489603851308</v>
      </c>
      <c r="H55" s="389"/>
      <c r="I55" s="459"/>
    </row>
    <row r="56" spans="1:9" ht="15.75" thickBot="1" x14ac:dyDescent="0.25">
      <c r="A56" s="453"/>
      <c r="B56" s="453"/>
      <c r="C56" s="453"/>
      <c r="D56" s="468"/>
      <c r="E56" s="468"/>
      <c r="F56" s="463"/>
      <c r="G56" s="463"/>
      <c r="H56" s="463"/>
      <c r="I56" s="222"/>
    </row>
    <row r="57" spans="1:9" ht="16.5" thickBot="1" x14ac:dyDescent="0.25">
      <c r="A57" s="469" t="s">
        <v>142</v>
      </c>
      <c r="B57" s="470"/>
      <c r="C57" s="470"/>
      <c r="D57" s="471"/>
      <c r="E57" s="471"/>
      <c r="F57" s="472"/>
      <c r="G57" s="473"/>
      <c r="H57" s="160">
        <f>G55</f>
        <v>2324.8489603851308</v>
      </c>
      <c r="I57" s="222"/>
    </row>
    <row r="58" spans="1:9" ht="13.5" thickBot="1" x14ac:dyDescent="0.25">
      <c r="A58" s="453"/>
      <c r="B58" s="453"/>
      <c r="C58" s="453"/>
      <c r="D58" s="453"/>
      <c r="E58" s="453"/>
      <c r="F58" s="454"/>
      <c r="G58" s="454"/>
      <c r="H58" s="454"/>
      <c r="I58" s="222"/>
    </row>
    <row r="59" spans="1:9" ht="16.5" thickBot="1" x14ac:dyDescent="0.25">
      <c r="A59" s="469" t="s">
        <v>143</v>
      </c>
      <c r="B59" s="470"/>
      <c r="C59" s="470"/>
      <c r="D59" s="470"/>
      <c r="E59" s="470"/>
      <c r="F59" s="474"/>
      <c r="G59" s="475"/>
      <c r="H59" s="163">
        <f>H50+H57</f>
        <v>10913.134739421446</v>
      </c>
      <c r="I59" s="222"/>
    </row>
    <row r="60" spans="1:9" ht="15.75" thickBot="1" x14ac:dyDescent="0.25">
      <c r="A60" s="389"/>
      <c r="B60" s="389"/>
      <c r="C60" s="389"/>
      <c r="D60" s="389"/>
      <c r="E60" s="389"/>
      <c r="F60" s="390"/>
      <c r="G60" s="390"/>
      <c r="H60" s="389"/>
      <c r="I60" s="222"/>
    </row>
    <row r="61" spans="1:9" ht="16.5" thickBot="1" x14ac:dyDescent="0.3">
      <c r="A61" s="476" t="s">
        <v>144</v>
      </c>
      <c r="B61" s="477"/>
      <c r="C61" s="477"/>
      <c r="D61" s="477"/>
      <c r="E61" s="477"/>
      <c r="F61" s="477"/>
      <c r="G61" s="477"/>
      <c r="H61" s="478">
        <f>H59/(G11*G22)</f>
        <v>9.2641211709859501</v>
      </c>
      <c r="I61" s="222"/>
    </row>
    <row r="62" spans="1:9" ht="10.9" customHeight="1" thickBot="1" x14ac:dyDescent="0.25">
      <c r="A62" s="389"/>
      <c r="B62" s="389"/>
      <c r="C62" s="389"/>
      <c r="D62" s="389"/>
      <c r="E62" s="389"/>
      <c r="F62" s="389"/>
      <c r="G62" s="389"/>
      <c r="H62" s="389"/>
      <c r="I62" s="389"/>
    </row>
    <row r="63" spans="1:9" ht="15.75" x14ac:dyDescent="0.2">
      <c r="A63" s="580" t="s">
        <v>82</v>
      </c>
      <c r="B63" s="581"/>
      <c r="C63" s="581"/>
      <c r="D63" s="581"/>
      <c r="E63" s="581"/>
      <c r="F63" s="582"/>
      <c r="G63" s="583"/>
      <c r="H63" s="389"/>
      <c r="I63" s="389"/>
    </row>
    <row r="64" spans="1:9" ht="15.75" x14ac:dyDescent="0.2">
      <c r="A64" s="479" t="s">
        <v>81</v>
      </c>
      <c r="B64" s="480"/>
      <c r="C64" s="480"/>
      <c r="D64" s="480"/>
      <c r="E64" s="481"/>
      <c r="F64" s="481" t="s">
        <v>5</v>
      </c>
      <c r="G64" s="482" t="s">
        <v>0</v>
      </c>
      <c r="H64" s="389"/>
      <c r="I64" s="389"/>
    </row>
    <row r="65" spans="1:9" ht="15.75" x14ac:dyDescent="0.2">
      <c r="A65" s="483" t="str">
        <f>A25</f>
        <v>1- CUSTO VARIÁVEL</v>
      </c>
      <c r="B65" s="484"/>
      <c r="C65" s="484"/>
      <c r="D65" s="485"/>
      <c r="E65" s="486"/>
      <c r="F65" s="481">
        <f>SUM(F66:F68)</f>
        <v>3484.9697297297289</v>
      </c>
      <c r="G65" s="487">
        <f>F65/$F$74</f>
        <v>0.31933718523065563</v>
      </c>
      <c r="H65" s="389"/>
      <c r="I65" s="389"/>
    </row>
    <row r="66" spans="1:9" ht="15" x14ac:dyDescent="0.2">
      <c r="A66" s="488" t="str">
        <f>A26</f>
        <v xml:space="preserve">1.1 Combustível </v>
      </c>
      <c r="B66" s="489"/>
      <c r="C66" s="489"/>
      <c r="D66" s="480"/>
      <c r="E66" s="490"/>
      <c r="F66" s="490">
        <f>B26</f>
        <v>2330.5297297297293</v>
      </c>
      <c r="G66" s="491">
        <f t="shared" ref="G66:G72" si="0">F66/$F$74</f>
        <v>0.21355273121582305</v>
      </c>
      <c r="H66" s="389"/>
      <c r="I66" s="389"/>
    </row>
    <row r="67" spans="1:9" ht="15" x14ac:dyDescent="0.2">
      <c r="A67" s="492" t="str">
        <f>A27</f>
        <v xml:space="preserve">1.2 Manutenção e insumos </v>
      </c>
      <c r="B67" s="493"/>
      <c r="C67" s="493"/>
      <c r="D67" s="494"/>
      <c r="E67" s="495"/>
      <c r="F67" s="467">
        <f>B27</f>
        <v>942.39999999999986</v>
      </c>
      <c r="G67" s="491">
        <f t="shared" si="0"/>
        <v>8.6354656338638841E-2</v>
      </c>
      <c r="H67" s="389"/>
      <c r="I67" s="389"/>
    </row>
    <row r="68" spans="1:9" ht="15" x14ac:dyDescent="0.2">
      <c r="A68" s="492" t="str">
        <f>A28</f>
        <v>1.3 Pneus</v>
      </c>
      <c r="B68" s="493"/>
      <c r="C68" s="493"/>
      <c r="D68" s="494"/>
      <c r="E68" s="495"/>
      <c r="F68" s="490">
        <f>B28</f>
        <v>212.03999999999996</v>
      </c>
      <c r="G68" s="491">
        <f t="shared" si="0"/>
        <v>1.9429797676193739E-2</v>
      </c>
      <c r="H68" s="389"/>
      <c r="I68" s="389"/>
    </row>
    <row r="69" spans="1:9" ht="15.75" x14ac:dyDescent="0.2">
      <c r="A69" s="496" t="str">
        <f>A33</f>
        <v xml:space="preserve">2 - TOTAL CUSTO FIXO MENSAL </v>
      </c>
      <c r="B69" s="493"/>
      <c r="C69" s="493"/>
      <c r="D69" s="494"/>
      <c r="E69" s="495"/>
      <c r="F69" s="481">
        <f>SUM(F70)</f>
        <v>5103.316049306588</v>
      </c>
      <c r="G69" s="487">
        <f t="shared" si="0"/>
        <v>0.46763062778579212</v>
      </c>
      <c r="H69" s="389"/>
      <c r="I69" s="389"/>
    </row>
    <row r="70" spans="1:9" ht="15" x14ac:dyDescent="0.2">
      <c r="A70" s="492" t="str">
        <f>A43</f>
        <v>2.1 TOTAL CUSTO FIXO MENSAL</v>
      </c>
      <c r="B70" s="493"/>
      <c r="C70" s="493"/>
      <c r="D70" s="494"/>
      <c r="E70" s="495"/>
      <c r="F70" s="490">
        <f>B43</f>
        <v>5103.316049306588</v>
      </c>
      <c r="G70" s="491">
        <f>F70/$F$74</f>
        <v>0.46763062778579212</v>
      </c>
      <c r="H70" s="389"/>
      <c r="I70" s="389"/>
    </row>
    <row r="71" spans="1:9" ht="15.75" x14ac:dyDescent="0.2">
      <c r="A71" s="497" t="str">
        <f>A50</f>
        <v>3- CUSTO TOTAL MENSAL COM DESPESAS OPERACIONAIS</v>
      </c>
      <c r="B71" s="498"/>
      <c r="C71" s="498"/>
      <c r="D71" s="498"/>
      <c r="E71" s="499"/>
      <c r="F71" s="481">
        <f>F65+F69</f>
        <v>8588.2857790363159</v>
      </c>
      <c r="G71" s="487">
        <f t="shared" si="0"/>
        <v>0.78696781301644769</v>
      </c>
      <c r="H71" s="389"/>
      <c r="I71" s="389"/>
    </row>
    <row r="72" spans="1:9" ht="15.75" x14ac:dyDescent="0.2">
      <c r="A72" s="500" t="str">
        <f>A52</f>
        <v xml:space="preserve">4- BENEFÍCIOS E DESPESAS INDIRETAS </v>
      </c>
      <c r="B72" s="501"/>
      <c r="C72" s="501"/>
      <c r="D72" s="498"/>
      <c r="E72" s="481"/>
      <c r="F72" s="481">
        <f>H57</f>
        <v>2324.8489603851308</v>
      </c>
      <c r="G72" s="487">
        <f t="shared" si="0"/>
        <v>0.21303218698355239</v>
      </c>
      <c r="H72" s="389"/>
      <c r="I72" s="389"/>
    </row>
    <row r="73" spans="1:9" ht="16.5" thickBot="1" x14ac:dyDescent="0.25">
      <c r="A73" s="502"/>
      <c r="B73" s="503"/>
      <c r="C73" s="503"/>
      <c r="D73" s="504"/>
      <c r="E73" s="505"/>
      <c r="F73" s="506"/>
      <c r="G73" s="507"/>
      <c r="H73" s="389"/>
      <c r="I73" s="389"/>
    </row>
    <row r="74" spans="1:9" ht="16.5" thickBot="1" x14ac:dyDescent="0.25">
      <c r="A74" s="508" t="str">
        <f>A59</f>
        <v xml:space="preserve">5- PREÇO MENSAL TOTAL COM O TRANSPORTE ESCOLAR </v>
      </c>
      <c r="B74" s="509"/>
      <c r="C74" s="509"/>
      <c r="D74" s="510"/>
      <c r="E74" s="510"/>
      <c r="F74" s="510">
        <f>F71+F72</f>
        <v>10913.134739421446</v>
      </c>
      <c r="G74" s="511">
        <f>G71+G72</f>
        <v>1</v>
      </c>
      <c r="H74" s="389"/>
      <c r="I74" s="389"/>
    </row>
    <row r="75" spans="1:9" ht="15" x14ac:dyDescent="0.2">
      <c r="A75" s="512"/>
      <c r="B75" s="513"/>
      <c r="C75" s="513"/>
      <c r="D75" s="513"/>
      <c r="E75" s="513"/>
      <c r="F75" s="513"/>
      <c r="G75" s="514"/>
      <c r="H75" s="389"/>
      <c r="I75" s="389"/>
    </row>
    <row r="76" spans="1:9" ht="15.75" x14ac:dyDescent="0.25">
      <c r="A76" s="515" t="s">
        <v>145</v>
      </c>
      <c r="B76" s="419"/>
      <c r="C76" s="419"/>
      <c r="D76" s="419"/>
      <c r="E76" s="419"/>
      <c r="F76" s="419"/>
      <c r="G76" s="516">
        <f>G11</f>
        <v>58.899999999999991</v>
      </c>
      <c r="H76" s="389"/>
      <c r="I76" s="389"/>
    </row>
    <row r="77" spans="1:9" ht="15.75" x14ac:dyDescent="0.25">
      <c r="A77" s="515" t="s">
        <v>146</v>
      </c>
      <c r="B77" s="419"/>
      <c r="C77" s="419"/>
      <c r="D77" s="419"/>
      <c r="E77" s="419"/>
      <c r="F77" s="419"/>
      <c r="G77" s="517">
        <f>G22</f>
        <v>20</v>
      </c>
      <c r="H77" s="389"/>
      <c r="I77" s="389"/>
    </row>
    <row r="78" spans="1:9" ht="15.75" x14ac:dyDescent="0.25">
      <c r="A78" s="515" t="s">
        <v>147</v>
      </c>
      <c r="B78" s="419"/>
      <c r="C78" s="419"/>
      <c r="D78" s="419"/>
      <c r="E78" s="419"/>
      <c r="F78" s="419"/>
      <c r="G78" s="516">
        <f>G76*G77</f>
        <v>1177.9999999999998</v>
      </c>
      <c r="H78" s="389"/>
    </row>
    <row r="79" spans="1:9" ht="16.5" thickBot="1" x14ac:dyDescent="0.3">
      <c r="A79" s="518" t="s">
        <v>148</v>
      </c>
      <c r="B79" s="519"/>
      <c r="C79" s="519"/>
      <c r="D79" s="519"/>
      <c r="E79" s="519"/>
      <c r="F79" s="519"/>
      <c r="G79" s="520">
        <f>F74/G78</f>
        <v>9.2641211709859501</v>
      </c>
      <c r="H79" s="389"/>
      <c r="I79" s="389"/>
    </row>
    <row r="80" spans="1:9" ht="15" x14ac:dyDescent="0.2">
      <c r="A80" s="389"/>
      <c r="B80" s="389"/>
      <c r="C80" s="389"/>
      <c r="D80" s="389"/>
      <c r="E80" s="389"/>
      <c r="F80" s="389"/>
      <c r="G80" s="389"/>
      <c r="H80" s="389"/>
      <c r="I80" s="389"/>
    </row>
    <row r="81" spans="1:9" ht="15" x14ac:dyDescent="0.2">
      <c r="A81" s="521" t="str">
        <f>A2</f>
        <v xml:space="preserve">LINHA 29 - ITINERÁRIO </v>
      </c>
      <c r="B81" s="389"/>
      <c r="C81" s="389"/>
      <c r="D81" s="389"/>
      <c r="E81" s="389"/>
      <c r="F81" s="389"/>
      <c r="G81" s="389"/>
      <c r="H81" s="389"/>
      <c r="I81" s="389"/>
    </row>
    <row r="82" spans="1:9" ht="15.75" x14ac:dyDescent="0.25">
      <c r="A82" s="385" t="s">
        <v>210</v>
      </c>
      <c r="B82" s="389"/>
      <c r="C82" s="389"/>
      <c r="D82" s="389"/>
      <c r="E82" s="389"/>
      <c r="F82" s="389"/>
      <c r="G82" s="389"/>
      <c r="H82" s="389"/>
      <c r="I82" s="389"/>
    </row>
    <row r="83" spans="1:9" ht="15.75" x14ac:dyDescent="0.25">
      <c r="A83" s="385" t="s">
        <v>149</v>
      </c>
      <c r="B83" s="522">
        <f>G11</f>
        <v>58.899999999999991</v>
      </c>
      <c r="C83" s="522"/>
      <c r="D83" s="381" t="s">
        <v>150</v>
      </c>
      <c r="E83" s="389"/>
      <c r="F83" s="389"/>
      <c r="G83" s="389"/>
      <c r="H83" s="389"/>
      <c r="I83" s="389"/>
    </row>
    <row r="84" spans="1:9" ht="15.75" x14ac:dyDescent="0.25">
      <c r="A84" s="385" t="s">
        <v>322</v>
      </c>
      <c r="B84" s="381"/>
      <c r="C84" s="381"/>
      <c r="D84" s="381"/>
      <c r="E84" s="389"/>
      <c r="F84" s="389"/>
      <c r="G84" s="389"/>
      <c r="H84" s="389"/>
      <c r="I84" s="389"/>
    </row>
    <row r="85" spans="1:9" ht="15.75" x14ac:dyDescent="0.25">
      <c r="A85" s="385" t="s">
        <v>151</v>
      </c>
      <c r="B85" s="523"/>
      <c r="C85" s="523"/>
      <c r="D85" s="524">
        <f>H61</f>
        <v>9.2641211709859501</v>
      </c>
      <c r="E85" s="525"/>
      <c r="F85" s="570"/>
      <c r="G85" s="570"/>
      <c r="H85" s="570"/>
      <c r="I85" s="389"/>
    </row>
    <row r="86" spans="1:9" ht="15.75" x14ac:dyDescent="0.25">
      <c r="A86" s="385"/>
      <c r="B86" s="222"/>
      <c r="C86" s="222"/>
      <c r="D86" s="222"/>
      <c r="E86" s="222"/>
      <c r="F86" s="570"/>
      <c r="G86" s="570"/>
      <c r="H86" s="570"/>
      <c r="I86" s="389"/>
    </row>
    <row r="87" spans="1:9" ht="18" x14ac:dyDescent="0.25">
      <c r="A87" s="526" t="s">
        <v>152</v>
      </c>
      <c r="B87" s="222"/>
      <c r="C87" s="222"/>
      <c r="D87" s="222"/>
      <c r="E87" s="222"/>
      <c r="F87" s="222"/>
      <c r="G87" s="222"/>
      <c r="H87" s="222"/>
      <c r="I87" s="389"/>
    </row>
    <row r="88" spans="1:9" ht="18" x14ac:dyDescent="0.25">
      <c r="A88" s="221"/>
      <c r="B88" s="221"/>
      <c r="C88" s="221"/>
      <c r="D88" s="221"/>
      <c r="E88" s="221"/>
      <c r="F88" s="221"/>
      <c r="G88" s="221"/>
      <c r="H88" s="221"/>
      <c r="I88" s="222"/>
    </row>
    <row r="89" spans="1:9" ht="18" x14ac:dyDescent="0.25">
      <c r="A89" s="221" t="s">
        <v>153</v>
      </c>
      <c r="B89" s="221"/>
      <c r="C89" s="221"/>
      <c r="D89" s="221"/>
      <c r="E89" s="221"/>
      <c r="F89" s="221"/>
      <c r="G89" s="221"/>
      <c r="H89" s="221"/>
      <c r="I89" s="222"/>
    </row>
    <row r="90" spans="1:9" ht="18" x14ac:dyDescent="0.25">
      <c r="A90" s="221" t="s">
        <v>154</v>
      </c>
      <c r="B90" s="221"/>
      <c r="C90" s="221"/>
      <c r="D90" s="221"/>
      <c r="E90" s="221"/>
      <c r="F90" s="221"/>
      <c r="G90" s="221"/>
      <c r="H90" s="221"/>
      <c r="I90" s="222"/>
    </row>
    <row r="91" spans="1:9" ht="18" x14ac:dyDescent="0.25">
      <c r="A91" s="221" t="s">
        <v>155</v>
      </c>
      <c r="B91" s="221"/>
      <c r="C91" s="221"/>
      <c r="D91" s="221"/>
      <c r="E91" s="221"/>
      <c r="F91" s="221"/>
      <c r="G91" s="221"/>
      <c r="H91" s="221"/>
      <c r="I91" s="222"/>
    </row>
    <row r="92" spans="1:9" ht="18" x14ac:dyDescent="0.25">
      <c r="A92" s="221" t="s">
        <v>156</v>
      </c>
      <c r="B92" s="221"/>
      <c r="C92" s="221"/>
      <c r="D92" s="221"/>
      <c r="E92" s="221"/>
      <c r="F92" s="221"/>
      <c r="G92" s="221"/>
      <c r="H92" s="221"/>
      <c r="I92" s="222"/>
    </row>
    <row r="93" spans="1:9" ht="18" x14ac:dyDescent="0.25">
      <c r="A93" s="221" t="s">
        <v>157</v>
      </c>
      <c r="B93" s="221"/>
      <c r="C93" s="221"/>
      <c r="D93" s="221"/>
      <c r="E93" s="221"/>
      <c r="F93" s="221"/>
      <c r="G93" s="221"/>
      <c r="H93" s="221"/>
      <c r="I93" s="222"/>
    </row>
    <row r="94" spans="1:9" ht="18" x14ac:dyDescent="0.25">
      <c r="A94" s="221" t="s">
        <v>315</v>
      </c>
      <c r="B94" s="221" t="str">
        <f>B17</f>
        <v>Veículo no mínimo de 32 lugares</v>
      </c>
      <c r="C94" s="221"/>
      <c r="D94" s="221"/>
      <c r="E94" s="221"/>
      <c r="F94" s="221"/>
      <c r="G94" s="221"/>
      <c r="H94" s="221"/>
      <c r="I94" s="222"/>
    </row>
    <row r="95" spans="1:9" ht="18" x14ac:dyDescent="0.25">
      <c r="A95" s="221" t="s">
        <v>184</v>
      </c>
      <c r="B95" s="221"/>
      <c r="C95" s="221"/>
      <c r="D95" s="221"/>
      <c r="E95" s="221"/>
      <c r="F95" s="221"/>
      <c r="G95" s="221"/>
      <c r="H95" s="221"/>
      <c r="I95" s="222"/>
    </row>
    <row r="96" spans="1:9" ht="18" x14ac:dyDescent="0.25">
      <c r="A96" s="221" t="s">
        <v>158</v>
      </c>
      <c r="B96" s="221" t="str">
        <f>A18</f>
        <v>Veículo no máximo 20 anos de uso - Base Tabela FIPE</v>
      </c>
      <c r="C96" s="221"/>
      <c r="D96" s="221"/>
      <c r="E96" s="221"/>
      <c r="F96" s="221"/>
      <c r="G96" s="221"/>
      <c r="H96" s="221"/>
      <c r="I96" s="222"/>
    </row>
    <row r="97" spans="1:9" ht="18" x14ac:dyDescent="0.25">
      <c r="A97" s="221" t="s">
        <v>219</v>
      </c>
      <c r="B97" s="221"/>
      <c r="C97" s="221"/>
      <c r="D97" s="221"/>
      <c r="E97" s="221"/>
      <c r="F97" s="221"/>
      <c r="G97" s="221"/>
      <c r="H97" s="221"/>
      <c r="I97" s="222"/>
    </row>
    <row r="98" spans="1:9" ht="18" x14ac:dyDescent="0.25">
      <c r="A98" s="221" t="s">
        <v>182</v>
      </c>
      <c r="B98" s="221"/>
      <c r="C98" s="221"/>
      <c r="D98" s="221"/>
      <c r="E98" s="221"/>
      <c r="F98" s="221"/>
      <c r="G98" s="221"/>
      <c r="H98" s="221"/>
      <c r="I98" s="222"/>
    </row>
    <row r="99" spans="1:9" ht="18" x14ac:dyDescent="0.25">
      <c r="A99" s="221" t="s">
        <v>213</v>
      </c>
      <c r="B99" s="221"/>
      <c r="C99" s="221">
        <f>G20</f>
        <v>3.7</v>
      </c>
      <c r="D99" s="221" t="s">
        <v>214</v>
      </c>
      <c r="E99" s="221" t="s">
        <v>215</v>
      </c>
      <c r="F99" s="221"/>
      <c r="G99" s="221"/>
      <c r="H99" s="221"/>
      <c r="I99" s="222"/>
    </row>
    <row r="100" spans="1:9" ht="18" x14ac:dyDescent="0.25">
      <c r="A100" s="221" t="s">
        <v>220</v>
      </c>
      <c r="B100" s="221"/>
      <c r="C100" s="221"/>
      <c r="D100" s="221"/>
      <c r="E100" s="221"/>
      <c r="F100" s="221"/>
      <c r="G100" s="221"/>
      <c r="H100" s="221"/>
      <c r="I100" s="222"/>
    </row>
    <row r="101" spans="1:9" ht="18" x14ac:dyDescent="0.25">
      <c r="A101" s="221" t="s">
        <v>186</v>
      </c>
      <c r="B101" s="221"/>
      <c r="C101" s="221"/>
      <c r="D101" s="221"/>
      <c r="E101" s="221"/>
      <c r="F101" s="221"/>
      <c r="G101" s="221"/>
      <c r="H101" s="221"/>
      <c r="I101" s="222"/>
    </row>
    <row r="102" spans="1:9" ht="18" x14ac:dyDescent="0.25">
      <c r="A102" s="221" t="s">
        <v>221</v>
      </c>
      <c r="B102" s="221"/>
      <c r="C102" s="221"/>
      <c r="D102" s="221"/>
      <c r="E102" s="221"/>
      <c r="F102" s="221"/>
      <c r="G102" s="221"/>
      <c r="H102" s="221"/>
      <c r="I102" s="222"/>
    </row>
    <row r="103" spans="1:9" ht="18" x14ac:dyDescent="0.25">
      <c r="A103" s="221" t="s">
        <v>199</v>
      </c>
      <c r="B103" s="221"/>
      <c r="C103" s="221"/>
      <c r="D103" s="221"/>
      <c r="E103" s="221"/>
      <c r="F103" s="221"/>
      <c r="G103" s="221"/>
      <c r="H103" s="221"/>
      <c r="I103" s="222"/>
    </row>
    <row r="104" spans="1:9" ht="18" x14ac:dyDescent="0.25">
      <c r="A104" s="221" t="s">
        <v>216</v>
      </c>
      <c r="B104" s="221"/>
      <c r="C104" s="221"/>
      <c r="D104" s="221"/>
      <c r="E104" s="221"/>
      <c r="F104" s="221"/>
      <c r="G104" s="221"/>
      <c r="H104" s="221"/>
      <c r="I104" s="222"/>
    </row>
    <row r="105" spans="1:9" ht="18" x14ac:dyDescent="0.25">
      <c r="A105" s="221" t="s">
        <v>262</v>
      </c>
      <c r="B105" s="221"/>
      <c r="C105" s="221"/>
      <c r="D105" s="221"/>
      <c r="E105" s="221"/>
      <c r="F105" s="221"/>
      <c r="G105" s="221"/>
      <c r="H105" s="221"/>
      <c r="I105" s="222"/>
    </row>
    <row r="106" spans="1:9" ht="18" x14ac:dyDescent="0.25">
      <c r="A106" s="221" t="s">
        <v>159</v>
      </c>
      <c r="B106" s="221"/>
      <c r="C106" s="221"/>
      <c r="D106" s="221"/>
      <c r="E106" s="221"/>
      <c r="F106" s="221"/>
      <c r="G106" s="221"/>
      <c r="H106" s="221"/>
      <c r="I106" s="222"/>
    </row>
    <row r="107" spans="1:9" ht="18" x14ac:dyDescent="0.25">
      <c r="A107" s="221" t="s">
        <v>160</v>
      </c>
      <c r="B107" s="221"/>
      <c r="C107" s="221"/>
      <c r="D107" s="221"/>
      <c r="E107" s="221"/>
      <c r="F107" s="221"/>
      <c r="G107" s="221"/>
      <c r="H107" s="221"/>
      <c r="I107" s="222"/>
    </row>
    <row r="108" spans="1:9" ht="18" x14ac:dyDescent="0.25">
      <c r="A108" s="221" t="s">
        <v>185</v>
      </c>
      <c r="B108" s="221"/>
      <c r="C108" s="221"/>
      <c r="D108" s="221"/>
      <c r="E108" s="221"/>
      <c r="F108" s="221"/>
      <c r="G108" s="221"/>
      <c r="H108" s="221"/>
      <c r="I108" s="222"/>
    </row>
    <row r="109" spans="1:9" ht="18" x14ac:dyDescent="0.25">
      <c r="A109" s="221" t="s">
        <v>208</v>
      </c>
      <c r="B109" s="221"/>
      <c r="C109" s="221"/>
      <c r="D109" s="221"/>
      <c r="E109" s="221"/>
      <c r="F109" s="221"/>
      <c r="G109" s="221"/>
      <c r="H109" s="221"/>
      <c r="I109" s="222"/>
    </row>
    <row r="110" spans="1:9" ht="18" x14ac:dyDescent="0.25">
      <c r="A110" s="221" t="s">
        <v>200</v>
      </c>
      <c r="B110" s="221"/>
      <c r="C110" s="221"/>
      <c r="D110" s="221"/>
      <c r="E110" s="221"/>
      <c r="F110" s="221"/>
      <c r="G110" s="221"/>
      <c r="H110" s="221"/>
      <c r="I110" s="222"/>
    </row>
    <row r="111" spans="1:9" ht="18" x14ac:dyDescent="0.25">
      <c r="A111" s="221" t="s">
        <v>161</v>
      </c>
      <c r="B111" s="221"/>
      <c r="C111" s="221"/>
      <c r="D111" s="221"/>
      <c r="E111" s="221"/>
      <c r="F111" s="221"/>
      <c r="G111" s="221"/>
      <c r="H111" s="221"/>
      <c r="I111" s="222"/>
    </row>
    <row r="112" spans="1:9" ht="18" x14ac:dyDescent="0.25">
      <c r="A112" s="221" t="s">
        <v>261</v>
      </c>
      <c r="B112" s="221"/>
      <c r="C112" s="221"/>
      <c r="D112" s="221"/>
      <c r="E112" s="221"/>
      <c r="F112" s="221"/>
      <c r="G112" s="221"/>
      <c r="H112" s="221"/>
      <c r="I112" s="222"/>
    </row>
    <row r="113" spans="1:9" ht="18" x14ac:dyDescent="0.25">
      <c r="A113" s="221" t="s">
        <v>162</v>
      </c>
      <c r="B113" s="221"/>
      <c r="C113" s="221"/>
      <c r="D113" s="221"/>
      <c r="E113" s="221"/>
      <c r="F113" s="221"/>
      <c r="G113" s="221"/>
      <c r="H113" s="221"/>
      <c r="I113" s="222"/>
    </row>
    <row r="114" spans="1:9" ht="18" x14ac:dyDescent="0.25">
      <c r="A114" s="221" t="s">
        <v>217</v>
      </c>
      <c r="B114" s="221"/>
      <c r="C114" s="221"/>
      <c r="D114" s="221"/>
      <c r="E114" s="221"/>
      <c r="F114" s="221"/>
      <c r="G114" s="221"/>
      <c r="H114" s="221"/>
      <c r="I114" s="222"/>
    </row>
    <row r="115" spans="1:9" ht="18" x14ac:dyDescent="0.25">
      <c r="A115" s="221" t="s">
        <v>204</v>
      </c>
      <c r="B115" s="221"/>
      <c r="C115" s="221"/>
      <c r="D115" s="221"/>
      <c r="E115" s="221"/>
      <c r="F115" s="221"/>
      <c r="G115" s="221"/>
      <c r="H115" s="221"/>
      <c r="I115" s="222"/>
    </row>
    <row r="116" spans="1:9" ht="18" x14ac:dyDescent="0.25">
      <c r="A116" s="221" t="s">
        <v>163</v>
      </c>
      <c r="B116" s="221"/>
      <c r="C116" s="221"/>
      <c r="D116" s="221"/>
      <c r="E116" s="221"/>
      <c r="F116" s="221"/>
      <c r="G116" s="221"/>
      <c r="H116" s="221"/>
      <c r="I116" s="222"/>
    </row>
    <row r="117" spans="1:9" ht="18" x14ac:dyDescent="0.25">
      <c r="A117" s="221" t="s">
        <v>164</v>
      </c>
      <c r="B117" s="221"/>
      <c r="C117" s="221"/>
      <c r="D117" s="221"/>
      <c r="E117" s="221"/>
      <c r="F117" s="221"/>
      <c r="G117" s="221"/>
      <c r="H117" s="221"/>
      <c r="I117" s="222"/>
    </row>
    <row r="118" spans="1:9" ht="18" x14ac:dyDescent="0.25">
      <c r="A118" s="221" t="s">
        <v>165</v>
      </c>
      <c r="B118" s="221"/>
      <c r="C118" s="221"/>
      <c r="D118" s="221"/>
      <c r="E118" s="221"/>
      <c r="F118" s="221"/>
      <c r="G118" s="221"/>
      <c r="H118" s="221"/>
      <c r="I118" s="222"/>
    </row>
    <row r="119" spans="1:9" ht="18" x14ac:dyDescent="0.25">
      <c r="A119" s="221" t="s">
        <v>166</v>
      </c>
      <c r="B119" s="221"/>
      <c r="C119" s="221"/>
      <c r="D119" s="221"/>
      <c r="E119" s="221"/>
      <c r="F119" s="221"/>
      <c r="G119" s="221"/>
      <c r="H119" s="221"/>
      <c r="I119" s="222"/>
    </row>
    <row r="120" spans="1:9" ht="18" x14ac:dyDescent="0.25">
      <c r="A120" s="221" t="s">
        <v>201</v>
      </c>
      <c r="B120" s="221"/>
      <c r="C120" s="221"/>
      <c r="D120" s="221"/>
      <c r="E120" s="221"/>
      <c r="F120" s="221"/>
      <c r="G120" s="221"/>
      <c r="H120" s="221"/>
      <c r="I120" s="222"/>
    </row>
    <row r="121" spans="1:9" ht="18" x14ac:dyDescent="0.25">
      <c r="A121" s="221" t="s">
        <v>218</v>
      </c>
      <c r="B121" s="222"/>
      <c r="C121" s="222"/>
      <c r="D121" s="222"/>
      <c r="E121" s="222"/>
      <c r="F121" s="222"/>
      <c r="G121" s="222"/>
      <c r="H121" s="221"/>
      <c r="I121" s="222"/>
    </row>
    <row r="122" spans="1:9" ht="18" x14ac:dyDescent="0.25">
      <c r="A122" s="221" t="s">
        <v>205</v>
      </c>
      <c r="B122" s="222"/>
      <c r="C122" s="222"/>
      <c r="D122" s="222"/>
      <c r="E122" s="222"/>
      <c r="F122" s="222"/>
      <c r="G122" s="222"/>
      <c r="H122" s="221"/>
      <c r="I122" s="222"/>
    </row>
    <row r="123" spans="1:9" ht="18" x14ac:dyDescent="0.25">
      <c r="A123" s="221" t="s">
        <v>167</v>
      </c>
      <c r="B123" s="222"/>
      <c r="C123" s="222"/>
      <c r="D123" s="222"/>
      <c r="E123" s="222"/>
      <c r="F123" s="222"/>
      <c r="G123" s="222"/>
      <c r="H123" s="221"/>
      <c r="I123" s="222"/>
    </row>
    <row r="124" spans="1:9" ht="18" x14ac:dyDescent="0.25">
      <c r="A124" s="221" t="s">
        <v>168</v>
      </c>
      <c r="B124" s="222"/>
      <c r="C124" s="222"/>
      <c r="D124" s="222"/>
      <c r="E124" s="222"/>
      <c r="F124" s="222"/>
      <c r="G124" s="222"/>
      <c r="H124" s="221"/>
      <c r="I124" s="222"/>
    </row>
    <row r="125" spans="1:9" ht="18" x14ac:dyDescent="0.25">
      <c r="A125" s="221" t="s">
        <v>169</v>
      </c>
      <c r="B125" s="222"/>
      <c r="C125" s="222"/>
      <c r="D125" s="222"/>
      <c r="E125" s="222"/>
      <c r="F125" s="222"/>
      <c r="G125" s="222"/>
      <c r="H125" s="222"/>
      <c r="I125" s="222"/>
    </row>
    <row r="126" spans="1:9" ht="18" x14ac:dyDescent="0.25">
      <c r="A126" s="221" t="s">
        <v>170</v>
      </c>
      <c r="B126" s="222"/>
      <c r="C126" s="222"/>
      <c r="D126" s="222"/>
      <c r="E126" s="222"/>
      <c r="F126" s="222"/>
      <c r="G126" s="222"/>
      <c r="H126" s="222"/>
      <c r="I126" s="222"/>
    </row>
    <row r="127" spans="1:9" ht="18" x14ac:dyDescent="0.25">
      <c r="A127" s="221" t="s">
        <v>171</v>
      </c>
      <c r="B127" s="222"/>
      <c r="C127" s="222"/>
      <c r="D127" s="222"/>
      <c r="E127" s="222"/>
      <c r="F127" s="222"/>
      <c r="G127" s="222"/>
      <c r="H127" s="222"/>
      <c r="I127" s="222"/>
    </row>
    <row r="128" spans="1:9" ht="18" x14ac:dyDescent="0.25">
      <c r="A128" s="221" t="s">
        <v>207</v>
      </c>
      <c r="B128" s="222"/>
      <c r="C128" s="222"/>
      <c r="D128" s="222"/>
      <c r="E128" s="222"/>
      <c r="F128" s="222"/>
      <c r="G128" s="222"/>
      <c r="H128" s="222"/>
      <c r="I128" s="222"/>
    </row>
    <row r="129" spans="1:9" ht="16.5" x14ac:dyDescent="0.25">
      <c r="A129" s="527"/>
      <c r="B129" s="222"/>
      <c r="C129" s="222"/>
      <c r="D129" s="222"/>
      <c r="E129" s="222"/>
      <c r="F129" s="222"/>
      <c r="G129" s="222"/>
      <c r="H129" s="222"/>
      <c r="I129" s="222"/>
    </row>
    <row r="130" spans="1:9" ht="18" x14ac:dyDescent="0.25">
      <c r="A130" s="221" t="str">
        <f>'Resumo 2026 '!A16</f>
        <v>Fontoura Xavier, 05 de outubro de 2026</v>
      </c>
      <c r="B130" s="222"/>
      <c r="C130" s="222"/>
      <c r="D130" s="222"/>
      <c r="E130" s="222"/>
      <c r="F130" s="222"/>
      <c r="G130" s="222"/>
      <c r="H130" s="222"/>
      <c r="I130" s="222"/>
    </row>
    <row r="131" spans="1:9" ht="18" x14ac:dyDescent="0.25">
      <c r="A131" s="221"/>
      <c r="B131" s="222"/>
      <c r="C131" s="222"/>
      <c r="D131" s="222"/>
      <c r="E131" s="222"/>
      <c r="F131" s="222"/>
      <c r="G131" s="222"/>
      <c r="H131" s="222"/>
      <c r="I131" s="222"/>
    </row>
    <row r="132" spans="1:9" ht="18" x14ac:dyDescent="0.25">
      <c r="A132" s="221"/>
      <c r="B132" s="222"/>
      <c r="C132" s="222"/>
      <c r="D132" s="222"/>
      <c r="E132" s="222"/>
      <c r="F132" s="222"/>
      <c r="G132" s="222"/>
      <c r="H132" s="222"/>
      <c r="I132" s="222"/>
    </row>
    <row r="133" spans="1:9" ht="18" x14ac:dyDescent="0.25">
      <c r="A133" s="221"/>
      <c r="B133" s="222"/>
      <c r="C133" s="222"/>
      <c r="D133" s="222"/>
      <c r="E133" s="222"/>
      <c r="F133" s="222"/>
      <c r="G133" s="222"/>
      <c r="H133" s="222"/>
      <c r="I133" s="222"/>
    </row>
    <row r="134" spans="1:9" x14ac:dyDescent="0.2">
      <c r="A134" s="222"/>
      <c r="B134" s="222"/>
      <c r="C134" s="222"/>
      <c r="D134" s="222"/>
      <c r="E134" s="222"/>
      <c r="F134" s="222"/>
      <c r="G134" s="222"/>
      <c r="H134" s="222"/>
      <c r="I134" s="222"/>
    </row>
    <row r="135" spans="1:9" x14ac:dyDescent="0.2">
      <c r="A135" s="222"/>
      <c r="B135" s="222"/>
      <c r="C135" s="222"/>
      <c r="D135" s="222"/>
      <c r="E135" s="222"/>
      <c r="F135" s="222"/>
      <c r="G135" s="222"/>
      <c r="H135" s="222"/>
      <c r="I135" s="222"/>
    </row>
    <row r="136" spans="1:9" x14ac:dyDescent="0.2">
      <c r="A136" s="222"/>
      <c r="B136" s="222"/>
      <c r="C136" s="222"/>
      <c r="D136" s="222"/>
      <c r="E136" s="222"/>
      <c r="F136" s="222"/>
      <c r="G136" s="222"/>
      <c r="H136" s="222"/>
      <c r="I136" s="222"/>
    </row>
  </sheetData>
  <mergeCells count="24">
    <mergeCell ref="A16:F16"/>
    <mergeCell ref="A1:H1"/>
    <mergeCell ref="A2:H2"/>
    <mergeCell ref="A3:H3"/>
    <mergeCell ref="A4:H4"/>
    <mergeCell ref="B7:C7"/>
    <mergeCell ref="B8:C8"/>
    <mergeCell ref="B10:C10"/>
    <mergeCell ref="A11:F11"/>
    <mergeCell ref="B13:C13"/>
    <mergeCell ref="A14:F14"/>
    <mergeCell ref="A15:F15"/>
    <mergeCell ref="F85:H86"/>
    <mergeCell ref="B17:G17"/>
    <mergeCell ref="A18:F18"/>
    <mergeCell ref="A19:F19"/>
    <mergeCell ref="A20:F20"/>
    <mergeCell ref="A21:F21"/>
    <mergeCell ref="A22:F22"/>
    <mergeCell ref="A23:F23"/>
    <mergeCell ref="A33:H33"/>
    <mergeCell ref="A50:G50"/>
    <mergeCell ref="A52:G52"/>
    <mergeCell ref="A63:G63"/>
  </mergeCells>
  <pageMargins left="0.70866141732283472" right="0.70866141732283472" top="0.78740157480314965" bottom="0.78740157480314965" header="0.51181102362204722" footer="0.70866141732283472"/>
  <pageSetup paperSize="9" scale="55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6"/>
  <sheetViews>
    <sheetView workbookViewId="0">
      <selection activeCell="J9" sqref="J9"/>
    </sheetView>
  </sheetViews>
  <sheetFormatPr defaultRowHeight="12.75" x14ac:dyDescent="0.2"/>
  <cols>
    <col min="1" max="1" width="39.28515625" customWidth="1"/>
    <col min="2" max="2" width="15.28515625" customWidth="1"/>
    <col min="3" max="3" width="10.28515625" customWidth="1"/>
    <col min="4" max="4" width="22.85546875" customWidth="1"/>
    <col min="5" max="5" width="18.42578125" bestFit="1" customWidth="1"/>
    <col min="6" max="6" width="19.7109375" bestFit="1" customWidth="1"/>
    <col min="7" max="7" width="15.28515625" bestFit="1" customWidth="1"/>
    <col min="8" max="8" width="16.5703125" bestFit="1" customWidth="1"/>
    <col min="9" max="9" width="7" hidden="1" customWidth="1"/>
    <col min="10" max="10" width="5.140625" hidden="1" customWidth="1"/>
    <col min="11" max="11" width="10.7109375" bestFit="1" customWidth="1"/>
  </cols>
  <sheetData>
    <row r="1" spans="1:12" ht="16.5" thickBot="1" x14ac:dyDescent="0.3">
      <c r="A1" s="555" t="s">
        <v>264</v>
      </c>
      <c r="B1" s="556"/>
      <c r="C1" s="556"/>
      <c r="D1" s="556"/>
      <c r="E1" s="556"/>
      <c r="F1" s="556"/>
      <c r="G1" s="556"/>
      <c r="H1" s="557"/>
      <c r="I1" s="82"/>
    </row>
    <row r="2" spans="1:12" ht="16.5" thickBot="1" x14ac:dyDescent="0.3">
      <c r="A2" s="531" t="s">
        <v>271</v>
      </c>
      <c r="B2" s="532"/>
      <c r="C2" s="532"/>
      <c r="D2" s="532"/>
      <c r="E2" s="532"/>
      <c r="F2" s="532"/>
      <c r="G2" s="532"/>
      <c r="H2" s="533"/>
      <c r="I2" s="82"/>
    </row>
    <row r="3" spans="1:12" ht="16.5" thickBot="1" x14ac:dyDescent="0.3">
      <c r="A3" s="555" t="s">
        <v>223</v>
      </c>
      <c r="B3" s="556"/>
      <c r="C3" s="556"/>
      <c r="D3" s="556"/>
      <c r="E3" s="556"/>
      <c r="F3" s="556"/>
      <c r="G3" s="556"/>
      <c r="H3" s="557"/>
      <c r="I3" s="82"/>
    </row>
    <row r="4" spans="1:12" ht="15.75" thickBot="1" x14ac:dyDescent="0.25">
      <c r="A4" s="558" t="s">
        <v>9</v>
      </c>
      <c r="B4" s="559"/>
      <c r="C4" s="559"/>
      <c r="D4" s="559"/>
      <c r="E4" s="559"/>
      <c r="F4" s="559"/>
      <c r="G4" s="559"/>
      <c r="H4" s="560"/>
      <c r="I4" s="85"/>
    </row>
    <row r="5" spans="1:12" ht="8.4499999999999993" customHeight="1" x14ac:dyDescent="0.25">
      <c r="A5" s="86"/>
      <c r="B5" s="86"/>
      <c r="C5" s="86"/>
      <c r="D5" s="86"/>
      <c r="E5" s="86"/>
      <c r="F5" s="86"/>
      <c r="G5" s="86"/>
      <c r="H5" s="83"/>
      <c r="I5" s="83"/>
    </row>
    <row r="6" spans="1:12" ht="15.75" x14ac:dyDescent="0.25">
      <c r="A6" s="87" t="s">
        <v>103</v>
      </c>
      <c r="B6" s="83"/>
      <c r="C6" s="83"/>
      <c r="D6" s="83"/>
      <c r="E6" s="83"/>
      <c r="F6" s="83"/>
      <c r="G6" s="83"/>
      <c r="H6" s="83"/>
      <c r="I6" s="83"/>
    </row>
    <row r="7" spans="1:12" ht="15.75" x14ac:dyDescent="0.25">
      <c r="A7" s="88" t="s">
        <v>104</v>
      </c>
      <c r="B7" s="564" t="s">
        <v>255</v>
      </c>
      <c r="C7" s="565"/>
      <c r="D7" s="89"/>
      <c r="E7" s="89"/>
      <c r="F7" s="89"/>
      <c r="G7" s="89" t="s">
        <v>105</v>
      </c>
      <c r="H7" s="90"/>
      <c r="I7" s="182">
        <v>25</v>
      </c>
      <c r="J7" s="281" t="s">
        <v>258</v>
      </c>
    </row>
    <row r="8" spans="1:12" ht="15.75" x14ac:dyDescent="0.25">
      <c r="A8" s="88" t="s">
        <v>106</v>
      </c>
      <c r="B8" s="566">
        <v>62</v>
      </c>
      <c r="C8" s="567"/>
      <c r="D8" s="91"/>
      <c r="E8" s="91"/>
      <c r="F8" s="91"/>
      <c r="G8" s="92">
        <f>SUM(B8:F8)</f>
        <v>62</v>
      </c>
      <c r="H8" s="90"/>
      <c r="I8" s="90"/>
    </row>
    <row r="9" spans="1:12" ht="15.75" hidden="1" x14ac:dyDescent="0.25">
      <c r="A9" s="88" t="s">
        <v>107</v>
      </c>
      <c r="B9" s="109"/>
      <c r="C9" s="109"/>
      <c r="D9" s="109"/>
      <c r="E9" s="109"/>
      <c r="F9" s="109"/>
      <c r="G9" s="93">
        <v>0</v>
      </c>
      <c r="H9" s="90"/>
      <c r="I9" s="90"/>
    </row>
    <row r="10" spans="1:12" ht="15.75" x14ac:dyDescent="0.25">
      <c r="A10" s="88" t="s">
        <v>209</v>
      </c>
      <c r="B10" s="568">
        <f>Roteiros!AA29</f>
        <v>59</v>
      </c>
      <c r="C10" s="569"/>
      <c r="D10" s="270"/>
      <c r="E10" s="270"/>
      <c r="F10" s="270"/>
      <c r="G10" s="94">
        <f>SUM(B10:F10)</f>
        <v>59</v>
      </c>
      <c r="H10" s="90"/>
      <c r="I10" s="90"/>
      <c r="K10" s="223"/>
      <c r="L10" s="223"/>
    </row>
    <row r="11" spans="1:12" ht="15.75" x14ac:dyDescent="0.25">
      <c r="A11" s="546" t="s">
        <v>108</v>
      </c>
      <c r="B11" s="561"/>
      <c r="C11" s="561"/>
      <c r="D11" s="547"/>
      <c r="E11" s="547"/>
      <c r="F11" s="548"/>
      <c r="G11" s="95">
        <f>G10+G9</f>
        <v>59</v>
      </c>
      <c r="H11" s="90"/>
      <c r="I11" s="90"/>
    </row>
    <row r="12" spans="1:12" ht="15.75" x14ac:dyDescent="0.25">
      <c r="A12" s="181" t="s">
        <v>109</v>
      </c>
      <c r="B12" s="282">
        <f>B13/24</f>
        <v>9.8333333333333328E-2</v>
      </c>
      <c r="C12" s="280" t="s">
        <v>257</v>
      </c>
      <c r="D12" s="275"/>
      <c r="E12" s="271"/>
      <c r="F12" s="271"/>
      <c r="G12" s="96" t="s">
        <v>110</v>
      </c>
      <c r="H12" s="90"/>
      <c r="I12" s="90"/>
      <c r="J12" s="182"/>
      <c r="K12" s="224"/>
    </row>
    <row r="13" spans="1:12" ht="15.75" x14ac:dyDescent="0.25">
      <c r="A13" s="181" t="s">
        <v>111</v>
      </c>
      <c r="B13" s="562">
        <f>B10/I7</f>
        <v>2.36</v>
      </c>
      <c r="C13" s="563"/>
      <c r="D13" s="271"/>
      <c r="E13" s="272"/>
      <c r="F13" s="272"/>
      <c r="G13" s="94">
        <f>SUM(B13:F13)</f>
        <v>2.36</v>
      </c>
      <c r="H13" s="97"/>
      <c r="I13" s="225"/>
      <c r="J13" s="90"/>
    </row>
    <row r="14" spans="1:12" ht="15.75" x14ac:dyDescent="0.25">
      <c r="A14" s="546" t="s">
        <v>282</v>
      </c>
      <c r="B14" s="547"/>
      <c r="C14" s="547"/>
      <c r="D14" s="547"/>
      <c r="E14" s="547"/>
      <c r="F14" s="548"/>
      <c r="G14" s="94">
        <v>2</v>
      </c>
      <c r="J14" s="98"/>
    </row>
    <row r="15" spans="1:12" ht="15.75" x14ac:dyDescent="0.25">
      <c r="A15" s="546" t="s">
        <v>112</v>
      </c>
      <c r="B15" s="547"/>
      <c r="C15" s="547"/>
      <c r="D15" s="547"/>
      <c r="E15" s="547"/>
      <c r="F15" s="548"/>
      <c r="G15" s="95">
        <f>(G14+G13)</f>
        <v>4.3599999999999994</v>
      </c>
      <c r="H15" s="98"/>
      <c r="I15" s="98"/>
      <c r="J15" s="98"/>
    </row>
    <row r="16" spans="1:12" ht="15.75" x14ac:dyDescent="0.25">
      <c r="A16" s="546"/>
      <c r="B16" s="547"/>
      <c r="C16" s="547"/>
      <c r="D16" s="547"/>
      <c r="E16" s="547"/>
      <c r="F16" s="548"/>
      <c r="G16" s="99"/>
      <c r="H16" s="90"/>
      <c r="I16" s="90"/>
    </row>
    <row r="17" spans="1:9" ht="15.75" x14ac:dyDescent="0.25">
      <c r="A17" s="96" t="s">
        <v>113</v>
      </c>
      <c r="B17" s="552" t="s">
        <v>281</v>
      </c>
      <c r="C17" s="553"/>
      <c r="D17" s="553"/>
      <c r="E17" s="553"/>
      <c r="F17" s="553"/>
      <c r="G17" s="554"/>
      <c r="H17" s="90"/>
      <c r="I17" s="90"/>
    </row>
    <row r="18" spans="1:9" ht="15.75" x14ac:dyDescent="0.25">
      <c r="A18" s="546" t="s">
        <v>285</v>
      </c>
      <c r="B18" s="547"/>
      <c r="C18" s="547"/>
      <c r="D18" s="547"/>
      <c r="E18" s="547"/>
      <c r="F18" s="548"/>
      <c r="G18" s="187">
        <v>180000</v>
      </c>
      <c r="H18" s="90"/>
      <c r="I18" s="90"/>
    </row>
    <row r="19" spans="1:9" ht="15.75" x14ac:dyDescent="0.25">
      <c r="A19" s="546" t="s">
        <v>197</v>
      </c>
      <c r="B19" s="547"/>
      <c r="C19" s="547"/>
      <c r="D19" s="547"/>
      <c r="E19" s="547"/>
      <c r="F19" s="548"/>
      <c r="G19" s="188">
        <v>7.32</v>
      </c>
      <c r="H19" s="90"/>
      <c r="I19" s="90"/>
    </row>
    <row r="20" spans="1:9" ht="15.75" x14ac:dyDescent="0.25">
      <c r="A20" s="546" t="s">
        <v>203</v>
      </c>
      <c r="B20" s="547"/>
      <c r="C20" s="547"/>
      <c r="D20" s="547"/>
      <c r="E20" s="547"/>
      <c r="F20" s="548"/>
      <c r="G20" s="188">
        <v>3.8</v>
      </c>
      <c r="H20" s="90"/>
      <c r="I20" s="90"/>
    </row>
    <row r="21" spans="1:9" ht="15.75" x14ac:dyDescent="0.25">
      <c r="A21" s="546" t="s">
        <v>198</v>
      </c>
      <c r="B21" s="547"/>
      <c r="C21" s="547"/>
      <c r="D21" s="547"/>
      <c r="E21" s="547"/>
      <c r="F21" s="548"/>
      <c r="G21" s="188">
        <v>0.75</v>
      </c>
      <c r="H21" s="90"/>
      <c r="I21" s="90"/>
    </row>
    <row r="22" spans="1:9" ht="15.75" x14ac:dyDescent="0.25">
      <c r="A22" s="546" t="s">
        <v>114</v>
      </c>
      <c r="B22" s="547"/>
      <c r="C22" s="547"/>
      <c r="D22" s="547"/>
      <c r="E22" s="547"/>
      <c r="F22" s="548"/>
      <c r="G22" s="100">
        <v>20</v>
      </c>
      <c r="H22" s="90"/>
      <c r="I22" s="90"/>
    </row>
    <row r="23" spans="1:9" ht="15.75" x14ac:dyDescent="0.25">
      <c r="A23" s="546" t="s">
        <v>188</v>
      </c>
      <c r="B23" s="547"/>
      <c r="C23" s="547"/>
      <c r="D23" s="547"/>
      <c r="E23" s="547"/>
      <c r="F23" s="548"/>
      <c r="G23" s="94">
        <f>G22*B10</f>
        <v>1180</v>
      </c>
      <c r="H23" s="90"/>
      <c r="I23" s="90"/>
    </row>
    <row r="24" spans="1:9" ht="13.15" customHeight="1" x14ac:dyDescent="0.2">
      <c r="A24" s="90"/>
      <c r="B24" s="90"/>
      <c r="C24" s="90"/>
      <c r="D24" s="90"/>
      <c r="E24" s="90"/>
      <c r="F24" s="90"/>
      <c r="G24" s="90"/>
      <c r="H24" s="90"/>
      <c r="I24" s="90"/>
    </row>
    <row r="25" spans="1:9" ht="15.75" x14ac:dyDescent="0.25">
      <c r="A25" s="101" t="s">
        <v>115</v>
      </c>
      <c r="B25" s="102" t="s">
        <v>102</v>
      </c>
      <c r="C25" s="83"/>
      <c r="D25" s="203" t="s">
        <v>194</v>
      </c>
      <c r="E25" s="204"/>
      <c r="F25" s="204"/>
      <c r="G25" s="205"/>
      <c r="H25" s="206"/>
      <c r="I25" s="90"/>
    </row>
    <row r="26" spans="1:9" ht="16.5" thickBot="1" x14ac:dyDescent="0.3">
      <c r="A26" s="96" t="s">
        <v>195</v>
      </c>
      <c r="B26" s="208">
        <f>(G22*G11*G19)/G20</f>
        <v>2273.0526315789475</v>
      </c>
      <c r="C26" s="103"/>
      <c r="D26" s="200" t="s">
        <v>10</v>
      </c>
      <c r="E26" s="201" t="s">
        <v>11</v>
      </c>
      <c r="F26" s="201" t="s">
        <v>6</v>
      </c>
      <c r="G26" s="202" t="s">
        <v>90</v>
      </c>
      <c r="H26" s="202" t="s">
        <v>12</v>
      </c>
      <c r="I26" s="90"/>
    </row>
    <row r="27" spans="1:9" ht="15.75" x14ac:dyDescent="0.25">
      <c r="A27" s="96" t="s">
        <v>196</v>
      </c>
      <c r="B27" s="208">
        <f>G21*G23</f>
        <v>885</v>
      </c>
      <c r="C27" s="103"/>
      <c r="D27" s="189" t="s">
        <v>189</v>
      </c>
      <c r="E27" s="190" t="s">
        <v>2</v>
      </c>
      <c r="F27" s="191">
        <v>6</v>
      </c>
      <c r="G27" s="192">
        <v>1500</v>
      </c>
      <c r="H27" s="193">
        <f>F27*G27</f>
        <v>9000</v>
      </c>
      <c r="I27" s="90"/>
    </row>
    <row r="28" spans="1:9" ht="15.75" x14ac:dyDescent="0.25">
      <c r="A28" s="96" t="str">
        <f>D25</f>
        <v>1.3 Pneus</v>
      </c>
      <c r="B28" s="208">
        <f>H31</f>
        <v>212.4</v>
      </c>
      <c r="C28" s="90"/>
      <c r="D28" s="189" t="s">
        <v>193</v>
      </c>
      <c r="E28" s="190" t="s">
        <v>2</v>
      </c>
      <c r="F28" s="190">
        <v>2</v>
      </c>
      <c r="G28" s="194"/>
      <c r="H28" s="193"/>
      <c r="I28" s="90"/>
    </row>
    <row r="29" spans="1:9" ht="15.75" x14ac:dyDescent="0.25">
      <c r="A29" s="89"/>
      <c r="B29" s="96"/>
      <c r="C29" s="82"/>
      <c r="D29" s="189" t="s">
        <v>190</v>
      </c>
      <c r="E29" s="190" t="s">
        <v>2</v>
      </c>
      <c r="F29" s="209">
        <f>F27*F28</f>
        <v>12</v>
      </c>
      <c r="G29" s="192">
        <v>450</v>
      </c>
      <c r="H29" s="193">
        <f>F29*G29</f>
        <v>5400</v>
      </c>
      <c r="I29" s="90"/>
    </row>
    <row r="30" spans="1:9" ht="15.75" x14ac:dyDescent="0.25">
      <c r="A30" s="89" t="s">
        <v>116</v>
      </c>
      <c r="B30" s="96">
        <f>SUM(B26:B29)</f>
        <v>3370.4526315789476</v>
      </c>
      <c r="C30" s="82"/>
      <c r="D30" s="195" t="s">
        <v>206</v>
      </c>
      <c r="E30" s="196" t="s">
        <v>191</v>
      </c>
      <c r="F30" s="197">
        <v>80000</v>
      </c>
      <c r="G30" s="198">
        <f>H27+H29</f>
        <v>14400</v>
      </c>
      <c r="H30" s="198">
        <f>IFERROR(G30/F30,"-")</f>
        <v>0.18</v>
      </c>
      <c r="I30" s="90"/>
    </row>
    <row r="31" spans="1:9" ht="15.75" x14ac:dyDescent="0.25">
      <c r="A31" s="83"/>
      <c r="B31" s="82"/>
      <c r="C31" s="82"/>
      <c r="D31" s="195" t="s">
        <v>192</v>
      </c>
      <c r="E31" s="196" t="s">
        <v>3</v>
      </c>
      <c r="F31" s="199">
        <f>G23</f>
        <v>1180</v>
      </c>
      <c r="G31" s="198">
        <f>H30</f>
        <v>0.18</v>
      </c>
      <c r="H31" s="207">
        <f>IFERROR(F31*G31,0)</f>
        <v>212.4</v>
      </c>
      <c r="I31" s="90"/>
    </row>
    <row r="32" spans="1:9" ht="12.6" customHeight="1" x14ac:dyDescent="0.25">
      <c r="A32" s="83"/>
      <c r="B32" s="90"/>
      <c r="C32" s="90"/>
      <c r="D32" s="90"/>
      <c r="E32" s="90"/>
      <c r="F32" s="90"/>
      <c r="G32" s="90"/>
      <c r="H32" s="90"/>
      <c r="I32" s="90"/>
    </row>
    <row r="33" spans="1:9" ht="15.75" x14ac:dyDescent="0.25">
      <c r="A33" s="549" t="s">
        <v>117</v>
      </c>
      <c r="B33" s="550"/>
      <c r="C33" s="550"/>
      <c r="D33" s="550"/>
      <c r="E33" s="550"/>
      <c r="F33" s="550"/>
      <c r="G33" s="550"/>
      <c r="H33" s="550"/>
      <c r="I33" s="82"/>
    </row>
    <row r="34" spans="1:9" ht="15.75" x14ac:dyDescent="0.25">
      <c r="A34" s="105" t="s">
        <v>293</v>
      </c>
      <c r="B34" s="220">
        <f>G44*0.14</f>
        <v>25200.000000000004</v>
      </c>
      <c r="C34" s="90"/>
      <c r="D34" s="106" t="s">
        <v>118</v>
      </c>
      <c r="E34" s="106" t="s">
        <v>119</v>
      </c>
      <c r="F34" s="106" t="s">
        <v>120</v>
      </c>
      <c r="G34" s="106" t="s">
        <v>121</v>
      </c>
      <c r="H34" s="106" t="s">
        <v>105</v>
      </c>
      <c r="I34" s="84"/>
    </row>
    <row r="35" spans="1:9" ht="15.75" x14ac:dyDescent="0.25">
      <c r="A35" s="104" t="s">
        <v>302</v>
      </c>
      <c r="B35" s="104">
        <v>0</v>
      </c>
      <c r="C35" s="90"/>
      <c r="D35" s="218">
        <v>3767.43</v>
      </c>
      <c r="E35" s="107">
        <f>'Encargos Sociais'!C38</f>
        <v>0.3078166</v>
      </c>
      <c r="F35" s="108">
        <f>(D35*E35)+D35</f>
        <v>4927.1074933379996</v>
      </c>
      <c r="G35" s="109">
        <v>11.2</v>
      </c>
      <c r="H35" s="95">
        <f>F35*G35</f>
        <v>55183.603925385592</v>
      </c>
      <c r="I35" s="84"/>
    </row>
    <row r="36" spans="1:9" ht="15.75" x14ac:dyDescent="0.25">
      <c r="A36" s="104" t="s">
        <v>123</v>
      </c>
      <c r="B36" s="219">
        <v>109.27</v>
      </c>
      <c r="C36" s="90"/>
      <c r="D36" s="89" t="s">
        <v>124</v>
      </c>
      <c r="E36" s="89" t="s">
        <v>125</v>
      </c>
      <c r="F36" s="89" t="s">
        <v>120</v>
      </c>
      <c r="G36" s="89" t="s">
        <v>121</v>
      </c>
      <c r="H36" s="89" t="s">
        <v>105</v>
      </c>
      <c r="I36" s="84"/>
    </row>
    <row r="37" spans="1:9" ht="15.75" x14ac:dyDescent="0.25">
      <c r="A37" s="104" t="s">
        <v>187</v>
      </c>
      <c r="B37" s="219">
        <v>1500</v>
      </c>
      <c r="C37" s="90"/>
      <c r="D37" s="219">
        <f>37*0.9493</f>
        <v>35.124099999999999</v>
      </c>
      <c r="E37" s="110">
        <f>G22</f>
        <v>20</v>
      </c>
      <c r="F37" s="111">
        <f>D37*E37</f>
        <v>702.48199999999997</v>
      </c>
      <c r="G37" s="112">
        <v>10</v>
      </c>
      <c r="H37" s="95">
        <f>F37*G37</f>
        <v>7024.82</v>
      </c>
      <c r="I37" s="84"/>
    </row>
    <row r="38" spans="1:9" ht="15.75" x14ac:dyDescent="0.25">
      <c r="A38" s="104" t="s">
        <v>126</v>
      </c>
      <c r="B38" s="104">
        <f>H48</f>
        <v>8487.5999999999985</v>
      </c>
      <c r="C38" s="90"/>
      <c r="D38" s="89" t="s">
        <v>202</v>
      </c>
      <c r="E38" s="89" t="s">
        <v>125</v>
      </c>
      <c r="F38" s="89" t="s">
        <v>120</v>
      </c>
      <c r="G38" s="89" t="s">
        <v>121</v>
      </c>
      <c r="H38" s="89" t="s">
        <v>105</v>
      </c>
      <c r="I38" s="84"/>
    </row>
    <row r="39" spans="1:9" ht="15.75" x14ac:dyDescent="0.25">
      <c r="A39" s="104" t="s">
        <v>128</v>
      </c>
      <c r="B39" s="219">
        <v>3000</v>
      </c>
      <c r="C39" s="90"/>
      <c r="D39" s="219">
        <v>216</v>
      </c>
      <c r="E39" s="110">
        <v>1</v>
      </c>
      <c r="F39" s="111">
        <f>D39*E39</f>
        <v>216</v>
      </c>
      <c r="G39" s="112">
        <v>12</v>
      </c>
      <c r="H39" s="95">
        <f>F39*G39</f>
        <v>2592</v>
      </c>
      <c r="I39" s="84"/>
    </row>
    <row r="40" spans="1:9" ht="15.75" x14ac:dyDescent="0.25">
      <c r="A40" s="104" t="s">
        <v>129</v>
      </c>
      <c r="B40" s="114">
        <v>1</v>
      </c>
      <c r="C40" s="90"/>
      <c r="D40" s="88" t="s">
        <v>127</v>
      </c>
      <c r="E40" s="110"/>
      <c r="F40" s="113"/>
      <c r="G40" s="112"/>
      <c r="H40" s="95">
        <f>H35+H37+H39</f>
        <v>64800.423925385592</v>
      </c>
      <c r="I40" s="84"/>
    </row>
    <row r="41" spans="1:9" ht="15.75" thickBot="1" x14ac:dyDescent="0.25">
      <c r="A41" s="104" t="s">
        <v>131</v>
      </c>
      <c r="B41" s="104">
        <f>H40*B40</f>
        <v>64800.423925385592</v>
      </c>
      <c r="C41" s="90"/>
      <c r="D41" s="90"/>
      <c r="E41" s="182"/>
      <c r="F41" s="182"/>
      <c r="G41" s="182"/>
      <c r="H41" s="182"/>
      <c r="I41" s="84"/>
    </row>
    <row r="42" spans="1:9" ht="16.5" thickBot="1" x14ac:dyDescent="0.3">
      <c r="A42" s="96" t="s">
        <v>132</v>
      </c>
      <c r="B42" s="96">
        <f>SUM(B34:B39)+B41</f>
        <v>103097.2939253856</v>
      </c>
      <c r="C42" s="115"/>
      <c r="D42" s="116" t="s">
        <v>130</v>
      </c>
      <c r="E42" s="117"/>
      <c r="F42" s="117"/>
      <c r="G42" s="90"/>
      <c r="H42" s="90"/>
      <c r="I42" s="84"/>
    </row>
    <row r="43" spans="1:9" ht="16.5" thickBot="1" x14ac:dyDescent="0.3">
      <c r="A43" s="96" t="s">
        <v>134</v>
      </c>
      <c r="B43" s="96">
        <f>B42/10*B44</f>
        <v>5108.0022899395581</v>
      </c>
      <c r="C43" s="90"/>
      <c r="D43" s="118" t="s">
        <v>10</v>
      </c>
      <c r="E43" s="119" t="s">
        <v>11</v>
      </c>
      <c r="F43" s="119" t="s">
        <v>6</v>
      </c>
      <c r="G43" s="120" t="s">
        <v>90</v>
      </c>
      <c r="H43" s="120" t="s">
        <v>12</v>
      </c>
      <c r="I43" s="84"/>
    </row>
    <row r="44" spans="1:9" ht="15.75" x14ac:dyDescent="0.25">
      <c r="A44" s="96" t="s">
        <v>135</v>
      </c>
      <c r="B44" s="283">
        <f>(G15*5)/44</f>
        <v>0.49545454545454537</v>
      </c>
      <c r="C44" s="82"/>
      <c r="D44" s="121" t="s">
        <v>133</v>
      </c>
      <c r="E44" s="122" t="s">
        <v>2</v>
      </c>
      <c r="F44" s="123">
        <v>1</v>
      </c>
      <c r="G44" s="124">
        <f>G18</f>
        <v>180000</v>
      </c>
      <c r="H44" s="125">
        <f>F44*G44</f>
        <v>180000</v>
      </c>
      <c r="I44" s="84"/>
    </row>
    <row r="45" spans="1:9" ht="15.75" x14ac:dyDescent="0.25">
      <c r="A45" s="96" t="s">
        <v>325</v>
      </c>
      <c r="B45" s="219">
        <f>32*13.8</f>
        <v>441.6</v>
      </c>
      <c r="C45" s="82"/>
      <c r="D45" s="126" t="s">
        <v>26</v>
      </c>
      <c r="E45" s="127" t="s">
        <v>27</v>
      </c>
      <c r="F45" s="128">
        <v>15</v>
      </c>
      <c r="G45" s="129"/>
      <c r="H45" s="130"/>
      <c r="I45" s="84"/>
    </row>
    <row r="46" spans="1:9" ht="15.75" x14ac:dyDescent="0.25">
      <c r="C46" s="131"/>
      <c r="D46" s="126" t="s">
        <v>86</v>
      </c>
      <c r="E46" s="127" t="s">
        <v>27</v>
      </c>
      <c r="F46" s="132">
        <v>0</v>
      </c>
      <c r="G46" s="130"/>
      <c r="H46" s="130"/>
      <c r="I46" s="84"/>
    </row>
    <row r="47" spans="1:9" ht="15" x14ac:dyDescent="0.2">
      <c r="A47" s="182"/>
      <c r="B47" s="182"/>
      <c r="C47" s="182"/>
      <c r="D47" s="126" t="s">
        <v>136</v>
      </c>
      <c r="E47" s="127" t="s">
        <v>0</v>
      </c>
      <c r="F47" s="133">
        <f>Depreciação!B17</f>
        <v>70.73</v>
      </c>
      <c r="G47" s="130">
        <f>H44</f>
        <v>180000</v>
      </c>
      <c r="H47" s="130">
        <f>F47*G47/100</f>
        <v>127314</v>
      </c>
      <c r="I47" s="84"/>
    </row>
    <row r="48" spans="1:9" ht="16.5" thickBot="1" x14ac:dyDescent="0.25">
      <c r="A48" s="90"/>
      <c r="B48" s="90"/>
      <c r="C48" s="90"/>
      <c r="D48" s="134" t="s">
        <v>137</v>
      </c>
      <c r="E48" s="135" t="s">
        <v>1</v>
      </c>
      <c r="F48" s="136">
        <f>F45*12</f>
        <v>180</v>
      </c>
      <c r="G48" s="137">
        <f>IF(F46&lt;=F45,H47,0)</f>
        <v>127314</v>
      </c>
      <c r="H48" s="137">
        <f>IFERROR(G48/F48,0)*12</f>
        <v>8487.5999999999985</v>
      </c>
      <c r="I48" s="84"/>
    </row>
    <row r="49" spans="1:12" ht="15.75" thickTop="1" x14ac:dyDescent="0.2">
      <c r="A49" s="90"/>
      <c r="B49" s="90"/>
      <c r="C49" s="90"/>
      <c r="D49" s="90"/>
      <c r="E49" s="90"/>
      <c r="F49" s="182"/>
      <c r="G49" s="182"/>
      <c r="H49" s="182"/>
      <c r="I49" s="84"/>
    </row>
    <row r="50" spans="1:12" ht="15.75" x14ac:dyDescent="0.25">
      <c r="A50" s="549" t="s">
        <v>138</v>
      </c>
      <c r="B50" s="550"/>
      <c r="C50" s="550"/>
      <c r="D50" s="550"/>
      <c r="E50" s="550"/>
      <c r="F50" s="550"/>
      <c r="G50" s="551"/>
      <c r="H50" s="96">
        <f>($B$43+$B$30+B45)</f>
        <v>8920.0549215185056</v>
      </c>
      <c r="I50" s="84"/>
    </row>
    <row r="51" spans="1:12" x14ac:dyDescent="0.2">
      <c r="A51" s="138"/>
      <c r="B51" s="138"/>
      <c r="C51" s="138"/>
      <c r="D51" s="138"/>
      <c r="E51" s="138"/>
      <c r="F51" s="139"/>
      <c r="G51" s="139"/>
      <c r="H51" s="139"/>
      <c r="I51" s="84"/>
    </row>
    <row r="52" spans="1:12" ht="16.5" thickBot="1" x14ac:dyDescent="0.3">
      <c r="A52" s="549" t="s">
        <v>139</v>
      </c>
      <c r="B52" s="550"/>
      <c r="C52" s="550"/>
      <c r="D52" s="550"/>
      <c r="E52" s="550"/>
      <c r="F52" s="550"/>
      <c r="G52" s="551"/>
      <c r="H52" s="139"/>
      <c r="I52" s="84"/>
    </row>
    <row r="53" spans="1:12" ht="16.5" thickBot="1" x14ac:dyDescent="0.25">
      <c r="A53" s="140" t="s">
        <v>10</v>
      </c>
      <c r="B53" s="141" t="s">
        <v>11</v>
      </c>
      <c r="C53" s="141"/>
      <c r="D53" s="141" t="s">
        <v>6</v>
      </c>
      <c r="E53" s="142" t="s">
        <v>90</v>
      </c>
      <c r="F53" s="142" t="s">
        <v>12</v>
      </c>
      <c r="G53" s="143" t="s">
        <v>140</v>
      </c>
      <c r="H53" s="182"/>
      <c r="I53" s="144"/>
    </row>
    <row r="54" spans="1:12" ht="16.5" thickBot="1" x14ac:dyDescent="0.25">
      <c r="A54" s="145" t="s">
        <v>4</v>
      </c>
      <c r="B54" s="146" t="s">
        <v>0</v>
      </c>
      <c r="C54" s="146"/>
      <c r="D54" s="147">
        <f>BDI!C21</f>
        <v>0.2707</v>
      </c>
      <c r="E54" s="125">
        <f>H50</f>
        <v>8920.0549215185056</v>
      </c>
      <c r="F54" s="125">
        <f>D54*E54/1</f>
        <v>2414.6588672550592</v>
      </c>
      <c r="G54" s="148"/>
      <c r="H54" s="90"/>
      <c r="I54" s="84"/>
    </row>
    <row r="55" spans="1:12" ht="16.5" thickBot="1" x14ac:dyDescent="0.25">
      <c r="A55" s="149" t="s">
        <v>141</v>
      </c>
      <c r="B55" s="150"/>
      <c r="C55" s="150"/>
      <c r="D55" s="149"/>
      <c r="E55" s="151"/>
      <c r="F55" s="152"/>
      <c r="G55" s="153">
        <f>+F54</f>
        <v>2414.6588672550592</v>
      </c>
      <c r="H55" s="90"/>
      <c r="I55" s="144"/>
    </row>
    <row r="56" spans="1:12" ht="15.75" thickBot="1" x14ac:dyDescent="0.25">
      <c r="A56" s="138"/>
      <c r="B56" s="138"/>
      <c r="C56" s="138"/>
      <c r="D56" s="154"/>
      <c r="E56" s="154"/>
      <c r="F56" s="148"/>
      <c r="G56" s="148"/>
      <c r="H56" s="148"/>
      <c r="I56" s="84"/>
    </row>
    <row r="57" spans="1:12" ht="16.5" thickBot="1" x14ac:dyDescent="0.25">
      <c r="A57" s="155" t="s">
        <v>142</v>
      </c>
      <c r="B57" s="156"/>
      <c r="C57" s="156"/>
      <c r="D57" s="157"/>
      <c r="E57" s="157"/>
      <c r="F57" s="158"/>
      <c r="G57" s="159"/>
      <c r="H57" s="160">
        <f>G55</f>
        <v>2414.6588672550592</v>
      </c>
      <c r="I57" s="84"/>
    </row>
    <row r="58" spans="1:12" ht="13.5" thickBot="1" x14ac:dyDescent="0.25">
      <c r="A58" s="138"/>
      <c r="B58" s="138"/>
      <c r="C58" s="138"/>
      <c r="D58" s="138"/>
      <c r="E58" s="138"/>
      <c r="F58" s="139"/>
      <c r="G58" s="139"/>
      <c r="H58" s="139"/>
      <c r="I58" s="84"/>
    </row>
    <row r="59" spans="1:12" ht="16.5" thickBot="1" x14ac:dyDescent="0.25">
      <c r="A59" s="155" t="s">
        <v>143</v>
      </c>
      <c r="B59" s="156"/>
      <c r="C59" s="156"/>
      <c r="D59" s="156"/>
      <c r="E59" s="156"/>
      <c r="F59" s="161"/>
      <c r="G59" s="162"/>
      <c r="H59" s="163">
        <f>H50+H57</f>
        <v>11334.713788773564</v>
      </c>
      <c r="I59" s="84"/>
    </row>
    <row r="60" spans="1:12" ht="15.75" thickBot="1" x14ac:dyDescent="0.25">
      <c r="A60" s="90"/>
      <c r="B60" s="90"/>
      <c r="C60" s="90"/>
      <c r="D60" s="90"/>
      <c r="E60" s="90"/>
      <c r="F60" s="182"/>
      <c r="G60" s="182"/>
      <c r="H60" s="90"/>
      <c r="I60" s="84"/>
    </row>
    <row r="61" spans="1:12" ht="16.5" thickBot="1" x14ac:dyDescent="0.3">
      <c r="A61" s="164" t="s">
        <v>144</v>
      </c>
      <c r="B61" s="183"/>
      <c r="C61" s="183"/>
      <c r="D61" s="183"/>
      <c r="E61" s="183"/>
      <c r="F61" s="183"/>
      <c r="G61" s="183"/>
      <c r="H61" s="165">
        <f>H59/(G11*G22)</f>
        <v>9.6056896515030203</v>
      </c>
      <c r="I61" s="84"/>
      <c r="L61" s="223"/>
    </row>
    <row r="62" spans="1:12" ht="10.9" customHeight="1" thickBot="1" x14ac:dyDescent="0.25">
      <c r="A62" s="90"/>
      <c r="B62" s="90"/>
      <c r="C62" s="90"/>
      <c r="D62" s="90"/>
      <c r="E62" s="90"/>
      <c r="F62" s="90"/>
      <c r="G62" s="90"/>
      <c r="H62" s="90"/>
      <c r="I62" s="90"/>
    </row>
    <row r="63" spans="1:12" ht="15.75" x14ac:dyDescent="0.2">
      <c r="A63" s="541" t="s">
        <v>82</v>
      </c>
      <c r="B63" s="542"/>
      <c r="C63" s="542"/>
      <c r="D63" s="542"/>
      <c r="E63" s="542"/>
      <c r="F63" s="543"/>
      <c r="G63" s="544"/>
      <c r="H63" s="90"/>
      <c r="I63" s="90"/>
    </row>
    <row r="64" spans="1:12" ht="15.75" x14ac:dyDescent="0.2">
      <c r="A64" s="228" t="s">
        <v>81</v>
      </c>
      <c r="B64" s="229"/>
      <c r="C64" s="229"/>
      <c r="D64" s="229"/>
      <c r="E64" s="166"/>
      <c r="F64" s="166" t="s">
        <v>5</v>
      </c>
      <c r="G64" s="230" t="s">
        <v>0</v>
      </c>
      <c r="H64" s="90"/>
      <c r="I64" s="90"/>
    </row>
    <row r="65" spans="1:9" ht="15.75" x14ac:dyDescent="0.2">
      <c r="A65" s="231" t="str">
        <f>A25</f>
        <v>1- CUSTO VARIÁVEL</v>
      </c>
      <c r="B65" s="232"/>
      <c r="C65" s="232"/>
      <c r="D65" s="233"/>
      <c r="E65" s="234"/>
      <c r="F65" s="166">
        <f>SUM(F66:F68)</f>
        <v>3370.4526315789476</v>
      </c>
      <c r="G65" s="235">
        <f>F65/$F$74</f>
        <v>0.30941131222300589</v>
      </c>
      <c r="H65" s="90"/>
      <c r="I65" s="90"/>
    </row>
    <row r="66" spans="1:9" ht="15" x14ac:dyDescent="0.2">
      <c r="A66" s="236" t="str">
        <f>A26</f>
        <v xml:space="preserve">1.1 Combustível </v>
      </c>
      <c r="B66" s="237"/>
      <c r="C66" s="237"/>
      <c r="D66" s="229"/>
      <c r="E66" s="238"/>
      <c r="F66" s="238">
        <f>B26</f>
        <v>2273.0526315789475</v>
      </c>
      <c r="G66" s="239">
        <f t="shared" ref="G66:G72" si="0">F66/$F$74</f>
        <v>0.20866876777892049</v>
      </c>
      <c r="H66" s="90"/>
      <c r="I66" s="90"/>
    </row>
    <row r="67" spans="1:9" ht="15" x14ac:dyDescent="0.2">
      <c r="A67" s="240" t="str">
        <f>A27</f>
        <v xml:space="preserve">1.2 Manutenção e insumos </v>
      </c>
      <c r="B67" s="241"/>
      <c r="C67" s="241"/>
      <c r="D67" s="242"/>
      <c r="E67" s="243"/>
      <c r="F67" s="152">
        <f>B27</f>
        <v>885</v>
      </c>
      <c r="G67" s="239">
        <f t="shared" si="0"/>
        <v>8.124398745490756E-2</v>
      </c>
      <c r="H67" s="90"/>
      <c r="I67" s="90"/>
    </row>
    <row r="68" spans="1:9" ht="15" x14ac:dyDescent="0.2">
      <c r="A68" s="240" t="str">
        <f>A28</f>
        <v>1.3 Pneus</v>
      </c>
      <c r="B68" s="241"/>
      <c r="C68" s="241"/>
      <c r="D68" s="242"/>
      <c r="E68" s="243"/>
      <c r="F68" s="238">
        <f>B28</f>
        <v>212.4</v>
      </c>
      <c r="G68" s="239">
        <f t="shared" si="0"/>
        <v>1.9498556989177816E-2</v>
      </c>
      <c r="H68" s="90"/>
      <c r="I68" s="90"/>
    </row>
    <row r="69" spans="1:9" ht="15.75" x14ac:dyDescent="0.2">
      <c r="A69" s="244" t="str">
        <f>A33</f>
        <v xml:space="preserve">2 - TOTAL CUSTO FIXO MENSAL </v>
      </c>
      <c r="B69" s="241"/>
      <c r="C69" s="241"/>
      <c r="D69" s="242"/>
      <c r="E69" s="243"/>
      <c r="F69" s="166">
        <f>SUM(F70)</f>
        <v>5108.0022899395581</v>
      </c>
      <c r="G69" s="235">
        <f t="shared" si="0"/>
        <v>0.46892030956326392</v>
      </c>
      <c r="H69" s="90"/>
      <c r="I69" s="90"/>
    </row>
    <row r="70" spans="1:9" ht="15" x14ac:dyDescent="0.2">
      <c r="A70" s="240" t="str">
        <f>A43</f>
        <v>2.1 TOTAL CUSTO FIXO MENSAL</v>
      </c>
      <c r="B70" s="241"/>
      <c r="C70" s="241"/>
      <c r="D70" s="242"/>
      <c r="E70" s="243"/>
      <c r="F70" s="238">
        <f>B43</f>
        <v>5108.0022899395581</v>
      </c>
      <c r="G70" s="239">
        <f>F70/$F$74</f>
        <v>0.46892030956326392</v>
      </c>
      <c r="H70" s="90"/>
      <c r="I70" s="90"/>
    </row>
    <row r="71" spans="1:9" ht="15.75" x14ac:dyDescent="0.2">
      <c r="A71" s="245" t="str">
        <f>A50</f>
        <v>3- CUSTO TOTAL MENSAL COM DESPESAS OPERACIONAIS</v>
      </c>
      <c r="B71" s="246"/>
      <c r="C71" s="246"/>
      <c r="D71" s="246"/>
      <c r="E71" s="247"/>
      <c r="F71" s="166">
        <f>F65+F69</f>
        <v>8478.4549215185052</v>
      </c>
      <c r="G71" s="235">
        <f t="shared" si="0"/>
        <v>0.77833162178626969</v>
      </c>
      <c r="H71" s="90"/>
      <c r="I71" s="90"/>
    </row>
    <row r="72" spans="1:9" ht="15.75" x14ac:dyDescent="0.2">
      <c r="A72" s="248" t="str">
        <f>A52</f>
        <v xml:space="preserve">4- BENEFÍCIOS E DESPESAS INDIRETAS </v>
      </c>
      <c r="B72" s="249"/>
      <c r="C72" s="249"/>
      <c r="D72" s="246"/>
      <c r="E72" s="166"/>
      <c r="F72" s="166">
        <f>H57</f>
        <v>2414.6588672550592</v>
      </c>
      <c r="G72" s="235">
        <f t="shared" si="0"/>
        <v>0.22166837821373031</v>
      </c>
      <c r="H72" s="90"/>
      <c r="I72" s="90"/>
    </row>
    <row r="73" spans="1:9" ht="16.5" thickBot="1" x14ac:dyDescent="0.25">
      <c r="A73" s="250"/>
      <c r="B73" s="251"/>
      <c r="C73" s="251"/>
      <c r="D73" s="252"/>
      <c r="E73" s="253"/>
      <c r="F73" s="254"/>
      <c r="G73" s="255"/>
      <c r="H73" s="90"/>
      <c r="I73" s="90"/>
    </row>
    <row r="74" spans="1:9" ht="16.5" thickBot="1" x14ac:dyDescent="0.25">
      <c r="A74" s="256" t="str">
        <f>A59</f>
        <v xml:space="preserve">5- PREÇO MENSAL TOTAL COM O TRANSPORTE ESCOLAR </v>
      </c>
      <c r="B74" s="257"/>
      <c r="C74" s="257"/>
      <c r="D74" s="258"/>
      <c r="E74" s="258"/>
      <c r="F74" s="258">
        <f>F71+F72</f>
        <v>10893.113788773564</v>
      </c>
      <c r="G74" s="259">
        <f>G71+G72</f>
        <v>1</v>
      </c>
      <c r="H74" s="90"/>
      <c r="I74" s="90"/>
    </row>
    <row r="75" spans="1:9" ht="15" x14ac:dyDescent="0.2">
      <c r="A75" s="260"/>
      <c r="B75" s="261"/>
      <c r="C75" s="261"/>
      <c r="D75" s="261"/>
      <c r="E75" s="261"/>
      <c r="F75" s="261"/>
      <c r="G75" s="262"/>
      <c r="H75" s="90"/>
      <c r="I75" s="90"/>
    </row>
    <row r="76" spans="1:9" ht="15.75" x14ac:dyDescent="0.25">
      <c r="A76" s="263" t="s">
        <v>145</v>
      </c>
      <c r="B76" s="104"/>
      <c r="C76" s="104"/>
      <c r="D76" s="104"/>
      <c r="E76" s="104"/>
      <c r="F76" s="104"/>
      <c r="G76" s="264">
        <f>G11</f>
        <v>59</v>
      </c>
      <c r="H76" s="90"/>
      <c r="I76" s="90"/>
    </row>
    <row r="77" spans="1:9" ht="15.75" x14ac:dyDescent="0.25">
      <c r="A77" s="263" t="s">
        <v>146</v>
      </c>
      <c r="B77" s="104"/>
      <c r="C77" s="104"/>
      <c r="D77" s="104"/>
      <c r="E77" s="104"/>
      <c r="F77" s="104"/>
      <c r="G77" s="265">
        <f>G22</f>
        <v>20</v>
      </c>
      <c r="H77" s="90"/>
      <c r="I77" s="90"/>
    </row>
    <row r="78" spans="1:9" ht="15.75" x14ac:dyDescent="0.25">
      <c r="A78" s="263" t="s">
        <v>147</v>
      </c>
      <c r="B78" s="104"/>
      <c r="C78" s="104"/>
      <c r="D78" s="104"/>
      <c r="E78" s="104"/>
      <c r="F78" s="104"/>
      <c r="G78" s="264">
        <f>G76*G77</f>
        <v>1180</v>
      </c>
      <c r="H78" s="90"/>
    </row>
    <row r="79" spans="1:9" ht="16.5" thickBot="1" x14ac:dyDescent="0.3">
      <c r="A79" s="266" t="s">
        <v>148</v>
      </c>
      <c r="B79" s="267"/>
      <c r="C79" s="267"/>
      <c r="D79" s="267"/>
      <c r="E79" s="267"/>
      <c r="F79" s="267"/>
      <c r="G79" s="268">
        <f>F74/G78</f>
        <v>9.2314523633674277</v>
      </c>
      <c r="H79" s="90"/>
      <c r="I79" s="90"/>
    </row>
    <row r="80" spans="1:9" ht="15" x14ac:dyDescent="0.2">
      <c r="A80" s="90"/>
      <c r="B80" s="90"/>
      <c r="C80" s="90"/>
      <c r="D80" s="90"/>
      <c r="E80" s="90"/>
      <c r="F80" s="90"/>
      <c r="G80" s="90"/>
      <c r="H80" s="90"/>
      <c r="I80" s="90"/>
    </row>
    <row r="81" spans="1:9" ht="15" x14ac:dyDescent="0.2">
      <c r="A81" s="269" t="str">
        <f>A2</f>
        <v xml:space="preserve">LINHA 36 - ITINERÁRIO </v>
      </c>
      <c r="B81" s="90"/>
      <c r="C81" s="90"/>
      <c r="D81" s="90"/>
      <c r="E81" s="90"/>
      <c r="F81" s="90"/>
      <c r="G81" s="90"/>
      <c r="H81" s="90"/>
      <c r="I81" s="90"/>
    </row>
    <row r="82" spans="1:9" ht="15.75" x14ac:dyDescent="0.25">
      <c r="A82" s="87" t="s">
        <v>210</v>
      </c>
      <c r="B82" s="90"/>
      <c r="C82" s="90"/>
      <c r="D82" s="90"/>
      <c r="E82" s="90"/>
      <c r="F82" s="90"/>
      <c r="G82" s="90"/>
      <c r="H82" s="90"/>
      <c r="I82" s="90"/>
    </row>
    <row r="83" spans="1:9" ht="15.75" x14ac:dyDescent="0.25">
      <c r="A83" s="87" t="s">
        <v>149</v>
      </c>
      <c r="B83" s="167">
        <f>G11</f>
        <v>59</v>
      </c>
      <c r="C83" s="167"/>
      <c r="D83" s="82" t="s">
        <v>150</v>
      </c>
      <c r="E83" s="90"/>
      <c r="F83" s="90"/>
      <c r="G83" s="90"/>
      <c r="H83" s="90"/>
      <c r="I83" s="90"/>
    </row>
    <row r="84" spans="1:9" ht="15.75" x14ac:dyDescent="0.25">
      <c r="A84" s="87" t="s">
        <v>278</v>
      </c>
      <c r="B84" s="82"/>
      <c r="C84" s="82"/>
      <c r="D84" s="82"/>
      <c r="E84" s="90"/>
      <c r="F84" s="90"/>
      <c r="G84" s="90"/>
      <c r="H84" s="90"/>
      <c r="I84" s="90"/>
    </row>
    <row r="85" spans="1:9" ht="15.75" x14ac:dyDescent="0.25">
      <c r="A85" s="87" t="s">
        <v>151</v>
      </c>
      <c r="B85" s="168"/>
      <c r="C85" s="168"/>
      <c r="D85" s="169">
        <f>H61</f>
        <v>9.6056896515030203</v>
      </c>
      <c r="E85" s="170"/>
      <c r="F85" s="545"/>
      <c r="G85" s="545"/>
      <c r="H85" s="545"/>
      <c r="I85" s="90"/>
    </row>
    <row r="86" spans="1:9" ht="15.75" x14ac:dyDescent="0.25">
      <c r="A86" s="87"/>
      <c r="B86" s="84"/>
      <c r="C86" s="84"/>
      <c r="D86" s="84"/>
      <c r="E86" s="84"/>
      <c r="F86" s="545"/>
      <c r="G86" s="545"/>
      <c r="H86" s="545"/>
      <c r="I86" s="90"/>
    </row>
    <row r="87" spans="1:9" ht="18" x14ac:dyDescent="0.25">
      <c r="A87" s="171" t="s">
        <v>152</v>
      </c>
      <c r="B87" s="84"/>
      <c r="C87" s="84"/>
      <c r="D87" s="84"/>
      <c r="E87" s="84"/>
      <c r="F87" s="84"/>
      <c r="G87" s="84"/>
      <c r="H87" s="84"/>
      <c r="I87" s="90"/>
    </row>
    <row r="88" spans="1:9" ht="18" x14ac:dyDescent="0.25">
      <c r="A88" s="172"/>
      <c r="B88" s="172"/>
      <c r="C88" s="172"/>
      <c r="D88" s="172"/>
      <c r="E88" s="172"/>
      <c r="F88" s="172"/>
      <c r="G88" s="172"/>
      <c r="H88" s="172"/>
      <c r="I88" s="84"/>
    </row>
    <row r="89" spans="1:9" ht="18" x14ac:dyDescent="0.25">
      <c r="A89" s="221" t="s">
        <v>153</v>
      </c>
      <c r="B89" s="221"/>
      <c r="C89" s="221"/>
      <c r="D89" s="221"/>
      <c r="E89" s="221"/>
      <c r="F89" s="221"/>
      <c r="G89" s="221"/>
      <c r="H89" s="172"/>
      <c r="I89" s="84"/>
    </row>
    <row r="90" spans="1:9" ht="18" x14ac:dyDescent="0.25">
      <c r="A90" s="221" t="s">
        <v>154</v>
      </c>
      <c r="B90" s="221"/>
      <c r="C90" s="221"/>
      <c r="D90" s="221"/>
      <c r="E90" s="221"/>
      <c r="F90" s="221"/>
      <c r="G90" s="221"/>
      <c r="H90" s="172"/>
      <c r="I90" s="84"/>
    </row>
    <row r="91" spans="1:9" ht="18" x14ac:dyDescent="0.25">
      <c r="A91" s="221" t="s">
        <v>155</v>
      </c>
      <c r="B91" s="221"/>
      <c r="C91" s="221"/>
      <c r="D91" s="221"/>
      <c r="E91" s="221"/>
      <c r="F91" s="221"/>
      <c r="G91" s="221"/>
      <c r="H91" s="172"/>
      <c r="I91" s="84"/>
    </row>
    <row r="92" spans="1:9" ht="18" x14ac:dyDescent="0.25">
      <c r="A92" s="221" t="s">
        <v>156</v>
      </c>
      <c r="B92" s="221"/>
      <c r="C92" s="221"/>
      <c r="D92" s="221"/>
      <c r="E92" s="221"/>
      <c r="F92" s="221"/>
      <c r="G92" s="221"/>
      <c r="H92" s="172"/>
      <c r="I92" s="84"/>
    </row>
    <row r="93" spans="1:9" ht="18" x14ac:dyDescent="0.25">
      <c r="A93" s="221" t="s">
        <v>157</v>
      </c>
      <c r="B93" s="221"/>
      <c r="C93" s="221"/>
      <c r="D93" s="221"/>
      <c r="E93" s="221"/>
      <c r="F93" s="221"/>
      <c r="G93" s="221"/>
      <c r="H93" s="172"/>
      <c r="I93" s="84"/>
    </row>
    <row r="94" spans="1:9" ht="18" x14ac:dyDescent="0.25">
      <c r="A94" s="221" t="s">
        <v>289</v>
      </c>
      <c r="B94" s="221" t="str">
        <f>B17</f>
        <v>Veículo no mínimo de 38 lugares</v>
      </c>
      <c r="C94" s="221"/>
      <c r="D94" s="221"/>
      <c r="E94" s="221"/>
      <c r="F94" s="221"/>
      <c r="G94" s="221"/>
      <c r="H94" s="172"/>
      <c r="I94" s="84"/>
    </row>
    <row r="95" spans="1:9" ht="18" x14ac:dyDescent="0.25">
      <c r="A95" s="221" t="s">
        <v>184</v>
      </c>
      <c r="B95" s="221"/>
      <c r="C95" s="221"/>
      <c r="D95" s="221"/>
      <c r="E95" s="221"/>
      <c r="F95" s="221"/>
      <c r="G95" s="221"/>
      <c r="H95" s="172"/>
      <c r="I95" s="84"/>
    </row>
    <row r="96" spans="1:9" ht="18" x14ac:dyDescent="0.25">
      <c r="A96" s="221" t="s">
        <v>158</v>
      </c>
      <c r="B96" s="221" t="str">
        <f>A18</f>
        <v>Veículo no máximo 20 anos de uso - Base Tabela FIPE</v>
      </c>
      <c r="C96" s="221"/>
      <c r="D96" s="221"/>
      <c r="E96" s="221"/>
      <c r="F96" s="221"/>
      <c r="G96" s="221"/>
      <c r="H96" s="172"/>
      <c r="I96" s="84"/>
    </row>
    <row r="97" spans="1:9" ht="18" x14ac:dyDescent="0.25">
      <c r="A97" s="221" t="s">
        <v>219</v>
      </c>
      <c r="B97" s="221"/>
      <c r="C97" s="221"/>
      <c r="D97" s="221"/>
      <c r="E97" s="221"/>
      <c r="F97" s="221"/>
      <c r="G97" s="221"/>
      <c r="H97" s="172"/>
      <c r="I97" s="84"/>
    </row>
    <row r="98" spans="1:9" ht="18" x14ac:dyDescent="0.25">
      <c r="A98" s="221" t="s">
        <v>182</v>
      </c>
      <c r="B98" s="221"/>
      <c r="C98" s="221"/>
      <c r="D98" s="221"/>
      <c r="E98" s="221"/>
      <c r="F98" s="221"/>
      <c r="G98" s="221"/>
      <c r="H98" s="172"/>
      <c r="I98" s="84"/>
    </row>
    <row r="99" spans="1:9" ht="18" x14ac:dyDescent="0.25">
      <c r="A99" s="221" t="s">
        <v>213</v>
      </c>
      <c r="B99" s="221"/>
      <c r="C99" s="221">
        <f>G20</f>
        <v>3.8</v>
      </c>
      <c r="D99" s="221" t="s">
        <v>214</v>
      </c>
      <c r="E99" s="221" t="s">
        <v>215</v>
      </c>
      <c r="F99" s="221"/>
      <c r="G99" s="221"/>
      <c r="H99" s="172"/>
      <c r="I99" s="84"/>
    </row>
    <row r="100" spans="1:9" ht="18" x14ac:dyDescent="0.25">
      <c r="A100" s="221" t="s">
        <v>220</v>
      </c>
      <c r="B100" s="221"/>
      <c r="C100" s="221"/>
      <c r="D100" s="221"/>
      <c r="E100" s="221"/>
      <c r="F100" s="221"/>
      <c r="G100" s="221"/>
      <c r="H100" s="172"/>
      <c r="I100" s="84"/>
    </row>
    <row r="101" spans="1:9" ht="18" x14ac:dyDescent="0.25">
      <c r="A101" s="221" t="s">
        <v>186</v>
      </c>
      <c r="B101" s="221"/>
      <c r="C101" s="221"/>
      <c r="D101" s="221"/>
      <c r="E101" s="221"/>
      <c r="F101" s="221"/>
      <c r="G101" s="221"/>
      <c r="H101" s="172"/>
      <c r="I101" s="84"/>
    </row>
    <row r="102" spans="1:9" ht="18" x14ac:dyDescent="0.25">
      <c r="A102" s="221" t="s">
        <v>221</v>
      </c>
      <c r="B102" s="221"/>
      <c r="C102" s="221"/>
      <c r="D102" s="221"/>
      <c r="E102" s="221"/>
      <c r="F102" s="221"/>
      <c r="G102" s="221"/>
      <c r="H102" s="172"/>
      <c r="I102" s="84"/>
    </row>
    <row r="103" spans="1:9" ht="18" x14ac:dyDescent="0.25">
      <c r="A103" s="221" t="s">
        <v>199</v>
      </c>
      <c r="B103" s="221"/>
      <c r="C103" s="221"/>
      <c r="D103" s="221"/>
      <c r="E103" s="221"/>
      <c r="F103" s="221"/>
      <c r="G103" s="221"/>
      <c r="H103" s="172"/>
      <c r="I103" s="84"/>
    </row>
    <row r="104" spans="1:9" ht="18" x14ac:dyDescent="0.25">
      <c r="A104" s="221" t="s">
        <v>216</v>
      </c>
      <c r="B104" s="221"/>
      <c r="C104" s="221"/>
      <c r="D104" s="221"/>
      <c r="E104" s="221"/>
      <c r="F104" s="221"/>
      <c r="G104" s="221"/>
      <c r="H104" s="172"/>
      <c r="I104" s="84"/>
    </row>
    <row r="105" spans="1:9" ht="18" x14ac:dyDescent="0.25">
      <c r="A105" s="221" t="s">
        <v>262</v>
      </c>
      <c r="B105" s="221"/>
      <c r="C105" s="221"/>
      <c r="D105" s="221"/>
      <c r="E105" s="221"/>
      <c r="F105" s="221"/>
      <c r="G105" s="221"/>
      <c r="H105" s="172"/>
      <c r="I105" s="84"/>
    </row>
    <row r="106" spans="1:9" ht="18" x14ac:dyDescent="0.25">
      <c r="A106" s="221" t="s">
        <v>159</v>
      </c>
      <c r="B106" s="221"/>
      <c r="C106" s="221"/>
      <c r="D106" s="221"/>
      <c r="E106" s="221"/>
      <c r="F106" s="221"/>
      <c r="G106" s="221"/>
      <c r="H106" s="172"/>
      <c r="I106" s="84"/>
    </row>
    <row r="107" spans="1:9" ht="18" x14ac:dyDescent="0.25">
      <c r="A107" s="221" t="s">
        <v>160</v>
      </c>
      <c r="B107" s="221"/>
      <c r="C107" s="221"/>
      <c r="D107" s="221"/>
      <c r="E107" s="221"/>
      <c r="F107" s="221"/>
      <c r="G107" s="221"/>
      <c r="H107" s="172"/>
      <c r="I107" s="84"/>
    </row>
    <row r="108" spans="1:9" ht="18" x14ac:dyDescent="0.25">
      <c r="A108" s="221" t="s">
        <v>185</v>
      </c>
      <c r="B108" s="221"/>
      <c r="C108" s="221"/>
      <c r="D108" s="221"/>
      <c r="E108" s="221"/>
      <c r="F108" s="221"/>
      <c r="G108" s="221"/>
      <c r="H108" s="172"/>
      <c r="I108" s="84"/>
    </row>
    <row r="109" spans="1:9" ht="18" x14ac:dyDescent="0.25">
      <c r="A109" s="221" t="s">
        <v>208</v>
      </c>
      <c r="B109" s="221"/>
      <c r="C109" s="221"/>
      <c r="D109" s="221"/>
      <c r="E109" s="221"/>
      <c r="F109" s="221"/>
      <c r="G109" s="221"/>
      <c r="H109" s="172"/>
      <c r="I109" s="84"/>
    </row>
    <row r="110" spans="1:9" ht="18" x14ac:dyDescent="0.25">
      <c r="A110" s="221" t="s">
        <v>200</v>
      </c>
      <c r="B110" s="221"/>
      <c r="C110" s="221"/>
      <c r="D110" s="221"/>
      <c r="E110" s="221"/>
      <c r="F110" s="221"/>
      <c r="G110" s="221"/>
      <c r="H110" s="172"/>
      <c r="I110" s="84"/>
    </row>
    <row r="111" spans="1:9" ht="18" x14ac:dyDescent="0.25">
      <c r="A111" s="221" t="s">
        <v>161</v>
      </c>
      <c r="B111" s="221"/>
      <c r="C111" s="221"/>
      <c r="D111" s="221"/>
      <c r="E111" s="221"/>
      <c r="F111" s="221"/>
      <c r="G111" s="221"/>
      <c r="H111" s="172"/>
      <c r="I111" s="84"/>
    </row>
    <row r="112" spans="1:9" ht="18" x14ac:dyDescent="0.25">
      <c r="A112" s="221" t="s">
        <v>261</v>
      </c>
      <c r="B112" s="221"/>
      <c r="C112" s="221"/>
      <c r="D112" s="221"/>
      <c r="E112" s="221"/>
      <c r="F112" s="221"/>
      <c r="G112" s="221"/>
      <c r="H112" s="172"/>
      <c r="I112" s="84"/>
    </row>
    <row r="113" spans="1:9" ht="18" x14ac:dyDescent="0.25">
      <c r="A113" s="221" t="s">
        <v>162</v>
      </c>
      <c r="B113" s="221"/>
      <c r="C113" s="221"/>
      <c r="D113" s="221"/>
      <c r="E113" s="221"/>
      <c r="F113" s="221"/>
      <c r="G113" s="221"/>
      <c r="H113" s="172"/>
      <c r="I113" s="84"/>
    </row>
    <row r="114" spans="1:9" ht="18" x14ac:dyDescent="0.25">
      <c r="A114" s="221" t="s">
        <v>217</v>
      </c>
      <c r="B114" s="221"/>
      <c r="C114" s="221"/>
      <c r="D114" s="221"/>
      <c r="E114" s="221"/>
      <c r="F114" s="221"/>
      <c r="G114" s="221"/>
      <c r="H114" s="172"/>
      <c r="I114" s="84"/>
    </row>
    <row r="115" spans="1:9" ht="18" x14ac:dyDescent="0.25">
      <c r="A115" s="221" t="s">
        <v>204</v>
      </c>
      <c r="B115" s="221"/>
      <c r="C115" s="221"/>
      <c r="D115" s="221"/>
      <c r="E115" s="221"/>
      <c r="F115" s="221"/>
      <c r="G115" s="221"/>
      <c r="H115" s="172"/>
      <c r="I115" s="84"/>
    </row>
    <row r="116" spans="1:9" ht="18" x14ac:dyDescent="0.25">
      <c r="A116" s="221" t="s">
        <v>163</v>
      </c>
      <c r="B116" s="221"/>
      <c r="C116" s="221"/>
      <c r="D116" s="221"/>
      <c r="E116" s="221"/>
      <c r="F116" s="221"/>
      <c r="G116" s="221"/>
      <c r="H116" s="172"/>
      <c r="I116" s="84"/>
    </row>
    <row r="117" spans="1:9" ht="18" x14ac:dyDescent="0.25">
      <c r="A117" s="221" t="s">
        <v>164</v>
      </c>
      <c r="B117" s="221"/>
      <c r="C117" s="221"/>
      <c r="D117" s="221"/>
      <c r="E117" s="221"/>
      <c r="F117" s="221"/>
      <c r="G117" s="221"/>
      <c r="H117" s="172"/>
      <c r="I117" s="84"/>
    </row>
    <row r="118" spans="1:9" ht="18" x14ac:dyDescent="0.25">
      <c r="A118" s="221" t="s">
        <v>165</v>
      </c>
      <c r="B118" s="221"/>
      <c r="C118" s="221"/>
      <c r="D118" s="221"/>
      <c r="E118" s="221"/>
      <c r="F118" s="221"/>
      <c r="G118" s="221"/>
      <c r="H118" s="172"/>
      <c r="I118" s="84"/>
    </row>
    <row r="119" spans="1:9" ht="18" x14ac:dyDescent="0.25">
      <c r="A119" s="221" t="s">
        <v>166</v>
      </c>
      <c r="B119" s="221"/>
      <c r="C119" s="221"/>
      <c r="D119" s="221"/>
      <c r="E119" s="221"/>
      <c r="F119" s="221"/>
      <c r="G119" s="221"/>
      <c r="H119" s="172"/>
      <c r="I119" s="84"/>
    </row>
    <row r="120" spans="1:9" ht="18" x14ac:dyDescent="0.25">
      <c r="A120" s="221" t="s">
        <v>201</v>
      </c>
      <c r="B120" s="221"/>
      <c r="C120" s="221"/>
      <c r="D120" s="221"/>
      <c r="E120" s="221"/>
      <c r="F120" s="221"/>
      <c r="G120" s="221"/>
      <c r="H120" s="172"/>
      <c r="I120" s="84"/>
    </row>
    <row r="121" spans="1:9" ht="18" x14ac:dyDescent="0.25">
      <c r="A121" s="221" t="s">
        <v>218</v>
      </c>
      <c r="B121" s="222"/>
      <c r="C121" s="222"/>
      <c r="D121" s="222"/>
      <c r="E121" s="222"/>
      <c r="F121" s="222"/>
      <c r="G121" s="222"/>
      <c r="H121" s="172"/>
      <c r="I121" s="84"/>
    </row>
    <row r="122" spans="1:9" ht="18" x14ac:dyDescent="0.25">
      <c r="A122" s="221" t="s">
        <v>205</v>
      </c>
      <c r="B122" s="222"/>
      <c r="C122" s="222"/>
      <c r="D122" s="222"/>
      <c r="E122" s="222"/>
      <c r="F122" s="222"/>
      <c r="G122" s="222"/>
      <c r="H122" s="172"/>
      <c r="I122" s="84"/>
    </row>
    <row r="123" spans="1:9" ht="18" x14ac:dyDescent="0.25">
      <c r="A123" s="221" t="s">
        <v>167</v>
      </c>
      <c r="B123" s="222"/>
      <c r="C123" s="222"/>
      <c r="D123" s="222"/>
      <c r="E123" s="222"/>
      <c r="F123" s="222"/>
      <c r="G123" s="222"/>
      <c r="H123" s="172"/>
      <c r="I123" s="84"/>
    </row>
    <row r="124" spans="1:9" ht="18" x14ac:dyDescent="0.25">
      <c r="A124" s="221" t="s">
        <v>168</v>
      </c>
      <c r="B124" s="222"/>
      <c r="C124" s="222"/>
      <c r="D124" s="222"/>
      <c r="E124" s="222"/>
      <c r="F124" s="222"/>
      <c r="G124" s="222"/>
      <c r="H124" s="172"/>
      <c r="I124" s="84"/>
    </row>
    <row r="125" spans="1:9" ht="18" x14ac:dyDescent="0.25">
      <c r="A125" s="221" t="s">
        <v>169</v>
      </c>
      <c r="B125" s="222"/>
      <c r="C125" s="222"/>
      <c r="D125" s="222"/>
      <c r="E125" s="222"/>
      <c r="F125" s="222"/>
      <c r="G125" s="222"/>
      <c r="H125" s="84"/>
      <c r="I125" s="84"/>
    </row>
    <row r="126" spans="1:9" ht="18" x14ac:dyDescent="0.25">
      <c r="A126" s="221" t="s">
        <v>170</v>
      </c>
      <c r="B126" s="222"/>
      <c r="C126" s="222"/>
      <c r="D126" s="222"/>
      <c r="E126" s="222"/>
      <c r="F126" s="222"/>
      <c r="G126" s="222"/>
      <c r="H126" s="84"/>
      <c r="I126" s="84"/>
    </row>
    <row r="127" spans="1:9" ht="18" x14ac:dyDescent="0.25">
      <c r="A127" s="221" t="s">
        <v>171</v>
      </c>
      <c r="B127" s="222"/>
      <c r="C127" s="222"/>
      <c r="D127" s="222"/>
      <c r="E127" s="222"/>
      <c r="F127" s="222"/>
      <c r="G127" s="222"/>
      <c r="H127" s="84"/>
      <c r="I127" s="84"/>
    </row>
    <row r="128" spans="1:9" ht="18" x14ac:dyDescent="0.25">
      <c r="A128" s="221" t="s">
        <v>207</v>
      </c>
      <c r="B128" s="222"/>
      <c r="C128" s="222"/>
      <c r="D128" s="222"/>
      <c r="E128" s="222"/>
      <c r="F128" s="222"/>
      <c r="G128" s="222"/>
      <c r="H128" s="84"/>
      <c r="I128" s="84"/>
    </row>
    <row r="129" spans="1:9" ht="16.5" x14ac:dyDescent="0.25">
      <c r="A129" s="173"/>
      <c r="B129" s="84"/>
      <c r="C129" s="84"/>
      <c r="D129" s="84"/>
      <c r="E129" s="84"/>
      <c r="F129" s="84"/>
      <c r="G129" s="84"/>
      <c r="H129" s="84"/>
      <c r="I129" s="84"/>
    </row>
    <row r="130" spans="1:9" ht="18" x14ac:dyDescent="0.25">
      <c r="A130" s="172" t="str">
        <f>'Resumo 2026 '!A16</f>
        <v>Fontoura Xavier, 05 de outubro de 2026</v>
      </c>
      <c r="B130" s="84"/>
      <c r="C130" s="84"/>
      <c r="D130" s="84"/>
      <c r="E130" s="84"/>
      <c r="F130" s="84"/>
      <c r="G130" s="84"/>
      <c r="H130" s="84"/>
      <c r="I130" s="84"/>
    </row>
    <row r="131" spans="1:9" ht="18" x14ac:dyDescent="0.25">
      <c r="A131" s="172"/>
      <c r="B131" s="84"/>
      <c r="C131" s="84"/>
      <c r="D131" s="84"/>
      <c r="E131" s="84"/>
      <c r="F131" s="84"/>
      <c r="G131" s="84"/>
      <c r="H131" s="84"/>
      <c r="I131" s="84"/>
    </row>
    <row r="132" spans="1:9" ht="18" x14ac:dyDescent="0.25">
      <c r="A132" s="172"/>
      <c r="B132" s="84"/>
      <c r="C132" s="84"/>
      <c r="D132" s="84"/>
      <c r="E132" s="84"/>
      <c r="F132" s="84"/>
      <c r="G132" s="84"/>
      <c r="H132" s="84"/>
      <c r="I132" s="84"/>
    </row>
    <row r="133" spans="1:9" ht="18" x14ac:dyDescent="0.25">
      <c r="A133" s="172"/>
      <c r="B133" s="84"/>
      <c r="C133" s="84"/>
      <c r="D133" s="84"/>
      <c r="E133" s="84"/>
      <c r="F133" s="84"/>
      <c r="G133" s="84"/>
      <c r="H133" s="84"/>
      <c r="I133" s="84"/>
    </row>
    <row r="134" spans="1:9" x14ac:dyDescent="0.2">
      <c r="A134" s="84"/>
      <c r="B134" s="84"/>
      <c r="C134" s="84"/>
      <c r="D134" s="84"/>
      <c r="E134" s="84"/>
      <c r="F134" s="84"/>
      <c r="G134" s="84"/>
      <c r="H134" s="84"/>
      <c r="I134" s="84"/>
    </row>
    <row r="135" spans="1:9" x14ac:dyDescent="0.2">
      <c r="A135" s="84"/>
      <c r="B135" s="84"/>
      <c r="C135" s="84"/>
      <c r="D135" s="84"/>
      <c r="E135" s="84"/>
      <c r="F135" s="84"/>
      <c r="G135" s="84"/>
      <c r="H135" s="84"/>
      <c r="I135" s="84"/>
    </row>
    <row r="136" spans="1:9" x14ac:dyDescent="0.2">
      <c r="A136" s="84"/>
      <c r="B136" s="84"/>
      <c r="C136" s="84"/>
      <c r="D136" s="84"/>
      <c r="E136" s="84"/>
      <c r="F136" s="84"/>
      <c r="G136" s="84"/>
      <c r="H136" s="84"/>
      <c r="I136" s="84"/>
    </row>
  </sheetData>
  <mergeCells count="24">
    <mergeCell ref="A1:H1"/>
    <mergeCell ref="A2:H2"/>
    <mergeCell ref="A3:H3"/>
    <mergeCell ref="A4:H4"/>
    <mergeCell ref="B7:C7"/>
    <mergeCell ref="B8:C8"/>
    <mergeCell ref="B10:C10"/>
    <mergeCell ref="A11:F11"/>
    <mergeCell ref="B13:C13"/>
    <mergeCell ref="A14:F14"/>
    <mergeCell ref="A15:F15"/>
    <mergeCell ref="A16:F16"/>
    <mergeCell ref="B17:G17"/>
    <mergeCell ref="A18:F18"/>
    <mergeCell ref="A19:F19"/>
    <mergeCell ref="A50:G50"/>
    <mergeCell ref="A52:G52"/>
    <mergeCell ref="A63:G63"/>
    <mergeCell ref="F85:H86"/>
    <mergeCell ref="A20:F20"/>
    <mergeCell ref="A21:F21"/>
    <mergeCell ref="A22:F22"/>
    <mergeCell ref="A23:F23"/>
    <mergeCell ref="A33:H33"/>
  </mergeCells>
  <pageMargins left="0.70866141732283472" right="0.70866141732283472" top="0.78740157480314965" bottom="0.78740157480314965" header="0.51181102362204722" footer="0.70866141732283472"/>
  <pageSetup paperSize="9" scale="55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6"/>
  <sheetViews>
    <sheetView workbookViewId="0">
      <selection activeCell="J9" sqref="J9"/>
    </sheetView>
  </sheetViews>
  <sheetFormatPr defaultRowHeight="12.75" x14ac:dyDescent="0.2"/>
  <cols>
    <col min="1" max="1" width="39.28515625" customWidth="1"/>
    <col min="2" max="3" width="12.85546875" customWidth="1"/>
    <col min="4" max="4" width="22.85546875" customWidth="1"/>
    <col min="5" max="5" width="18.42578125" bestFit="1" customWidth="1"/>
    <col min="6" max="6" width="19.7109375" bestFit="1" customWidth="1"/>
    <col min="7" max="7" width="15.28515625" bestFit="1" customWidth="1"/>
    <col min="8" max="8" width="16.5703125" bestFit="1" customWidth="1"/>
    <col min="9" max="9" width="5.5703125" hidden="1" customWidth="1"/>
    <col min="10" max="10" width="5.140625" hidden="1" customWidth="1"/>
    <col min="11" max="11" width="10.7109375" bestFit="1" customWidth="1"/>
  </cols>
  <sheetData>
    <row r="1" spans="1:13" ht="16.5" thickBot="1" x14ac:dyDescent="0.3">
      <c r="A1" s="555" t="s">
        <v>264</v>
      </c>
      <c r="B1" s="556"/>
      <c r="C1" s="556"/>
      <c r="D1" s="556"/>
      <c r="E1" s="556"/>
      <c r="F1" s="556"/>
      <c r="G1" s="556"/>
      <c r="H1" s="557"/>
      <c r="I1" s="82"/>
    </row>
    <row r="2" spans="1:13" ht="16.5" thickBot="1" x14ac:dyDescent="0.3">
      <c r="A2" s="531" t="s">
        <v>274</v>
      </c>
      <c r="B2" s="532"/>
      <c r="C2" s="532"/>
      <c r="D2" s="532"/>
      <c r="E2" s="532"/>
      <c r="F2" s="532"/>
      <c r="G2" s="532"/>
      <c r="H2" s="533"/>
      <c r="I2" s="82"/>
    </row>
    <row r="3" spans="1:13" ht="16.5" thickBot="1" x14ac:dyDescent="0.3">
      <c r="A3" s="555" t="s">
        <v>223</v>
      </c>
      <c r="B3" s="556"/>
      <c r="C3" s="556"/>
      <c r="D3" s="556"/>
      <c r="E3" s="556"/>
      <c r="F3" s="556"/>
      <c r="G3" s="556"/>
      <c r="H3" s="557"/>
      <c r="I3" s="82"/>
    </row>
    <row r="4" spans="1:13" ht="15.75" thickBot="1" x14ac:dyDescent="0.25">
      <c r="A4" s="558" t="s">
        <v>9</v>
      </c>
      <c r="B4" s="559"/>
      <c r="C4" s="559"/>
      <c r="D4" s="559"/>
      <c r="E4" s="559"/>
      <c r="F4" s="559"/>
      <c r="G4" s="559"/>
      <c r="H4" s="560"/>
      <c r="I4" s="85"/>
    </row>
    <row r="5" spans="1:13" ht="8.4499999999999993" customHeight="1" x14ac:dyDescent="0.25">
      <c r="A5" s="86"/>
      <c r="B5" s="86"/>
      <c r="C5" s="86"/>
      <c r="D5" s="86"/>
      <c r="E5" s="86"/>
      <c r="F5" s="86"/>
      <c r="G5" s="86"/>
      <c r="H5" s="83"/>
      <c r="I5" s="83"/>
    </row>
    <row r="6" spans="1:13" ht="15.75" x14ac:dyDescent="0.25">
      <c r="A6" s="87" t="s">
        <v>103</v>
      </c>
      <c r="B6" s="83"/>
      <c r="C6" s="83"/>
      <c r="D6" s="83"/>
      <c r="E6" s="83"/>
      <c r="F6" s="83"/>
      <c r="G6" s="83"/>
      <c r="H6" s="83"/>
      <c r="I6" s="83"/>
    </row>
    <row r="7" spans="1:13" ht="15.75" x14ac:dyDescent="0.25">
      <c r="A7" s="88" t="s">
        <v>104</v>
      </c>
      <c r="B7" s="564" t="s">
        <v>259</v>
      </c>
      <c r="C7" s="565"/>
      <c r="D7" s="89"/>
      <c r="E7" s="89"/>
      <c r="F7" s="89"/>
      <c r="G7" s="89" t="s">
        <v>105</v>
      </c>
      <c r="H7" s="90"/>
      <c r="I7" s="182">
        <v>25</v>
      </c>
      <c r="J7" s="281" t="s">
        <v>258</v>
      </c>
    </row>
    <row r="8" spans="1:13" ht="15.75" x14ac:dyDescent="0.25">
      <c r="A8" s="88" t="s">
        <v>106</v>
      </c>
      <c r="B8" s="566">
        <v>43</v>
      </c>
      <c r="C8" s="567"/>
      <c r="D8" s="91"/>
      <c r="E8" s="91"/>
      <c r="F8" s="91"/>
      <c r="G8" s="92">
        <f>SUM(B8:F8)</f>
        <v>43</v>
      </c>
      <c r="H8" s="90"/>
      <c r="I8" s="90"/>
    </row>
    <row r="9" spans="1:13" ht="15.75" hidden="1" x14ac:dyDescent="0.25">
      <c r="A9" s="88" t="s">
        <v>107</v>
      </c>
      <c r="B9" s="109"/>
      <c r="C9" s="109"/>
      <c r="D9" s="109"/>
      <c r="E9" s="109"/>
      <c r="F9" s="109"/>
      <c r="G9" s="93">
        <v>0</v>
      </c>
      <c r="H9" s="90"/>
      <c r="I9" s="90"/>
    </row>
    <row r="10" spans="1:13" ht="15.75" x14ac:dyDescent="0.25">
      <c r="A10" s="88" t="s">
        <v>209</v>
      </c>
      <c r="B10" s="568">
        <f>Roteiros!AH31</f>
        <v>58.6</v>
      </c>
      <c r="C10" s="569"/>
      <c r="D10" s="270"/>
      <c r="E10" s="270"/>
      <c r="F10" s="270"/>
      <c r="G10" s="94">
        <f>SUM(B10:F10)</f>
        <v>58.6</v>
      </c>
      <c r="H10" s="90"/>
      <c r="I10" s="90"/>
      <c r="L10" s="223"/>
      <c r="M10" s="223"/>
    </row>
    <row r="11" spans="1:13" ht="15.75" x14ac:dyDescent="0.25">
      <c r="A11" s="546" t="s">
        <v>108</v>
      </c>
      <c r="B11" s="561"/>
      <c r="C11" s="561"/>
      <c r="D11" s="547"/>
      <c r="E11" s="547"/>
      <c r="F11" s="548"/>
      <c r="G11" s="95">
        <f>G10+G9</f>
        <v>58.6</v>
      </c>
      <c r="H11" s="90"/>
      <c r="I11" s="90"/>
    </row>
    <row r="12" spans="1:13" ht="15.75" x14ac:dyDescent="0.25">
      <c r="A12" s="181" t="s">
        <v>109</v>
      </c>
      <c r="B12" s="282">
        <f>B13/24</f>
        <v>9.7666666666666666E-2</v>
      </c>
      <c r="C12" s="280" t="s">
        <v>257</v>
      </c>
      <c r="D12" s="275"/>
      <c r="E12" s="271"/>
      <c r="F12" s="271"/>
      <c r="G12" s="96" t="s">
        <v>110</v>
      </c>
      <c r="H12" s="90"/>
      <c r="I12" s="90"/>
      <c r="K12" s="182"/>
      <c r="L12" s="224"/>
    </row>
    <row r="13" spans="1:13" ht="15.75" x14ac:dyDescent="0.25">
      <c r="A13" s="181" t="s">
        <v>111</v>
      </c>
      <c r="B13" s="562">
        <f>B10/I7</f>
        <v>2.3439999999999999</v>
      </c>
      <c r="C13" s="563"/>
      <c r="D13" s="271"/>
      <c r="E13" s="272"/>
      <c r="F13" s="272"/>
      <c r="G13" s="94">
        <f>SUM(B13:F13)</f>
        <v>2.3439999999999999</v>
      </c>
      <c r="H13" s="97"/>
      <c r="I13" s="225"/>
      <c r="K13" s="90"/>
    </row>
    <row r="14" spans="1:13" ht="15.75" x14ac:dyDescent="0.25">
      <c r="A14" s="546" t="s">
        <v>260</v>
      </c>
      <c r="B14" s="547"/>
      <c r="C14" s="547"/>
      <c r="D14" s="547"/>
      <c r="E14" s="547"/>
      <c r="F14" s="548"/>
      <c r="G14" s="94">
        <v>3</v>
      </c>
      <c r="H14" s="98"/>
      <c r="I14" s="98"/>
      <c r="J14" s="98"/>
    </row>
    <row r="15" spans="1:13" ht="15.75" x14ac:dyDescent="0.25">
      <c r="A15" s="546" t="s">
        <v>112</v>
      </c>
      <c r="B15" s="547"/>
      <c r="C15" s="547"/>
      <c r="D15" s="547"/>
      <c r="E15" s="547"/>
      <c r="F15" s="548"/>
      <c r="G15" s="95">
        <f>(G14+G13)</f>
        <v>5.3439999999999994</v>
      </c>
      <c r="H15" s="98"/>
      <c r="I15" s="98"/>
      <c r="J15" s="98"/>
    </row>
    <row r="16" spans="1:13" ht="15.75" x14ac:dyDescent="0.25">
      <c r="A16" s="546"/>
      <c r="B16" s="547"/>
      <c r="C16" s="547"/>
      <c r="D16" s="547"/>
      <c r="E16" s="547"/>
      <c r="F16" s="548"/>
      <c r="G16" s="99"/>
      <c r="H16" s="90"/>
      <c r="I16" s="90"/>
    </row>
    <row r="17" spans="1:9" ht="15.75" x14ac:dyDescent="0.25">
      <c r="A17" s="96" t="s">
        <v>113</v>
      </c>
      <c r="B17" s="571" t="s">
        <v>256</v>
      </c>
      <c r="C17" s="572"/>
      <c r="D17" s="572"/>
      <c r="E17" s="572"/>
      <c r="F17" s="572"/>
      <c r="G17" s="573"/>
      <c r="H17" s="90"/>
      <c r="I17" s="90"/>
    </row>
    <row r="18" spans="1:9" ht="15.75" x14ac:dyDescent="0.25">
      <c r="A18" s="546" t="s">
        <v>285</v>
      </c>
      <c r="B18" s="547"/>
      <c r="C18" s="547"/>
      <c r="D18" s="547"/>
      <c r="E18" s="547"/>
      <c r="F18" s="548"/>
      <c r="G18" s="187">
        <v>160000</v>
      </c>
      <c r="H18" s="90"/>
      <c r="I18" s="90"/>
    </row>
    <row r="19" spans="1:9" ht="15.75" x14ac:dyDescent="0.25">
      <c r="A19" s="546" t="s">
        <v>197</v>
      </c>
      <c r="B19" s="547"/>
      <c r="C19" s="547"/>
      <c r="D19" s="547"/>
      <c r="E19" s="547"/>
      <c r="F19" s="548"/>
      <c r="G19" s="188">
        <v>7.32</v>
      </c>
      <c r="H19" s="90"/>
      <c r="I19" s="90"/>
    </row>
    <row r="20" spans="1:9" ht="15.75" x14ac:dyDescent="0.25">
      <c r="A20" s="546" t="s">
        <v>203</v>
      </c>
      <c r="B20" s="547"/>
      <c r="C20" s="547"/>
      <c r="D20" s="547"/>
      <c r="E20" s="547"/>
      <c r="F20" s="548"/>
      <c r="G20" s="188">
        <v>4.5999999999999996</v>
      </c>
      <c r="H20" s="90"/>
      <c r="I20" s="90"/>
    </row>
    <row r="21" spans="1:9" ht="15.75" x14ac:dyDescent="0.25">
      <c r="A21" s="546" t="s">
        <v>198</v>
      </c>
      <c r="B21" s="547"/>
      <c r="C21" s="547"/>
      <c r="D21" s="547"/>
      <c r="E21" s="547"/>
      <c r="F21" s="548"/>
      <c r="G21" s="188">
        <v>0.72</v>
      </c>
      <c r="H21" s="90"/>
      <c r="I21" s="90"/>
    </row>
    <row r="22" spans="1:9" ht="15.75" x14ac:dyDescent="0.25">
      <c r="A22" s="546" t="s">
        <v>114</v>
      </c>
      <c r="B22" s="547"/>
      <c r="C22" s="547"/>
      <c r="D22" s="547"/>
      <c r="E22" s="547"/>
      <c r="F22" s="548"/>
      <c r="G22" s="100">
        <v>20</v>
      </c>
      <c r="H22" s="90"/>
      <c r="I22" s="90"/>
    </row>
    <row r="23" spans="1:9" ht="15.75" x14ac:dyDescent="0.25">
      <c r="A23" s="546" t="s">
        <v>188</v>
      </c>
      <c r="B23" s="547"/>
      <c r="C23" s="547"/>
      <c r="D23" s="547"/>
      <c r="E23" s="547"/>
      <c r="F23" s="548"/>
      <c r="G23" s="94">
        <f>G22*B10</f>
        <v>1172</v>
      </c>
      <c r="H23" s="90"/>
      <c r="I23" s="90"/>
    </row>
    <row r="24" spans="1:9" ht="13.15" customHeight="1" x14ac:dyDescent="0.2">
      <c r="A24" s="90"/>
      <c r="B24" s="90"/>
      <c r="C24" s="90"/>
      <c r="D24" s="90"/>
      <c r="E24" s="90"/>
      <c r="F24" s="90"/>
      <c r="G24" s="90"/>
      <c r="H24" s="90"/>
      <c r="I24" s="90"/>
    </row>
    <row r="25" spans="1:9" ht="15.75" x14ac:dyDescent="0.25">
      <c r="A25" s="101" t="s">
        <v>115</v>
      </c>
      <c r="B25" s="102" t="s">
        <v>102</v>
      </c>
      <c r="C25" s="83"/>
      <c r="D25" s="203" t="s">
        <v>194</v>
      </c>
      <c r="E25" s="204"/>
      <c r="F25" s="204"/>
      <c r="G25" s="205"/>
      <c r="H25" s="206"/>
      <c r="I25" s="90"/>
    </row>
    <row r="26" spans="1:9" ht="16.5" thickBot="1" x14ac:dyDescent="0.3">
      <c r="A26" s="96" t="s">
        <v>195</v>
      </c>
      <c r="B26" s="208">
        <f>(G22*G11*G19)/G20</f>
        <v>1865.0086956521743</v>
      </c>
      <c r="C26" s="103"/>
      <c r="D26" s="200" t="s">
        <v>10</v>
      </c>
      <c r="E26" s="201" t="s">
        <v>11</v>
      </c>
      <c r="F26" s="201" t="s">
        <v>6</v>
      </c>
      <c r="G26" s="202" t="s">
        <v>90</v>
      </c>
      <c r="H26" s="202" t="s">
        <v>12</v>
      </c>
      <c r="I26" s="90"/>
    </row>
    <row r="27" spans="1:9" ht="15.75" x14ac:dyDescent="0.25">
      <c r="A27" s="96" t="s">
        <v>196</v>
      </c>
      <c r="B27" s="208">
        <f>G21*G23</f>
        <v>843.83999999999992</v>
      </c>
      <c r="C27" s="103"/>
      <c r="D27" s="189" t="s">
        <v>189</v>
      </c>
      <c r="E27" s="190" t="s">
        <v>2</v>
      </c>
      <c r="F27" s="191">
        <v>6</v>
      </c>
      <c r="G27" s="192">
        <v>980</v>
      </c>
      <c r="H27" s="193">
        <f>F27*G27</f>
        <v>5880</v>
      </c>
      <c r="I27" s="90"/>
    </row>
    <row r="28" spans="1:9" ht="15.75" x14ac:dyDescent="0.25">
      <c r="A28" s="96" t="str">
        <f>D25</f>
        <v>1.3 Pneus</v>
      </c>
      <c r="B28" s="208">
        <f>H31</f>
        <v>156.46200000000002</v>
      </c>
      <c r="C28" s="90"/>
      <c r="D28" s="189" t="s">
        <v>193</v>
      </c>
      <c r="E28" s="190" t="s">
        <v>2</v>
      </c>
      <c r="F28" s="190">
        <v>2</v>
      </c>
      <c r="G28" s="194"/>
      <c r="H28" s="193"/>
      <c r="I28" s="90"/>
    </row>
    <row r="29" spans="1:9" ht="15.75" x14ac:dyDescent="0.25">
      <c r="A29" s="89"/>
      <c r="B29" s="96"/>
      <c r="C29" s="82"/>
      <c r="D29" s="189" t="s">
        <v>190</v>
      </c>
      <c r="E29" s="190" t="s">
        <v>2</v>
      </c>
      <c r="F29" s="209">
        <f>F27*F28</f>
        <v>12</v>
      </c>
      <c r="G29" s="192">
        <v>400</v>
      </c>
      <c r="H29" s="193">
        <f>F29*G29</f>
        <v>4800</v>
      </c>
      <c r="I29" s="90"/>
    </row>
    <row r="30" spans="1:9" ht="15.75" x14ac:dyDescent="0.25">
      <c r="A30" s="89" t="s">
        <v>116</v>
      </c>
      <c r="B30" s="96">
        <f>SUM(B26:B29)</f>
        <v>2865.3106956521742</v>
      </c>
      <c r="C30" s="82"/>
      <c r="D30" s="195" t="s">
        <v>206</v>
      </c>
      <c r="E30" s="196" t="s">
        <v>191</v>
      </c>
      <c r="F30" s="197">
        <v>80000</v>
      </c>
      <c r="G30" s="198">
        <f>H27+H29</f>
        <v>10680</v>
      </c>
      <c r="H30" s="198">
        <f>IFERROR(G30/F30,"-")</f>
        <v>0.13350000000000001</v>
      </c>
      <c r="I30" s="90"/>
    </row>
    <row r="31" spans="1:9" ht="15.75" x14ac:dyDescent="0.25">
      <c r="A31" s="83"/>
      <c r="B31" s="82"/>
      <c r="C31" s="82"/>
      <c r="D31" s="195" t="s">
        <v>192</v>
      </c>
      <c r="E31" s="196" t="s">
        <v>3</v>
      </c>
      <c r="F31" s="199">
        <f>G23</f>
        <v>1172</v>
      </c>
      <c r="G31" s="198">
        <f>H30</f>
        <v>0.13350000000000001</v>
      </c>
      <c r="H31" s="207">
        <f>IFERROR(F31*G31,0)</f>
        <v>156.46200000000002</v>
      </c>
      <c r="I31" s="90"/>
    </row>
    <row r="32" spans="1:9" ht="12.6" customHeight="1" x14ac:dyDescent="0.25">
      <c r="A32" s="83"/>
      <c r="B32" s="90"/>
      <c r="C32" s="90"/>
      <c r="D32" s="90"/>
      <c r="E32" s="90"/>
      <c r="F32" s="90"/>
      <c r="G32" s="90"/>
      <c r="H32" s="90"/>
      <c r="I32" s="90"/>
    </row>
    <row r="33" spans="1:9" ht="15.75" x14ac:dyDescent="0.25">
      <c r="A33" s="549" t="s">
        <v>117</v>
      </c>
      <c r="B33" s="550"/>
      <c r="C33" s="550"/>
      <c r="D33" s="550"/>
      <c r="E33" s="550"/>
      <c r="F33" s="550"/>
      <c r="G33" s="550"/>
      <c r="H33" s="550"/>
      <c r="I33" s="82"/>
    </row>
    <row r="34" spans="1:9" ht="15.75" x14ac:dyDescent="0.25">
      <c r="A34" s="105" t="s">
        <v>293</v>
      </c>
      <c r="B34" s="220">
        <f>G44*0.14</f>
        <v>22400.000000000004</v>
      </c>
      <c r="C34" s="90"/>
      <c r="D34" s="106" t="s">
        <v>118</v>
      </c>
      <c r="E34" s="106" t="s">
        <v>119</v>
      </c>
      <c r="F34" s="106" t="s">
        <v>120</v>
      </c>
      <c r="G34" s="106" t="s">
        <v>121</v>
      </c>
      <c r="H34" s="106" t="s">
        <v>105</v>
      </c>
      <c r="I34" s="84"/>
    </row>
    <row r="35" spans="1:9" ht="15.75" x14ac:dyDescent="0.25">
      <c r="A35" s="104" t="s">
        <v>122</v>
      </c>
      <c r="B35" s="104">
        <v>0</v>
      </c>
      <c r="C35" s="90"/>
      <c r="D35" s="218">
        <v>2448.1</v>
      </c>
      <c r="E35" s="107">
        <f>'Encargos Sociais'!C38</f>
        <v>0.3078166</v>
      </c>
      <c r="F35" s="108">
        <f>(D35*E35)+D35</f>
        <v>3201.6658184600001</v>
      </c>
      <c r="G35" s="109">
        <v>11.2</v>
      </c>
      <c r="H35" s="95">
        <f>F35*G35</f>
        <v>35858.657166751997</v>
      </c>
      <c r="I35" s="84"/>
    </row>
    <row r="36" spans="1:9" ht="15.75" x14ac:dyDescent="0.25">
      <c r="A36" s="104" t="s">
        <v>123</v>
      </c>
      <c r="B36" s="219">
        <v>109.27</v>
      </c>
      <c r="C36" s="90"/>
      <c r="D36" s="89" t="s">
        <v>124</v>
      </c>
      <c r="E36" s="89" t="s">
        <v>125</v>
      </c>
      <c r="F36" s="89" t="s">
        <v>120</v>
      </c>
      <c r="G36" s="89" t="s">
        <v>121</v>
      </c>
      <c r="H36" s="89" t="s">
        <v>105</v>
      </c>
      <c r="I36" s="84"/>
    </row>
    <row r="37" spans="1:9" ht="15.75" x14ac:dyDescent="0.25">
      <c r="A37" s="104" t="s">
        <v>187</v>
      </c>
      <c r="B37" s="219">
        <v>1500</v>
      </c>
      <c r="C37" s="90"/>
      <c r="D37" s="219">
        <f>37*0.9493</f>
        <v>35.124099999999999</v>
      </c>
      <c r="E37" s="110">
        <f>G22</f>
        <v>20</v>
      </c>
      <c r="F37" s="111">
        <f>D37*E37</f>
        <v>702.48199999999997</v>
      </c>
      <c r="G37" s="112">
        <v>10</v>
      </c>
      <c r="H37" s="95">
        <f>F37*G37</f>
        <v>7024.82</v>
      </c>
      <c r="I37" s="84"/>
    </row>
    <row r="38" spans="1:9" ht="15.75" x14ac:dyDescent="0.25">
      <c r="A38" s="104" t="s">
        <v>126</v>
      </c>
      <c r="B38" s="104">
        <f>H48</f>
        <v>7544.5333333333328</v>
      </c>
      <c r="C38" s="90"/>
      <c r="D38" s="89" t="s">
        <v>202</v>
      </c>
      <c r="E38" s="89" t="s">
        <v>125</v>
      </c>
      <c r="F38" s="89" t="s">
        <v>120</v>
      </c>
      <c r="G38" s="89" t="s">
        <v>121</v>
      </c>
      <c r="H38" s="89" t="s">
        <v>105</v>
      </c>
      <c r="I38" s="84"/>
    </row>
    <row r="39" spans="1:9" ht="15.75" x14ac:dyDescent="0.25">
      <c r="A39" s="104" t="s">
        <v>128</v>
      </c>
      <c r="B39" s="219">
        <v>3000</v>
      </c>
      <c r="C39" s="90"/>
      <c r="D39" s="219">
        <v>216</v>
      </c>
      <c r="E39" s="110">
        <v>1</v>
      </c>
      <c r="F39" s="111">
        <f>D39*E39</f>
        <v>216</v>
      </c>
      <c r="G39" s="112">
        <v>12</v>
      </c>
      <c r="H39" s="95">
        <f>F39*G39</f>
        <v>2592</v>
      </c>
      <c r="I39" s="84"/>
    </row>
    <row r="40" spans="1:9" ht="15.75" x14ac:dyDescent="0.25">
      <c r="A40" s="104" t="s">
        <v>129</v>
      </c>
      <c r="B40" s="114">
        <v>1</v>
      </c>
      <c r="C40" s="90"/>
      <c r="D40" s="88" t="s">
        <v>127</v>
      </c>
      <c r="E40" s="110"/>
      <c r="F40" s="113"/>
      <c r="G40" s="112"/>
      <c r="H40" s="95">
        <f>H35+H37+H39</f>
        <v>45475.477166751996</v>
      </c>
      <c r="I40" s="84"/>
    </row>
    <row r="41" spans="1:9" ht="15.75" thickBot="1" x14ac:dyDescent="0.25">
      <c r="A41" s="104" t="s">
        <v>131</v>
      </c>
      <c r="B41" s="104">
        <f>H40*B40</f>
        <v>45475.477166751996</v>
      </c>
      <c r="C41" s="90"/>
      <c r="D41" s="90"/>
      <c r="E41" s="182"/>
      <c r="F41" s="182"/>
      <c r="G41" s="182"/>
      <c r="H41" s="182"/>
      <c r="I41" s="84"/>
    </row>
    <row r="42" spans="1:9" ht="16.5" thickBot="1" x14ac:dyDescent="0.3">
      <c r="A42" s="96" t="s">
        <v>132</v>
      </c>
      <c r="B42" s="96">
        <f>SUM(B34:B39)+B41</f>
        <v>80029.280500085326</v>
      </c>
      <c r="C42" s="115"/>
      <c r="D42" s="116" t="s">
        <v>130</v>
      </c>
      <c r="E42" s="117"/>
      <c r="F42" s="117"/>
      <c r="G42" s="90"/>
      <c r="H42" s="90"/>
      <c r="I42" s="84"/>
    </row>
    <row r="43" spans="1:9" ht="16.5" thickBot="1" x14ac:dyDescent="0.3">
      <c r="A43" s="96" t="s">
        <v>134</v>
      </c>
      <c r="B43" s="96">
        <f>B42/10*B44</f>
        <v>4859.9599430960907</v>
      </c>
      <c r="C43" s="90"/>
      <c r="D43" s="118" t="s">
        <v>10</v>
      </c>
      <c r="E43" s="119" t="s">
        <v>11</v>
      </c>
      <c r="F43" s="119" t="s">
        <v>6</v>
      </c>
      <c r="G43" s="120" t="s">
        <v>90</v>
      </c>
      <c r="H43" s="120" t="s">
        <v>12</v>
      </c>
      <c r="I43" s="84"/>
    </row>
    <row r="44" spans="1:9" ht="15.75" x14ac:dyDescent="0.25">
      <c r="A44" s="96" t="s">
        <v>135</v>
      </c>
      <c r="B44" s="283">
        <f>(G15*5)/44</f>
        <v>0.6072727272727273</v>
      </c>
      <c r="C44" s="82"/>
      <c r="D44" s="121" t="s">
        <v>133</v>
      </c>
      <c r="E44" s="122" t="s">
        <v>2</v>
      </c>
      <c r="F44" s="123">
        <v>1</v>
      </c>
      <c r="G44" s="124">
        <f>G18</f>
        <v>160000</v>
      </c>
      <c r="H44" s="125">
        <f>F44*G44</f>
        <v>160000</v>
      </c>
      <c r="I44" s="84"/>
    </row>
    <row r="45" spans="1:9" ht="15.75" x14ac:dyDescent="0.25">
      <c r="C45" s="82"/>
      <c r="D45" s="126" t="s">
        <v>26</v>
      </c>
      <c r="E45" s="127" t="s">
        <v>27</v>
      </c>
      <c r="F45" s="128">
        <v>15</v>
      </c>
      <c r="G45" s="129"/>
      <c r="H45" s="130"/>
      <c r="I45" s="84"/>
    </row>
    <row r="46" spans="1:9" ht="15.75" x14ac:dyDescent="0.25">
      <c r="C46" s="131"/>
      <c r="D46" s="126" t="s">
        <v>86</v>
      </c>
      <c r="E46" s="127" t="s">
        <v>27</v>
      </c>
      <c r="F46" s="132">
        <v>0</v>
      </c>
      <c r="G46" s="130"/>
      <c r="H46" s="130"/>
      <c r="I46" s="84"/>
    </row>
    <row r="47" spans="1:9" ht="15" x14ac:dyDescent="0.2">
      <c r="A47" s="182"/>
      <c r="B47" s="182"/>
      <c r="C47" s="182"/>
      <c r="D47" s="126" t="s">
        <v>136</v>
      </c>
      <c r="E47" s="127" t="s">
        <v>0</v>
      </c>
      <c r="F47" s="133">
        <f>Depreciação!B17</f>
        <v>70.73</v>
      </c>
      <c r="G47" s="130">
        <f>H44</f>
        <v>160000</v>
      </c>
      <c r="H47" s="130">
        <f>F47*G47/100</f>
        <v>113168</v>
      </c>
      <c r="I47" s="84"/>
    </row>
    <row r="48" spans="1:9" ht="16.5" thickBot="1" x14ac:dyDescent="0.25">
      <c r="A48" s="90"/>
      <c r="B48" s="90"/>
      <c r="C48" s="90"/>
      <c r="D48" s="134" t="s">
        <v>137</v>
      </c>
      <c r="E48" s="135" t="s">
        <v>1</v>
      </c>
      <c r="F48" s="136">
        <f>F45*12</f>
        <v>180</v>
      </c>
      <c r="G48" s="137">
        <f>IF(F46&lt;=F45,H47,0)</f>
        <v>113168</v>
      </c>
      <c r="H48" s="137">
        <f>IFERROR(G48/F48,0)*12</f>
        <v>7544.5333333333328</v>
      </c>
      <c r="I48" s="84"/>
    </row>
    <row r="49" spans="1:9" ht="15.75" thickTop="1" x14ac:dyDescent="0.2">
      <c r="A49" s="90"/>
      <c r="B49" s="90"/>
      <c r="C49" s="90"/>
      <c r="D49" s="90"/>
      <c r="E49" s="90"/>
      <c r="F49" s="182"/>
      <c r="G49" s="182"/>
      <c r="H49" s="182"/>
      <c r="I49" s="84"/>
    </row>
    <row r="50" spans="1:9" ht="15.75" x14ac:dyDescent="0.25">
      <c r="A50" s="549" t="s">
        <v>138</v>
      </c>
      <c r="B50" s="550"/>
      <c r="C50" s="550"/>
      <c r="D50" s="550"/>
      <c r="E50" s="550"/>
      <c r="F50" s="550"/>
      <c r="G50" s="551"/>
      <c r="H50" s="96">
        <f>($B$43+$B$30)</f>
        <v>7725.2706387482649</v>
      </c>
      <c r="I50" s="84"/>
    </row>
    <row r="51" spans="1:9" x14ac:dyDescent="0.2">
      <c r="A51" s="138"/>
      <c r="B51" s="138"/>
      <c r="C51" s="138"/>
      <c r="D51" s="138"/>
      <c r="E51" s="138"/>
      <c r="F51" s="139"/>
      <c r="G51" s="139"/>
      <c r="H51" s="139"/>
      <c r="I51" s="84"/>
    </row>
    <row r="52" spans="1:9" ht="16.5" thickBot="1" x14ac:dyDescent="0.3">
      <c r="A52" s="549" t="s">
        <v>139</v>
      </c>
      <c r="B52" s="550"/>
      <c r="C52" s="550"/>
      <c r="D52" s="550"/>
      <c r="E52" s="550"/>
      <c r="F52" s="550"/>
      <c r="G52" s="551"/>
      <c r="H52" s="139"/>
      <c r="I52" s="84"/>
    </row>
    <row r="53" spans="1:9" ht="16.5" thickBot="1" x14ac:dyDescent="0.25">
      <c r="A53" s="140" t="s">
        <v>10</v>
      </c>
      <c r="B53" s="141" t="s">
        <v>11</v>
      </c>
      <c r="C53" s="141"/>
      <c r="D53" s="141" t="s">
        <v>6</v>
      </c>
      <c r="E53" s="142" t="s">
        <v>90</v>
      </c>
      <c r="F53" s="142" t="s">
        <v>12</v>
      </c>
      <c r="G53" s="143" t="s">
        <v>140</v>
      </c>
      <c r="H53" s="182"/>
      <c r="I53" s="144"/>
    </row>
    <row r="54" spans="1:9" ht="16.5" thickBot="1" x14ac:dyDescent="0.25">
      <c r="A54" s="145" t="s">
        <v>4</v>
      </c>
      <c r="B54" s="146" t="s">
        <v>0</v>
      </c>
      <c r="C54" s="146"/>
      <c r="D54" s="147">
        <f>BDI!C21</f>
        <v>0.2707</v>
      </c>
      <c r="E54" s="125">
        <f>H50</f>
        <v>7725.2706387482649</v>
      </c>
      <c r="F54" s="125">
        <f>D54*E54/1</f>
        <v>2091.2307619091553</v>
      </c>
      <c r="G54" s="148"/>
      <c r="H54" s="90"/>
      <c r="I54" s="84"/>
    </row>
    <row r="55" spans="1:9" ht="16.5" thickBot="1" x14ac:dyDescent="0.25">
      <c r="A55" s="149" t="s">
        <v>141</v>
      </c>
      <c r="B55" s="150"/>
      <c r="C55" s="150"/>
      <c r="D55" s="149"/>
      <c r="E55" s="151"/>
      <c r="F55" s="152"/>
      <c r="G55" s="153">
        <f>+F54</f>
        <v>2091.2307619091553</v>
      </c>
      <c r="H55" s="90"/>
      <c r="I55" s="144"/>
    </row>
    <row r="56" spans="1:9" ht="15.75" thickBot="1" x14ac:dyDescent="0.25">
      <c r="A56" s="138"/>
      <c r="B56" s="138"/>
      <c r="C56" s="138"/>
      <c r="D56" s="154"/>
      <c r="E56" s="154"/>
      <c r="F56" s="148"/>
      <c r="G56" s="148"/>
      <c r="H56" s="148"/>
      <c r="I56" s="84"/>
    </row>
    <row r="57" spans="1:9" ht="16.5" thickBot="1" x14ac:dyDescent="0.25">
      <c r="A57" s="155" t="s">
        <v>142</v>
      </c>
      <c r="B57" s="156"/>
      <c r="C57" s="156"/>
      <c r="D57" s="157"/>
      <c r="E57" s="157"/>
      <c r="F57" s="158"/>
      <c r="G57" s="159"/>
      <c r="H57" s="160">
        <f>G55</f>
        <v>2091.2307619091553</v>
      </c>
      <c r="I57" s="84"/>
    </row>
    <row r="58" spans="1:9" ht="13.5" thickBot="1" x14ac:dyDescent="0.25">
      <c r="A58" s="138"/>
      <c r="B58" s="138"/>
      <c r="C58" s="138"/>
      <c r="D58" s="138"/>
      <c r="E58" s="138"/>
      <c r="F58" s="139"/>
      <c r="G58" s="139"/>
      <c r="H58" s="139"/>
      <c r="I58" s="84"/>
    </row>
    <row r="59" spans="1:9" ht="16.5" thickBot="1" x14ac:dyDescent="0.25">
      <c r="A59" s="155" t="s">
        <v>143</v>
      </c>
      <c r="B59" s="156"/>
      <c r="C59" s="156"/>
      <c r="D59" s="156"/>
      <c r="E59" s="156"/>
      <c r="F59" s="161"/>
      <c r="G59" s="162"/>
      <c r="H59" s="163">
        <f>H50+H57</f>
        <v>9816.5014006574202</v>
      </c>
      <c r="I59" s="84"/>
    </row>
    <row r="60" spans="1:9" ht="15.75" thickBot="1" x14ac:dyDescent="0.25">
      <c r="A60" s="90"/>
      <c r="B60" s="90"/>
      <c r="C60" s="90"/>
      <c r="D60" s="90"/>
      <c r="E60" s="90"/>
      <c r="F60" s="182"/>
      <c r="G60" s="182"/>
      <c r="H60" s="90"/>
      <c r="I60" s="84"/>
    </row>
    <row r="61" spans="1:9" ht="16.5" thickBot="1" x14ac:dyDescent="0.3">
      <c r="A61" s="164" t="s">
        <v>144</v>
      </c>
      <c r="B61" s="183"/>
      <c r="C61" s="183"/>
      <c r="D61" s="183"/>
      <c r="E61" s="183"/>
      <c r="F61" s="183"/>
      <c r="G61" s="183"/>
      <c r="H61" s="165">
        <f>H59/(G11*G22)</f>
        <v>8.3758544374210064</v>
      </c>
      <c r="I61" s="84"/>
    </row>
    <row r="62" spans="1:9" ht="10.9" customHeight="1" thickBot="1" x14ac:dyDescent="0.25">
      <c r="A62" s="90"/>
      <c r="B62" s="90"/>
      <c r="C62" s="90"/>
      <c r="D62" s="90"/>
      <c r="E62" s="90"/>
      <c r="F62" s="90"/>
      <c r="G62" s="90"/>
      <c r="H62" s="90"/>
      <c r="I62" s="90"/>
    </row>
    <row r="63" spans="1:9" ht="15.75" x14ac:dyDescent="0.2">
      <c r="A63" s="541" t="s">
        <v>82</v>
      </c>
      <c r="B63" s="542"/>
      <c r="C63" s="542"/>
      <c r="D63" s="542"/>
      <c r="E63" s="542"/>
      <c r="F63" s="543"/>
      <c r="G63" s="544"/>
      <c r="H63" s="90"/>
      <c r="I63" s="90"/>
    </row>
    <row r="64" spans="1:9" ht="15.75" x14ac:dyDescent="0.2">
      <c r="A64" s="228" t="s">
        <v>81</v>
      </c>
      <c r="B64" s="229"/>
      <c r="C64" s="229"/>
      <c r="D64" s="229"/>
      <c r="E64" s="166"/>
      <c r="F64" s="166" t="s">
        <v>5</v>
      </c>
      <c r="G64" s="230" t="s">
        <v>0</v>
      </c>
      <c r="H64" s="90"/>
      <c r="I64" s="90"/>
    </row>
    <row r="65" spans="1:9" ht="15.75" x14ac:dyDescent="0.2">
      <c r="A65" s="231" t="str">
        <f>A25</f>
        <v>1- CUSTO VARIÁVEL</v>
      </c>
      <c r="B65" s="232"/>
      <c r="C65" s="232"/>
      <c r="D65" s="233"/>
      <c r="E65" s="234"/>
      <c r="F65" s="166">
        <f>SUM(F66:F68)</f>
        <v>2865.3106956521742</v>
      </c>
      <c r="G65" s="235">
        <f>F65/$F$74</f>
        <v>0.29188715803170789</v>
      </c>
      <c r="H65" s="90"/>
      <c r="I65" s="90"/>
    </row>
    <row r="66" spans="1:9" ht="15" x14ac:dyDescent="0.2">
      <c r="A66" s="236" t="str">
        <f>A26</f>
        <v xml:space="preserve">1.1 Combustível </v>
      </c>
      <c r="B66" s="237"/>
      <c r="C66" s="237"/>
      <c r="D66" s="229"/>
      <c r="E66" s="238"/>
      <c r="F66" s="238">
        <f>B26</f>
        <v>1865.0086956521743</v>
      </c>
      <c r="G66" s="239">
        <f t="shared" ref="G66:G72" si="0">F66/$F$74</f>
        <v>0.18998710635616808</v>
      </c>
      <c r="H66" s="90"/>
      <c r="I66" s="90"/>
    </row>
    <row r="67" spans="1:9" ht="15" x14ac:dyDescent="0.2">
      <c r="A67" s="240" t="str">
        <f>A27</f>
        <v xml:space="preserve">1.2 Manutenção e insumos </v>
      </c>
      <c r="B67" s="241"/>
      <c r="C67" s="241"/>
      <c r="D67" s="242"/>
      <c r="E67" s="243"/>
      <c r="F67" s="152">
        <f>B27</f>
        <v>843.83999999999992</v>
      </c>
      <c r="G67" s="239">
        <f t="shared" si="0"/>
        <v>8.5961379269348159E-2</v>
      </c>
      <c r="H67" s="90"/>
      <c r="I67" s="90"/>
    </row>
    <row r="68" spans="1:9" ht="15" x14ac:dyDescent="0.2">
      <c r="A68" s="240" t="str">
        <f>A28</f>
        <v>1.3 Pneus</v>
      </c>
      <c r="B68" s="241"/>
      <c r="C68" s="241"/>
      <c r="D68" s="242"/>
      <c r="E68" s="243"/>
      <c r="F68" s="238">
        <f>B28</f>
        <v>156.46200000000002</v>
      </c>
      <c r="G68" s="239">
        <f t="shared" si="0"/>
        <v>1.593867240619164E-2</v>
      </c>
      <c r="H68" s="90"/>
      <c r="I68" s="90"/>
    </row>
    <row r="69" spans="1:9" ht="15.75" x14ac:dyDescent="0.2">
      <c r="A69" s="244" t="str">
        <f>A33</f>
        <v xml:space="preserve">2 - TOTAL CUSTO FIXO MENSAL </v>
      </c>
      <c r="B69" s="241"/>
      <c r="C69" s="241"/>
      <c r="D69" s="242"/>
      <c r="E69" s="243"/>
      <c r="F69" s="166">
        <f>SUM(F70)</f>
        <v>4859.9599430960907</v>
      </c>
      <c r="G69" s="235">
        <f t="shared" si="0"/>
        <v>0.49508065498473974</v>
      </c>
      <c r="H69" s="90"/>
      <c r="I69" s="90"/>
    </row>
    <row r="70" spans="1:9" ht="15" x14ac:dyDescent="0.2">
      <c r="A70" s="240" t="str">
        <f>A43</f>
        <v>2.1 TOTAL CUSTO FIXO MENSAL</v>
      </c>
      <c r="B70" s="241"/>
      <c r="C70" s="241"/>
      <c r="D70" s="242"/>
      <c r="E70" s="243"/>
      <c r="F70" s="238">
        <f>B43</f>
        <v>4859.9599430960907</v>
      </c>
      <c r="G70" s="239">
        <f>F70/$F$74</f>
        <v>0.49508065498473974</v>
      </c>
      <c r="H70" s="90"/>
      <c r="I70" s="90"/>
    </row>
    <row r="71" spans="1:9" ht="15.75" x14ac:dyDescent="0.2">
      <c r="A71" s="245" t="str">
        <f>A50</f>
        <v>3- CUSTO TOTAL MENSAL COM DESPESAS OPERACIONAIS</v>
      </c>
      <c r="B71" s="246"/>
      <c r="C71" s="246"/>
      <c r="D71" s="246"/>
      <c r="E71" s="247"/>
      <c r="F71" s="166">
        <f>F65+F69</f>
        <v>7725.2706387482649</v>
      </c>
      <c r="G71" s="235">
        <f t="shared" si="0"/>
        <v>0.78696781301644758</v>
      </c>
      <c r="H71" s="90"/>
      <c r="I71" s="90"/>
    </row>
    <row r="72" spans="1:9" ht="15.75" x14ac:dyDescent="0.2">
      <c r="A72" s="248" t="str">
        <f>A52</f>
        <v xml:space="preserve">4- BENEFÍCIOS E DESPESAS INDIRETAS </v>
      </c>
      <c r="B72" s="249"/>
      <c r="C72" s="249"/>
      <c r="D72" s="246"/>
      <c r="E72" s="166"/>
      <c r="F72" s="166">
        <f>H57</f>
        <v>2091.2307619091553</v>
      </c>
      <c r="G72" s="235">
        <f t="shared" si="0"/>
        <v>0.21303218698355236</v>
      </c>
      <c r="H72" s="90"/>
      <c r="I72" s="90"/>
    </row>
    <row r="73" spans="1:9" ht="16.5" thickBot="1" x14ac:dyDescent="0.25">
      <c r="A73" s="250"/>
      <c r="B73" s="251"/>
      <c r="C73" s="251"/>
      <c r="D73" s="252"/>
      <c r="E73" s="253"/>
      <c r="F73" s="254"/>
      <c r="G73" s="255"/>
      <c r="H73" s="90"/>
      <c r="I73" s="90"/>
    </row>
    <row r="74" spans="1:9" ht="16.5" thickBot="1" x14ac:dyDescent="0.25">
      <c r="A74" s="256" t="str">
        <f>A59</f>
        <v xml:space="preserve">5- PREÇO MENSAL TOTAL COM O TRANSPORTE ESCOLAR </v>
      </c>
      <c r="B74" s="257"/>
      <c r="C74" s="257"/>
      <c r="D74" s="258"/>
      <c r="E74" s="258"/>
      <c r="F74" s="258">
        <f>F71+F72</f>
        <v>9816.5014006574202</v>
      </c>
      <c r="G74" s="259">
        <f>G71+G72</f>
        <v>1</v>
      </c>
      <c r="H74" s="90"/>
      <c r="I74" s="90"/>
    </row>
    <row r="75" spans="1:9" ht="15" x14ac:dyDescent="0.2">
      <c r="A75" s="260"/>
      <c r="B75" s="261"/>
      <c r="C75" s="261"/>
      <c r="D75" s="261"/>
      <c r="E75" s="261"/>
      <c r="F75" s="261"/>
      <c r="G75" s="262"/>
      <c r="H75" s="90"/>
      <c r="I75" s="90"/>
    </row>
    <row r="76" spans="1:9" ht="15.75" x14ac:dyDescent="0.25">
      <c r="A76" s="263" t="s">
        <v>145</v>
      </c>
      <c r="B76" s="104"/>
      <c r="C76" s="104"/>
      <c r="D76" s="104"/>
      <c r="E76" s="104"/>
      <c r="F76" s="104"/>
      <c r="G76" s="264">
        <f>G11</f>
        <v>58.6</v>
      </c>
      <c r="H76" s="90"/>
      <c r="I76" s="90"/>
    </row>
    <row r="77" spans="1:9" ht="15.75" x14ac:dyDescent="0.25">
      <c r="A77" s="263" t="s">
        <v>146</v>
      </c>
      <c r="B77" s="104"/>
      <c r="C77" s="104"/>
      <c r="D77" s="104"/>
      <c r="E77" s="104"/>
      <c r="F77" s="104"/>
      <c r="G77" s="265">
        <f>G22</f>
        <v>20</v>
      </c>
      <c r="H77" s="90"/>
      <c r="I77" s="90"/>
    </row>
    <row r="78" spans="1:9" ht="15.75" x14ac:dyDescent="0.25">
      <c r="A78" s="263" t="s">
        <v>147</v>
      </c>
      <c r="B78" s="104"/>
      <c r="C78" s="104"/>
      <c r="D78" s="104"/>
      <c r="E78" s="104"/>
      <c r="F78" s="104"/>
      <c r="G78" s="264">
        <f>G76*G77</f>
        <v>1172</v>
      </c>
      <c r="H78" s="90"/>
    </row>
    <row r="79" spans="1:9" ht="16.5" thickBot="1" x14ac:dyDescent="0.3">
      <c r="A79" s="266" t="s">
        <v>148</v>
      </c>
      <c r="B79" s="267"/>
      <c r="C79" s="267"/>
      <c r="D79" s="267"/>
      <c r="E79" s="267"/>
      <c r="F79" s="267"/>
      <c r="G79" s="268">
        <f>F74/G78</f>
        <v>8.3758544374210064</v>
      </c>
      <c r="H79" s="90"/>
      <c r="I79" s="90"/>
    </row>
    <row r="80" spans="1:9" ht="15" x14ac:dyDescent="0.2">
      <c r="A80" s="90"/>
      <c r="B80" s="90"/>
      <c r="C80" s="90"/>
      <c r="D80" s="90"/>
      <c r="E80" s="90"/>
      <c r="F80" s="90"/>
      <c r="G80" s="90"/>
      <c r="H80" s="90"/>
      <c r="I80" s="90"/>
    </row>
    <row r="81" spans="1:9" ht="15" x14ac:dyDescent="0.2">
      <c r="A81" s="269" t="str">
        <f>A2</f>
        <v xml:space="preserve">LINHA 41 - ITINERÁRIO </v>
      </c>
      <c r="B81" s="90"/>
      <c r="C81" s="90"/>
      <c r="D81" s="90"/>
      <c r="E81" s="90"/>
      <c r="F81" s="90"/>
      <c r="G81" s="90"/>
      <c r="H81" s="90"/>
      <c r="I81" s="90"/>
    </row>
    <row r="82" spans="1:9" ht="15.75" x14ac:dyDescent="0.25">
      <c r="A82" s="87" t="s">
        <v>210</v>
      </c>
      <c r="B82" s="90"/>
      <c r="C82" s="90"/>
      <c r="D82" s="90"/>
      <c r="E82" s="90"/>
      <c r="F82" s="90"/>
      <c r="G82" s="90"/>
      <c r="H82" s="90"/>
      <c r="I82" s="90"/>
    </row>
    <row r="83" spans="1:9" ht="15.75" x14ac:dyDescent="0.25">
      <c r="A83" s="87" t="s">
        <v>149</v>
      </c>
      <c r="B83" s="167">
        <f>G11</f>
        <v>58.6</v>
      </c>
      <c r="C83" s="167"/>
      <c r="D83" s="82" t="s">
        <v>150</v>
      </c>
      <c r="E83" s="90"/>
      <c r="F83" s="90"/>
      <c r="G83" s="90"/>
      <c r="H83" s="90"/>
      <c r="I83" s="90"/>
    </row>
    <row r="84" spans="1:9" ht="15.75" x14ac:dyDescent="0.25">
      <c r="A84" s="87" t="s">
        <v>278</v>
      </c>
      <c r="B84" s="82"/>
      <c r="C84" s="82"/>
      <c r="D84" s="82"/>
      <c r="E84" s="90"/>
      <c r="F84" s="90"/>
      <c r="G84" s="90"/>
      <c r="H84" s="90"/>
      <c r="I84" s="90"/>
    </row>
    <row r="85" spans="1:9" ht="15.75" x14ac:dyDescent="0.25">
      <c r="A85" s="87" t="s">
        <v>151</v>
      </c>
      <c r="B85" s="168"/>
      <c r="C85" s="168"/>
      <c r="D85" s="169">
        <f>H61</f>
        <v>8.3758544374210064</v>
      </c>
      <c r="E85" s="170"/>
      <c r="F85" s="545"/>
      <c r="G85" s="545"/>
      <c r="H85" s="545"/>
      <c r="I85" s="90"/>
    </row>
    <row r="86" spans="1:9" ht="15.75" x14ac:dyDescent="0.25">
      <c r="A86" s="87"/>
      <c r="B86" s="84"/>
      <c r="C86" s="84"/>
      <c r="D86" s="84"/>
      <c r="E86" s="84"/>
      <c r="F86" s="545"/>
      <c r="G86" s="545"/>
      <c r="H86" s="545"/>
      <c r="I86" s="90"/>
    </row>
    <row r="87" spans="1:9" ht="18" x14ac:dyDescent="0.25">
      <c r="A87" s="171" t="s">
        <v>152</v>
      </c>
      <c r="B87" s="84"/>
      <c r="C87" s="84"/>
      <c r="D87" s="84"/>
      <c r="E87" s="84"/>
      <c r="F87" s="84"/>
      <c r="G87" s="84"/>
      <c r="H87" s="84"/>
      <c r="I87" s="90"/>
    </row>
    <row r="88" spans="1:9" ht="18" x14ac:dyDescent="0.25">
      <c r="A88" s="172"/>
      <c r="B88" s="172"/>
      <c r="C88" s="172"/>
      <c r="D88" s="172"/>
      <c r="E88" s="172"/>
      <c r="F88" s="172"/>
      <c r="G88" s="172"/>
      <c r="H88" s="172"/>
      <c r="I88" s="84"/>
    </row>
    <row r="89" spans="1:9" ht="18" x14ac:dyDescent="0.25">
      <c r="A89" s="221" t="s">
        <v>153</v>
      </c>
      <c r="B89" s="221"/>
      <c r="C89" s="221"/>
      <c r="D89" s="221"/>
      <c r="E89" s="221"/>
      <c r="F89" s="221"/>
      <c r="G89" s="221"/>
      <c r="H89" s="172"/>
      <c r="I89" s="84"/>
    </row>
    <row r="90" spans="1:9" ht="18" x14ac:dyDescent="0.25">
      <c r="A90" s="221" t="s">
        <v>154</v>
      </c>
      <c r="B90" s="221"/>
      <c r="C90" s="221"/>
      <c r="D90" s="221"/>
      <c r="E90" s="221"/>
      <c r="F90" s="221"/>
      <c r="G90" s="221"/>
      <c r="H90" s="172"/>
      <c r="I90" s="84"/>
    </row>
    <row r="91" spans="1:9" ht="18" x14ac:dyDescent="0.25">
      <c r="A91" s="221" t="s">
        <v>155</v>
      </c>
      <c r="B91" s="221"/>
      <c r="C91" s="221"/>
      <c r="D91" s="221"/>
      <c r="E91" s="221"/>
      <c r="F91" s="221"/>
      <c r="G91" s="221"/>
      <c r="H91" s="172"/>
      <c r="I91" s="84"/>
    </row>
    <row r="92" spans="1:9" ht="18" x14ac:dyDescent="0.25">
      <c r="A92" s="221" t="s">
        <v>156</v>
      </c>
      <c r="B92" s="221"/>
      <c r="C92" s="221"/>
      <c r="D92" s="221"/>
      <c r="E92" s="221"/>
      <c r="F92" s="221"/>
      <c r="G92" s="221"/>
      <c r="H92" s="172"/>
      <c r="I92" s="84"/>
    </row>
    <row r="93" spans="1:9" ht="18" x14ac:dyDescent="0.25">
      <c r="A93" s="221" t="s">
        <v>157</v>
      </c>
      <c r="B93" s="221"/>
      <c r="C93" s="221"/>
      <c r="D93" s="221"/>
      <c r="E93" s="221"/>
      <c r="F93" s="221"/>
      <c r="G93" s="221"/>
      <c r="H93" s="172"/>
      <c r="I93" s="84"/>
    </row>
    <row r="94" spans="1:9" ht="18" x14ac:dyDescent="0.25">
      <c r="A94" s="221" t="s">
        <v>283</v>
      </c>
      <c r="B94" s="221" t="str">
        <f>B17</f>
        <v>Veículo no mínimo de 28 lugares</v>
      </c>
      <c r="C94" s="221"/>
      <c r="D94" s="221"/>
      <c r="E94" s="221"/>
      <c r="F94" s="221"/>
      <c r="G94" s="221"/>
      <c r="H94" s="172"/>
      <c r="I94" s="84"/>
    </row>
    <row r="95" spans="1:9" ht="18" x14ac:dyDescent="0.25">
      <c r="A95" s="221" t="s">
        <v>184</v>
      </c>
      <c r="B95" s="221"/>
      <c r="C95" s="221"/>
      <c r="D95" s="221"/>
      <c r="E95" s="221"/>
      <c r="F95" s="221"/>
      <c r="G95" s="221"/>
      <c r="H95" s="172"/>
      <c r="I95" s="84"/>
    </row>
    <row r="96" spans="1:9" ht="18" x14ac:dyDescent="0.25">
      <c r="A96" s="221" t="s">
        <v>158</v>
      </c>
      <c r="B96" s="221" t="str">
        <f>A18</f>
        <v>Veículo no máximo 20 anos de uso - Base Tabela FIPE</v>
      </c>
      <c r="C96" s="221"/>
      <c r="D96" s="221"/>
      <c r="E96" s="221"/>
      <c r="F96" s="221"/>
      <c r="G96" s="221"/>
      <c r="H96" s="172"/>
      <c r="I96" s="84"/>
    </row>
    <row r="97" spans="1:9" ht="18" x14ac:dyDescent="0.25">
      <c r="A97" s="221" t="s">
        <v>219</v>
      </c>
      <c r="B97" s="221"/>
      <c r="C97" s="221"/>
      <c r="D97" s="221"/>
      <c r="E97" s="221"/>
      <c r="F97" s="221"/>
      <c r="G97" s="221"/>
      <c r="H97" s="172"/>
      <c r="I97" s="84"/>
    </row>
    <row r="98" spans="1:9" ht="18" x14ac:dyDescent="0.25">
      <c r="A98" s="221" t="s">
        <v>182</v>
      </c>
      <c r="B98" s="221"/>
      <c r="C98" s="221"/>
      <c r="D98" s="221"/>
      <c r="E98" s="221"/>
      <c r="F98" s="221"/>
      <c r="G98" s="221"/>
      <c r="H98" s="172"/>
      <c r="I98" s="84"/>
    </row>
    <row r="99" spans="1:9" ht="18" x14ac:dyDescent="0.25">
      <c r="A99" s="221" t="s">
        <v>213</v>
      </c>
      <c r="B99" s="221"/>
      <c r="C99" s="221">
        <f>G20</f>
        <v>4.5999999999999996</v>
      </c>
      <c r="D99" s="221" t="s">
        <v>214</v>
      </c>
      <c r="E99" s="221" t="s">
        <v>215</v>
      </c>
      <c r="F99" s="221"/>
      <c r="G99" s="221"/>
      <c r="H99" s="172"/>
      <c r="I99" s="84"/>
    </row>
    <row r="100" spans="1:9" ht="18" x14ac:dyDescent="0.25">
      <c r="A100" s="221" t="s">
        <v>220</v>
      </c>
      <c r="B100" s="221"/>
      <c r="C100" s="221"/>
      <c r="D100" s="221"/>
      <c r="E100" s="221"/>
      <c r="F100" s="221"/>
      <c r="G100" s="221"/>
      <c r="H100" s="172"/>
      <c r="I100" s="84"/>
    </row>
    <row r="101" spans="1:9" ht="18" x14ac:dyDescent="0.25">
      <c r="A101" s="221" t="s">
        <v>186</v>
      </c>
      <c r="B101" s="221"/>
      <c r="C101" s="221"/>
      <c r="D101" s="221"/>
      <c r="E101" s="221"/>
      <c r="F101" s="221"/>
      <c r="G101" s="221"/>
      <c r="H101" s="172"/>
      <c r="I101" s="84"/>
    </row>
    <row r="102" spans="1:9" ht="18" x14ac:dyDescent="0.25">
      <c r="A102" s="221" t="s">
        <v>221</v>
      </c>
      <c r="B102" s="221"/>
      <c r="C102" s="221"/>
      <c r="D102" s="221"/>
      <c r="E102" s="221"/>
      <c r="F102" s="221"/>
      <c r="G102" s="221"/>
      <c r="H102" s="172"/>
      <c r="I102" s="84"/>
    </row>
    <row r="103" spans="1:9" ht="18" x14ac:dyDescent="0.25">
      <c r="A103" s="221" t="s">
        <v>199</v>
      </c>
      <c r="B103" s="221"/>
      <c r="C103" s="221"/>
      <c r="D103" s="221"/>
      <c r="E103" s="221"/>
      <c r="F103" s="221"/>
      <c r="G103" s="221"/>
      <c r="H103" s="172"/>
      <c r="I103" s="84"/>
    </row>
    <row r="104" spans="1:9" ht="18" x14ac:dyDescent="0.25">
      <c r="A104" s="221" t="s">
        <v>216</v>
      </c>
      <c r="B104" s="221"/>
      <c r="C104" s="221"/>
      <c r="D104" s="221"/>
      <c r="E104" s="221"/>
      <c r="F104" s="221"/>
      <c r="G104" s="221"/>
      <c r="H104" s="172"/>
      <c r="I104" s="84"/>
    </row>
    <row r="105" spans="1:9" ht="18" x14ac:dyDescent="0.25">
      <c r="A105" s="221" t="s">
        <v>262</v>
      </c>
      <c r="B105" s="221"/>
      <c r="C105" s="221"/>
      <c r="D105" s="221"/>
      <c r="E105" s="221"/>
      <c r="F105" s="221"/>
      <c r="G105" s="221"/>
      <c r="H105" s="172"/>
      <c r="I105" s="84"/>
    </row>
    <row r="106" spans="1:9" ht="18" x14ac:dyDescent="0.25">
      <c r="A106" s="221" t="s">
        <v>159</v>
      </c>
      <c r="B106" s="221"/>
      <c r="C106" s="221"/>
      <c r="D106" s="221"/>
      <c r="E106" s="221"/>
      <c r="F106" s="221"/>
      <c r="G106" s="221"/>
      <c r="H106" s="172"/>
      <c r="I106" s="84"/>
    </row>
    <row r="107" spans="1:9" ht="18" x14ac:dyDescent="0.25">
      <c r="A107" s="221" t="s">
        <v>160</v>
      </c>
      <c r="B107" s="221"/>
      <c r="C107" s="221"/>
      <c r="D107" s="221"/>
      <c r="E107" s="221"/>
      <c r="F107" s="221"/>
      <c r="G107" s="221"/>
      <c r="H107" s="172"/>
      <c r="I107" s="84"/>
    </row>
    <row r="108" spans="1:9" ht="18" x14ac:dyDescent="0.25">
      <c r="A108" s="221" t="s">
        <v>185</v>
      </c>
      <c r="B108" s="221"/>
      <c r="C108" s="221"/>
      <c r="D108" s="221"/>
      <c r="E108" s="221"/>
      <c r="F108" s="221"/>
      <c r="G108" s="221"/>
      <c r="H108" s="172"/>
      <c r="I108" s="84"/>
    </row>
    <row r="109" spans="1:9" ht="18" x14ac:dyDescent="0.25">
      <c r="A109" s="221" t="s">
        <v>208</v>
      </c>
      <c r="B109" s="221"/>
      <c r="C109" s="221"/>
      <c r="D109" s="221"/>
      <c r="E109" s="221"/>
      <c r="F109" s="221"/>
      <c r="G109" s="221"/>
      <c r="H109" s="172"/>
      <c r="I109" s="84"/>
    </row>
    <row r="110" spans="1:9" ht="18" x14ac:dyDescent="0.25">
      <c r="A110" s="221" t="s">
        <v>200</v>
      </c>
      <c r="B110" s="221"/>
      <c r="C110" s="221"/>
      <c r="D110" s="221"/>
      <c r="E110" s="221"/>
      <c r="F110" s="221"/>
      <c r="G110" s="221"/>
      <c r="H110" s="172"/>
      <c r="I110" s="84"/>
    </row>
    <row r="111" spans="1:9" ht="18" x14ac:dyDescent="0.25">
      <c r="A111" s="221" t="s">
        <v>161</v>
      </c>
      <c r="B111" s="221"/>
      <c r="C111" s="221"/>
      <c r="D111" s="221"/>
      <c r="E111" s="221"/>
      <c r="F111" s="221"/>
      <c r="G111" s="221"/>
      <c r="H111" s="172"/>
      <c r="I111" s="84"/>
    </row>
    <row r="112" spans="1:9" ht="18" x14ac:dyDescent="0.25">
      <c r="A112" s="221" t="s">
        <v>261</v>
      </c>
      <c r="B112" s="221"/>
      <c r="C112" s="221"/>
      <c r="D112" s="221"/>
      <c r="E112" s="221"/>
      <c r="F112" s="221"/>
      <c r="G112" s="221"/>
      <c r="H112" s="172"/>
      <c r="I112" s="84"/>
    </row>
    <row r="113" spans="1:9" ht="18" x14ac:dyDescent="0.25">
      <c r="A113" s="221" t="s">
        <v>162</v>
      </c>
      <c r="B113" s="221"/>
      <c r="C113" s="221"/>
      <c r="D113" s="221"/>
      <c r="E113" s="221"/>
      <c r="F113" s="221"/>
      <c r="G113" s="221"/>
      <c r="H113" s="172"/>
      <c r="I113" s="84"/>
    </row>
    <row r="114" spans="1:9" ht="18" x14ac:dyDescent="0.25">
      <c r="A114" s="221" t="s">
        <v>217</v>
      </c>
      <c r="B114" s="221"/>
      <c r="C114" s="221"/>
      <c r="D114" s="221"/>
      <c r="E114" s="221"/>
      <c r="F114" s="221"/>
      <c r="G114" s="221"/>
      <c r="H114" s="172"/>
      <c r="I114" s="84"/>
    </row>
    <row r="115" spans="1:9" ht="18" x14ac:dyDescent="0.25">
      <c r="A115" s="221" t="s">
        <v>204</v>
      </c>
      <c r="B115" s="221"/>
      <c r="C115" s="221"/>
      <c r="D115" s="221"/>
      <c r="E115" s="221"/>
      <c r="F115" s="221"/>
      <c r="G115" s="221"/>
      <c r="H115" s="172"/>
      <c r="I115" s="84"/>
    </row>
    <row r="116" spans="1:9" ht="18" x14ac:dyDescent="0.25">
      <c r="A116" s="221" t="s">
        <v>163</v>
      </c>
      <c r="B116" s="221"/>
      <c r="C116" s="221"/>
      <c r="D116" s="221"/>
      <c r="E116" s="221"/>
      <c r="F116" s="221"/>
      <c r="G116" s="221"/>
      <c r="H116" s="172"/>
      <c r="I116" s="84"/>
    </row>
    <row r="117" spans="1:9" ht="18" x14ac:dyDescent="0.25">
      <c r="A117" s="221" t="s">
        <v>164</v>
      </c>
      <c r="B117" s="221"/>
      <c r="C117" s="221"/>
      <c r="D117" s="221"/>
      <c r="E117" s="221"/>
      <c r="F117" s="221"/>
      <c r="G117" s="221"/>
      <c r="H117" s="172"/>
      <c r="I117" s="84"/>
    </row>
    <row r="118" spans="1:9" ht="18" x14ac:dyDescent="0.25">
      <c r="A118" s="221" t="s">
        <v>165</v>
      </c>
      <c r="B118" s="221"/>
      <c r="C118" s="221"/>
      <c r="D118" s="221"/>
      <c r="E118" s="221"/>
      <c r="F118" s="221"/>
      <c r="G118" s="221"/>
      <c r="H118" s="172"/>
      <c r="I118" s="84"/>
    </row>
    <row r="119" spans="1:9" ht="18" x14ac:dyDescent="0.25">
      <c r="A119" s="221" t="s">
        <v>166</v>
      </c>
      <c r="B119" s="221"/>
      <c r="C119" s="221"/>
      <c r="D119" s="221"/>
      <c r="E119" s="221"/>
      <c r="F119" s="221"/>
      <c r="G119" s="221"/>
      <c r="H119" s="172"/>
      <c r="I119" s="84"/>
    </row>
    <row r="120" spans="1:9" ht="18" x14ac:dyDescent="0.25">
      <c r="A120" s="221" t="s">
        <v>201</v>
      </c>
      <c r="B120" s="221"/>
      <c r="C120" s="221"/>
      <c r="D120" s="221"/>
      <c r="E120" s="221"/>
      <c r="F120" s="221"/>
      <c r="G120" s="221"/>
      <c r="H120" s="172"/>
      <c r="I120" s="84"/>
    </row>
    <row r="121" spans="1:9" ht="18" x14ac:dyDescent="0.25">
      <c r="A121" s="221" t="s">
        <v>218</v>
      </c>
      <c r="B121" s="222"/>
      <c r="C121" s="222"/>
      <c r="D121" s="222"/>
      <c r="E121" s="222"/>
      <c r="F121" s="222"/>
      <c r="G121" s="222"/>
      <c r="H121" s="172"/>
      <c r="I121" s="84"/>
    </row>
    <row r="122" spans="1:9" ht="18" x14ac:dyDescent="0.25">
      <c r="A122" s="221" t="s">
        <v>205</v>
      </c>
      <c r="B122" s="222"/>
      <c r="C122" s="222"/>
      <c r="D122" s="222"/>
      <c r="E122" s="222"/>
      <c r="F122" s="222"/>
      <c r="G122" s="222"/>
      <c r="H122" s="172"/>
      <c r="I122" s="84"/>
    </row>
    <row r="123" spans="1:9" ht="18" x14ac:dyDescent="0.25">
      <c r="A123" s="221" t="s">
        <v>167</v>
      </c>
      <c r="B123" s="222"/>
      <c r="C123" s="222"/>
      <c r="D123" s="222"/>
      <c r="E123" s="222"/>
      <c r="F123" s="222"/>
      <c r="G123" s="222"/>
      <c r="H123" s="172"/>
      <c r="I123" s="84"/>
    </row>
    <row r="124" spans="1:9" ht="18" x14ac:dyDescent="0.25">
      <c r="A124" s="221" t="s">
        <v>168</v>
      </c>
      <c r="B124" s="222"/>
      <c r="C124" s="222"/>
      <c r="D124" s="222"/>
      <c r="E124" s="222"/>
      <c r="F124" s="222"/>
      <c r="G124" s="222"/>
      <c r="H124" s="172"/>
      <c r="I124" s="84"/>
    </row>
    <row r="125" spans="1:9" ht="18" x14ac:dyDescent="0.25">
      <c r="A125" s="221" t="s">
        <v>169</v>
      </c>
      <c r="B125" s="222"/>
      <c r="C125" s="222"/>
      <c r="D125" s="222"/>
      <c r="E125" s="222"/>
      <c r="F125" s="222"/>
      <c r="G125" s="222"/>
      <c r="H125" s="84"/>
      <c r="I125" s="84"/>
    </row>
    <row r="126" spans="1:9" ht="18" x14ac:dyDescent="0.25">
      <c r="A126" s="221" t="s">
        <v>170</v>
      </c>
      <c r="B126" s="222"/>
      <c r="C126" s="222"/>
      <c r="D126" s="222"/>
      <c r="E126" s="222"/>
      <c r="F126" s="222"/>
      <c r="G126" s="222"/>
      <c r="H126" s="84"/>
      <c r="I126" s="84"/>
    </row>
    <row r="127" spans="1:9" ht="18" x14ac:dyDescent="0.25">
      <c r="A127" s="221" t="s">
        <v>171</v>
      </c>
      <c r="B127" s="222"/>
      <c r="C127" s="222"/>
      <c r="D127" s="222"/>
      <c r="E127" s="222"/>
      <c r="F127" s="222"/>
      <c r="G127" s="222"/>
      <c r="H127" s="84"/>
      <c r="I127" s="84"/>
    </row>
    <row r="128" spans="1:9" ht="18" x14ac:dyDescent="0.25">
      <c r="A128" s="221" t="s">
        <v>207</v>
      </c>
      <c r="B128" s="222"/>
      <c r="C128" s="222"/>
      <c r="D128" s="222"/>
      <c r="E128" s="222"/>
      <c r="F128" s="222"/>
      <c r="G128" s="222"/>
      <c r="H128" s="84"/>
      <c r="I128" s="84"/>
    </row>
    <row r="129" spans="1:9" ht="16.5" x14ac:dyDescent="0.25">
      <c r="A129" s="173"/>
      <c r="B129" s="84"/>
      <c r="C129" s="84"/>
      <c r="D129" s="84"/>
      <c r="E129" s="84"/>
      <c r="F129" s="84"/>
      <c r="G129" s="84"/>
      <c r="H129" s="84"/>
      <c r="I129" s="84"/>
    </row>
    <row r="130" spans="1:9" ht="18" x14ac:dyDescent="0.25">
      <c r="A130" s="172" t="str">
        <f>'Resumo 2026 '!A16</f>
        <v>Fontoura Xavier, 05 de outubro de 2026</v>
      </c>
      <c r="B130" s="84"/>
      <c r="C130" s="84"/>
      <c r="D130" s="84"/>
      <c r="E130" s="84"/>
      <c r="F130" s="84"/>
      <c r="G130" s="84"/>
      <c r="H130" s="84"/>
      <c r="I130" s="84"/>
    </row>
    <row r="131" spans="1:9" ht="18" x14ac:dyDescent="0.25">
      <c r="A131" s="172"/>
      <c r="B131" s="84"/>
      <c r="C131" s="84"/>
      <c r="D131" s="84"/>
      <c r="E131" s="84"/>
      <c r="F131" s="84"/>
      <c r="G131" s="84"/>
      <c r="H131" s="84"/>
      <c r="I131" s="84"/>
    </row>
    <row r="132" spans="1:9" ht="18" x14ac:dyDescent="0.25">
      <c r="A132" s="172"/>
      <c r="B132" s="84"/>
      <c r="C132" s="84"/>
      <c r="D132" s="84"/>
      <c r="E132" s="84"/>
      <c r="F132" s="84"/>
      <c r="G132" s="84"/>
      <c r="H132" s="84"/>
      <c r="I132" s="84"/>
    </row>
    <row r="133" spans="1:9" ht="18" x14ac:dyDescent="0.25">
      <c r="A133" s="172"/>
      <c r="B133" s="84"/>
      <c r="C133" s="84"/>
      <c r="D133" s="84"/>
      <c r="E133" s="84"/>
      <c r="F133" s="84"/>
      <c r="G133" s="84"/>
      <c r="H133" s="84"/>
      <c r="I133" s="84"/>
    </row>
    <row r="134" spans="1:9" x14ac:dyDescent="0.2">
      <c r="A134" s="84"/>
      <c r="B134" s="84"/>
      <c r="C134" s="84"/>
      <c r="D134" s="84"/>
      <c r="E134" s="84"/>
      <c r="F134" s="84"/>
      <c r="G134" s="84"/>
      <c r="H134" s="84"/>
      <c r="I134" s="84"/>
    </row>
    <row r="135" spans="1:9" x14ac:dyDescent="0.2">
      <c r="A135" s="84"/>
      <c r="B135" s="84"/>
      <c r="C135" s="84"/>
      <c r="D135" s="84"/>
      <c r="E135" s="84"/>
      <c r="F135" s="84"/>
      <c r="G135" s="84"/>
      <c r="H135" s="84"/>
      <c r="I135" s="84"/>
    </row>
    <row r="136" spans="1:9" x14ac:dyDescent="0.2">
      <c r="A136" s="84"/>
      <c r="B136" s="84"/>
      <c r="C136" s="84"/>
      <c r="D136" s="84"/>
      <c r="E136" s="84"/>
      <c r="F136" s="84"/>
      <c r="G136" s="84"/>
      <c r="H136" s="84"/>
      <c r="I136" s="84"/>
    </row>
  </sheetData>
  <mergeCells count="24">
    <mergeCell ref="B17:G17"/>
    <mergeCell ref="A18:F18"/>
    <mergeCell ref="A19:F19"/>
    <mergeCell ref="A20:F20"/>
    <mergeCell ref="A1:H1"/>
    <mergeCell ref="A2:H2"/>
    <mergeCell ref="A3:H3"/>
    <mergeCell ref="A4:H4"/>
    <mergeCell ref="A11:F11"/>
    <mergeCell ref="B13:C13"/>
    <mergeCell ref="A14:F14"/>
    <mergeCell ref="B7:C7"/>
    <mergeCell ref="B8:C8"/>
    <mergeCell ref="B10:C10"/>
    <mergeCell ref="A16:F16"/>
    <mergeCell ref="A15:F15"/>
    <mergeCell ref="A63:G63"/>
    <mergeCell ref="F85:H86"/>
    <mergeCell ref="A21:F21"/>
    <mergeCell ref="A22:F22"/>
    <mergeCell ref="A23:F23"/>
    <mergeCell ref="A33:H33"/>
    <mergeCell ref="A50:G50"/>
    <mergeCell ref="A52:G52"/>
  </mergeCells>
  <pageMargins left="0.70866141732283472" right="0.70866141732283472" top="0.78740157480314965" bottom="0.78740157480314965" header="0.51181102362204722" footer="0.70866141732283472"/>
  <pageSetup paperSize="9" scale="55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19"/>
  <sheetViews>
    <sheetView topLeftCell="H1" zoomScaleNormal="100" workbookViewId="0">
      <selection activeCell="J9" sqref="J9"/>
    </sheetView>
  </sheetViews>
  <sheetFormatPr defaultColWidth="14.42578125" defaultRowHeight="12.75" x14ac:dyDescent="0.2"/>
  <cols>
    <col min="1" max="1" width="11" hidden="1" customWidth="1"/>
    <col min="2" max="2" width="18.42578125" hidden="1" customWidth="1"/>
    <col min="3" max="7" width="0" hidden="1" customWidth="1"/>
    <col min="8" max="8" width="7.85546875" customWidth="1"/>
    <col min="9" max="9" width="17.140625" customWidth="1"/>
    <col min="10" max="10" width="18.140625" customWidth="1"/>
    <col min="11" max="11" width="8.85546875" customWidth="1"/>
    <col min="12" max="12" width="9.28515625" customWidth="1"/>
    <col min="13" max="13" width="12.85546875" customWidth="1"/>
    <col min="14" max="14" width="10.7109375" customWidth="1"/>
    <col min="15" max="15" width="6.85546875" customWidth="1"/>
    <col min="16" max="16" width="19.85546875" customWidth="1"/>
    <col min="17" max="17" width="18.140625" customWidth="1"/>
    <col min="18" max="18" width="9" customWidth="1"/>
    <col min="19" max="19" width="8.140625" customWidth="1"/>
    <col min="21" max="21" width="9.42578125" customWidth="1"/>
    <col min="22" max="22" width="6.28515625" customWidth="1"/>
    <col min="23" max="23" width="18.28515625" customWidth="1"/>
    <col min="24" max="24" width="17.5703125" customWidth="1"/>
    <col min="25" max="25" width="10.140625" customWidth="1"/>
    <col min="26" max="26" width="8.5703125" customWidth="1"/>
    <col min="27" max="27" width="12.5703125"/>
    <col min="28" max="28" width="9.85546875" customWidth="1"/>
    <col min="29" max="29" width="7.7109375" customWidth="1"/>
    <col min="30" max="30" width="20.140625" customWidth="1"/>
    <col min="31" max="31" width="19" customWidth="1"/>
    <col min="32" max="32" width="10.5703125" customWidth="1"/>
    <col min="33" max="33" width="8.5703125" customWidth="1"/>
    <col min="35" max="35" width="9.28515625" customWidth="1"/>
    <col min="36" max="36" width="7.28515625" customWidth="1"/>
  </cols>
  <sheetData>
    <row r="1" spans="2:35" ht="15" customHeight="1" thickBot="1" x14ac:dyDescent="0.25"/>
    <row r="2" spans="2:35" ht="19.5" customHeight="1" thickBot="1" x14ac:dyDescent="0.25">
      <c r="B2" s="710" t="s">
        <v>311</v>
      </c>
      <c r="C2" s="711"/>
      <c r="D2" s="711"/>
      <c r="E2" s="711"/>
      <c r="F2" s="711"/>
      <c r="G2" s="712"/>
      <c r="H2" s="2"/>
      <c r="I2" s="619" t="s">
        <v>317</v>
      </c>
      <c r="J2" s="620"/>
      <c r="K2" s="620"/>
      <c r="L2" s="620"/>
      <c r="M2" s="620"/>
      <c r="N2" s="621"/>
      <c r="O2" s="2"/>
      <c r="P2" s="619" t="s">
        <v>318</v>
      </c>
      <c r="Q2" s="620"/>
      <c r="R2" s="620"/>
      <c r="S2" s="620"/>
      <c r="T2" s="620"/>
      <c r="U2" s="621"/>
      <c r="V2" s="2"/>
      <c r="W2" s="619" t="s">
        <v>294</v>
      </c>
      <c r="X2" s="620"/>
      <c r="Y2" s="620"/>
      <c r="Z2" s="620"/>
      <c r="AA2" s="620"/>
      <c r="AB2" s="621"/>
      <c r="AC2" s="2"/>
      <c r="AD2" s="619" t="s">
        <v>299</v>
      </c>
      <c r="AE2" s="620"/>
      <c r="AF2" s="620"/>
      <c r="AG2" s="620"/>
      <c r="AH2" s="620"/>
      <c r="AI2" s="621"/>
    </row>
    <row r="3" spans="2:35" ht="15.75" customHeight="1" thickBot="1" x14ac:dyDescent="0.3">
      <c r="B3" s="713"/>
      <c r="C3" s="714"/>
      <c r="D3" s="714"/>
      <c r="E3" s="714"/>
      <c r="F3" s="714"/>
      <c r="G3" s="715"/>
      <c r="I3" s="606"/>
      <c r="J3" s="607"/>
      <c r="K3" s="607"/>
      <c r="L3" s="607"/>
      <c r="M3" s="607"/>
      <c r="N3" s="608"/>
      <c r="P3" s="606"/>
      <c r="Q3" s="607"/>
      <c r="R3" s="607"/>
      <c r="S3" s="607"/>
      <c r="T3" s="607"/>
      <c r="U3" s="608"/>
      <c r="W3" s="606"/>
      <c r="X3" s="607"/>
      <c r="Y3" s="607"/>
      <c r="Z3" s="607"/>
      <c r="AA3" s="607"/>
      <c r="AB3" s="608"/>
      <c r="AD3" s="606"/>
      <c r="AE3" s="607"/>
      <c r="AF3" s="607"/>
      <c r="AG3" s="607"/>
      <c r="AH3" s="607"/>
      <c r="AI3" s="608"/>
    </row>
    <row r="4" spans="2:35" ht="15.75" thickBot="1" x14ac:dyDescent="0.3">
      <c r="B4" s="713" t="s">
        <v>224</v>
      </c>
      <c r="C4" s="714"/>
      <c r="D4" s="714"/>
      <c r="E4" s="714"/>
      <c r="F4" s="714"/>
      <c r="G4" s="715"/>
      <c r="I4" s="609" t="s">
        <v>224</v>
      </c>
      <c r="J4" s="610"/>
      <c r="K4" s="610"/>
      <c r="L4" s="610"/>
      <c r="M4" s="610"/>
      <c r="N4" s="611"/>
      <c r="P4" s="609" t="s">
        <v>224</v>
      </c>
      <c r="Q4" s="610"/>
      <c r="R4" s="610"/>
      <c r="S4" s="610"/>
      <c r="T4" s="610"/>
      <c r="U4" s="611"/>
      <c r="W4" s="606" t="s">
        <v>224</v>
      </c>
      <c r="X4" s="607"/>
      <c r="Y4" s="607"/>
      <c r="Z4" s="607"/>
      <c r="AA4" s="607"/>
      <c r="AB4" s="608"/>
      <c r="AD4" s="609" t="s">
        <v>224</v>
      </c>
      <c r="AE4" s="610"/>
      <c r="AF4" s="610"/>
      <c r="AG4" s="610"/>
      <c r="AH4" s="610"/>
      <c r="AI4" s="611"/>
    </row>
    <row r="5" spans="2:35" ht="15" x14ac:dyDescent="0.25">
      <c r="B5" s="341" t="s">
        <v>225</v>
      </c>
      <c r="C5" s="342" t="s">
        <v>265</v>
      </c>
      <c r="D5" s="716" t="s">
        <v>227</v>
      </c>
      <c r="E5" s="717"/>
      <c r="F5" s="342" t="s">
        <v>228</v>
      </c>
      <c r="G5" s="343" t="s">
        <v>229</v>
      </c>
      <c r="I5" s="290" t="s">
        <v>225</v>
      </c>
      <c r="J5" s="291" t="s">
        <v>265</v>
      </c>
      <c r="K5" s="612" t="s">
        <v>227</v>
      </c>
      <c r="L5" s="612"/>
      <c r="M5" s="291" t="s">
        <v>228</v>
      </c>
      <c r="N5" s="292" t="s">
        <v>229</v>
      </c>
      <c r="P5" s="290" t="s">
        <v>225</v>
      </c>
      <c r="Q5" s="291" t="s">
        <v>265</v>
      </c>
      <c r="R5" s="612" t="s">
        <v>227</v>
      </c>
      <c r="S5" s="612"/>
      <c r="T5" s="291" t="s">
        <v>228</v>
      </c>
      <c r="U5" s="292" t="s">
        <v>229</v>
      </c>
      <c r="W5" s="284" t="s">
        <v>225</v>
      </c>
      <c r="X5" s="285" t="s">
        <v>265</v>
      </c>
      <c r="Y5" s="617" t="s">
        <v>227</v>
      </c>
      <c r="Z5" s="618"/>
      <c r="AA5" s="285" t="s">
        <v>228</v>
      </c>
      <c r="AB5" s="286" t="s">
        <v>229</v>
      </c>
      <c r="AD5" s="290" t="s">
        <v>225</v>
      </c>
      <c r="AE5" s="291" t="s">
        <v>265</v>
      </c>
      <c r="AF5" s="612" t="s">
        <v>227</v>
      </c>
      <c r="AG5" s="612"/>
      <c r="AH5" s="291" t="s">
        <v>228</v>
      </c>
      <c r="AI5" s="292" t="s">
        <v>229</v>
      </c>
    </row>
    <row r="6" spans="2:35" ht="15.75" thickBot="1" x14ac:dyDescent="0.3">
      <c r="B6" s="344" t="s">
        <v>230</v>
      </c>
      <c r="C6" s="345" t="s">
        <v>267</v>
      </c>
      <c r="D6" s="718" t="s">
        <v>231</v>
      </c>
      <c r="E6" s="719"/>
      <c r="F6" s="346">
        <v>6.9</v>
      </c>
      <c r="G6" s="347" t="s">
        <v>3</v>
      </c>
      <c r="I6" s="277" t="s">
        <v>230</v>
      </c>
      <c r="J6" s="276" t="s">
        <v>266</v>
      </c>
      <c r="K6" s="602" t="s">
        <v>231</v>
      </c>
      <c r="L6" s="602"/>
      <c r="M6" s="293">
        <v>17.100000000000001</v>
      </c>
      <c r="N6" s="294" t="s">
        <v>3</v>
      </c>
      <c r="P6" s="277" t="s">
        <v>230</v>
      </c>
      <c r="Q6" s="276" t="s">
        <v>266</v>
      </c>
      <c r="R6" s="602" t="s">
        <v>231</v>
      </c>
      <c r="S6" s="602"/>
      <c r="T6" s="293">
        <v>1.7</v>
      </c>
      <c r="U6" s="294" t="s">
        <v>3</v>
      </c>
      <c r="W6" s="227" t="s">
        <v>230</v>
      </c>
      <c r="X6" s="226" t="s">
        <v>266</v>
      </c>
      <c r="Y6" s="622" t="s">
        <v>231</v>
      </c>
      <c r="Z6" s="623"/>
      <c r="AA6" s="273">
        <v>21.05</v>
      </c>
      <c r="AB6" s="287" t="s">
        <v>3</v>
      </c>
      <c r="AD6" s="277" t="s">
        <v>230</v>
      </c>
      <c r="AE6" s="276" t="s">
        <v>267</v>
      </c>
      <c r="AF6" s="602" t="s">
        <v>231</v>
      </c>
      <c r="AG6" s="602"/>
      <c r="AH6" s="293">
        <v>1.2</v>
      </c>
      <c r="AI6" s="294" t="s">
        <v>3</v>
      </c>
    </row>
    <row r="7" spans="2:35" ht="15.75" thickBot="1" x14ac:dyDescent="0.3">
      <c r="B7" s="344" t="s">
        <v>232</v>
      </c>
      <c r="C7" s="345" t="s">
        <v>266</v>
      </c>
      <c r="D7" s="720" t="s">
        <v>233</v>
      </c>
      <c r="E7" s="721"/>
      <c r="F7" s="346">
        <v>13.2</v>
      </c>
      <c r="G7" s="347" t="s">
        <v>3</v>
      </c>
      <c r="I7" s="278" t="s">
        <v>232</v>
      </c>
      <c r="J7" s="279" t="s">
        <v>266</v>
      </c>
      <c r="K7" s="613" t="s">
        <v>253</v>
      </c>
      <c r="L7" s="613"/>
      <c r="M7" s="295">
        <v>15.4</v>
      </c>
      <c r="N7" s="296" t="s">
        <v>3</v>
      </c>
      <c r="P7" s="277" t="s">
        <v>232</v>
      </c>
      <c r="Q7" s="276" t="s">
        <v>266</v>
      </c>
      <c r="R7" s="602" t="s">
        <v>233</v>
      </c>
      <c r="S7" s="602"/>
      <c r="T7" s="293">
        <v>3.75</v>
      </c>
      <c r="U7" s="294" t="s">
        <v>3</v>
      </c>
      <c r="W7" s="614" t="s">
        <v>235</v>
      </c>
      <c r="X7" s="615"/>
      <c r="Y7" s="615"/>
      <c r="Z7" s="616"/>
      <c r="AA7" s="288">
        <f>SUM(AA6:AA6)</f>
        <v>21.05</v>
      </c>
      <c r="AB7" s="289" t="s">
        <v>3</v>
      </c>
      <c r="AC7" s="223"/>
      <c r="AD7" s="277" t="s">
        <v>232</v>
      </c>
      <c r="AE7" s="276" t="s">
        <v>266</v>
      </c>
      <c r="AF7" s="602" t="s">
        <v>233</v>
      </c>
      <c r="AG7" s="602"/>
      <c r="AH7" s="293">
        <v>13.2</v>
      </c>
      <c r="AI7" s="294" t="s">
        <v>3</v>
      </c>
    </row>
    <row r="8" spans="2:35" ht="15.75" thickBot="1" x14ac:dyDescent="0.3">
      <c r="B8" s="722" t="s">
        <v>235</v>
      </c>
      <c r="C8" s="723"/>
      <c r="D8" s="723"/>
      <c r="E8" s="724"/>
      <c r="F8" s="348">
        <f>SUM(F6:F7)</f>
        <v>20.100000000000001</v>
      </c>
      <c r="G8" s="349" t="s">
        <v>3</v>
      </c>
      <c r="H8" s="281" t="s">
        <v>301</v>
      </c>
      <c r="I8" s="603" t="s">
        <v>235</v>
      </c>
      <c r="J8" s="604"/>
      <c r="K8" s="604"/>
      <c r="L8" s="605"/>
      <c r="M8" s="297">
        <f>SUM(M6:M7)</f>
        <v>32.5</v>
      </c>
      <c r="N8" s="298" t="s">
        <v>3</v>
      </c>
      <c r="O8" s="223"/>
      <c r="P8" s="277" t="s">
        <v>234</v>
      </c>
      <c r="Q8" s="276" t="s">
        <v>266</v>
      </c>
      <c r="R8" s="602" t="s">
        <v>305</v>
      </c>
      <c r="S8" s="602"/>
      <c r="T8" s="293">
        <v>7.95</v>
      </c>
      <c r="U8" s="294" t="s">
        <v>3</v>
      </c>
      <c r="W8" s="606"/>
      <c r="X8" s="607"/>
      <c r="Y8" s="607"/>
      <c r="Z8" s="607"/>
      <c r="AA8" s="607"/>
      <c r="AB8" s="608"/>
      <c r="AD8" s="603" t="s">
        <v>235</v>
      </c>
      <c r="AE8" s="604"/>
      <c r="AF8" s="604"/>
      <c r="AG8" s="605"/>
      <c r="AH8" s="297">
        <f>SUM(AH6:AH7)</f>
        <v>14.399999999999999</v>
      </c>
      <c r="AI8" s="298" t="s">
        <v>3</v>
      </c>
    </row>
    <row r="9" spans="2:35" ht="15.75" thickBot="1" x14ac:dyDescent="0.3">
      <c r="B9" s="713"/>
      <c r="C9" s="714"/>
      <c r="D9" s="714"/>
      <c r="E9" s="714"/>
      <c r="F9" s="714"/>
      <c r="G9" s="715"/>
      <c r="H9" s="223"/>
      <c r="I9" s="606"/>
      <c r="J9" s="607"/>
      <c r="K9" s="607"/>
      <c r="L9" s="607"/>
      <c r="M9" s="607"/>
      <c r="N9" s="608"/>
      <c r="P9" s="603" t="s">
        <v>235</v>
      </c>
      <c r="Q9" s="604"/>
      <c r="R9" s="604"/>
      <c r="S9" s="605"/>
      <c r="T9" s="297">
        <f>SUM(T6:T8)</f>
        <v>13.4</v>
      </c>
      <c r="U9" s="298" t="s">
        <v>3</v>
      </c>
      <c r="W9" s="609" t="s">
        <v>268</v>
      </c>
      <c r="X9" s="610"/>
      <c r="Y9" s="610"/>
      <c r="Z9" s="610"/>
      <c r="AA9" s="610"/>
      <c r="AB9" s="611"/>
      <c r="AD9" s="606"/>
      <c r="AE9" s="607"/>
      <c r="AF9" s="607"/>
      <c r="AG9" s="607"/>
      <c r="AH9" s="607"/>
      <c r="AI9" s="608"/>
    </row>
    <row r="10" spans="2:35" ht="15.75" thickBot="1" x14ac:dyDescent="0.3">
      <c r="B10" s="725" t="s">
        <v>236</v>
      </c>
      <c r="C10" s="726"/>
      <c r="D10" s="726"/>
      <c r="E10" s="726"/>
      <c r="F10" s="726"/>
      <c r="G10" s="727"/>
      <c r="H10" s="340" t="s">
        <v>301</v>
      </c>
      <c r="I10" s="609" t="s">
        <v>236</v>
      </c>
      <c r="J10" s="610"/>
      <c r="K10" s="610"/>
      <c r="L10" s="610"/>
      <c r="M10" s="610"/>
      <c r="N10" s="611"/>
      <c r="P10" s="606"/>
      <c r="Q10" s="607"/>
      <c r="R10" s="607"/>
      <c r="S10" s="607"/>
      <c r="T10" s="607"/>
      <c r="U10" s="608"/>
      <c r="W10" s="290" t="s">
        <v>225</v>
      </c>
      <c r="X10" s="291" t="s">
        <v>226</v>
      </c>
      <c r="Y10" s="612" t="s">
        <v>227</v>
      </c>
      <c r="Z10" s="612"/>
      <c r="AA10" s="291" t="s">
        <v>228</v>
      </c>
      <c r="AB10" s="292" t="s">
        <v>229</v>
      </c>
      <c r="AD10" s="609" t="s">
        <v>236</v>
      </c>
      <c r="AE10" s="610"/>
      <c r="AF10" s="610"/>
      <c r="AG10" s="610"/>
      <c r="AH10" s="610"/>
      <c r="AI10" s="611"/>
    </row>
    <row r="11" spans="2:35" ht="15.75" customHeight="1" thickBot="1" x14ac:dyDescent="0.3">
      <c r="B11" s="350" t="s">
        <v>225</v>
      </c>
      <c r="C11" s="351" t="s">
        <v>265</v>
      </c>
      <c r="D11" s="728" t="s">
        <v>227</v>
      </c>
      <c r="E11" s="729"/>
      <c r="F11" s="351" t="s">
        <v>228</v>
      </c>
      <c r="G11" s="352" t="s">
        <v>229</v>
      </c>
      <c r="H11" s="329"/>
      <c r="I11" s="290" t="s">
        <v>225</v>
      </c>
      <c r="J11" s="291" t="s">
        <v>265</v>
      </c>
      <c r="K11" s="612" t="s">
        <v>227</v>
      </c>
      <c r="L11" s="612"/>
      <c r="M11" s="291" t="s">
        <v>228</v>
      </c>
      <c r="N11" s="292" t="s">
        <v>229</v>
      </c>
      <c r="P11" s="609" t="s">
        <v>236</v>
      </c>
      <c r="Q11" s="610"/>
      <c r="R11" s="610"/>
      <c r="S11" s="610"/>
      <c r="T11" s="610"/>
      <c r="U11" s="611"/>
      <c r="W11" s="277" t="s">
        <v>232</v>
      </c>
      <c r="X11" s="276" t="s">
        <v>266</v>
      </c>
      <c r="Y11" s="602" t="s">
        <v>233</v>
      </c>
      <c r="Z11" s="602"/>
      <c r="AA11" s="293">
        <v>28.4</v>
      </c>
      <c r="AB11" s="294" t="s">
        <v>3</v>
      </c>
      <c r="AD11" s="290" t="s">
        <v>225</v>
      </c>
      <c r="AE11" s="291" t="s">
        <v>265</v>
      </c>
      <c r="AF11" s="612" t="s">
        <v>227</v>
      </c>
      <c r="AG11" s="612"/>
      <c r="AH11" s="291" t="s">
        <v>228</v>
      </c>
      <c r="AI11" s="292" t="s">
        <v>229</v>
      </c>
    </row>
    <row r="12" spans="2:35" ht="15.75" thickBot="1" x14ac:dyDescent="0.3">
      <c r="B12" s="353" t="s">
        <v>230</v>
      </c>
      <c r="C12" s="345" t="s">
        <v>267</v>
      </c>
      <c r="D12" s="730" t="s">
        <v>252</v>
      </c>
      <c r="E12" s="731"/>
      <c r="F12" s="354">
        <v>16.5</v>
      </c>
      <c r="G12" s="355" t="s">
        <v>3</v>
      </c>
      <c r="H12" s="223"/>
      <c r="I12" s="277" t="s">
        <v>230</v>
      </c>
      <c r="J12" s="276" t="s">
        <v>266</v>
      </c>
      <c r="K12" s="602" t="s">
        <v>231</v>
      </c>
      <c r="L12" s="602"/>
      <c r="M12" s="293">
        <f>M6</f>
        <v>17.100000000000001</v>
      </c>
      <c r="N12" s="294" t="s">
        <v>3</v>
      </c>
      <c r="P12" s="290" t="s">
        <v>225</v>
      </c>
      <c r="Q12" s="291" t="s">
        <v>265</v>
      </c>
      <c r="R12" s="612" t="s">
        <v>227</v>
      </c>
      <c r="S12" s="612"/>
      <c r="T12" s="291" t="s">
        <v>228</v>
      </c>
      <c r="U12" s="292" t="s">
        <v>229</v>
      </c>
      <c r="W12" s="278" t="s">
        <v>234</v>
      </c>
      <c r="X12" s="279" t="s">
        <v>266</v>
      </c>
      <c r="Y12" s="613" t="s">
        <v>284</v>
      </c>
      <c r="Z12" s="613"/>
      <c r="AA12" s="295">
        <v>14.2</v>
      </c>
      <c r="AB12" s="296" t="s">
        <v>3</v>
      </c>
      <c r="AD12" s="277" t="s">
        <v>230</v>
      </c>
      <c r="AE12" s="276" t="s">
        <v>266</v>
      </c>
      <c r="AF12" s="602" t="s">
        <v>252</v>
      </c>
      <c r="AG12" s="602"/>
      <c r="AH12" s="293">
        <v>14.9</v>
      </c>
      <c r="AI12" s="294" t="s">
        <v>3</v>
      </c>
    </row>
    <row r="13" spans="2:35" ht="15.75" customHeight="1" thickBot="1" x14ac:dyDescent="0.3">
      <c r="B13" s="353" t="s">
        <v>232</v>
      </c>
      <c r="C13" s="356" t="s">
        <v>266</v>
      </c>
      <c r="D13" s="732" t="s">
        <v>307</v>
      </c>
      <c r="E13" s="731"/>
      <c r="F13" s="354">
        <v>26.4</v>
      </c>
      <c r="G13" s="355" t="s">
        <v>3</v>
      </c>
      <c r="I13" s="278" t="s">
        <v>232</v>
      </c>
      <c r="J13" s="279" t="s">
        <v>266</v>
      </c>
      <c r="K13" s="613" t="s">
        <v>253</v>
      </c>
      <c r="L13" s="613"/>
      <c r="M13" s="295">
        <f>M7</f>
        <v>15.4</v>
      </c>
      <c r="N13" s="296" t="s">
        <v>3</v>
      </c>
      <c r="P13" s="277" t="s">
        <v>230</v>
      </c>
      <c r="Q13" s="276" t="s">
        <v>266</v>
      </c>
      <c r="R13" s="602" t="s">
        <v>319</v>
      </c>
      <c r="S13" s="602"/>
      <c r="T13" s="293">
        <v>6.2</v>
      </c>
      <c r="U13" s="294" t="s">
        <v>3</v>
      </c>
      <c r="W13" s="603" t="s">
        <v>235</v>
      </c>
      <c r="X13" s="604"/>
      <c r="Y13" s="604"/>
      <c r="Z13" s="605"/>
      <c r="AA13" s="297">
        <f>SUM(AA11:AA12)</f>
        <v>42.599999999999994</v>
      </c>
      <c r="AB13" s="298" t="s">
        <v>3</v>
      </c>
      <c r="AD13" s="277" t="s">
        <v>232</v>
      </c>
      <c r="AE13" s="276" t="s">
        <v>266</v>
      </c>
      <c r="AF13" s="602" t="s">
        <v>233</v>
      </c>
      <c r="AG13" s="602"/>
      <c r="AH13" s="293">
        <f>AH7</f>
        <v>13.2</v>
      </c>
      <c r="AI13" s="294" t="s">
        <v>3</v>
      </c>
    </row>
    <row r="14" spans="2:35" ht="15.75" customHeight="1" thickBot="1" x14ac:dyDescent="0.3">
      <c r="B14" s="353" t="s">
        <v>234</v>
      </c>
      <c r="C14" s="356" t="s">
        <v>266</v>
      </c>
      <c r="D14" s="732" t="s">
        <v>306</v>
      </c>
      <c r="E14" s="731"/>
      <c r="F14" s="354">
        <v>2.3199999999999998</v>
      </c>
      <c r="G14" s="355" t="s">
        <v>3</v>
      </c>
      <c r="I14" s="603" t="s">
        <v>235</v>
      </c>
      <c r="J14" s="604"/>
      <c r="K14" s="604"/>
      <c r="L14" s="605"/>
      <c r="M14" s="297">
        <f>SUM(M12:M13)</f>
        <v>32.5</v>
      </c>
      <c r="N14" s="298" t="s">
        <v>3</v>
      </c>
      <c r="P14" s="277" t="s">
        <v>232</v>
      </c>
      <c r="Q14" s="276" t="s">
        <v>266</v>
      </c>
      <c r="R14" s="602" t="s">
        <v>320</v>
      </c>
      <c r="S14" s="602"/>
      <c r="T14" s="293">
        <v>6.2</v>
      </c>
      <c r="U14" s="294" t="s">
        <v>3</v>
      </c>
      <c r="V14" s="223"/>
      <c r="W14" s="606"/>
      <c r="X14" s="607"/>
      <c r="Y14" s="607"/>
      <c r="Z14" s="607"/>
      <c r="AA14" s="607"/>
      <c r="AB14" s="608"/>
      <c r="AC14" s="223"/>
      <c r="AD14" s="603" t="s">
        <v>235</v>
      </c>
      <c r="AE14" s="604"/>
      <c r="AF14" s="604"/>
      <c r="AG14" s="605"/>
      <c r="AH14" s="297">
        <f>SUM(AH12:AH13)</f>
        <v>28.1</v>
      </c>
      <c r="AI14" s="298" t="s">
        <v>3</v>
      </c>
    </row>
    <row r="15" spans="2:35" ht="15.75" customHeight="1" thickBot="1" x14ac:dyDescent="0.3">
      <c r="B15" s="353" t="s">
        <v>303</v>
      </c>
      <c r="C15" s="356" t="s">
        <v>266</v>
      </c>
      <c r="D15" s="732" t="s">
        <v>252</v>
      </c>
      <c r="E15" s="731"/>
      <c r="F15" s="354" t="s">
        <v>301</v>
      </c>
      <c r="G15" s="355" t="s">
        <v>3</v>
      </c>
      <c r="H15" s="223"/>
      <c r="I15" s="606"/>
      <c r="J15" s="607"/>
      <c r="K15" s="607"/>
      <c r="L15" s="607"/>
      <c r="M15" s="607"/>
      <c r="N15" s="608"/>
      <c r="P15" s="277" t="s">
        <v>234</v>
      </c>
      <c r="Q15" s="276" t="s">
        <v>266</v>
      </c>
      <c r="R15" s="602" t="s">
        <v>309</v>
      </c>
      <c r="S15" s="602"/>
      <c r="T15" s="293">
        <v>7.6</v>
      </c>
      <c r="U15" s="294" t="s">
        <v>3</v>
      </c>
      <c r="V15" s="223"/>
      <c r="W15" s="606" t="s">
        <v>298</v>
      </c>
      <c r="X15" s="607"/>
      <c r="Y15" s="607"/>
      <c r="Z15" s="607"/>
      <c r="AA15" s="607"/>
      <c r="AB15" s="608"/>
      <c r="AC15" s="223"/>
      <c r="AD15" s="606"/>
      <c r="AE15" s="607"/>
      <c r="AF15" s="607"/>
      <c r="AG15" s="607"/>
      <c r="AH15" s="607"/>
      <c r="AI15" s="608"/>
    </row>
    <row r="16" spans="2:35" ht="15.75" customHeight="1" thickBot="1" x14ac:dyDescent="0.3">
      <c r="B16" s="353" t="s">
        <v>308</v>
      </c>
      <c r="C16" s="345" t="s">
        <v>267</v>
      </c>
      <c r="D16" s="730" t="s">
        <v>233</v>
      </c>
      <c r="E16" s="731"/>
      <c r="F16" s="354" t="s">
        <v>301</v>
      </c>
      <c r="G16" s="355" t="s">
        <v>3</v>
      </c>
      <c r="H16" s="223"/>
      <c r="I16" s="609" t="s">
        <v>236</v>
      </c>
      <c r="J16" s="610"/>
      <c r="K16" s="610"/>
      <c r="L16" s="610"/>
      <c r="M16" s="610"/>
      <c r="N16" s="611"/>
      <c r="P16" s="277" t="s">
        <v>303</v>
      </c>
      <c r="Q16" s="276" t="s">
        <v>266</v>
      </c>
      <c r="R16" s="602" t="s">
        <v>233</v>
      </c>
      <c r="S16" s="602"/>
      <c r="T16" s="293">
        <v>3.9</v>
      </c>
      <c r="U16" s="294" t="s">
        <v>3</v>
      </c>
      <c r="V16" s="223"/>
      <c r="W16" s="284" t="s">
        <v>225</v>
      </c>
      <c r="X16" s="285" t="s">
        <v>226</v>
      </c>
      <c r="Y16" s="617" t="s">
        <v>227</v>
      </c>
      <c r="Z16" s="618"/>
      <c r="AA16" s="285" t="s">
        <v>228</v>
      </c>
      <c r="AB16" s="286" t="s">
        <v>229</v>
      </c>
      <c r="AD16" s="606" t="s">
        <v>239</v>
      </c>
      <c r="AE16" s="607"/>
      <c r="AF16" s="607"/>
      <c r="AG16" s="607"/>
      <c r="AH16" s="607"/>
      <c r="AI16" s="608"/>
    </row>
    <row r="17" spans="2:35" ht="15.75" customHeight="1" thickBot="1" x14ac:dyDescent="0.3">
      <c r="B17" s="733" t="s">
        <v>235</v>
      </c>
      <c r="C17" s="734"/>
      <c r="D17" s="734"/>
      <c r="E17" s="735"/>
      <c r="F17" s="357">
        <f>SUM(F12:F16)</f>
        <v>45.22</v>
      </c>
      <c r="G17" s="358" t="s">
        <v>3</v>
      </c>
      <c r="I17" s="290" t="s">
        <v>225</v>
      </c>
      <c r="J17" s="291" t="s">
        <v>265</v>
      </c>
      <c r="K17" s="612" t="s">
        <v>227</v>
      </c>
      <c r="L17" s="612"/>
      <c r="M17" s="291" t="s">
        <v>228</v>
      </c>
      <c r="N17" s="292" t="s">
        <v>229</v>
      </c>
      <c r="P17" s="278" t="s">
        <v>308</v>
      </c>
      <c r="Q17" s="279" t="s">
        <v>266</v>
      </c>
      <c r="R17" s="613" t="s">
        <v>305</v>
      </c>
      <c r="S17" s="613"/>
      <c r="T17" s="295">
        <v>8.1999999999999993</v>
      </c>
      <c r="U17" s="296" t="s">
        <v>3</v>
      </c>
      <c r="V17" s="223"/>
      <c r="W17" s="227" t="s">
        <v>232</v>
      </c>
      <c r="X17" s="226" t="s">
        <v>266</v>
      </c>
      <c r="Y17" s="646" t="s">
        <v>253</v>
      </c>
      <c r="Z17" s="647"/>
      <c r="AA17" s="273">
        <v>19.350000000000001</v>
      </c>
      <c r="AB17" s="287" t="s">
        <v>3</v>
      </c>
      <c r="AD17" s="284" t="s">
        <v>225</v>
      </c>
      <c r="AE17" s="285" t="s">
        <v>226</v>
      </c>
      <c r="AF17" s="617" t="s">
        <v>227</v>
      </c>
      <c r="AG17" s="618"/>
      <c r="AH17" s="285" t="s">
        <v>228</v>
      </c>
      <c r="AI17" s="286" t="s">
        <v>229</v>
      </c>
    </row>
    <row r="18" spans="2:35" ht="15.75" customHeight="1" thickBot="1" x14ac:dyDescent="0.3">
      <c r="B18" s="713"/>
      <c r="C18" s="714"/>
      <c r="D18" s="714"/>
      <c r="E18" s="714"/>
      <c r="F18" s="714"/>
      <c r="G18" s="715"/>
      <c r="I18" s="277" t="s">
        <v>230</v>
      </c>
      <c r="J18" s="276" t="s">
        <v>266</v>
      </c>
      <c r="K18" s="602" t="s">
        <v>231</v>
      </c>
      <c r="L18" s="602"/>
      <c r="M18" s="293">
        <f>M6</f>
        <v>17.100000000000001</v>
      </c>
      <c r="N18" s="294" t="s">
        <v>3</v>
      </c>
      <c r="P18" s="603" t="s">
        <v>235</v>
      </c>
      <c r="Q18" s="604"/>
      <c r="R18" s="604"/>
      <c r="S18" s="605"/>
      <c r="T18" s="297">
        <f>SUM(T13:T17)</f>
        <v>32.099999999999994</v>
      </c>
      <c r="U18" s="298" t="s">
        <v>3</v>
      </c>
      <c r="V18" s="223"/>
      <c r="W18" s="614" t="s">
        <v>235</v>
      </c>
      <c r="X18" s="615"/>
      <c r="Y18" s="615"/>
      <c r="Z18" s="616"/>
      <c r="AA18" s="288">
        <f>SUM(AA17:AA17)</f>
        <v>19.350000000000001</v>
      </c>
      <c r="AB18" s="289" t="s">
        <v>3</v>
      </c>
      <c r="AD18" s="277" t="s">
        <v>230</v>
      </c>
      <c r="AE18" s="276" t="s">
        <v>266</v>
      </c>
      <c r="AF18" s="602" t="s">
        <v>252</v>
      </c>
      <c r="AG18" s="602"/>
      <c r="AH18" s="293">
        <f>AH12</f>
        <v>14.9</v>
      </c>
      <c r="AI18" s="294" t="s">
        <v>3</v>
      </c>
    </row>
    <row r="19" spans="2:35" ht="15.75" customHeight="1" thickBot="1" x14ac:dyDescent="0.3">
      <c r="B19" s="725" t="s">
        <v>239</v>
      </c>
      <c r="C19" s="726"/>
      <c r="D19" s="726"/>
      <c r="E19" s="726"/>
      <c r="F19" s="726"/>
      <c r="G19" s="727"/>
      <c r="I19" s="278" t="s">
        <v>232</v>
      </c>
      <c r="J19" s="279" t="s">
        <v>266</v>
      </c>
      <c r="K19" s="613" t="s">
        <v>253</v>
      </c>
      <c r="L19" s="613"/>
      <c r="M19" s="295">
        <f>M7</f>
        <v>15.4</v>
      </c>
      <c r="N19" s="296" t="s">
        <v>3</v>
      </c>
      <c r="P19" s="606"/>
      <c r="Q19" s="607"/>
      <c r="R19" s="607"/>
      <c r="S19" s="607"/>
      <c r="T19" s="607"/>
      <c r="U19" s="608"/>
      <c r="V19" s="530"/>
      <c r="W19" s="631"/>
      <c r="X19" s="632"/>
      <c r="Y19" s="632"/>
      <c r="Z19" s="632"/>
      <c r="AA19" s="632"/>
      <c r="AB19" s="633"/>
      <c r="AD19" s="227" t="s">
        <v>232</v>
      </c>
      <c r="AE19" s="226" t="s">
        <v>267</v>
      </c>
      <c r="AF19" s="602" t="s">
        <v>253</v>
      </c>
      <c r="AG19" s="602"/>
      <c r="AH19" s="273">
        <f>AH6</f>
        <v>1.2</v>
      </c>
      <c r="AI19" s="287" t="s">
        <v>3</v>
      </c>
    </row>
    <row r="20" spans="2:35" ht="15.75" customHeight="1" thickBot="1" x14ac:dyDescent="0.3">
      <c r="B20" s="350" t="s">
        <v>225</v>
      </c>
      <c r="C20" s="351" t="s">
        <v>226</v>
      </c>
      <c r="D20" s="728" t="s">
        <v>227</v>
      </c>
      <c r="E20" s="729"/>
      <c r="F20" s="351" t="s">
        <v>228</v>
      </c>
      <c r="G20" s="352" t="s">
        <v>229</v>
      </c>
      <c r="I20" s="603" t="s">
        <v>235</v>
      </c>
      <c r="J20" s="604"/>
      <c r="K20" s="604"/>
      <c r="L20" s="605"/>
      <c r="M20" s="297">
        <f>SUM(M18:M19)</f>
        <v>32.5</v>
      </c>
      <c r="N20" s="298" t="s">
        <v>3</v>
      </c>
      <c r="P20" s="609" t="s">
        <v>251</v>
      </c>
      <c r="Q20" s="610"/>
      <c r="R20" s="610"/>
      <c r="S20" s="610"/>
      <c r="T20" s="610"/>
      <c r="U20" s="611"/>
      <c r="W20" s="634"/>
      <c r="X20" s="635"/>
      <c r="Y20" s="635"/>
      <c r="Z20" s="635"/>
      <c r="AA20" s="635"/>
      <c r="AB20" s="636"/>
      <c r="AD20" s="614" t="s">
        <v>235</v>
      </c>
      <c r="AE20" s="615"/>
      <c r="AF20" s="615"/>
      <c r="AG20" s="616"/>
      <c r="AH20" s="288">
        <f>SUM(AH18:AH19)</f>
        <v>16.100000000000001</v>
      </c>
      <c r="AI20" s="289" t="s">
        <v>3</v>
      </c>
    </row>
    <row r="21" spans="2:35" ht="15.75" customHeight="1" thickBot="1" x14ac:dyDescent="0.3">
      <c r="B21" s="353" t="s">
        <v>230</v>
      </c>
      <c r="C21" s="356" t="s">
        <v>266</v>
      </c>
      <c r="D21" s="732" t="s">
        <v>305</v>
      </c>
      <c r="E21" s="731"/>
      <c r="F21" s="354">
        <v>9.4</v>
      </c>
      <c r="G21" s="355" t="s">
        <v>3</v>
      </c>
      <c r="I21" s="606"/>
      <c r="J21" s="607"/>
      <c r="K21" s="607"/>
      <c r="L21" s="607"/>
      <c r="M21" s="607"/>
      <c r="N21" s="608"/>
      <c r="P21" s="290" t="s">
        <v>225</v>
      </c>
      <c r="Q21" s="291" t="s">
        <v>265</v>
      </c>
      <c r="R21" s="612" t="s">
        <v>227</v>
      </c>
      <c r="S21" s="612"/>
      <c r="T21" s="291" t="s">
        <v>228</v>
      </c>
      <c r="U21" s="292" t="s">
        <v>229</v>
      </c>
      <c r="V21" s="223"/>
      <c r="W21" s="637" t="s">
        <v>237</v>
      </c>
      <c r="X21" s="638"/>
      <c r="Y21" s="638"/>
      <c r="Z21" s="638"/>
      <c r="AA21" s="638"/>
      <c r="AB21" s="639"/>
      <c r="AD21" s="631"/>
      <c r="AE21" s="632"/>
      <c r="AF21" s="632"/>
      <c r="AG21" s="632"/>
      <c r="AH21" s="632"/>
      <c r="AI21" s="633"/>
    </row>
    <row r="22" spans="2:35" ht="15.75" thickBot="1" x14ac:dyDescent="0.3">
      <c r="B22" s="353" t="s">
        <v>232</v>
      </c>
      <c r="C22" s="356" t="s">
        <v>266</v>
      </c>
      <c r="D22" s="732" t="s">
        <v>309</v>
      </c>
      <c r="E22" s="731"/>
      <c r="F22" s="354">
        <v>13.2</v>
      </c>
      <c r="G22" s="355" t="s">
        <v>3</v>
      </c>
      <c r="H22" s="223"/>
      <c r="I22" s="631"/>
      <c r="J22" s="632"/>
      <c r="K22" s="632"/>
      <c r="L22" s="632"/>
      <c r="M22" s="632"/>
      <c r="N22" s="633"/>
      <c r="P22" s="277" t="s">
        <v>230</v>
      </c>
      <c r="Q22" s="276" t="s">
        <v>266</v>
      </c>
      <c r="R22" s="602" t="s">
        <v>306</v>
      </c>
      <c r="S22" s="602"/>
      <c r="T22" s="293">
        <f>T8</f>
        <v>7.95</v>
      </c>
      <c r="U22" s="294" t="s">
        <v>3</v>
      </c>
      <c r="V22" s="223"/>
      <c r="W22" s="640"/>
      <c r="X22" s="641"/>
      <c r="Y22" s="641"/>
      <c r="Z22" s="641"/>
      <c r="AA22" s="641"/>
      <c r="AB22" s="642"/>
      <c r="AC22" s="223"/>
      <c r="AD22" s="634"/>
      <c r="AE22" s="635"/>
      <c r="AF22" s="635"/>
      <c r="AG22" s="635"/>
      <c r="AH22" s="635"/>
      <c r="AI22" s="636"/>
    </row>
    <row r="23" spans="2:35" ht="15.75" customHeight="1" thickBot="1" x14ac:dyDescent="0.3">
      <c r="B23" s="359" t="s">
        <v>234</v>
      </c>
      <c r="C23" s="360" t="s">
        <v>267</v>
      </c>
      <c r="D23" s="671" t="s">
        <v>253</v>
      </c>
      <c r="E23" s="672"/>
      <c r="F23" s="361" t="s">
        <v>301</v>
      </c>
      <c r="G23" s="362" t="s">
        <v>3</v>
      </c>
      <c r="I23" s="634"/>
      <c r="J23" s="635"/>
      <c r="K23" s="635"/>
      <c r="L23" s="635"/>
      <c r="M23" s="635"/>
      <c r="N23" s="636"/>
      <c r="P23" s="277" t="s">
        <v>232</v>
      </c>
      <c r="Q23" s="276" t="s">
        <v>266</v>
      </c>
      <c r="R23" s="602" t="s">
        <v>252</v>
      </c>
      <c r="S23" s="602"/>
      <c r="T23" s="293">
        <f>T7</f>
        <v>3.75</v>
      </c>
      <c r="U23" s="294" t="s">
        <v>3</v>
      </c>
      <c r="V23" s="223"/>
      <c r="W23" s="666" t="s">
        <v>238</v>
      </c>
      <c r="X23" s="667"/>
      <c r="Y23" s="667"/>
      <c r="Z23" s="667"/>
      <c r="AA23" s="667"/>
      <c r="AB23" s="668"/>
      <c r="AD23" s="637" t="s">
        <v>237</v>
      </c>
      <c r="AE23" s="638"/>
      <c r="AF23" s="638"/>
      <c r="AG23" s="638"/>
      <c r="AH23" s="638"/>
      <c r="AI23" s="639"/>
    </row>
    <row r="24" spans="2:35" ht="15.75" customHeight="1" thickBot="1" x14ac:dyDescent="0.3">
      <c r="B24" s="673" t="s">
        <v>235</v>
      </c>
      <c r="C24" s="674"/>
      <c r="D24" s="674"/>
      <c r="E24" s="675"/>
      <c r="F24" s="357">
        <f>SUM(F21:F23)</f>
        <v>22.6</v>
      </c>
      <c r="G24" s="358" t="s">
        <v>3</v>
      </c>
      <c r="I24" s="637" t="s">
        <v>237</v>
      </c>
      <c r="J24" s="638"/>
      <c r="K24" s="638"/>
      <c r="L24" s="638"/>
      <c r="M24" s="638"/>
      <c r="N24" s="639"/>
      <c r="P24" s="278" t="s">
        <v>234</v>
      </c>
      <c r="Q24" s="279" t="s">
        <v>266</v>
      </c>
      <c r="R24" s="613" t="s">
        <v>253</v>
      </c>
      <c r="S24" s="613"/>
      <c r="T24" s="295">
        <f>T6</f>
        <v>1.7</v>
      </c>
      <c r="U24" s="296" t="s">
        <v>3</v>
      </c>
      <c r="W24" s="669" t="s">
        <v>272</v>
      </c>
      <c r="X24" s="624" t="s">
        <v>240</v>
      </c>
      <c r="Y24" s="624" t="s">
        <v>241</v>
      </c>
      <c r="Z24" s="624"/>
      <c r="AA24" s="624" t="s">
        <v>228</v>
      </c>
      <c r="AB24" s="626" t="s">
        <v>242</v>
      </c>
      <c r="AD24" s="640"/>
      <c r="AE24" s="641"/>
      <c r="AF24" s="641"/>
      <c r="AG24" s="641"/>
      <c r="AH24" s="641"/>
      <c r="AI24" s="642"/>
    </row>
    <row r="25" spans="2:35" ht="15.75" customHeight="1" thickBot="1" x14ac:dyDescent="0.3">
      <c r="B25" s="676"/>
      <c r="C25" s="677"/>
      <c r="D25" s="677"/>
      <c r="E25" s="677"/>
      <c r="F25" s="677"/>
      <c r="G25" s="678"/>
      <c r="I25" s="640"/>
      <c r="J25" s="641"/>
      <c r="K25" s="641"/>
      <c r="L25" s="641"/>
      <c r="M25" s="641"/>
      <c r="N25" s="642"/>
      <c r="P25" s="603" t="s">
        <v>235</v>
      </c>
      <c r="Q25" s="604"/>
      <c r="R25" s="604"/>
      <c r="S25" s="605"/>
      <c r="T25" s="297">
        <f>SUM(T22:T24)</f>
        <v>13.399999999999999</v>
      </c>
      <c r="U25" s="298" t="s">
        <v>3</v>
      </c>
      <c r="W25" s="670"/>
      <c r="X25" s="625"/>
      <c r="Y25" s="625"/>
      <c r="Z25" s="625"/>
      <c r="AA25" s="625"/>
      <c r="AB25" s="627"/>
      <c r="AD25" s="643" t="s">
        <v>238</v>
      </c>
      <c r="AE25" s="644"/>
      <c r="AF25" s="644"/>
      <c r="AG25" s="644"/>
      <c r="AH25" s="644"/>
      <c r="AI25" s="645"/>
    </row>
    <row r="26" spans="2:35" ht="15.75" customHeight="1" thickBot="1" x14ac:dyDescent="0.3">
      <c r="B26" s="679"/>
      <c r="C26" s="680"/>
      <c r="D26" s="680"/>
      <c r="E26" s="680"/>
      <c r="F26" s="680"/>
      <c r="G26" s="681"/>
      <c r="I26" s="666" t="s">
        <v>238</v>
      </c>
      <c r="J26" s="667"/>
      <c r="K26" s="667"/>
      <c r="L26" s="667"/>
      <c r="M26" s="667"/>
      <c r="N26" s="668"/>
      <c r="P26" s="606"/>
      <c r="Q26" s="607"/>
      <c r="R26" s="607"/>
      <c r="S26" s="607"/>
      <c r="T26" s="607"/>
      <c r="U26" s="608"/>
      <c r="W26" s="317" t="s">
        <v>243</v>
      </c>
      <c r="X26" s="318" t="s">
        <v>244</v>
      </c>
      <c r="Y26" s="319">
        <v>5</v>
      </c>
      <c r="Z26" s="337" t="s">
        <v>245</v>
      </c>
      <c r="AA26" s="321">
        <f>AA7</f>
        <v>21.05</v>
      </c>
      <c r="AB26" s="322" t="s">
        <v>3</v>
      </c>
      <c r="AD26" s="655" t="s">
        <v>276</v>
      </c>
      <c r="AE26" s="651" t="s">
        <v>240</v>
      </c>
      <c r="AF26" s="663" t="s">
        <v>241</v>
      </c>
      <c r="AG26" s="664"/>
      <c r="AH26" s="651" t="s">
        <v>228</v>
      </c>
      <c r="AI26" s="653" t="s">
        <v>242</v>
      </c>
    </row>
    <row r="27" spans="2:35" ht="15" customHeight="1" thickBot="1" x14ac:dyDescent="0.3">
      <c r="B27" s="682" t="s">
        <v>237</v>
      </c>
      <c r="C27" s="683"/>
      <c r="D27" s="683"/>
      <c r="E27" s="683"/>
      <c r="F27" s="683"/>
      <c r="G27" s="684"/>
      <c r="I27" s="669" t="s">
        <v>275</v>
      </c>
      <c r="J27" s="624" t="s">
        <v>240</v>
      </c>
      <c r="K27" s="624" t="s">
        <v>241</v>
      </c>
      <c r="L27" s="624"/>
      <c r="M27" s="624" t="s">
        <v>228</v>
      </c>
      <c r="N27" s="626" t="s">
        <v>242</v>
      </c>
      <c r="P27" s="631"/>
      <c r="Q27" s="632"/>
      <c r="R27" s="632"/>
      <c r="S27" s="632"/>
      <c r="T27" s="632"/>
      <c r="U27" s="633"/>
      <c r="W27" s="317" t="s">
        <v>251</v>
      </c>
      <c r="X27" s="318" t="s">
        <v>270</v>
      </c>
      <c r="Y27" s="319">
        <v>4</v>
      </c>
      <c r="Z27" s="320" t="s">
        <v>245</v>
      </c>
      <c r="AA27" s="321">
        <f>AA13</f>
        <v>42.599999999999994</v>
      </c>
      <c r="AB27" s="322" t="s">
        <v>3</v>
      </c>
      <c r="AD27" s="656"/>
      <c r="AE27" s="652"/>
      <c r="AF27" s="665"/>
      <c r="AG27" s="630"/>
      <c r="AH27" s="652"/>
      <c r="AI27" s="654"/>
    </row>
    <row r="28" spans="2:35" ht="15.75" customHeight="1" thickBot="1" x14ac:dyDescent="0.3">
      <c r="B28" s="685"/>
      <c r="C28" s="686"/>
      <c r="D28" s="686"/>
      <c r="E28" s="686"/>
      <c r="F28" s="686"/>
      <c r="G28" s="687"/>
      <c r="H28" s="223"/>
      <c r="I28" s="670"/>
      <c r="J28" s="625"/>
      <c r="K28" s="625"/>
      <c r="L28" s="625"/>
      <c r="M28" s="625"/>
      <c r="N28" s="627"/>
      <c r="P28" s="634"/>
      <c r="Q28" s="635"/>
      <c r="R28" s="635"/>
      <c r="S28" s="635"/>
      <c r="T28" s="635"/>
      <c r="U28" s="636"/>
      <c r="W28" s="323" t="s">
        <v>251</v>
      </c>
      <c r="X28" s="324" t="s">
        <v>269</v>
      </c>
      <c r="Y28" s="325">
        <v>1</v>
      </c>
      <c r="Z28" s="326" t="s">
        <v>245</v>
      </c>
      <c r="AA28" s="327">
        <f>AA18</f>
        <v>19.350000000000001</v>
      </c>
      <c r="AB28" s="328" t="s">
        <v>3</v>
      </c>
      <c r="AD28" s="299" t="s">
        <v>243</v>
      </c>
      <c r="AE28" s="300" t="s">
        <v>244</v>
      </c>
      <c r="AF28" s="301">
        <v>5</v>
      </c>
      <c r="AG28" s="302" t="s">
        <v>245</v>
      </c>
      <c r="AH28" s="303">
        <f>AH8</f>
        <v>14.399999999999999</v>
      </c>
      <c r="AI28" s="304" t="s">
        <v>3</v>
      </c>
    </row>
    <row r="29" spans="2:35" ht="15.75" customHeight="1" thickBot="1" x14ac:dyDescent="0.3">
      <c r="B29" s="688" t="s">
        <v>238</v>
      </c>
      <c r="C29" s="689"/>
      <c r="D29" s="689"/>
      <c r="E29" s="689"/>
      <c r="F29" s="689"/>
      <c r="G29" s="690"/>
      <c r="I29" s="317" t="s">
        <v>243</v>
      </c>
      <c r="J29" s="318" t="s">
        <v>244</v>
      </c>
      <c r="K29" s="319">
        <v>5</v>
      </c>
      <c r="L29" s="320" t="s">
        <v>245</v>
      </c>
      <c r="M29" s="321">
        <f>M8</f>
        <v>32.5</v>
      </c>
      <c r="N29" s="322" t="s">
        <v>3</v>
      </c>
      <c r="P29" s="637" t="s">
        <v>237</v>
      </c>
      <c r="Q29" s="638"/>
      <c r="R29" s="638"/>
      <c r="S29" s="638"/>
      <c r="T29" s="638"/>
      <c r="U29" s="639"/>
      <c r="W29" s="628" t="s">
        <v>246</v>
      </c>
      <c r="X29" s="629"/>
      <c r="Y29" s="629"/>
      <c r="Z29" s="630"/>
      <c r="AA29" s="311">
        <f>AA30/5</f>
        <v>59</v>
      </c>
      <c r="AB29" s="312" t="s">
        <v>247</v>
      </c>
      <c r="AD29" s="299" t="s">
        <v>250</v>
      </c>
      <c r="AE29" s="300" t="s">
        <v>244</v>
      </c>
      <c r="AF29" s="301">
        <v>5</v>
      </c>
      <c r="AG29" s="302" t="s">
        <v>245</v>
      </c>
      <c r="AH29" s="303">
        <f>AH14</f>
        <v>28.1</v>
      </c>
      <c r="AI29" s="304" t="s">
        <v>3</v>
      </c>
    </row>
    <row r="30" spans="2:35" ht="15.75" customHeight="1" thickBot="1" x14ac:dyDescent="0.3">
      <c r="B30" s="691" t="s">
        <v>310</v>
      </c>
      <c r="C30" s="693" t="s">
        <v>240</v>
      </c>
      <c r="D30" s="695" t="s">
        <v>241</v>
      </c>
      <c r="E30" s="696"/>
      <c r="F30" s="693" t="s">
        <v>228</v>
      </c>
      <c r="G30" s="699" t="s">
        <v>242</v>
      </c>
      <c r="I30" s="317" t="s">
        <v>250</v>
      </c>
      <c r="J30" s="318" t="s">
        <v>244</v>
      </c>
      <c r="K30" s="319">
        <v>5</v>
      </c>
      <c r="L30" s="320" t="s">
        <v>245</v>
      </c>
      <c r="M30" s="321">
        <f>M14</f>
        <v>32.5</v>
      </c>
      <c r="N30" s="322" t="s">
        <v>3</v>
      </c>
      <c r="P30" s="640"/>
      <c r="Q30" s="641"/>
      <c r="R30" s="641"/>
      <c r="S30" s="641"/>
      <c r="T30" s="641"/>
      <c r="U30" s="642"/>
      <c r="W30" s="648" t="s">
        <v>248</v>
      </c>
      <c r="X30" s="649"/>
      <c r="Y30" s="649"/>
      <c r="Z30" s="650"/>
      <c r="AA30" s="313">
        <f>Y26*AA26+Y27*AA27+Y28*AA28</f>
        <v>295</v>
      </c>
      <c r="AB30" s="314" t="s">
        <v>247</v>
      </c>
      <c r="AD30" s="305" t="s">
        <v>251</v>
      </c>
      <c r="AE30" s="306" t="s">
        <v>244</v>
      </c>
      <c r="AF30" s="307">
        <v>5</v>
      </c>
      <c r="AG30" s="308" t="s">
        <v>245</v>
      </c>
      <c r="AH30" s="309">
        <f>AH20</f>
        <v>16.100000000000001</v>
      </c>
      <c r="AI30" s="310" t="s">
        <v>3</v>
      </c>
    </row>
    <row r="31" spans="2:35" ht="15.75" customHeight="1" thickBot="1" x14ac:dyDescent="0.3">
      <c r="B31" s="692"/>
      <c r="C31" s="694"/>
      <c r="D31" s="697"/>
      <c r="E31" s="698"/>
      <c r="F31" s="694"/>
      <c r="G31" s="700"/>
      <c r="I31" s="323" t="s">
        <v>251</v>
      </c>
      <c r="J31" s="324" t="s">
        <v>244</v>
      </c>
      <c r="K31" s="325">
        <v>5</v>
      </c>
      <c r="L31" s="326" t="s">
        <v>245</v>
      </c>
      <c r="M31" s="327">
        <f>M20</f>
        <v>32.5</v>
      </c>
      <c r="N31" s="328" t="s">
        <v>3</v>
      </c>
      <c r="P31" s="666" t="s">
        <v>238</v>
      </c>
      <c r="Q31" s="667"/>
      <c r="R31" s="667"/>
      <c r="S31" s="667"/>
      <c r="T31" s="667"/>
      <c r="U31" s="668"/>
      <c r="W31" s="660" t="s">
        <v>249</v>
      </c>
      <c r="X31" s="661"/>
      <c r="Y31" s="661"/>
      <c r="Z31" s="662"/>
      <c r="AA31" s="315">
        <f>AA29*20</f>
        <v>1180</v>
      </c>
      <c r="AB31" s="316" t="s">
        <v>247</v>
      </c>
      <c r="AD31" s="657" t="s">
        <v>246</v>
      </c>
      <c r="AE31" s="658"/>
      <c r="AF31" s="658"/>
      <c r="AG31" s="659"/>
      <c r="AH31" s="311">
        <f>AH32/5</f>
        <v>58.6</v>
      </c>
      <c r="AI31" s="312" t="s">
        <v>247</v>
      </c>
    </row>
    <row r="32" spans="2:35" ht="15.75" customHeight="1" x14ac:dyDescent="0.25">
      <c r="B32" s="363" t="s">
        <v>243</v>
      </c>
      <c r="C32" s="364" t="s">
        <v>244</v>
      </c>
      <c r="D32" s="365">
        <v>5</v>
      </c>
      <c r="E32" s="366" t="s">
        <v>245</v>
      </c>
      <c r="F32" s="367">
        <f>F8</f>
        <v>20.100000000000001</v>
      </c>
      <c r="G32" s="368" t="s">
        <v>3</v>
      </c>
      <c r="I32" s="628" t="s">
        <v>246</v>
      </c>
      <c r="J32" s="629"/>
      <c r="K32" s="629"/>
      <c r="L32" s="630"/>
      <c r="M32" s="311">
        <f>SUM(M29:M31)</f>
        <v>97.5</v>
      </c>
      <c r="N32" s="312" t="s">
        <v>247</v>
      </c>
      <c r="P32" s="669" t="s">
        <v>316</v>
      </c>
      <c r="Q32" s="624" t="s">
        <v>240</v>
      </c>
      <c r="R32" s="624" t="s">
        <v>241</v>
      </c>
      <c r="S32" s="624"/>
      <c r="T32" s="624" t="s">
        <v>228</v>
      </c>
      <c r="U32" s="626" t="s">
        <v>242</v>
      </c>
      <c r="AD32" s="648" t="s">
        <v>248</v>
      </c>
      <c r="AE32" s="649"/>
      <c r="AF32" s="649"/>
      <c r="AG32" s="650"/>
      <c r="AH32" s="313">
        <f>AF28*AH28+AF29*AH29+AF30*AH30</f>
        <v>293</v>
      </c>
      <c r="AI32" s="314" t="s">
        <v>247</v>
      </c>
    </row>
    <row r="33" spans="2:35" ht="15.75" customHeight="1" thickBot="1" x14ac:dyDescent="0.3">
      <c r="B33" s="363" t="s">
        <v>250</v>
      </c>
      <c r="C33" s="364" t="s">
        <v>244</v>
      </c>
      <c r="D33" s="365">
        <v>5</v>
      </c>
      <c r="E33" s="366" t="s">
        <v>245</v>
      </c>
      <c r="F33" s="367">
        <f>F17</f>
        <v>45.22</v>
      </c>
      <c r="G33" s="368" t="s">
        <v>3</v>
      </c>
      <c r="I33" s="648" t="s">
        <v>248</v>
      </c>
      <c r="J33" s="649"/>
      <c r="K33" s="649"/>
      <c r="L33" s="650"/>
      <c r="M33" s="313">
        <f>M32*K29</f>
        <v>487.5</v>
      </c>
      <c r="N33" s="314" t="s">
        <v>247</v>
      </c>
      <c r="P33" s="670"/>
      <c r="Q33" s="625"/>
      <c r="R33" s="625"/>
      <c r="S33" s="625"/>
      <c r="T33" s="625"/>
      <c r="U33" s="627"/>
      <c r="AA33" s="329"/>
      <c r="AD33" s="660" t="s">
        <v>249</v>
      </c>
      <c r="AE33" s="661"/>
      <c r="AF33" s="661"/>
      <c r="AG33" s="662"/>
      <c r="AH33" s="315">
        <f>AH31*20</f>
        <v>1172</v>
      </c>
      <c r="AI33" s="316" t="s">
        <v>247</v>
      </c>
    </row>
    <row r="34" spans="2:35" ht="15.75" customHeight="1" thickBot="1" x14ac:dyDescent="0.3">
      <c r="B34" s="369" t="s">
        <v>251</v>
      </c>
      <c r="C34" s="370" t="s">
        <v>244</v>
      </c>
      <c r="D34" s="371">
        <v>5</v>
      </c>
      <c r="E34" s="372" t="s">
        <v>245</v>
      </c>
      <c r="F34" s="373">
        <f>F24</f>
        <v>22.6</v>
      </c>
      <c r="G34" s="374" t="s">
        <v>3</v>
      </c>
      <c r="I34" s="660" t="s">
        <v>249</v>
      </c>
      <c r="J34" s="661"/>
      <c r="K34" s="661"/>
      <c r="L34" s="662"/>
      <c r="M34" s="315">
        <f>M32*20</f>
        <v>1950</v>
      </c>
      <c r="N34" s="316" t="s">
        <v>247</v>
      </c>
      <c r="P34" s="528" t="s">
        <v>243</v>
      </c>
      <c r="Q34" s="300" t="s">
        <v>244</v>
      </c>
      <c r="R34" s="301">
        <v>5</v>
      </c>
      <c r="S34" s="302" t="s">
        <v>245</v>
      </c>
      <c r="T34" s="303">
        <f>T9</f>
        <v>13.4</v>
      </c>
      <c r="U34" s="529" t="s">
        <v>3</v>
      </c>
      <c r="AA34" s="339"/>
    </row>
    <row r="35" spans="2:35" ht="15.75" customHeight="1" x14ac:dyDescent="0.25">
      <c r="B35" s="701" t="s">
        <v>246</v>
      </c>
      <c r="C35" s="702"/>
      <c r="D35" s="702"/>
      <c r="E35" s="703"/>
      <c r="F35" s="375">
        <f>SUM(F32:F34)</f>
        <v>87.919999999999987</v>
      </c>
      <c r="G35" s="376" t="s">
        <v>247</v>
      </c>
      <c r="H35" s="339"/>
      <c r="P35" s="317" t="s">
        <v>250</v>
      </c>
      <c r="Q35" s="318" t="s">
        <v>244</v>
      </c>
      <c r="R35" s="319">
        <v>5</v>
      </c>
      <c r="S35" s="320" t="s">
        <v>245</v>
      </c>
      <c r="T35" s="321">
        <f>T18</f>
        <v>32.099999999999994</v>
      </c>
      <c r="U35" s="322" t="s">
        <v>3</v>
      </c>
      <c r="Y35" s="329"/>
    </row>
    <row r="36" spans="2:35" ht="15.75" customHeight="1" thickBot="1" x14ac:dyDescent="0.3">
      <c r="B36" s="704" t="s">
        <v>248</v>
      </c>
      <c r="C36" s="705"/>
      <c r="D36" s="705"/>
      <c r="E36" s="706"/>
      <c r="F36" s="377">
        <f>F35*D32</f>
        <v>439.59999999999991</v>
      </c>
      <c r="G36" s="378" t="s">
        <v>247</v>
      </c>
      <c r="P36" s="323" t="s">
        <v>251</v>
      </c>
      <c r="Q36" s="324" t="s">
        <v>244</v>
      </c>
      <c r="R36" s="325">
        <v>5</v>
      </c>
      <c r="S36" s="326" t="s">
        <v>245</v>
      </c>
      <c r="T36" s="327">
        <f>T25</f>
        <v>13.399999999999999</v>
      </c>
      <c r="U36" s="328" t="s">
        <v>3</v>
      </c>
      <c r="Y36" s="329"/>
      <c r="AE36" s="329"/>
      <c r="AF36" s="329"/>
    </row>
    <row r="37" spans="2:35" ht="15.75" thickBot="1" x14ac:dyDescent="0.3">
      <c r="B37" s="707" t="s">
        <v>249</v>
      </c>
      <c r="C37" s="708"/>
      <c r="D37" s="708"/>
      <c r="E37" s="709"/>
      <c r="F37" s="379">
        <f>F35*20</f>
        <v>1758.3999999999996</v>
      </c>
      <c r="G37" s="380" t="s">
        <v>247</v>
      </c>
      <c r="M37" s="339"/>
      <c r="P37" s="628" t="s">
        <v>246</v>
      </c>
      <c r="Q37" s="629"/>
      <c r="R37" s="629"/>
      <c r="S37" s="630"/>
      <c r="T37" s="311">
        <f>SUM(T34:T36)</f>
        <v>58.899999999999991</v>
      </c>
      <c r="U37" s="312" t="s">
        <v>247</v>
      </c>
    </row>
    <row r="38" spans="2:35" ht="15.75" customHeight="1" x14ac:dyDescent="0.25">
      <c r="P38" s="648" t="s">
        <v>248</v>
      </c>
      <c r="Q38" s="649"/>
      <c r="R38" s="649"/>
      <c r="S38" s="650"/>
      <c r="T38" s="313">
        <f>T37*R35</f>
        <v>294.49999999999994</v>
      </c>
      <c r="U38" s="314" t="s">
        <v>247</v>
      </c>
      <c r="Y38" s="329"/>
    </row>
    <row r="39" spans="2:35" ht="15.75" customHeight="1" thickBot="1" x14ac:dyDescent="0.3">
      <c r="P39" s="660" t="s">
        <v>249</v>
      </c>
      <c r="Q39" s="661"/>
      <c r="R39" s="661"/>
      <c r="S39" s="662"/>
      <c r="T39" s="315">
        <f>T37*20</f>
        <v>1177.9999999999998</v>
      </c>
      <c r="U39" s="316" t="s">
        <v>247</v>
      </c>
    </row>
    <row r="40" spans="2:35" ht="15.75" customHeight="1" x14ac:dyDescent="0.2"/>
    <row r="41" spans="2:35" ht="15" customHeight="1" x14ac:dyDescent="0.2">
      <c r="T41" s="329"/>
    </row>
    <row r="44" spans="2:35" x14ac:dyDescent="0.2">
      <c r="R44" s="329"/>
    </row>
    <row r="46" spans="2:35" ht="15" customHeight="1" x14ac:dyDescent="0.2">
      <c r="R46" s="329"/>
    </row>
    <row r="47" spans="2:35" ht="15.75" customHeight="1" x14ac:dyDescent="0.2"/>
    <row r="48" spans="2:3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</sheetData>
  <mergeCells count="164">
    <mergeCell ref="P19:U19"/>
    <mergeCell ref="P25:S25"/>
    <mergeCell ref="P20:U20"/>
    <mergeCell ref="R21:S21"/>
    <mergeCell ref="R22:S22"/>
    <mergeCell ref="R23:S23"/>
    <mergeCell ref="R24:S24"/>
    <mergeCell ref="P26:U26"/>
    <mergeCell ref="P37:S37"/>
    <mergeCell ref="P38:S38"/>
    <mergeCell ref="P39:S39"/>
    <mergeCell ref="P27:U28"/>
    <mergeCell ref="P29:U29"/>
    <mergeCell ref="P30:U30"/>
    <mergeCell ref="P31:U31"/>
    <mergeCell ref="P32:P33"/>
    <mergeCell ref="Q32:Q33"/>
    <mergeCell ref="R32:S33"/>
    <mergeCell ref="T32:T33"/>
    <mergeCell ref="U32:U33"/>
    <mergeCell ref="B35:E35"/>
    <mergeCell ref="B36:E36"/>
    <mergeCell ref="B37:E37"/>
    <mergeCell ref="B2:G2"/>
    <mergeCell ref="B3:G3"/>
    <mergeCell ref="B4:G4"/>
    <mergeCell ref="D5:E5"/>
    <mergeCell ref="D6:E6"/>
    <mergeCell ref="D7:E7"/>
    <mergeCell ref="B8:E8"/>
    <mergeCell ref="B9:G9"/>
    <mergeCell ref="B10:G10"/>
    <mergeCell ref="D11:E11"/>
    <mergeCell ref="D12:E12"/>
    <mergeCell ref="D13:E13"/>
    <mergeCell ref="D14:E14"/>
    <mergeCell ref="D15:E15"/>
    <mergeCell ref="D16:E16"/>
    <mergeCell ref="B17:E17"/>
    <mergeCell ref="B18:G18"/>
    <mergeCell ref="B19:G19"/>
    <mergeCell ref="D20:E20"/>
    <mergeCell ref="D21:E21"/>
    <mergeCell ref="D22:E22"/>
    <mergeCell ref="B24:E24"/>
    <mergeCell ref="B25:G26"/>
    <mergeCell ref="B27:G27"/>
    <mergeCell ref="B28:G28"/>
    <mergeCell ref="B29:G29"/>
    <mergeCell ref="B30:B31"/>
    <mergeCell ref="C30:C31"/>
    <mergeCell ref="D30:E31"/>
    <mergeCell ref="F30:F31"/>
    <mergeCell ref="G30:G31"/>
    <mergeCell ref="I8:L8"/>
    <mergeCell ref="I9:N9"/>
    <mergeCell ref="I16:N16"/>
    <mergeCell ref="K11:L11"/>
    <mergeCell ref="K12:L12"/>
    <mergeCell ref="K13:L13"/>
    <mergeCell ref="I14:L14"/>
    <mergeCell ref="I15:N15"/>
    <mergeCell ref="D23:E23"/>
    <mergeCell ref="I34:L34"/>
    <mergeCell ref="K17:L17"/>
    <mergeCell ref="K18:L18"/>
    <mergeCell ref="K19:L19"/>
    <mergeCell ref="I20:L20"/>
    <mergeCell ref="I21:N21"/>
    <mergeCell ref="I22:N23"/>
    <mergeCell ref="I24:N24"/>
    <mergeCell ref="I25:N25"/>
    <mergeCell ref="I26:N26"/>
    <mergeCell ref="I27:I28"/>
    <mergeCell ref="J27:J28"/>
    <mergeCell ref="K27:L28"/>
    <mergeCell ref="M27:M28"/>
    <mergeCell ref="N27:N28"/>
    <mergeCell ref="AD10:AI10"/>
    <mergeCell ref="AF11:AG11"/>
    <mergeCell ref="AF12:AG12"/>
    <mergeCell ref="AF13:AG13"/>
    <mergeCell ref="AD14:AG14"/>
    <mergeCell ref="W19:AB20"/>
    <mergeCell ref="Y17:Z17"/>
    <mergeCell ref="I32:L32"/>
    <mergeCell ref="I33:L33"/>
    <mergeCell ref="I10:N10"/>
    <mergeCell ref="AH26:AH27"/>
    <mergeCell ref="AI26:AI27"/>
    <mergeCell ref="AD26:AD27"/>
    <mergeCell ref="AE26:AE27"/>
    <mergeCell ref="AD31:AG31"/>
    <mergeCell ref="AD32:AG32"/>
    <mergeCell ref="AD33:AG33"/>
    <mergeCell ref="AF26:AG27"/>
    <mergeCell ref="W30:Z30"/>
    <mergeCell ref="W31:Z31"/>
    <mergeCell ref="W21:AB21"/>
    <mergeCell ref="W22:AB22"/>
    <mergeCell ref="W23:AB23"/>
    <mergeCell ref="W24:W25"/>
    <mergeCell ref="I2:N2"/>
    <mergeCell ref="I3:N3"/>
    <mergeCell ref="I4:N4"/>
    <mergeCell ref="K5:L5"/>
    <mergeCell ref="K6:L6"/>
    <mergeCell ref="K7:L7"/>
    <mergeCell ref="AD2:AI2"/>
    <mergeCell ref="AD3:AI3"/>
    <mergeCell ref="AD4:AI4"/>
    <mergeCell ref="AF5:AG5"/>
    <mergeCell ref="AF6:AG6"/>
    <mergeCell ref="AF7:AG7"/>
    <mergeCell ref="P2:U2"/>
    <mergeCell ref="P3:U3"/>
    <mergeCell ref="P4:U4"/>
    <mergeCell ref="R5:S5"/>
    <mergeCell ref="R6:S6"/>
    <mergeCell ref="R7:S7"/>
    <mergeCell ref="X24:X25"/>
    <mergeCell ref="Y24:Z25"/>
    <mergeCell ref="AA24:AA25"/>
    <mergeCell ref="AB24:AB25"/>
    <mergeCell ref="W29:Z29"/>
    <mergeCell ref="AD21:AI22"/>
    <mergeCell ref="AD23:AI23"/>
    <mergeCell ref="AD24:AI24"/>
    <mergeCell ref="AD25:AI25"/>
    <mergeCell ref="AD15:AI15"/>
    <mergeCell ref="AD16:AI16"/>
    <mergeCell ref="AD20:AG20"/>
    <mergeCell ref="AF17:AG17"/>
    <mergeCell ref="W18:Z18"/>
    <mergeCell ref="W2:AB2"/>
    <mergeCell ref="W3:AB3"/>
    <mergeCell ref="W4:AB4"/>
    <mergeCell ref="Y5:Z5"/>
    <mergeCell ref="Y6:Z6"/>
    <mergeCell ref="W7:Z7"/>
    <mergeCell ref="W8:AB8"/>
    <mergeCell ref="W15:AB15"/>
    <mergeCell ref="Y16:Z16"/>
    <mergeCell ref="W14:AB14"/>
    <mergeCell ref="Y12:Z12"/>
    <mergeCell ref="W9:AB9"/>
    <mergeCell ref="Y10:Z10"/>
    <mergeCell ref="Y11:Z11"/>
    <mergeCell ref="W13:Z13"/>
    <mergeCell ref="AF18:AG18"/>
    <mergeCell ref="AF19:AG19"/>
    <mergeCell ref="AD8:AG8"/>
    <mergeCell ref="AD9:AI9"/>
    <mergeCell ref="R8:S8"/>
    <mergeCell ref="P9:S9"/>
    <mergeCell ref="P10:U10"/>
    <mergeCell ref="P11:U11"/>
    <mergeCell ref="R12:S12"/>
    <mergeCell ref="R13:S13"/>
    <mergeCell ref="R14:S14"/>
    <mergeCell ref="R15:S15"/>
    <mergeCell ref="P18:S18"/>
    <mergeCell ref="R16:S16"/>
    <mergeCell ref="R17:S17"/>
  </mergeCells>
  <phoneticPr fontId="18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0"/>
  <sheetViews>
    <sheetView topLeftCell="A21" workbookViewId="0">
      <selection activeCell="J9" sqref="J9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24.28515625" style="1" customWidth="1"/>
    <col min="4" max="6" width="9.140625" style="1"/>
    <col min="7" max="7" width="11" style="1" bestFit="1" customWidth="1"/>
    <col min="8" max="16384" width="9.140625" style="1"/>
  </cols>
  <sheetData>
    <row r="1" spans="1:3" x14ac:dyDescent="0.2">
      <c r="A1" s="6" t="s">
        <v>83</v>
      </c>
    </row>
    <row r="2" spans="1:3" x14ac:dyDescent="0.2">
      <c r="A2" s="78" t="s">
        <v>183</v>
      </c>
    </row>
    <row r="3" spans="1:3" s="2" customFormat="1" ht="15.6" customHeight="1" x14ac:dyDescent="0.2">
      <c r="B3" s="3"/>
      <c r="C3" s="3"/>
    </row>
    <row r="4" spans="1:3" s="2" customFormat="1" ht="15.6" hidden="1" customHeight="1" x14ac:dyDescent="0.2">
      <c r="A4" s="80" t="s">
        <v>96</v>
      </c>
      <c r="B4" s="3"/>
      <c r="C4" s="3"/>
    </row>
    <row r="5" spans="1:3" s="2" customFormat="1" ht="16.5" customHeight="1" x14ac:dyDescent="0.2">
      <c r="A5" s="81" t="s">
        <v>99</v>
      </c>
      <c r="B5" s="3"/>
      <c r="C5" s="3"/>
    </row>
    <row r="6" spans="1:3" s="2" customFormat="1" ht="16.5" customHeight="1" x14ac:dyDescent="0.2">
      <c r="A6" s="81" t="s">
        <v>100</v>
      </c>
      <c r="B6" s="3"/>
      <c r="C6" s="3"/>
    </row>
    <row r="7" spans="1:3" ht="13.5" thickBot="1" x14ac:dyDescent="0.25"/>
    <row r="8" spans="1:3" ht="18" x14ac:dyDescent="0.2">
      <c r="A8" s="736" t="s">
        <v>89</v>
      </c>
      <c r="B8" s="737"/>
      <c r="C8" s="738"/>
    </row>
    <row r="9" spans="1:3" ht="14.25" x14ac:dyDescent="0.2">
      <c r="A9" s="17" t="s">
        <v>28</v>
      </c>
      <c r="B9" s="18" t="s">
        <v>29</v>
      </c>
      <c r="C9" s="19" t="s">
        <v>30</v>
      </c>
    </row>
    <row r="10" spans="1:3" ht="14.25" x14ac:dyDescent="0.2">
      <c r="A10" s="17" t="s">
        <v>31</v>
      </c>
      <c r="B10" s="18" t="s">
        <v>7</v>
      </c>
      <c r="C10" s="21"/>
    </row>
    <row r="11" spans="1:3" ht="14.25" x14ac:dyDescent="0.2">
      <c r="A11" s="17" t="s">
        <v>32</v>
      </c>
      <c r="B11" s="18" t="s">
        <v>33</v>
      </c>
      <c r="C11" s="21"/>
    </row>
    <row r="12" spans="1:3" ht="14.25" x14ac:dyDescent="0.2">
      <c r="A12" s="17" t="s">
        <v>34</v>
      </c>
      <c r="B12" s="18" t="s">
        <v>35</v>
      </c>
      <c r="C12" s="21"/>
    </row>
    <row r="13" spans="1:3" ht="14.25" x14ac:dyDescent="0.2">
      <c r="A13" s="17" t="s">
        <v>36</v>
      </c>
      <c r="B13" s="18" t="s">
        <v>37</v>
      </c>
      <c r="C13" s="21"/>
    </row>
    <row r="14" spans="1:3" ht="14.25" x14ac:dyDescent="0.2">
      <c r="A14" s="17" t="s">
        <v>38</v>
      </c>
      <c r="B14" s="18" t="s">
        <v>39</v>
      </c>
      <c r="C14" s="21"/>
    </row>
    <row r="15" spans="1:3" ht="14.25" x14ac:dyDescent="0.2">
      <c r="A15" s="17" t="s">
        <v>40</v>
      </c>
      <c r="B15" s="18" t="s">
        <v>41</v>
      </c>
      <c r="C15" s="21"/>
    </row>
    <row r="16" spans="1:3" ht="14.25" x14ac:dyDescent="0.2">
      <c r="A16" s="17" t="s">
        <v>42</v>
      </c>
      <c r="B16" s="18" t="s">
        <v>43</v>
      </c>
      <c r="C16" s="21"/>
    </row>
    <row r="17" spans="1:4" ht="14.25" x14ac:dyDescent="0.2">
      <c r="A17" s="17" t="s">
        <v>44</v>
      </c>
      <c r="B17" s="18" t="s">
        <v>8</v>
      </c>
      <c r="C17" s="21">
        <v>0.08</v>
      </c>
    </row>
    <row r="18" spans="1:4" ht="15" x14ac:dyDescent="0.2">
      <c r="A18" s="17" t="s">
        <v>45</v>
      </c>
      <c r="B18" s="22" t="s">
        <v>46</v>
      </c>
      <c r="C18" s="23">
        <f>SUM(C10:C17)</f>
        <v>0.08</v>
      </c>
    </row>
    <row r="19" spans="1:4" ht="15" x14ac:dyDescent="0.2">
      <c r="A19" s="24"/>
      <c r="B19" s="25"/>
      <c r="C19" s="26"/>
    </row>
    <row r="20" spans="1:4" ht="14.25" x14ac:dyDescent="0.2">
      <c r="A20" s="17" t="s">
        <v>47</v>
      </c>
      <c r="B20" s="27" t="s">
        <v>48</v>
      </c>
      <c r="C20" s="21">
        <v>7.4999999999999997E-2</v>
      </c>
    </row>
    <row r="21" spans="1:4" ht="14.25" x14ac:dyDescent="0.2">
      <c r="A21" s="17" t="s">
        <v>49</v>
      </c>
      <c r="B21" s="27" t="s">
        <v>50</v>
      </c>
      <c r="C21" s="21">
        <v>8.3299999999999999E-2</v>
      </c>
    </row>
    <row r="22" spans="1:4" ht="14.25" x14ac:dyDescent="0.2">
      <c r="A22" s="17" t="s">
        <v>88</v>
      </c>
      <c r="B22" s="27" t="s">
        <v>52</v>
      </c>
      <c r="C22" s="21">
        <v>5.9999999999999995E-4</v>
      </c>
    </row>
    <row r="23" spans="1:4" ht="14.25" x14ac:dyDescent="0.2">
      <c r="A23" s="17" t="s">
        <v>51</v>
      </c>
      <c r="B23" s="27" t="s">
        <v>54</v>
      </c>
      <c r="C23" s="21">
        <v>2E-3</v>
      </c>
    </row>
    <row r="24" spans="1:4" ht="14.25" x14ac:dyDescent="0.2">
      <c r="A24" s="17" t="s">
        <v>53</v>
      </c>
      <c r="B24" s="27" t="s">
        <v>56</v>
      </c>
      <c r="C24" s="21">
        <v>1E-3</v>
      </c>
    </row>
    <row r="25" spans="1:4" ht="14.25" x14ac:dyDescent="0.2">
      <c r="A25" s="17" t="s">
        <v>55</v>
      </c>
      <c r="B25" s="27" t="s">
        <v>57</v>
      </c>
      <c r="C25" s="21">
        <v>2E-3</v>
      </c>
    </row>
    <row r="26" spans="1:4" ht="15" x14ac:dyDescent="0.2">
      <c r="A26" s="17" t="s">
        <v>58</v>
      </c>
      <c r="B26" s="22" t="s">
        <v>59</v>
      </c>
      <c r="C26" s="23">
        <f>SUM(C20:C25)</f>
        <v>0.16389999999999999</v>
      </c>
    </row>
    <row r="27" spans="1:4" ht="15" x14ac:dyDescent="0.2">
      <c r="A27" s="24"/>
      <c r="B27" s="25"/>
      <c r="C27" s="26"/>
    </row>
    <row r="28" spans="1:4" ht="14.25" x14ac:dyDescent="0.2">
      <c r="A28" s="17" t="s">
        <v>60</v>
      </c>
      <c r="B28" s="18" t="s">
        <v>61</v>
      </c>
      <c r="C28" s="21">
        <v>6.0000000000000001E-3</v>
      </c>
    </row>
    <row r="29" spans="1:4" ht="14.25" x14ac:dyDescent="0.2">
      <c r="A29" s="17" t="s">
        <v>87</v>
      </c>
      <c r="B29" s="18" t="s">
        <v>63</v>
      </c>
      <c r="C29" s="21">
        <v>3.61E-2</v>
      </c>
      <c r="D29" s="29"/>
    </row>
    <row r="30" spans="1:4" ht="14.25" x14ac:dyDescent="0.2">
      <c r="A30" s="17" t="s">
        <v>62</v>
      </c>
      <c r="B30" s="18" t="s">
        <v>65</v>
      </c>
      <c r="C30" s="21">
        <f>C28*C29</f>
        <v>2.1660000000000001E-4</v>
      </c>
    </row>
    <row r="31" spans="1:4" ht="14.25" x14ac:dyDescent="0.2">
      <c r="A31" s="17" t="s">
        <v>64</v>
      </c>
      <c r="B31" s="18" t="s">
        <v>67</v>
      </c>
      <c r="C31" s="21">
        <v>6.0000000000000001E-3</v>
      </c>
    </row>
    <row r="32" spans="1:4" ht="14.25" x14ac:dyDescent="0.2">
      <c r="A32" s="17" t="s">
        <v>66</v>
      </c>
      <c r="B32" s="18" t="s">
        <v>68</v>
      </c>
      <c r="C32" s="21">
        <v>2E-3</v>
      </c>
    </row>
    <row r="33" spans="1:3" ht="15" x14ac:dyDescent="0.2">
      <c r="A33" s="17" t="s">
        <v>69</v>
      </c>
      <c r="B33" s="22" t="s">
        <v>70</v>
      </c>
      <c r="C33" s="23">
        <f>SUM(C28:C32)</f>
        <v>5.0316599999999996E-2</v>
      </c>
    </row>
    <row r="34" spans="1:3" ht="15" x14ac:dyDescent="0.2">
      <c r="A34" s="24"/>
      <c r="B34" s="25"/>
      <c r="C34" s="26"/>
    </row>
    <row r="35" spans="1:3" ht="14.25" x14ac:dyDescent="0.2">
      <c r="A35" s="17" t="s">
        <v>71</v>
      </c>
      <c r="B35" s="18" t="s">
        <v>72</v>
      </c>
      <c r="C35" s="21">
        <f>ROUND(C18*C26,4)</f>
        <v>1.3100000000000001E-2</v>
      </c>
    </row>
    <row r="36" spans="1:3" ht="28.5" x14ac:dyDescent="0.2">
      <c r="A36" s="17" t="s">
        <v>73</v>
      </c>
      <c r="B36" s="30" t="s">
        <v>95</v>
      </c>
      <c r="C36" s="21">
        <f>ROUND((C28*C17),4)</f>
        <v>5.0000000000000001E-4</v>
      </c>
    </row>
    <row r="37" spans="1:3" ht="15" x14ac:dyDescent="0.2">
      <c r="A37" s="17" t="s">
        <v>74</v>
      </c>
      <c r="B37" s="22" t="s">
        <v>75</v>
      </c>
      <c r="C37" s="23">
        <f>SUM(C35:C36)</f>
        <v>1.3600000000000001E-2</v>
      </c>
    </row>
    <row r="38" spans="1:3" ht="15.75" thickBot="1" x14ac:dyDescent="0.25">
      <c r="A38" s="31"/>
      <c r="B38" s="32" t="s">
        <v>76</v>
      </c>
      <c r="C38" s="33">
        <f>C37+C33+C26+C18</f>
        <v>0.3078166</v>
      </c>
    </row>
    <row r="39" spans="1:3" ht="15" x14ac:dyDescent="0.2">
      <c r="A39" s="20"/>
      <c r="B39" s="34"/>
      <c r="C39" s="35"/>
    </row>
    <row r="40" spans="1:3" ht="14.25" x14ac:dyDescent="0.2">
      <c r="A40" s="20"/>
      <c r="B40" s="20"/>
      <c r="C40" s="36"/>
    </row>
    <row r="41" spans="1:3" ht="14.25" x14ac:dyDescent="0.2">
      <c r="A41" s="20"/>
      <c r="B41" s="20"/>
      <c r="C41" s="36"/>
    </row>
    <row r="42" spans="1:3" ht="14.25" x14ac:dyDescent="0.2">
      <c r="A42" s="20"/>
      <c r="B42" s="20"/>
      <c r="C42" s="36"/>
    </row>
    <row r="43" spans="1:3" ht="14.25" x14ac:dyDescent="0.2">
      <c r="A43" s="20"/>
      <c r="B43" s="20"/>
      <c r="C43" s="36"/>
    </row>
    <row r="44" spans="1:3" ht="15" x14ac:dyDescent="0.2">
      <c r="A44" s="20"/>
      <c r="B44" s="34"/>
      <c r="C44" s="35"/>
    </row>
    <row r="45" spans="1:3" ht="15" x14ac:dyDescent="0.2">
      <c r="A45" s="28"/>
      <c r="B45" s="34"/>
      <c r="C45" s="35"/>
    </row>
    <row r="46" spans="1:3" ht="16.5" x14ac:dyDescent="0.2">
      <c r="A46" s="37"/>
    </row>
    <row r="47" spans="1:3" x14ac:dyDescent="0.2">
      <c r="A47" s="38"/>
      <c r="B47" s="39"/>
      <c r="C47" s="39"/>
    </row>
    <row r="48" spans="1:3" ht="14.25" x14ac:dyDescent="0.2">
      <c r="A48" s="20"/>
      <c r="B48" s="40"/>
      <c r="C48" s="39"/>
    </row>
    <row r="49" spans="1:3" ht="14.25" x14ac:dyDescent="0.2">
      <c r="A49" s="20"/>
      <c r="B49" s="40"/>
      <c r="C49" s="20"/>
    </row>
    <row r="50" spans="1:3" ht="14.25" x14ac:dyDescent="0.2">
      <c r="A50" s="20"/>
      <c r="B50" s="36"/>
      <c r="C50" s="39"/>
    </row>
    <row r="51" spans="1:3" ht="14.25" x14ac:dyDescent="0.2">
      <c r="A51" s="20"/>
      <c r="B51" s="40"/>
      <c r="C51" s="20"/>
    </row>
    <row r="52" spans="1:3" ht="14.25" x14ac:dyDescent="0.2">
      <c r="A52" s="20"/>
      <c r="B52" s="36"/>
      <c r="C52" s="39"/>
    </row>
    <row r="53" spans="1:3" ht="14.25" x14ac:dyDescent="0.2">
      <c r="A53" s="20"/>
      <c r="B53" s="40"/>
      <c r="C53" s="20"/>
    </row>
    <row r="54" spans="1:3" ht="14.25" x14ac:dyDescent="0.2">
      <c r="A54" s="20"/>
      <c r="B54" s="36"/>
      <c r="C54" s="39"/>
    </row>
    <row r="55" spans="1:3" ht="14.25" x14ac:dyDescent="0.2">
      <c r="A55" s="20"/>
      <c r="B55" s="40"/>
      <c r="C55" s="20"/>
    </row>
    <row r="56" spans="1:3" ht="14.25" x14ac:dyDescent="0.2">
      <c r="A56" s="20"/>
      <c r="B56" s="36"/>
      <c r="C56" s="39"/>
    </row>
    <row r="57" spans="1:3" ht="16.5" x14ac:dyDescent="0.2">
      <c r="A57" s="37"/>
    </row>
    <row r="60" spans="1:3" x14ac:dyDescent="0.2">
      <c r="A60" s="41"/>
    </row>
  </sheetData>
  <mergeCells count="1">
    <mergeCell ref="A8:C8"/>
  </mergeCells>
  <pageMargins left="0.9055118110236221" right="0.5118110236220472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J9" sqref="J9"/>
    </sheetView>
  </sheetViews>
  <sheetFormatPr defaultRowHeight="12.75" x14ac:dyDescent="0.2"/>
  <cols>
    <col min="1" max="1" width="46.7109375" customWidth="1"/>
    <col min="2" max="2" width="12.7109375" customWidth="1"/>
    <col min="3" max="3" width="22.28515625" customWidth="1"/>
    <col min="4" max="4" width="9.7109375" hidden="1" customWidth="1"/>
    <col min="5" max="5" width="8" style="8" hidden="1" customWidth="1"/>
    <col min="6" max="6" width="9.7109375" hidden="1" customWidth="1"/>
  </cols>
  <sheetData>
    <row r="1" spans="1:8" s="11" customFormat="1" ht="14.25" x14ac:dyDescent="0.2">
      <c r="A1" s="6" t="s">
        <v>83</v>
      </c>
      <c r="B1" s="10"/>
      <c r="C1" s="10"/>
      <c r="E1" s="12"/>
    </row>
    <row r="2" spans="1:8" s="11" customFormat="1" ht="14.25" x14ac:dyDescent="0.2">
      <c r="A2" s="9" t="s">
        <v>92</v>
      </c>
      <c r="B2" s="10"/>
      <c r="C2" s="10"/>
      <c r="E2" s="12"/>
    </row>
    <row r="3" spans="1:8" s="11" customFormat="1" ht="14.25" x14ac:dyDescent="0.2">
      <c r="A3" s="5" t="s">
        <v>84</v>
      </c>
      <c r="B3" s="10"/>
      <c r="C3" s="10"/>
      <c r="E3" s="12"/>
    </row>
    <row r="4" spans="1:8" s="11" customFormat="1" ht="14.25" x14ac:dyDescent="0.2">
      <c r="A4" s="5"/>
      <c r="B4" s="10"/>
      <c r="C4" s="10"/>
      <c r="E4" s="12"/>
    </row>
    <row r="5" spans="1:8" s="2" customFormat="1" ht="15.6" hidden="1" customHeight="1" x14ac:dyDescent="0.2">
      <c r="A5" s="80" t="s">
        <v>96</v>
      </c>
      <c r="B5" s="3"/>
      <c r="C5" s="3"/>
      <c r="D5" s="3"/>
      <c r="E5" s="3"/>
      <c r="F5" s="3"/>
      <c r="G5" s="4"/>
    </row>
    <row r="6" spans="1:8" s="2" customFormat="1" ht="16.5" customHeight="1" x14ac:dyDescent="0.2">
      <c r="A6" s="81" t="s">
        <v>97</v>
      </c>
      <c r="B6" s="3"/>
      <c r="C6" s="3"/>
      <c r="D6" s="4"/>
      <c r="E6" s="4"/>
      <c r="F6" s="4"/>
      <c r="G6" s="4"/>
    </row>
    <row r="7" spans="1:8" s="2" customFormat="1" ht="16.5" customHeight="1" x14ac:dyDescent="0.2">
      <c r="A7" s="81" t="s">
        <v>98</v>
      </c>
      <c r="B7" s="3"/>
      <c r="C7" s="3"/>
      <c r="D7" s="4"/>
      <c r="E7" s="4"/>
      <c r="F7" s="4"/>
      <c r="G7" s="4"/>
    </row>
    <row r="8" spans="1:8" s="11" customFormat="1" ht="15" thickBot="1" x14ac:dyDescent="0.25">
      <c r="B8" s="10"/>
      <c r="C8" s="10"/>
      <c r="E8" s="12"/>
    </row>
    <row r="9" spans="1:8" ht="15.75" x14ac:dyDescent="0.2">
      <c r="A9" s="744" t="s">
        <v>211</v>
      </c>
      <c r="B9" s="745"/>
      <c r="C9" s="745"/>
      <c r="D9" s="745"/>
      <c r="E9" s="745"/>
      <c r="F9" s="746"/>
    </row>
    <row r="10" spans="1:8" ht="15.75" hidden="1" x14ac:dyDescent="0.2">
      <c r="A10" s="73"/>
      <c r="B10" s="74"/>
      <c r="C10" s="74"/>
      <c r="D10" s="74"/>
      <c r="E10" s="74"/>
      <c r="F10" s="75"/>
    </row>
    <row r="11" spans="1:8" ht="15" hidden="1" x14ac:dyDescent="0.25">
      <c r="A11" s="43"/>
      <c r="B11" s="10"/>
      <c r="C11" s="10"/>
      <c r="D11" s="741" t="s">
        <v>91</v>
      </c>
      <c r="E11" s="742"/>
      <c r="F11" s="743"/>
      <c r="G11" s="11"/>
      <c r="H11" s="11"/>
    </row>
    <row r="12" spans="1:8" ht="14.25" x14ac:dyDescent="0.2">
      <c r="A12" s="217"/>
      <c r="B12" s="216"/>
      <c r="C12" s="216"/>
      <c r="D12" s="44" t="s">
        <v>77</v>
      </c>
      <c r="E12" s="45" t="s">
        <v>78</v>
      </c>
      <c r="F12" s="46" t="s">
        <v>79</v>
      </c>
      <c r="G12" s="11"/>
      <c r="H12" s="11"/>
    </row>
    <row r="13" spans="1:8" ht="14.25" x14ac:dyDescent="0.2">
      <c r="A13" s="210" t="s">
        <v>13</v>
      </c>
      <c r="B13" s="211" t="s">
        <v>14</v>
      </c>
      <c r="C13" s="212">
        <v>0.06</v>
      </c>
      <c r="D13" s="213">
        <v>2.9700000000000001E-2</v>
      </c>
      <c r="E13" s="214">
        <v>5.0799999999999998E-2</v>
      </c>
      <c r="F13" s="215">
        <v>6.2700000000000006E-2</v>
      </c>
      <c r="G13" s="11"/>
      <c r="H13" s="11"/>
    </row>
    <row r="14" spans="1:8" ht="14.25" x14ac:dyDescent="0.2">
      <c r="A14" s="48" t="s">
        <v>15</v>
      </c>
      <c r="B14" s="49" t="s">
        <v>16</v>
      </c>
      <c r="C14" s="50">
        <v>1.3299999999999999E-2</v>
      </c>
      <c r="D14" s="67">
        <f>0.3%+0.56%</f>
        <v>8.6E-3</v>
      </c>
      <c r="E14" s="68">
        <f>0.48%+0.85%</f>
        <v>1.3299999999999999E-2</v>
      </c>
      <c r="F14" s="69">
        <f>0.82%+0.89%</f>
        <v>1.7099999999999997E-2</v>
      </c>
      <c r="G14" s="11"/>
      <c r="H14" s="11"/>
    </row>
    <row r="15" spans="1:8" ht="14.25" x14ac:dyDescent="0.2">
      <c r="A15" s="48" t="s">
        <v>17</v>
      </c>
      <c r="B15" s="49" t="s">
        <v>18</v>
      </c>
      <c r="C15" s="50">
        <v>0.11</v>
      </c>
      <c r="D15" s="67">
        <v>7.7799999999999994E-2</v>
      </c>
      <c r="E15" s="68">
        <v>0.1085</v>
      </c>
      <c r="F15" s="69">
        <v>0.13550000000000001</v>
      </c>
      <c r="G15" s="11"/>
      <c r="H15" s="11"/>
    </row>
    <row r="16" spans="1:8" ht="14.25" x14ac:dyDescent="0.2">
      <c r="A16" s="48" t="s">
        <v>19</v>
      </c>
      <c r="B16" s="49" t="s">
        <v>20</v>
      </c>
      <c r="C16" s="51">
        <f>(1+E16)^(E17/252)-1</f>
        <v>2.6031494362050989E-3</v>
      </c>
      <c r="D16" s="67" t="s">
        <v>93</v>
      </c>
      <c r="E16" s="52">
        <v>0.14000000000000001</v>
      </c>
      <c r="F16" s="47"/>
      <c r="G16" s="11"/>
      <c r="H16" s="11"/>
    </row>
    <row r="17" spans="1:8" ht="14.25" x14ac:dyDescent="0.2">
      <c r="A17" s="48" t="s">
        <v>21</v>
      </c>
      <c r="B17" s="739" t="s">
        <v>22</v>
      </c>
      <c r="C17" s="50">
        <v>0.02</v>
      </c>
      <c r="D17" s="79" t="s">
        <v>80</v>
      </c>
      <c r="E17" s="53">
        <v>5</v>
      </c>
      <c r="F17" s="54"/>
      <c r="G17" s="11"/>
      <c r="H17" s="11"/>
    </row>
    <row r="18" spans="1:8" ht="15" thickBot="1" x14ac:dyDescent="0.25">
      <c r="A18" s="55" t="s">
        <v>101</v>
      </c>
      <c r="B18" s="740"/>
      <c r="C18" s="56">
        <v>0.04</v>
      </c>
      <c r="D18" s="42"/>
      <c r="E18" s="57"/>
      <c r="F18" s="54"/>
      <c r="G18" s="11"/>
      <c r="H18" s="11"/>
    </row>
    <row r="19" spans="1:8" ht="14.25" x14ac:dyDescent="0.2">
      <c r="A19" s="58" t="s">
        <v>23</v>
      </c>
      <c r="B19" s="59"/>
      <c r="C19" s="60"/>
      <c r="D19" s="42"/>
      <c r="E19" s="57"/>
      <c r="F19" s="54"/>
      <c r="G19" s="11"/>
      <c r="H19" s="11"/>
    </row>
    <row r="20" spans="1:8" ht="15" thickBot="1" x14ac:dyDescent="0.25">
      <c r="A20" s="61" t="s">
        <v>24</v>
      </c>
      <c r="B20" s="62"/>
      <c r="C20" s="63"/>
      <c r="D20" s="42"/>
      <c r="E20" s="57"/>
      <c r="F20" s="54"/>
      <c r="G20" s="11"/>
      <c r="H20" s="11"/>
    </row>
    <row r="21" spans="1:8" ht="15.75" thickBot="1" x14ac:dyDescent="0.25">
      <c r="A21" s="64" t="s">
        <v>25</v>
      </c>
      <c r="B21" s="65"/>
      <c r="C21" s="66">
        <f>ROUND((((1+C13+C14)*(1+C15)*(1+C16))/(1-(C17+C18))-1),4)</f>
        <v>0.2707</v>
      </c>
      <c r="D21" s="70">
        <v>0.21429999999999999</v>
      </c>
      <c r="E21" s="71">
        <v>0.2717</v>
      </c>
      <c r="F21" s="72">
        <v>0.3362</v>
      </c>
      <c r="G21" s="11"/>
      <c r="H21" s="11"/>
    </row>
    <row r="22" spans="1:8" ht="14.25" x14ac:dyDescent="0.2">
      <c r="A22" s="11"/>
      <c r="B22" s="11"/>
      <c r="C22" s="11"/>
      <c r="D22" s="11"/>
      <c r="E22" s="12"/>
      <c r="F22" s="11"/>
      <c r="G22" s="11"/>
      <c r="H22" s="11"/>
    </row>
    <row r="23" spans="1:8" ht="14.25" x14ac:dyDescent="0.2">
      <c r="A23" s="180" t="s">
        <v>180</v>
      </c>
      <c r="B23" s="11"/>
      <c r="C23" s="11"/>
      <c r="D23" s="11"/>
      <c r="E23" s="12"/>
      <c r="F23" s="11"/>
      <c r="G23" s="11"/>
      <c r="H23" s="11"/>
    </row>
    <row r="24" spans="1:8" ht="14.25" x14ac:dyDescent="0.2">
      <c r="A24" s="180" t="s">
        <v>181</v>
      </c>
      <c r="B24" s="11"/>
      <c r="C24" s="11"/>
      <c r="D24" s="11"/>
      <c r="E24" s="12"/>
      <c r="F24" s="11"/>
      <c r="G24" s="11"/>
      <c r="H24" s="11"/>
    </row>
    <row r="25" spans="1:8" ht="14.25" x14ac:dyDescent="0.2">
      <c r="A25" s="11"/>
      <c r="B25" s="11"/>
      <c r="C25" s="11"/>
      <c r="D25" s="11"/>
      <c r="E25" s="12"/>
      <c r="F25" s="11"/>
      <c r="G25" s="11"/>
      <c r="H25" s="11"/>
    </row>
  </sheetData>
  <mergeCells count="3">
    <mergeCell ref="B17:B18"/>
    <mergeCell ref="D11:F11"/>
    <mergeCell ref="A9:F9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J9" sqref="J9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747" t="s">
        <v>212</v>
      </c>
      <c r="B1" s="748"/>
    </row>
    <row r="2" spans="1:2" s="7" customFormat="1" ht="19.5" customHeight="1" x14ac:dyDescent="0.2">
      <c r="A2" s="76" t="s">
        <v>85</v>
      </c>
      <c r="B2" s="77" t="s">
        <v>94</v>
      </c>
    </row>
    <row r="3" spans="1:2" ht="19.5" customHeight="1" x14ac:dyDescent="0.2">
      <c r="A3" s="14">
        <v>1</v>
      </c>
      <c r="B3" s="13">
        <v>33.629999999999995</v>
      </c>
    </row>
    <row r="4" spans="1:2" ht="19.5" customHeight="1" x14ac:dyDescent="0.2">
      <c r="A4" s="14">
        <v>2</v>
      </c>
      <c r="B4" s="13">
        <v>43.13</v>
      </c>
    </row>
    <row r="5" spans="1:2" ht="19.5" customHeight="1" x14ac:dyDescent="0.2">
      <c r="A5" s="14">
        <v>3</v>
      </c>
      <c r="B5" s="13">
        <v>48.68</v>
      </c>
    </row>
    <row r="6" spans="1:2" ht="19.5" customHeight="1" x14ac:dyDescent="0.2">
      <c r="A6" s="14">
        <v>4</v>
      </c>
      <c r="B6" s="13">
        <v>52.62</v>
      </c>
    </row>
    <row r="7" spans="1:2" ht="19.5" customHeight="1" x14ac:dyDescent="0.2">
      <c r="A7" s="14">
        <v>5</v>
      </c>
      <c r="B7" s="13">
        <v>55.679999999999993</v>
      </c>
    </row>
    <row r="8" spans="1:2" ht="19.5" customHeight="1" x14ac:dyDescent="0.2">
      <c r="A8" s="14">
        <v>6</v>
      </c>
      <c r="B8" s="13">
        <v>58.18</v>
      </c>
    </row>
    <row r="9" spans="1:2" ht="19.5" customHeight="1" x14ac:dyDescent="0.2">
      <c r="A9" s="14">
        <v>7</v>
      </c>
      <c r="B9" s="13">
        <v>60.29</v>
      </c>
    </row>
    <row r="10" spans="1:2" ht="19.5" customHeight="1" x14ac:dyDescent="0.2">
      <c r="A10" s="14">
        <v>8</v>
      </c>
      <c r="B10" s="13">
        <v>62.12</v>
      </c>
    </row>
    <row r="11" spans="1:2" ht="19.5" customHeight="1" x14ac:dyDescent="0.2">
      <c r="A11" s="14">
        <v>9</v>
      </c>
      <c r="B11" s="13">
        <v>63.73</v>
      </c>
    </row>
    <row r="12" spans="1:2" ht="19.5" customHeight="1" x14ac:dyDescent="0.2">
      <c r="A12" s="14">
        <v>10</v>
      </c>
      <c r="B12" s="13">
        <v>65.180000000000007</v>
      </c>
    </row>
    <row r="13" spans="1:2" ht="19.5" customHeight="1" x14ac:dyDescent="0.2">
      <c r="A13" s="14">
        <v>11</v>
      </c>
      <c r="B13" s="13">
        <v>66.47999999999999</v>
      </c>
    </row>
    <row r="14" spans="1:2" ht="19.5" customHeight="1" x14ac:dyDescent="0.2">
      <c r="A14" s="14">
        <v>12</v>
      </c>
      <c r="B14" s="13">
        <v>67.67</v>
      </c>
    </row>
    <row r="15" spans="1:2" ht="19.5" customHeight="1" x14ac:dyDescent="0.2">
      <c r="A15" s="14">
        <v>13</v>
      </c>
      <c r="B15" s="13">
        <v>68.77</v>
      </c>
    </row>
    <row r="16" spans="1:2" ht="19.5" customHeight="1" x14ac:dyDescent="0.2">
      <c r="A16" s="14">
        <v>14</v>
      </c>
      <c r="B16" s="13">
        <v>69.789999999999992</v>
      </c>
    </row>
    <row r="17" spans="1:2" ht="19.5" customHeight="1" thickBot="1" x14ac:dyDescent="0.25">
      <c r="A17" s="15">
        <v>15</v>
      </c>
      <c r="B17" s="16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Resumo 2026 </vt:lpstr>
      <vt:lpstr>Linha 28</vt:lpstr>
      <vt:lpstr>Linha 29</vt:lpstr>
      <vt:lpstr>Linha 36</vt:lpstr>
      <vt:lpstr>Linha 41</vt:lpstr>
      <vt:lpstr>Roteiros</vt:lpstr>
      <vt:lpstr>Encargos Sociais</vt:lpstr>
      <vt:lpstr>BDI</vt:lpstr>
      <vt:lpstr>Depreciação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</dc:title>
  <dc:creator>Edgar</dc:creator>
  <cp:lastModifiedBy>Ws</cp:lastModifiedBy>
  <cp:lastPrinted>2026-10-05T11:06:29Z</cp:lastPrinted>
  <dcterms:created xsi:type="dcterms:W3CDTF">2000-12-13T10:02:50Z</dcterms:created>
  <dcterms:modified xsi:type="dcterms:W3CDTF">2026-10-05T11:06:56Z</dcterms:modified>
</cp:coreProperties>
</file>