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924"/>
  <workbookPr codeName="EstaPasta_de_trabalho"/>
  <mc:AlternateContent xmlns:mc="http://schemas.openxmlformats.org/markup-compatibility/2006">
    <mc:Choice Requires="x15">
      <x15ac:absPath xmlns:x15ac="http://schemas.microsoft.com/office/spreadsheetml/2010/11/ac" url="C:\Users\Usuario\Desktop\ANEXO_V_PLANILHA ORC FINAL_CCE 02_2026\"/>
    </mc:Choice>
  </mc:AlternateContent>
  <xr:revisionPtr revIDLastSave="0" documentId="8_{F98B817F-BE28-4388-96F2-0B7284DFAB47}" xr6:coauthVersionLast="47" xr6:coauthVersionMax="47" xr10:uidLastSave="{00000000-0000-0000-0000-000000000000}"/>
  <workbookProtection workbookAlgorithmName="SHA-512" workbookHashValue="p+QVqQ2URu7NXtrw/ig6aRpOiYmDH0R8uv6OI9fxTNjvWiZMdBhhyDVs4Y5ngPJH6LOqO6s1btzmVw5sI0ZG5A==" workbookSaltValue="NR90+7lMOzgnEKc6YTafuA==" workbookSpinCount="100000" lockStructure="1"/>
  <bookViews>
    <workbookView xWindow="-28920" yWindow="-1290" windowWidth="29040" windowHeight="15720" activeTab="2" xr2:uid="{00000000-000D-0000-FFFF-FFFF00000000}"/>
  </bookViews>
  <sheets>
    <sheet name="DADOS" sheetId="16" r:id="rId1"/>
    <sheet name="BDI (1)" sheetId="17" r:id="rId2"/>
    <sheet name="PO" sheetId="12" r:id="rId3"/>
    <sheet name="PLQ" sheetId="13" r:id="rId4"/>
    <sheet name="CFF" sheetId="11" r:id="rId5"/>
  </sheets>
  <definedNames>
    <definedName name="_xlnm._FilterDatabase" localSheetId="4">CFF!#REF!</definedName>
    <definedName name="_xlnm._FilterDatabase" localSheetId="0">DADOS!#REF!</definedName>
    <definedName name="_xlnm._FilterDatabase" localSheetId="3">PLQ!$A$10:$O$13</definedName>
    <definedName name="_xlnm._FilterDatabase" localSheetId="2">PO!$C$10:$T$13</definedName>
    <definedName name="_xlnm.Print_Area" localSheetId="1">'BDI (1)'!$I$1:$R$50</definedName>
    <definedName name="_xlnm.Print_Area" localSheetId="4">CFF!$L$1:$X$66</definedName>
    <definedName name="_xlnm.Print_Area" localSheetId="0">DADOS!$A$1:$X$87</definedName>
    <definedName name="_xlnm.Print_Area" localSheetId="3">PLQ!$B$1:$P$102</definedName>
    <definedName name="_xlnm.Print_Area" localSheetId="2">PO!$K$1:$T$111</definedName>
    <definedName name="_xlnm.Database">TEXT(Import.DataBase,"mm-aaaa")</definedName>
    <definedName name="CFF.ColunaPadrão">CFF!$AC:$AC</definedName>
    <definedName name="CFF.Colunas">CFF!$P$10:$X$10</definedName>
    <definedName name="CFF.Dados">OFFSET(CFF!$L$17,1,0):OFFSET(CFF!$X$60,-1,-1)</definedName>
    <definedName name="CFF.IncluirLinha">MAX(PO!$V$12:$V$96)*CFF.NumLinha-ROW(CFF!$F$60)+ROW(CFF!$F$17)+1</definedName>
    <definedName name="CFF.Item">OFFSET(CFF!$L$17,1,0):OFFSET(CFF!$X$60,-1,-1)</definedName>
    <definedName name="CFF.LinhaPadrão">CFF!$A$11:$W$11</definedName>
    <definedName name="CFF.NumLinha">ROW(CFF!$D$14)-ROW(CFF!$D$10)-1</definedName>
    <definedName name="Código" localSheetId="2">PO!$M1</definedName>
    <definedName name="Composições.LinhaPadrão">#REF!</definedName>
    <definedName name="Cotações.LinhaPadrão">#REF!</definedName>
    <definedName name="Dados.Assinatura1">DADOS!$B$54:$E$57</definedName>
    <definedName name="Dados.Assinatura2">DADOS!$H$54:$K$57</definedName>
    <definedName name="Dados.Lista.Acompanhamento">DADOS!$P$122:$P$123</definedName>
    <definedName name="Dados.Lista.BDI">DADOS!$T$37:$X$37</definedName>
    <definedName name="Dados.Lista.Localidade">DADOS!$L$107:$L$134</definedName>
    <definedName name="Dados.Lista.RegimeExecução">DADOS!$P$115:$P$120</definedName>
    <definedName name="EXCELVERSAO">IF(MID(INFO("SOLTAR"),1,2)*1&lt;=11,"Excel 2003","Superior")</definedName>
    <definedName name="Fonte" localSheetId="2">PO!$L1</definedName>
    <definedName name="Import.Ação">DADOS!$J$29</definedName>
    <definedName name="Import.Apelido">DADOS!$Q$32</definedName>
    <definedName name="Import.CNPJ">DADOS!$B$57</definedName>
    <definedName name="Import.Código">OFFSET(PO!$M$12,1,0):OFFSET(PO!$M$96,-1,0)</definedName>
    <definedName name="Import.CR">DADOS!$A$29</definedName>
    <definedName name="Import.CTEF">DADOS!$A$43</definedName>
    <definedName name="Import.CustoUnitário">OFFSET(PO!$Q$12,1,0):OFFSET(PO!$Q$96,-1,0)</definedName>
    <definedName name="Import.DadosBDI">DADOS!$S$108:$S$112</definedName>
    <definedName name="Import.DataAssinaturaCTEF">DADOS!$U$43</definedName>
    <definedName name="Import.DataBase">DADOS!$A$38</definedName>
    <definedName name="Import.DataBaseLicit">DADOS!$H$43</definedName>
    <definedName name="Import.DataCot">OFFSET(#REF!,1,0):OFFSET(#REF!,-1,0)</definedName>
    <definedName name="Import.DataCotIndice">OFFSET(#REF!,1,0):OFFSET(#REF!,-1,0)</definedName>
    <definedName name="Import.DataInícioObra">DADOS!$A$48</definedName>
    <definedName name="Import.DescComp">OFFSET(#REF!,1,0):OFFSET(#REF!,-1,0)</definedName>
    <definedName name="Import.DescCot">OFFSET(#REF!,1,0):OFFSET(#REF!,-1,0)</definedName>
    <definedName name="Import.DescLote">DADOS!$G$38</definedName>
    <definedName name="Import.Descrição">OFFSET(PO!$N$12,1,0):OFFSET(PO!$N$96,-1,0)</definedName>
    <definedName name="Import.Desoneracao">DADOS!$C$38</definedName>
    <definedName name="Import.DesoneracaoLicit">DADOS!$J$43</definedName>
    <definedName name="Import.Empresa">DADOS!$C$43</definedName>
    <definedName name="Import.FontComp">OFFSET(#REF!,1,0):OFFSET(#REF!,-1,0)</definedName>
    <definedName name="Import.Fonte">OFFSET(PO!$L$12,1,0):OFFSET(PO!$L$96,-1,0)</definedName>
    <definedName name="Import.FrenteDeObra">PLQ!$F$9:OFFSET(PLQ!$P$9,0,-1)</definedName>
    <definedName name="Import.Gestor">DADOS!$C$29</definedName>
    <definedName name="Import.IndiceAtual">OFFSET(#REF!,1,0):OFFSET(#REF!,-1,0)</definedName>
    <definedName name="Import.IndiceCot">OFFSET(#REF!,1,0):OFFSET(#REF!,-1,0)</definedName>
    <definedName name="Import.Item">OFFSET(PO!$K$12,1,0):OFFSET(PO!$K$96,-1,0)</definedName>
    <definedName name="Import.Localidade">DADOS!$K$32</definedName>
    <definedName name="Import.LocalSINAPI">DADOS!$D$38</definedName>
    <definedName name="Import.Município">DADOS!$G$32</definedName>
    <definedName name="Import.Nível">OFFSET(PO!$J$12,1,0):OFFSET(PO!$J$96,-1,0)</definedName>
    <definedName name="Import.NomeEmpresaForn">OFFSET(#REF!,1,0):OFFSET(#REF!,-1,0)</definedName>
    <definedName name="Import.ObjetoCR">DADOS!$P$29</definedName>
    <definedName name="Import.ObjetoCTEF">DADOS!$O$43</definedName>
    <definedName name="Import.ObsComp">OFFSET(#REF!,1,0):OFFSET(#REF!,-1,0)</definedName>
    <definedName name="Import.ObsCot">OFFSET(#REF!,1,0):OFFSET(#REF!,-1,0)</definedName>
    <definedName name="Import.ObsForn">OFFSET(#REF!,1,0):OFFSET(#REF!,-1,0)</definedName>
    <definedName name="Import.ObsIndice">OFFSET(#REF!,1,0):OFFSET(#REF!,-1,0)</definedName>
    <definedName name="Import.PLQ">OFFSET(PLQ!$F$12,1,0):OFFSET(PLQ!$P$96,-1,-1)</definedName>
    <definedName name="Import.POArred">PO!$X$3:$X$7</definedName>
    <definedName name="Import.PreçoTotal">OFFSET(PO!$T$12,1,0):OFFSET(PO!$T$96,-1,0)</definedName>
    <definedName name="Import.PreçoUnitário">OFFSET(PO!$S$12,1,0):OFFSET(PO!$S$96,-1,0)</definedName>
    <definedName name="Import.Programa">DADOS!$F$29</definedName>
    <definedName name="Import.Proponente">DADOS!$A$32</definedName>
    <definedName name="Import.Quantidade">OFFSET(PO!$P$12,1,0):OFFSET(PO!$P$96,-1,0)</definedName>
    <definedName name="Import.RegimeExecução">DADOS!$K$43</definedName>
    <definedName name="Import.TelefoneForn">OFFSET(#REF!,1,0):OFFSET(#REF!,-1,0)</definedName>
    <definedName name="Import.TipoComp">OFFSET(#REF!,1,0):OFFSET(#REF!,-1,0)</definedName>
    <definedName name="Import.TipoCot">OFFSET(#REF!,1,0):OFFSET(#REF!,-1,0)</definedName>
    <definedName name="Import.Unidade">OFFSET(PO!$O$12,1,0):OFFSET(PO!$O$96,-1,0)</definedName>
    <definedName name="Import.UnidadeComp">OFFSET(#REF!,1,0):OFFSET(#REF!,-1,0)</definedName>
    <definedName name="Import.UnidCot">OFFSET(#REF!,1,0):OFFSET(#REF!,-1,0)</definedName>
    <definedName name="Import.Valor1Indice">OFFSET(#REF!,1,0):OFFSET(#REF!,-1,0)</definedName>
    <definedName name="Import.Valor2Indice">OFFSET(#REF!,1,0):OFFSET(#REF!,-1,0)</definedName>
    <definedName name="Import.ValorBDI">OFFSET(PO!$Z$12,1,0):OFFSET(PO!$Z$96,-1,0)</definedName>
    <definedName name="Import.ValorCot">OFFSET(#REF!,1,0):OFFSET(#REF!,-1,0)</definedName>
    <definedName name="Import.Vigência">DADOS!$W$43</definedName>
    <definedName name="Índices.LinhaPadrão">#REF!</definedName>
    <definedName name="Linhacabeçalhodados">DADOS!$A$220:$X$220</definedName>
    <definedName name="LinhaEncargosSociais">PO!$K$97</definedName>
    <definedName name="linhaSINAPIxls" localSheetId="2">PO!$X1</definedName>
    <definedName name="ListaFornecedor">OFFSET(#REF!,0,0,MAX(#REF!)+1)</definedName>
    <definedName name="ListaIndice">OFFSET(#REF!,1,0,MAX(#REF!))</definedName>
    <definedName name="NCOMPOSICOES">2</definedName>
    <definedName name="NMaxCrono">CFF!$A$9</definedName>
    <definedName name="Objeto">DADOS!$A$1</definedName>
    <definedName name="ORÇAMENTO.OpcaoCusto">PO!$Q$10</definedName>
    <definedName name="PLQ.ColunaPadrão">PLQ!$U:$U</definedName>
    <definedName name="PLQ.Colunas">PLQ!$F$10:$P$10</definedName>
    <definedName name="PLQ.FormulaQuant">PLQ!$E$7</definedName>
    <definedName name="PLQ.Item">PLQ!$B$9:OFFSET(PLQ!$B$96,-1,0)</definedName>
    <definedName name="PLQ.LinhaPadrão">PLQ!$A$11:$P$11</definedName>
    <definedName name="PLQ.qtde.frentes">COUNTA(PLQ!$F$9:$P$9)</definedName>
    <definedName name="PO.BDI">OFFSET(PO!$R$12,1,0):OFFSET(PO!$R$96,-1,0)</definedName>
    <definedName name="PO.CustoRef">OFFSET(PO!$Y$12,1,0):OFFSET(PO!$Y$96,-1,0)</definedName>
    <definedName name="PO.CustoUnitario">ROUND(PO!$Q1,15-13*PO!$X$4)</definedName>
    <definedName name="PO.Dados">PO!$C$12:OFFSET(PO!$Z$96,-1,0)</definedName>
    <definedName name="PO.FormulaQuant">PO!$P$9</definedName>
    <definedName name="PO.LinhaPadrão">PO!$C$11:$Z$11</definedName>
    <definedName name="PO.PrecoUnitario">ROUND(PO!$S1,15-13*PO!$X$6)</definedName>
    <definedName name="PO.Quantidade">ROUND(PO!$P1,15-13*PO!$X$3)</definedName>
    <definedName name="Referencia.Descricao">IF(ISNUMBER(PO!linhaSINAPIxls),INDEX(INDIRECT("'[Referência "&amp;_xlnm.Database&amp;".xls]Banco'!$b:$g"),PO!linhaSINAPIxls,3),"")</definedName>
    <definedName name="Referencia.Desonerado">IF(ISNUMBER(PO!linhaSINAPIxls),VALUE(INDEX(INDIRECT("'[Referência "&amp;_xlnm.Database&amp;".xls]Banco'!$b:$g"),PO!linhaSINAPIxls,5)),0)</definedName>
    <definedName name="Referencia.NaoDesonerado">IF(ISNUMBER(PO!linhaSINAPIxls),VALUE(INDEX(INDIRECT("'[Referência "&amp;_xlnm.Database&amp;".xls]Banco'!$b:$g"),PO!linhaSINAPIxls,6)),0)</definedName>
    <definedName name="Referencia.Unidade">IF(ISNUMBER(PO!linhaSINAPIxls),INDEX(INDIRECT("'[Referência "&amp;_xlnm.Database&amp;".xls]Banco'!$b:$g"),PO!linhaSINAPIxls,4),"")</definedName>
    <definedName name="SaldoPerc">1-IF(ISNUMBER(CFF!XFD2),CFF!XFD2,0)</definedName>
    <definedName name="SENHAGT" hidden="1">"quantidades"</definedName>
    <definedName name="SomaAgrup">SUMIF(OFFSET(PO!$A1,1,0,PO!$B1),"S",OFFSET(PO!A1,1,0,PO!$B1))</definedName>
    <definedName name="TipoOrçamento">"BASE"</definedName>
    <definedName name="_xlnm.Print_Titles" localSheetId="4">CFF!$L:$O,CFF!$10:$10</definedName>
    <definedName name="_xlnm.Print_Titles" localSheetId="3">PLQ!$B:$E,PLQ!$9:$10</definedName>
    <definedName name="_xlnm.Print_Titles" localSheetId="2">PO!$10:$10</definedName>
    <definedName name="Versao">DADOS!$A$2</definedName>
    <definedName name="VTOTAL1">ROUND(PO.Quantidade*PO.PrecoUnitario,15-13*PO!$X$7)</definedName>
  </definedNames>
  <calcPr calcId="191029"/>
</workbook>
</file>

<file path=xl/calcChain.xml><?xml version="1.0" encoding="utf-8"?>
<calcChain xmlns="http://schemas.openxmlformats.org/spreadsheetml/2006/main">
  <c r="A80" i="13" l="1"/>
  <c r="E80" i="13" s="1"/>
  <c r="P80" i="12" s="1"/>
  <c r="W80" i="12"/>
  <c r="A80" i="12"/>
  <c r="A79" i="13"/>
  <c r="E79" i="13" s="1"/>
  <c r="P79" i="12" s="1"/>
  <c r="A78" i="13"/>
  <c r="E78" i="13" s="1"/>
  <c r="P78" i="12" s="1"/>
  <c r="A77" i="13"/>
  <c r="E77" i="13" s="1"/>
  <c r="P77" i="12" s="1"/>
  <c r="W79" i="12"/>
  <c r="A79" i="12"/>
  <c r="W78" i="12"/>
  <c r="A78" i="12"/>
  <c r="I78" i="12" s="1"/>
  <c r="W77" i="12"/>
  <c r="A77" i="12"/>
  <c r="V80" i="12" l="1"/>
  <c r="B80" i="12"/>
  <c r="H80" i="12"/>
  <c r="I80" i="12"/>
  <c r="B78" i="12"/>
  <c r="V77" i="12"/>
  <c r="B77" i="12"/>
  <c r="H79" i="12"/>
  <c r="I79" i="12"/>
  <c r="V78" i="12"/>
  <c r="H77" i="12"/>
  <c r="I77" i="12"/>
  <c r="V79" i="12"/>
  <c r="B79" i="12"/>
  <c r="H78" i="12"/>
  <c r="A57" i="13" l="1"/>
  <c r="E57" i="13" s="1"/>
  <c r="P57" i="12" s="1"/>
  <c r="W57" i="12"/>
  <c r="A57" i="12"/>
  <c r="I57" i="12" s="1"/>
  <c r="H57" i="12" l="1"/>
  <c r="V57" i="12"/>
  <c r="B57" i="12"/>
  <c r="A25" i="13" l="1"/>
  <c r="E25" i="13" s="1"/>
  <c r="P25" i="12" s="1"/>
  <c r="W25" i="12"/>
  <c r="A25" i="12"/>
  <c r="V25" i="12" l="1"/>
  <c r="H25" i="12"/>
  <c r="I25" i="12"/>
  <c r="B25" i="12"/>
  <c r="A69" i="13" l="1"/>
  <c r="E69" i="13" s="1"/>
  <c r="P69" i="12" s="1"/>
  <c r="W69" i="12"/>
  <c r="A69" i="12"/>
  <c r="A70" i="13"/>
  <c r="E70" i="13" s="1"/>
  <c r="P70" i="12" s="1"/>
  <c r="W70" i="12"/>
  <c r="A70" i="12"/>
  <c r="A71" i="13"/>
  <c r="E71" i="13" s="1"/>
  <c r="P71" i="12" s="1"/>
  <c r="W71" i="12"/>
  <c r="A71" i="12"/>
  <c r="A68" i="13"/>
  <c r="E68" i="13" s="1"/>
  <c r="P68" i="12" s="1"/>
  <c r="W68" i="12"/>
  <c r="A68" i="12"/>
  <c r="V69" i="12" l="1"/>
  <c r="B69" i="12"/>
  <c r="H69" i="12"/>
  <c r="I69" i="12"/>
  <c r="V70" i="12"/>
  <c r="B70" i="12"/>
  <c r="H70" i="12"/>
  <c r="I70" i="12"/>
  <c r="V71" i="12"/>
  <c r="B71" i="12"/>
  <c r="H71" i="12"/>
  <c r="I71" i="12"/>
  <c r="V68" i="12"/>
  <c r="B68" i="12"/>
  <c r="H68" i="12"/>
  <c r="I68" i="12"/>
  <c r="A74" i="13" l="1"/>
  <c r="E74" i="13" s="1"/>
  <c r="P74" i="12" s="1"/>
  <c r="A73" i="13"/>
  <c r="E73" i="13" s="1"/>
  <c r="P73" i="12" s="1"/>
  <c r="A72" i="13"/>
  <c r="E72" i="13" s="1"/>
  <c r="P72" i="12" s="1"/>
  <c r="A67" i="13"/>
  <c r="E67" i="13" s="1"/>
  <c r="P67" i="12" s="1"/>
  <c r="W74" i="12"/>
  <c r="A74" i="12"/>
  <c r="H74" i="12" s="1"/>
  <c r="W73" i="12"/>
  <c r="A73" i="12"/>
  <c r="H73" i="12" s="1"/>
  <c r="W72" i="12"/>
  <c r="A72" i="12"/>
  <c r="I72" i="12" s="1"/>
  <c r="W67" i="12"/>
  <c r="A67" i="12"/>
  <c r="B67" i="12" s="1"/>
  <c r="A66" i="13"/>
  <c r="E66" i="13" s="1"/>
  <c r="P66" i="12" s="1"/>
  <c r="X66" i="12"/>
  <c r="O66" i="12" s="1"/>
  <c r="D66" i="13" s="1"/>
  <c r="W66" i="12"/>
  <c r="A66" i="12"/>
  <c r="B72" i="12" l="1"/>
  <c r="I67" i="12"/>
  <c r="I73" i="12"/>
  <c r="B74" i="12"/>
  <c r="V72" i="12"/>
  <c r="H67" i="12"/>
  <c r="I74" i="12"/>
  <c r="V73" i="12"/>
  <c r="B73" i="12"/>
  <c r="H72" i="12"/>
  <c r="Y66" i="12"/>
  <c r="Q66" i="12" s="1"/>
  <c r="V74" i="12"/>
  <c r="V67" i="12"/>
  <c r="C66" i="13" l="1"/>
  <c r="A47" i="13" l="1"/>
  <c r="E47" i="13" s="1"/>
  <c r="P47" i="12" s="1"/>
  <c r="W47" i="12"/>
  <c r="A47" i="12"/>
  <c r="A51" i="13"/>
  <c r="E51" i="13" s="1"/>
  <c r="P51" i="12" s="1"/>
  <c r="W51" i="12"/>
  <c r="A51" i="12"/>
  <c r="A90" i="13"/>
  <c r="E90" i="13" s="1"/>
  <c r="P90" i="12" s="1"/>
  <c r="W90" i="12"/>
  <c r="A90" i="12"/>
  <c r="V47" i="12" l="1"/>
  <c r="B47" i="12"/>
  <c r="H47" i="12"/>
  <c r="I47" i="12"/>
  <c r="V51" i="12"/>
  <c r="B51" i="12"/>
  <c r="H51" i="12"/>
  <c r="I51" i="12"/>
  <c r="V90" i="12"/>
  <c r="B90" i="12"/>
  <c r="H90" i="12"/>
  <c r="I90" i="12"/>
  <c r="A95" i="13"/>
  <c r="E95" i="13" s="1"/>
  <c r="P95" i="12" s="1"/>
  <c r="A94" i="13"/>
  <c r="E94" i="13" s="1"/>
  <c r="P94" i="12" s="1"/>
  <c r="A93" i="13"/>
  <c r="E93" i="13" s="1"/>
  <c r="P93" i="12" s="1"/>
  <c r="A92" i="13"/>
  <c r="E92" i="13" s="1"/>
  <c r="P92" i="12" s="1"/>
  <c r="W95" i="12"/>
  <c r="A95" i="12"/>
  <c r="W94" i="12"/>
  <c r="A94" i="12"/>
  <c r="H94" i="12" s="1"/>
  <c r="W93" i="12"/>
  <c r="A93" i="12"/>
  <c r="I93" i="12" s="1"/>
  <c r="W92" i="12"/>
  <c r="A92" i="12"/>
  <c r="B92" i="12" s="1"/>
  <c r="I92" i="12" l="1"/>
  <c r="I94" i="12"/>
  <c r="B93" i="12"/>
  <c r="V93" i="12"/>
  <c r="H95" i="12"/>
  <c r="H92" i="12"/>
  <c r="I95" i="12"/>
  <c r="V94" i="12"/>
  <c r="B94" i="12"/>
  <c r="H93" i="12"/>
  <c r="V95" i="12"/>
  <c r="V92" i="12"/>
  <c r="B95" i="12"/>
  <c r="A16" i="13"/>
  <c r="E16" i="13" s="1"/>
  <c r="P16" i="12" s="1"/>
  <c r="W16" i="12"/>
  <c r="A16" i="12"/>
  <c r="V16" i="12" l="1"/>
  <c r="B16" i="12"/>
  <c r="H16" i="12"/>
  <c r="I16" i="12"/>
  <c r="A61" i="13" l="1"/>
  <c r="E61" i="13" s="1"/>
  <c r="P61" i="12" s="1"/>
  <c r="W61" i="12"/>
  <c r="A61" i="12"/>
  <c r="A87" i="13"/>
  <c r="E87" i="13" s="1"/>
  <c r="P87" i="12" s="1"/>
  <c r="W87" i="12"/>
  <c r="A87" i="12"/>
  <c r="I87" i="12" s="1"/>
  <c r="H87" i="12" l="1"/>
  <c r="V61" i="12"/>
  <c r="B61" i="12"/>
  <c r="H61" i="12"/>
  <c r="I61" i="12"/>
  <c r="V87" i="12"/>
  <c r="B87" i="12"/>
  <c r="D61" i="13" l="1"/>
  <c r="A15" i="13"/>
  <c r="E15" i="13" s="1"/>
  <c r="P15" i="12" s="1"/>
  <c r="W15" i="12"/>
  <c r="A15" i="12"/>
  <c r="A14" i="13"/>
  <c r="E14" i="13" s="1"/>
  <c r="P14" i="12" s="1"/>
  <c r="X14" i="12"/>
  <c r="O14" i="12" s="1"/>
  <c r="D14" i="13" s="1"/>
  <c r="W14" i="12"/>
  <c r="A14" i="12"/>
  <c r="V15" i="12" l="1"/>
  <c r="B15" i="12"/>
  <c r="H15" i="12"/>
  <c r="I15" i="12"/>
  <c r="Y14" i="12"/>
  <c r="C14" i="13" l="1"/>
  <c r="A30" i="13" l="1"/>
  <c r="E30" i="13" s="1"/>
  <c r="P30" i="12" s="1"/>
  <c r="W30" i="12"/>
  <c r="A30" i="12"/>
  <c r="I30" i="12" s="1"/>
  <c r="B30" i="12" l="1"/>
  <c r="V30" i="12"/>
  <c r="H30" i="12"/>
  <c r="F60" i="13" l="1"/>
  <c r="A65" i="13"/>
  <c r="E65" i="13" s="1"/>
  <c r="P65" i="12" s="1"/>
  <c r="A64" i="13"/>
  <c r="E64" i="13" s="1"/>
  <c r="P64" i="12" s="1"/>
  <c r="A63" i="13"/>
  <c r="E63" i="13" s="1"/>
  <c r="P63" i="12" s="1"/>
  <c r="A62" i="13"/>
  <c r="E62" i="13" s="1"/>
  <c r="P62" i="12" s="1"/>
  <c r="A60" i="13"/>
  <c r="W65" i="12"/>
  <c r="A65" i="12"/>
  <c r="W64" i="12"/>
  <c r="A64" i="12"/>
  <c r="V64" i="12" s="1"/>
  <c r="W63" i="12"/>
  <c r="A63" i="12"/>
  <c r="H63" i="12" s="1"/>
  <c r="X62" i="12"/>
  <c r="O62" i="12" s="1"/>
  <c r="D62" i="13" s="1"/>
  <c r="W62" i="12"/>
  <c r="A62" i="12"/>
  <c r="W60" i="12"/>
  <c r="A60" i="12"/>
  <c r="B60" i="12" s="1"/>
  <c r="E60" i="13" l="1"/>
  <c r="P60" i="12" s="1"/>
  <c r="B64" i="12"/>
  <c r="H64" i="12"/>
  <c r="I63" i="12"/>
  <c r="Y62" i="12"/>
  <c r="Q62" i="12" s="1"/>
  <c r="C62" i="13"/>
  <c r="V65" i="12"/>
  <c r="B65" i="12"/>
  <c r="H60" i="12"/>
  <c r="I64" i="12"/>
  <c r="I60" i="12"/>
  <c r="V63" i="12"/>
  <c r="B63" i="12"/>
  <c r="H65" i="12"/>
  <c r="I65" i="12"/>
  <c r="V60" i="12"/>
  <c r="A58" i="13" l="1"/>
  <c r="E58" i="13" s="1"/>
  <c r="P58" i="12" s="1"/>
  <c r="A56" i="13"/>
  <c r="E56" i="13" s="1"/>
  <c r="P56" i="12" s="1"/>
  <c r="A55" i="13"/>
  <c r="E55" i="13" s="1"/>
  <c r="P55" i="12" s="1"/>
  <c r="W58" i="12"/>
  <c r="A58" i="12"/>
  <c r="H58" i="12" s="1"/>
  <c r="W56" i="12"/>
  <c r="A56" i="12"/>
  <c r="W55" i="12"/>
  <c r="A55" i="12"/>
  <c r="B55" i="12" s="1"/>
  <c r="A50" i="13"/>
  <c r="E50" i="13" s="1"/>
  <c r="P50" i="12" s="1"/>
  <c r="W50" i="12"/>
  <c r="A50" i="12"/>
  <c r="A86" i="13"/>
  <c r="E86" i="13" s="1"/>
  <c r="P86" i="12" s="1"/>
  <c r="W86" i="12"/>
  <c r="A86" i="12"/>
  <c r="I58" i="12" l="1"/>
  <c r="I55" i="12"/>
  <c r="V56" i="12"/>
  <c r="B56" i="12"/>
  <c r="H55" i="12"/>
  <c r="V58" i="12"/>
  <c r="B58" i="12"/>
  <c r="H56" i="12"/>
  <c r="I56" i="12"/>
  <c r="V55" i="12"/>
  <c r="V50" i="12"/>
  <c r="B50" i="12"/>
  <c r="H50" i="12"/>
  <c r="I50" i="12"/>
  <c r="A84" i="13" l="1"/>
  <c r="E84" i="13" s="1"/>
  <c r="P84" i="12" s="1"/>
  <c r="A83" i="13"/>
  <c r="E83" i="13" s="1"/>
  <c r="P83" i="12" s="1"/>
  <c r="A82" i="13"/>
  <c r="E82" i="13" s="1"/>
  <c r="P82" i="12" s="1"/>
  <c r="W84" i="12"/>
  <c r="A84" i="12"/>
  <c r="H84" i="12" s="1"/>
  <c r="W83" i="12"/>
  <c r="A83" i="12"/>
  <c r="I83" i="12" s="1"/>
  <c r="W82" i="12"/>
  <c r="A82" i="12"/>
  <c r="A91" i="13"/>
  <c r="E91" i="13" s="1"/>
  <c r="P91" i="12" s="1"/>
  <c r="A89" i="13"/>
  <c r="E89" i="13" s="1"/>
  <c r="P89" i="12" s="1"/>
  <c r="A88" i="13"/>
  <c r="E88" i="13" s="1"/>
  <c r="P88" i="12" s="1"/>
  <c r="A85" i="13"/>
  <c r="E85" i="13" s="1"/>
  <c r="P85" i="12" s="1"/>
  <c r="W91" i="12"/>
  <c r="A91" i="12"/>
  <c r="W89" i="12"/>
  <c r="A89" i="12"/>
  <c r="H89" i="12" s="1"/>
  <c r="X88" i="12"/>
  <c r="O88" i="12" s="1"/>
  <c r="D88" i="13" s="1"/>
  <c r="W88" i="12"/>
  <c r="A88" i="12"/>
  <c r="W85" i="12"/>
  <c r="A85" i="12"/>
  <c r="B85" i="12" s="1"/>
  <c r="H83" i="12" l="1"/>
  <c r="B84" i="12"/>
  <c r="I84" i="12"/>
  <c r="B83" i="12"/>
  <c r="V82" i="12"/>
  <c r="B82" i="12"/>
  <c r="B89" i="12"/>
  <c r="I89" i="12"/>
  <c r="V83" i="12"/>
  <c r="H82" i="12"/>
  <c r="I82" i="12"/>
  <c r="H85" i="12"/>
  <c r="I85" i="12"/>
  <c r="V84" i="12"/>
  <c r="C88" i="13"/>
  <c r="V91" i="12"/>
  <c r="B91" i="12"/>
  <c r="Y88" i="12"/>
  <c r="Q88" i="12" s="1"/>
  <c r="V89" i="12"/>
  <c r="H91" i="12"/>
  <c r="I91" i="12"/>
  <c r="V85" i="12"/>
  <c r="A49" i="13"/>
  <c r="E49" i="13" s="1"/>
  <c r="P49" i="12" s="1"/>
  <c r="A48" i="13"/>
  <c r="E48" i="13" s="1"/>
  <c r="P48" i="12" s="1"/>
  <c r="W49" i="12"/>
  <c r="A49" i="12"/>
  <c r="W48" i="12"/>
  <c r="A48" i="12"/>
  <c r="A44" i="13"/>
  <c r="E44" i="13" s="1"/>
  <c r="P44" i="12" s="1"/>
  <c r="W44" i="12"/>
  <c r="A44" i="12"/>
  <c r="V49" i="12" l="1"/>
  <c r="H48" i="12"/>
  <c r="B49" i="12"/>
  <c r="I48" i="12"/>
  <c r="H49" i="12"/>
  <c r="I49" i="12"/>
  <c r="V48" i="12"/>
  <c r="B48" i="12"/>
  <c r="V44" i="12"/>
  <c r="H44" i="12"/>
  <c r="I44" i="12"/>
  <c r="B44" i="12"/>
  <c r="A39" i="13" l="1"/>
  <c r="E39" i="13" s="1"/>
  <c r="P39" i="12" s="1"/>
  <c r="W39" i="12"/>
  <c r="A39" i="12"/>
  <c r="A81" i="13"/>
  <c r="A76" i="13"/>
  <c r="E76" i="13" s="1"/>
  <c r="P76" i="12" s="1"/>
  <c r="A75" i="13"/>
  <c r="E75" i="13" s="1"/>
  <c r="P75" i="12" s="1"/>
  <c r="W81" i="12"/>
  <c r="A81" i="12"/>
  <c r="V81" i="12" s="1"/>
  <c r="X76" i="12"/>
  <c r="Y76" i="12" s="1"/>
  <c r="W76" i="12"/>
  <c r="A76" i="12"/>
  <c r="X75" i="12"/>
  <c r="Y75" i="12" s="1"/>
  <c r="W75" i="12"/>
  <c r="A75" i="12"/>
  <c r="A34" i="13"/>
  <c r="E34" i="13" s="1"/>
  <c r="P34" i="12" s="1"/>
  <c r="W34" i="12"/>
  <c r="A34" i="12"/>
  <c r="A38" i="13"/>
  <c r="E38" i="13" s="1"/>
  <c r="P38" i="12" s="1"/>
  <c r="A37" i="13"/>
  <c r="E37" i="13" s="1"/>
  <c r="P37" i="12" s="1"/>
  <c r="W38" i="12"/>
  <c r="A38" i="12"/>
  <c r="B38" i="12" s="1"/>
  <c r="W37" i="12"/>
  <c r="A37" i="12"/>
  <c r="A26" i="13"/>
  <c r="E26" i="13" s="1"/>
  <c r="P26" i="12" s="1"/>
  <c r="W26" i="12"/>
  <c r="A26" i="12"/>
  <c r="A36" i="13"/>
  <c r="E36" i="13" s="1"/>
  <c r="P36" i="12" s="1"/>
  <c r="W36" i="12"/>
  <c r="A36" i="12"/>
  <c r="A32" i="13"/>
  <c r="E32" i="13" s="1"/>
  <c r="P32" i="12" s="1"/>
  <c r="W32" i="12"/>
  <c r="A32" i="12"/>
  <c r="A35" i="13"/>
  <c r="E35" i="13" s="1"/>
  <c r="P35" i="12" s="1"/>
  <c r="A33" i="13"/>
  <c r="E33" i="13" s="1"/>
  <c r="P33" i="12" s="1"/>
  <c r="A31" i="13"/>
  <c r="E31" i="13" s="1"/>
  <c r="P31" i="12" s="1"/>
  <c r="A29" i="13"/>
  <c r="E29" i="13" s="1"/>
  <c r="P29" i="12" s="1"/>
  <c r="A28" i="13"/>
  <c r="E28" i="13" s="1"/>
  <c r="P28" i="12" s="1"/>
  <c r="W35" i="12"/>
  <c r="A35" i="12"/>
  <c r="W33" i="12"/>
  <c r="A33" i="12"/>
  <c r="W31" i="12"/>
  <c r="A31" i="12"/>
  <c r="H31" i="12" s="1"/>
  <c r="W29" i="12"/>
  <c r="A29" i="12"/>
  <c r="I29" i="12" s="1"/>
  <c r="W28" i="12"/>
  <c r="A28" i="12"/>
  <c r="B28" i="12" s="1"/>
  <c r="A27" i="13"/>
  <c r="E27" i="13" s="1"/>
  <c r="P27" i="12" s="1"/>
  <c r="A24" i="13"/>
  <c r="E24" i="13" s="1"/>
  <c r="P24" i="12" s="1"/>
  <c r="A23" i="13"/>
  <c r="E23" i="13" s="1"/>
  <c r="P23" i="12" s="1"/>
  <c r="W27" i="12"/>
  <c r="A27" i="12"/>
  <c r="H27" i="12" s="1"/>
  <c r="W24" i="12"/>
  <c r="A24" i="12"/>
  <c r="H24" i="12" s="1"/>
  <c r="W23" i="12"/>
  <c r="A23" i="12"/>
  <c r="A59" i="13"/>
  <c r="E59" i="13" s="1"/>
  <c r="P59" i="12" s="1"/>
  <c r="W59" i="12"/>
  <c r="A59" i="12"/>
  <c r="A54" i="13"/>
  <c r="E54" i="13" s="1"/>
  <c r="P54" i="12" s="1"/>
  <c r="A53" i="13"/>
  <c r="A52" i="13"/>
  <c r="E52" i="13" s="1"/>
  <c r="P52" i="12" s="1"/>
  <c r="W54" i="12"/>
  <c r="A54" i="12"/>
  <c r="I54" i="12" s="1"/>
  <c r="W53" i="12"/>
  <c r="A53" i="12"/>
  <c r="I53" i="12" s="1"/>
  <c r="X52" i="12"/>
  <c r="O52" i="12" s="1"/>
  <c r="D52" i="13" s="1"/>
  <c r="W52" i="12"/>
  <c r="A52" i="12"/>
  <c r="A46" i="13"/>
  <c r="E46" i="13" s="1"/>
  <c r="P46" i="12" s="1"/>
  <c r="A45" i="13"/>
  <c r="W46" i="12"/>
  <c r="A46" i="12"/>
  <c r="X45" i="12"/>
  <c r="Y45" i="12" s="1"/>
  <c r="W45" i="12"/>
  <c r="A45" i="12"/>
  <c r="A43" i="13"/>
  <c r="E43" i="13" s="1"/>
  <c r="P43" i="12" s="1"/>
  <c r="A42" i="13"/>
  <c r="E42" i="13" s="1"/>
  <c r="P42" i="12" s="1"/>
  <c r="W43" i="12"/>
  <c r="A43" i="12"/>
  <c r="I43" i="12" s="1"/>
  <c r="X42" i="12"/>
  <c r="O42" i="12" s="1"/>
  <c r="D42" i="13" s="1"/>
  <c r="W42" i="12"/>
  <c r="A42" i="12"/>
  <c r="A41" i="13"/>
  <c r="E41" i="13" s="1"/>
  <c r="P41" i="12" s="1"/>
  <c r="A40" i="13"/>
  <c r="E40" i="13" s="1"/>
  <c r="P40" i="12" s="1"/>
  <c r="A22" i="13"/>
  <c r="E22" i="13" s="1"/>
  <c r="P22" i="12" s="1"/>
  <c r="W41" i="12"/>
  <c r="A41" i="12"/>
  <c r="W40" i="12"/>
  <c r="A40" i="12"/>
  <c r="X22" i="12"/>
  <c r="O22" i="12" s="1"/>
  <c r="D22" i="13" s="1"/>
  <c r="W22" i="12"/>
  <c r="A22" i="12"/>
  <c r="V39" i="12" l="1"/>
  <c r="B39" i="12"/>
  <c r="H39" i="12"/>
  <c r="I39" i="12"/>
  <c r="C76" i="13"/>
  <c r="O76" i="12"/>
  <c r="D76" i="13" s="1"/>
  <c r="O75" i="12"/>
  <c r="D75" i="13" s="1"/>
  <c r="B81" i="12"/>
  <c r="C75" i="13"/>
  <c r="H81" i="12"/>
  <c r="I81" i="12"/>
  <c r="E81" i="13"/>
  <c r="P81" i="12" s="1"/>
  <c r="V34" i="12"/>
  <c r="B34" i="12"/>
  <c r="H34" i="12"/>
  <c r="I34" i="12"/>
  <c r="V38" i="12"/>
  <c r="H37" i="12"/>
  <c r="I37" i="12"/>
  <c r="H38" i="12"/>
  <c r="I38" i="12"/>
  <c r="V37" i="12"/>
  <c r="B37" i="12"/>
  <c r="I26" i="12"/>
  <c r="V26" i="12"/>
  <c r="B26" i="12"/>
  <c r="H26" i="12"/>
  <c r="V36" i="12"/>
  <c r="B36" i="12"/>
  <c r="H36" i="12"/>
  <c r="I36" i="12"/>
  <c r="B32" i="12"/>
  <c r="H32" i="12"/>
  <c r="I32" i="12"/>
  <c r="V32" i="12"/>
  <c r="I31" i="12"/>
  <c r="I24" i="12"/>
  <c r="H28" i="12"/>
  <c r="I28" i="12"/>
  <c r="V35" i="12"/>
  <c r="V29" i="12"/>
  <c r="B35" i="12"/>
  <c r="B29" i="12"/>
  <c r="V31" i="12"/>
  <c r="B31" i="12"/>
  <c r="H35" i="12"/>
  <c r="H29" i="12"/>
  <c r="I35" i="12"/>
  <c r="V28" i="12"/>
  <c r="V23" i="12"/>
  <c r="B23" i="12"/>
  <c r="I27" i="12"/>
  <c r="V24" i="12"/>
  <c r="B24" i="12"/>
  <c r="H23" i="12"/>
  <c r="I23" i="12"/>
  <c r="V27" i="12"/>
  <c r="B27" i="12"/>
  <c r="B59" i="12"/>
  <c r="H59" i="12"/>
  <c r="I59" i="12"/>
  <c r="V59" i="12"/>
  <c r="H54" i="12"/>
  <c r="E53" i="13"/>
  <c r="P53" i="12" s="1"/>
  <c r="Y52" i="12"/>
  <c r="B53" i="12"/>
  <c r="V54" i="12"/>
  <c r="B54" i="12"/>
  <c r="H53" i="12"/>
  <c r="V53" i="12"/>
  <c r="O45" i="12"/>
  <c r="D45" i="13" s="1"/>
  <c r="C45" i="13"/>
  <c r="H46" i="12"/>
  <c r="E45" i="13"/>
  <c r="P45" i="12" s="1"/>
  <c r="I46" i="12"/>
  <c r="B46" i="12"/>
  <c r="V46" i="12"/>
  <c r="Y42" i="12"/>
  <c r="V43" i="12"/>
  <c r="B43" i="12"/>
  <c r="H43" i="12"/>
  <c r="Y22" i="12"/>
  <c r="H41" i="12"/>
  <c r="I41" i="12"/>
  <c r="V41" i="12"/>
  <c r="B41" i="12"/>
  <c r="A21" i="13"/>
  <c r="E21" i="13" s="1"/>
  <c r="P21" i="12" s="1"/>
  <c r="A20" i="13"/>
  <c r="A19" i="13"/>
  <c r="A18" i="13"/>
  <c r="E18" i="13" s="1"/>
  <c r="P18" i="12" s="1"/>
  <c r="A17" i="13"/>
  <c r="W21" i="12"/>
  <c r="A21" i="12"/>
  <c r="W20" i="12"/>
  <c r="A20" i="12"/>
  <c r="W19" i="12"/>
  <c r="A19" i="12"/>
  <c r="H19" i="12" s="1"/>
  <c r="W18" i="12"/>
  <c r="A18" i="12"/>
  <c r="X17" i="12"/>
  <c r="O17" i="12" s="1"/>
  <c r="D17" i="13" s="1"/>
  <c r="W17" i="12"/>
  <c r="A17" i="12"/>
  <c r="N17" i="12" s="1"/>
  <c r="C52" i="13" l="1"/>
  <c r="C42" i="13"/>
  <c r="C22" i="13"/>
  <c r="H20" i="12"/>
  <c r="I20" i="12"/>
  <c r="I19" i="12"/>
  <c r="Y17" i="12"/>
  <c r="Q17" i="12" s="1"/>
  <c r="E19" i="13"/>
  <c r="P19" i="12" s="1"/>
  <c r="H21" i="12"/>
  <c r="E20" i="13"/>
  <c r="P20" i="12" s="1"/>
  <c r="E17" i="13"/>
  <c r="P17" i="12" s="1"/>
  <c r="V20" i="12"/>
  <c r="V21" i="12"/>
  <c r="B20" i="12"/>
  <c r="B21" i="12"/>
  <c r="V19" i="12"/>
  <c r="B19" i="12"/>
  <c r="I21" i="12"/>
  <c r="X33" i="12"/>
  <c r="C17" i="13" l="1"/>
  <c r="Y33" i="12"/>
  <c r="Q33" i="12" s="1"/>
  <c r="O33" i="12"/>
  <c r="D33" i="13" l="1"/>
  <c r="C33" i="13"/>
  <c r="E7" i="13"/>
  <c r="P9" i="12"/>
  <c r="F10" i="13"/>
  <c r="G10" i="13" s="1"/>
  <c r="H10" i="13" s="1"/>
  <c r="I10" i="13" s="1"/>
  <c r="J10" i="13" s="1"/>
  <c r="K10" i="13" s="1"/>
  <c r="L10" i="13" s="1"/>
  <c r="M10" i="13" s="1"/>
  <c r="N10" i="13" s="1"/>
  <c r="O10" i="13" s="1"/>
  <c r="U10" i="13"/>
  <c r="AC9" i="11"/>
  <c r="AC10" i="11" s="1"/>
  <c r="K104" i="12"/>
  <c r="X13" i="12"/>
  <c r="Y13" i="12" s="1"/>
  <c r="W13" i="12"/>
  <c r="N24" i="17"/>
  <c r="N26" i="17" s="1"/>
  <c r="Q224" i="16"/>
  <c r="Q223" i="16"/>
  <c r="P2" i="11"/>
  <c r="A20" i="11"/>
  <c r="A23" i="11" s="1"/>
  <c r="Q10" i="12"/>
  <c r="Q11" i="17"/>
  <c r="I37" i="17" s="1"/>
  <c r="N8" i="11"/>
  <c r="O9" i="11"/>
  <c r="P9" i="11" s="1"/>
  <c r="O10" i="11"/>
  <c r="A13" i="11"/>
  <c r="M11" i="11" s="1"/>
  <c r="D17" i="11"/>
  <c r="L62" i="11"/>
  <c r="K110" i="12"/>
  <c r="B101" i="13" s="1"/>
  <c r="A11" i="13"/>
  <c r="E11" i="13" s="1"/>
  <c r="P11" i="12" s="1"/>
  <c r="X11" i="12"/>
  <c r="J12" i="12"/>
  <c r="A12" i="13" s="1"/>
  <c r="N12" i="12"/>
  <c r="U12" i="12" s="1"/>
  <c r="A13" i="13"/>
  <c r="K107" i="12"/>
  <c r="B98" i="13" s="1"/>
  <c r="N2" i="12"/>
  <c r="Y10" i="12"/>
  <c r="Z10" i="12"/>
  <c r="A11" i="12"/>
  <c r="C11" i="12" s="1"/>
  <c r="W11" i="12"/>
  <c r="A13" i="12"/>
  <c r="D13" i="12" s="1"/>
  <c r="D14" i="12" s="1"/>
  <c r="D15" i="12" s="1"/>
  <c r="D16" i="12" s="1"/>
  <c r="N1" i="17"/>
  <c r="C2" i="17"/>
  <c r="A3" i="17"/>
  <c r="A4" i="17" s="1"/>
  <c r="I5" i="17"/>
  <c r="K5" i="17"/>
  <c r="C8" i="17"/>
  <c r="I8" i="17"/>
  <c r="C9" i="17"/>
  <c r="C10" i="17"/>
  <c r="C11" i="17"/>
  <c r="C12" i="17"/>
  <c r="C13" i="17"/>
  <c r="C14" i="17"/>
  <c r="A15" i="17"/>
  <c r="C15" i="17" s="1"/>
  <c r="I18" i="17"/>
  <c r="M18" i="17"/>
  <c r="I19" i="17"/>
  <c r="M19" i="17"/>
  <c r="I20" i="17"/>
  <c r="M20" i="17"/>
  <c r="C21" i="17"/>
  <c r="I21" i="17"/>
  <c r="M21" i="17"/>
  <c r="A22" i="17"/>
  <c r="C22" i="17" s="1"/>
  <c r="I22" i="17"/>
  <c r="M22" i="17"/>
  <c r="C27" i="17"/>
  <c r="A28" i="17"/>
  <c r="C28" i="17" s="1"/>
  <c r="A29" i="17"/>
  <c r="C29" i="17" s="1"/>
  <c r="I29" i="17"/>
  <c r="M32" i="17"/>
  <c r="I35" i="17"/>
  <c r="C38" i="17"/>
  <c r="A39" i="17"/>
  <c r="C39" i="17" s="1"/>
  <c r="C44" i="17"/>
  <c r="A45" i="17"/>
  <c r="C45" i="17" s="1"/>
  <c r="A46" i="17"/>
  <c r="A47" i="17" s="1"/>
  <c r="J47" i="17"/>
  <c r="J48" i="17"/>
  <c r="J49" i="17"/>
  <c r="J50" i="17"/>
  <c r="A55" i="16"/>
  <c r="G55" i="16"/>
  <c r="A56" i="16"/>
  <c r="G56" i="16" s="1"/>
  <c r="A57" i="16"/>
  <c r="I50" i="17" s="1"/>
  <c r="A220" i="16"/>
  <c r="C220" i="16"/>
  <c r="F220" i="16"/>
  <c r="J220" i="16"/>
  <c r="A221" i="16"/>
  <c r="C221" i="16"/>
  <c r="F221" i="16"/>
  <c r="J221" i="16"/>
  <c r="L221" i="16"/>
  <c r="N221" i="16"/>
  <c r="A223" i="16"/>
  <c r="G223" i="16"/>
  <c r="K223" i="16"/>
  <c r="P220" i="16"/>
  <c r="A224" i="16"/>
  <c r="G224" i="16"/>
  <c r="H224" i="16"/>
  <c r="J224" i="16"/>
  <c r="K224" i="16"/>
  <c r="P221" i="16"/>
  <c r="A226" i="16"/>
  <c r="C226" i="16"/>
  <c r="D226" i="16"/>
  <c r="G226" i="16"/>
  <c r="T226" i="16"/>
  <c r="U226" i="16"/>
  <c r="V226" i="16"/>
  <c r="W226" i="16"/>
  <c r="X226" i="16"/>
  <c r="A227" i="16"/>
  <c r="C227" i="16"/>
  <c r="D227" i="16"/>
  <c r="E227" i="16"/>
  <c r="F227" i="16"/>
  <c r="G227" i="16"/>
  <c r="H227" i="16"/>
  <c r="I227" i="16"/>
  <c r="J227" i="16"/>
  <c r="K227" i="16"/>
  <c r="L227" i="16"/>
  <c r="M227" i="16"/>
  <c r="N227" i="16"/>
  <c r="O227" i="16"/>
  <c r="P227" i="16"/>
  <c r="Q227" i="16"/>
  <c r="R227" i="16"/>
  <c r="S227" i="16"/>
  <c r="A230" i="16"/>
  <c r="C230" i="16"/>
  <c r="E230" i="16"/>
  <c r="G230" i="16"/>
  <c r="H230" i="16"/>
  <c r="I230" i="16"/>
  <c r="J230" i="16"/>
  <c r="K230" i="16"/>
  <c r="M230" i="16"/>
  <c r="N230" i="16"/>
  <c r="O230" i="16"/>
  <c r="Q230" i="16"/>
  <c r="S230" i="16"/>
  <c r="U230" i="16"/>
  <c r="W230" i="16"/>
  <c r="G57" i="16"/>
  <c r="D13" i="13"/>
  <c r="V38" i="16"/>
  <c r="X38" i="16"/>
  <c r="W38" i="16"/>
  <c r="U38" i="16"/>
  <c r="C3" i="17" l="1"/>
  <c r="A5" i="17"/>
  <c r="A6" i="17" s="1"/>
  <c r="C4" i="17"/>
  <c r="A48" i="17"/>
  <c r="C47" i="17"/>
  <c r="C46" i="17"/>
  <c r="A23" i="17"/>
  <c r="A26" i="11"/>
  <c r="I11" i="12"/>
  <c r="S13" i="12"/>
  <c r="V13" i="12"/>
  <c r="F13" i="12"/>
  <c r="F14" i="12" s="1"/>
  <c r="F15" i="12" s="1"/>
  <c r="F16" i="12" s="1"/>
  <c r="E13" i="12"/>
  <c r="E14" i="12" s="1"/>
  <c r="E15" i="12" s="1"/>
  <c r="E16" i="12" s="1"/>
  <c r="C13" i="12"/>
  <c r="C14" i="12" s="1"/>
  <c r="G13" i="12"/>
  <c r="G14" i="12" s="1"/>
  <c r="G15" i="12" s="1"/>
  <c r="G16" i="12" s="1"/>
  <c r="D11" i="12"/>
  <c r="H11" i="12"/>
  <c r="E11" i="12"/>
  <c r="G11" i="12"/>
  <c r="A5" i="12"/>
  <c r="V11" i="12"/>
  <c r="B11" i="12"/>
  <c r="N11" i="12"/>
  <c r="C11" i="13" s="1"/>
  <c r="I42" i="17"/>
  <c r="C12" i="13"/>
  <c r="L65" i="11"/>
  <c r="L11" i="11"/>
  <c r="A7" i="17"/>
  <c r="C7" i="17" s="1"/>
  <c r="C6" i="17"/>
  <c r="Q9" i="11"/>
  <c r="R9" i="11" s="1"/>
  <c r="S9" i="11" s="1"/>
  <c r="T9" i="11" s="1"/>
  <c r="U9" i="11" s="1"/>
  <c r="V9" i="11" s="1"/>
  <c r="W9" i="11" s="1"/>
  <c r="P10" i="11"/>
  <c r="C13" i="13"/>
  <c r="A32" i="17"/>
  <c r="C5" i="17"/>
  <c r="Q26" i="17" s="1"/>
  <c r="I49" i="17"/>
  <c r="K13" i="11"/>
  <c r="N11" i="11" s="1"/>
  <c r="Q18" i="17"/>
  <c r="A40" i="17"/>
  <c r="A17" i="17"/>
  <c r="C13" i="11"/>
  <c r="F13" i="11" s="1"/>
  <c r="Q21" i="17"/>
  <c r="O42" i="17"/>
  <c r="F11" i="12"/>
  <c r="S111" i="16"/>
  <c r="W227" i="16"/>
  <c r="X227" i="16"/>
  <c r="S112" i="16"/>
  <c r="U227" i="16"/>
  <c r="S109" i="16"/>
  <c r="S110" i="16"/>
  <c r="V227" i="16"/>
  <c r="O11" i="12"/>
  <c r="D11" i="13" s="1"/>
  <c r="Y11" i="12"/>
  <c r="M33" i="17"/>
  <c r="L32" i="17"/>
  <c r="N25" i="17"/>
  <c r="E13" i="13"/>
  <c r="P13" i="12" s="1"/>
  <c r="V14" i="12" l="1"/>
  <c r="K14" i="12"/>
  <c r="B14" i="13" s="1"/>
  <c r="C15" i="12"/>
  <c r="P19" i="17"/>
  <c r="Q20" i="17"/>
  <c r="P22" i="17"/>
  <c r="R19" i="17"/>
  <c r="R20" i="17"/>
  <c r="P20" i="17"/>
  <c r="A49" i="17"/>
  <c r="C49" i="17" s="1"/>
  <c r="C48" i="17"/>
  <c r="P18" i="17"/>
  <c r="P21" i="17"/>
  <c r="Q22" i="17"/>
  <c r="C23" i="17"/>
  <c r="A24" i="17"/>
  <c r="Q19" i="17"/>
  <c r="R18" i="17"/>
  <c r="A29" i="11"/>
  <c r="A32" i="11" s="1"/>
  <c r="K13" i="12"/>
  <c r="L18" i="11" s="1"/>
  <c r="C20" i="11"/>
  <c r="E20" i="11" s="1"/>
  <c r="M18" i="11"/>
  <c r="K11" i="12"/>
  <c r="B11" i="13" s="1"/>
  <c r="U11" i="12"/>
  <c r="G13" i="11"/>
  <c r="Q10" i="11"/>
  <c r="S10" i="11" s="1"/>
  <c r="U10" i="11" s="1"/>
  <c r="W10" i="11" s="1"/>
  <c r="H13" i="11"/>
  <c r="E13" i="11"/>
  <c r="C40" i="17"/>
  <c r="A41" i="17"/>
  <c r="A33" i="17"/>
  <c r="C32" i="17"/>
  <c r="R10" i="11"/>
  <c r="T10" i="11" s="1"/>
  <c r="V10" i="11" s="1"/>
  <c r="B13" i="11"/>
  <c r="I13" i="11"/>
  <c r="J13" i="11"/>
  <c r="C17" i="17"/>
  <c r="A18" i="17"/>
  <c r="R22" i="17"/>
  <c r="R21" i="17"/>
  <c r="R26" i="17"/>
  <c r="P26" i="17"/>
  <c r="O25" i="17"/>
  <c r="N27" i="17"/>
  <c r="T38" i="16"/>
  <c r="Z80" i="12" l="1"/>
  <c r="Z78" i="12"/>
  <c r="Z77" i="12"/>
  <c r="Z79" i="12"/>
  <c r="Z57" i="12"/>
  <c r="Z25" i="12"/>
  <c r="A35" i="11"/>
  <c r="Z69" i="12"/>
  <c r="Z70" i="12"/>
  <c r="Z71" i="12"/>
  <c r="Z68" i="12"/>
  <c r="Z73" i="12"/>
  <c r="Z72" i="12"/>
  <c r="Z67" i="12"/>
  <c r="Z74" i="12"/>
  <c r="Z66" i="12"/>
  <c r="S66" i="12" s="1"/>
  <c r="Z47" i="12"/>
  <c r="Z51" i="12"/>
  <c r="Z90" i="12"/>
  <c r="Z94" i="12"/>
  <c r="Z93" i="12"/>
  <c r="Z92" i="12"/>
  <c r="Z95" i="12"/>
  <c r="Z16" i="12"/>
  <c r="K15" i="12"/>
  <c r="B15" i="13" s="1"/>
  <c r="C16" i="12"/>
  <c r="Z61" i="12"/>
  <c r="Z87" i="12"/>
  <c r="Z15" i="12"/>
  <c r="Z14" i="12"/>
  <c r="S14" i="12" s="1"/>
  <c r="Z30" i="12"/>
  <c r="Z63" i="12"/>
  <c r="Z62" i="12"/>
  <c r="S62" i="12" s="1"/>
  <c r="Z65" i="12"/>
  <c r="Z60" i="12"/>
  <c r="Z64" i="12"/>
  <c r="Z58" i="12"/>
  <c r="Z56" i="12"/>
  <c r="Z55" i="12"/>
  <c r="Z50" i="12"/>
  <c r="Z86" i="12"/>
  <c r="Z83" i="12"/>
  <c r="Z84" i="12"/>
  <c r="Z82" i="12"/>
  <c r="Z89" i="12"/>
  <c r="Z88" i="12"/>
  <c r="S88" i="12" s="1"/>
  <c r="Z85" i="12"/>
  <c r="Z91" i="12"/>
  <c r="Z49" i="12"/>
  <c r="Z48" i="12"/>
  <c r="Z44" i="12"/>
  <c r="Z39" i="12"/>
  <c r="Z81" i="12"/>
  <c r="Z75" i="12"/>
  <c r="S75" i="12" s="1"/>
  <c r="Z76" i="12"/>
  <c r="S76" i="12" s="1"/>
  <c r="Z34" i="12"/>
  <c r="Z37" i="12"/>
  <c r="Z38" i="12"/>
  <c r="Z26" i="12"/>
  <c r="Z36" i="12"/>
  <c r="Z32" i="12"/>
  <c r="Z31" i="12"/>
  <c r="Z29" i="12"/>
  <c r="Z35" i="12"/>
  <c r="Z28" i="12"/>
  <c r="Z33" i="12"/>
  <c r="S33" i="12" s="1"/>
  <c r="Z24" i="12"/>
  <c r="Z23" i="12"/>
  <c r="Z27" i="12"/>
  <c r="Z59" i="12"/>
  <c r="Z54" i="12"/>
  <c r="Z53" i="12"/>
  <c r="Z52" i="12"/>
  <c r="S52" i="12" s="1"/>
  <c r="Z46" i="12"/>
  <c r="Z45" i="12"/>
  <c r="S45" i="12" s="1"/>
  <c r="Z42" i="12"/>
  <c r="S42" i="12" s="1"/>
  <c r="Z43" i="12"/>
  <c r="Z40" i="12"/>
  <c r="S40" i="12" s="1"/>
  <c r="Z22" i="12"/>
  <c r="S22" i="12" s="1"/>
  <c r="Z41" i="12"/>
  <c r="Z19" i="12"/>
  <c r="Z17" i="12"/>
  <c r="S17" i="12" s="1"/>
  <c r="Z20" i="12"/>
  <c r="Z18" i="12"/>
  <c r="Z21" i="12"/>
  <c r="O26" i="17"/>
  <c r="O27" i="17" s="1"/>
  <c r="C24" i="17"/>
  <c r="A25" i="17"/>
  <c r="B13" i="13"/>
  <c r="H20" i="11"/>
  <c r="F20" i="11"/>
  <c r="G20" i="11"/>
  <c r="C41" i="17"/>
  <c r="A42" i="17"/>
  <c r="A19" i="17"/>
  <c r="C18" i="17"/>
  <c r="R13" i="11"/>
  <c r="T12" i="11"/>
  <c r="S12" i="11"/>
  <c r="U12" i="11"/>
  <c r="U13" i="11"/>
  <c r="T11" i="11"/>
  <c r="AC11" i="11"/>
  <c r="V13" i="11"/>
  <c r="AC12" i="11"/>
  <c r="Q12" i="11"/>
  <c r="R12" i="11"/>
  <c r="R11" i="11"/>
  <c r="Q13" i="11"/>
  <c r="P12" i="11"/>
  <c r="W12" i="11"/>
  <c r="V11" i="11"/>
  <c r="W13" i="11"/>
  <c r="P11" i="11"/>
  <c r="T13" i="11"/>
  <c r="U11" i="11"/>
  <c r="P13" i="11"/>
  <c r="AC13" i="11"/>
  <c r="W11" i="11"/>
  <c r="S11" i="11"/>
  <c r="Q11" i="11"/>
  <c r="V12" i="11"/>
  <c r="S13" i="11"/>
  <c r="D13" i="11"/>
  <c r="C33" i="17"/>
  <c r="A34" i="17"/>
  <c r="C34" i="17" s="1"/>
  <c r="Z13" i="12"/>
  <c r="S108" i="16"/>
  <c r="Z11" i="12"/>
  <c r="S11" i="12" s="1"/>
  <c r="T11" i="12" s="1"/>
  <c r="T227" i="16"/>
  <c r="A38" i="11" l="1"/>
  <c r="K16" i="12"/>
  <c r="B16" i="13" s="1"/>
  <c r="V27" i="17"/>
  <c r="T16" i="17" s="1"/>
  <c r="C25" i="17"/>
  <c r="A26" i="17"/>
  <c r="C26" i="17" s="1"/>
  <c r="C19" i="17"/>
  <c r="A20" i="17"/>
  <c r="C20" i="17" s="1"/>
  <c r="A43" i="17"/>
  <c r="C43" i="17" s="1"/>
  <c r="C42" i="17"/>
  <c r="A41" i="11" l="1"/>
  <c r="V17" i="12"/>
  <c r="A44" i="11" l="1"/>
  <c r="C23" i="11"/>
  <c r="H23" i="11" s="1"/>
  <c r="V18" i="12"/>
  <c r="V22" i="12" s="1"/>
  <c r="A47" i="11" l="1"/>
  <c r="V33" i="12"/>
  <c r="B20" i="11"/>
  <c r="F23" i="11"/>
  <c r="G23" i="11"/>
  <c r="E23" i="11"/>
  <c r="C26" i="11"/>
  <c r="H26" i="11" s="1"/>
  <c r="M24" i="11"/>
  <c r="V40" i="12" l="1"/>
  <c r="C35" i="11" s="1"/>
  <c r="M30" i="11"/>
  <c r="C32" i="11"/>
  <c r="A50" i="11"/>
  <c r="M27" i="11"/>
  <c r="C29" i="11"/>
  <c r="H29" i="11" s="1"/>
  <c r="B23" i="11"/>
  <c r="E26" i="11"/>
  <c r="G26" i="11"/>
  <c r="F26" i="11"/>
  <c r="F17" i="12"/>
  <c r="F18" i="12" s="1"/>
  <c r="F19" i="12" s="1"/>
  <c r="F20" i="12" s="1"/>
  <c r="F21" i="12" s="1"/>
  <c r="E17" i="12"/>
  <c r="E18" i="12" s="1"/>
  <c r="E19" i="12" s="1"/>
  <c r="E20" i="12" s="1"/>
  <c r="E21" i="12" s="1"/>
  <c r="V42" i="12" l="1"/>
  <c r="V45" i="12" s="1"/>
  <c r="V52" i="12" s="1"/>
  <c r="M33" i="11"/>
  <c r="C38" i="11"/>
  <c r="B35" i="11" s="1"/>
  <c r="B32" i="11"/>
  <c r="P30" i="11" s="1"/>
  <c r="H32" i="11"/>
  <c r="G32" i="11"/>
  <c r="H35" i="11"/>
  <c r="G35" i="11"/>
  <c r="M42" i="11"/>
  <c r="A53" i="11"/>
  <c r="M39" i="11"/>
  <c r="M36" i="11"/>
  <c r="C41" i="11"/>
  <c r="C44" i="11"/>
  <c r="F29" i="11"/>
  <c r="F32" i="11" s="1"/>
  <c r="V62" i="12"/>
  <c r="M45" i="11" s="1"/>
  <c r="B26" i="11"/>
  <c r="E29" i="11"/>
  <c r="B29" i="11"/>
  <c r="AC27" i="11" s="1"/>
  <c r="AC28" i="11" s="1"/>
  <c r="G29" i="11"/>
  <c r="E22" i="12"/>
  <c r="E23" i="12" s="1"/>
  <c r="E24" i="12" s="1"/>
  <c r="E25" i="12" s="1"/>
  <c r="F22" i="12"/>
  <c r="F23" i="12" s="1"/>
  <c r="F24" i="12" s="1"/>
  <c r="F25" i="12" s="1"/>
  <c r="E40" i="12"/>
  <c r="E41" i="12" s="1"/>
  <c r="E42" i="12" s="1"/>
  <c r="E43" i="12" s="1"/>
  <c r="F40" i="12"/>
  <c r="F41" i="12" s="1"/>
  <c r="F42" i="12" s="1"/>
  <c r="F43" i="12" s="1"/>
  <c r="J23" i="11"/>
  <c r="C47" i="11" l="1"/>
  <c r="H47" i="11" s="1"/>
  <c r="J29" i="11"/>
  <c r="A56" i="11"/>
  <c r="V30" i="11"/>
  <c r="U30" i="11"/>
  <c r="T30" i="11"/>
  <c r="R30" i="11"/>
  <c r="P31" i="11"/>
  <c r="AC30" i="11"/>
  <c r="AC31" i="11" s="1"/>
  <c r="W30" i="11"/>
  <c r="E32" i="11"/>
  <c r="E35" i="11" s="1"/>
  <c r="E38" i="11" s="1"/>
  <c r="B38" i="11"/>
  <c r="H38" i="11"/>
  <c r="G38" i="11"/>
  <c r="H44" i="11"/>
  <c r="G44" i="11"/>
  <c r="AC33" i="11"/>
  <c r="AC34" i="11" s="1"/>
  <c r="W33" i="11"/>
  <c r="V33" i="11"/>
  <c r="U33" i="11"/>
  <c r="T33" i="11"/>
  <c r="S33" i="11"/>
  <c r="P33" i="11"/>
  <c r="P34" i="11" s="1"/>
  <c r="H41" i="11"/>
  <c r="G41" i="11"/>
  <c r="B41" i="11"/>
  <c r="F35" i="11"/>
  <c r="F38" i="11" s="1"/>
  <c r="V66" i="12"/>
  <c r="V86" i="12"/>
  <c r="J26" i="11"/>
  <c r="P28" i="11"/>
  <c r="U27" i="11"/>
  <c r="E45" i="12"/>
  <c r="E46" i="12" s="1"/>
  <c r="E47" i="12" s="1"/>
  <c r="E44" i="12"/>
  <c r="F45" i="12"/>
  <c r="F46" i="12" s="1"/>
  <c r="F47" i="12" s="1"/>
  <c r="F44" i="12"/>
  <c r="T27" i="11"/>
  <c r="V27" i="11"/>
  <c r="W27" i="11"/>
  <c r="S27" i="11"/>
  <c r="F26" i="12"/>
  <c r="F27" i="12" s="1"/>
  <c r="F28" i="12" s="1"/>
  <c r="F29" i="12" s="1"/>
  <c r="E26" i="12"/>
  <c r="E27" i="12" s="1"/>
  <c r="E28" i="12" s="1"/>
  <c r="E29" i="12" s="1"/>
  <c r="F33" i="12"/>
  <c r="E33" i="12"/>
  <c r="B44" i="11" l="1"/>
  <c r="R42" i="11" s="1"/>
  <c r="G47" i="11"/>
  <c r="Q34" i="11"/>
  <c r="R34" i="11" s="1"/>
  <c r="E41" i="11"/>
  <c r="E44" i="11" s="1"/>
  <c r="E47" i="11" s="1"/>
  <c r="Q31" i="11"/>
  <c r="R31" i="11" s="1"/>
  <c r="F41" i="11"/>
  <c r="J38" i="11" s="1"/>
  <c r="J32" i="11"/>
  <c r="T36" i="11"/>
  <c r="S36" i="11"/>
  <c r="Q36" i="11"/>
  <c r="P36" i="11"/>
  <c r="P37" i="11" s="1"/>
  <c r="AC36" i="11"/>
  <c r="AC37" i="11" s="1"/>
  <c r="W36" i="11"/>
  <c r="V36" i="11"/>
  <c r="U36" i="11"/>
  <c r="M48" i="11"/>
  <c r="A59" i="11"/>
  <c r="V75" i="12"/>
  <c r="V76" i="12" s="1"/>
  <c r="C50" i="11"/>
  <c r="AC39" i="11"/>
  <c r="AC40" i="11" s="1"/>
  <c r="W39" i="11"/>
  <c r="V39" i="11"/>
  <c r="U39" i="11"/>
  <c r="T39" i="11"/>
  <c r="S39" i="11"/>
  <c r="P40" i="11"/>
  <c r="J35" i="11"/>
  <c r="Q28" i="11"/>
  <c r="R28" i="11" s="1"/>
  <c r="S28" i="11" s="1"/>
  <c r="T28" i="11" s="1"/>
  <c r="E30" i="12"/>
  <c r="E31" i="12" s="1"/>
  <c r="E32" i="12" s="1"/>
  <c r="F30" i="12"/>
  <c r="F31" i="12" s="1"/>
  <c r="F32" i="12" s="1"/>
  <c r="F52" i="12"/>
  <c r="F53" i="12" s="1"/>
  <c r="F54" i="12" s="1"/>
  <c r="F48" i="12"/>
  <c r="F49" i="12" s="1"/>
  <c r="F50" i="12" s="1"/>
  <c r="F51" i="12" s="1"/>
  <c r="E52" i="12"/>
  <c r="E53" i="12" s="1"/>
  <c r="E54" i="12" s="1"/>
  <c r="E48" i="12"/>
  <c r="E49" i="12" s="1"/>
  <c r="E50" i="12" s="1"/>
  <c r="E51" i="12" s="1"/>
  <c r="E34" i="12"/>
  <c r="E35" i="12" s="1"/>
  <c r="E36" i="12" s="1"/>
  <c r="E37" i="12" s="1"/>
  <c r="E38" i="12" s="1"/>
  <c r="E39" i="12" s="1"/>
  <c r="F34" i="12"/>
  <c r="F35" i="12" s="1"/>
  <c r="F36" i="12" s="1"/>
  <c r="F37" i="12" s="1"/>
  <c r="F38" i="12" s="1"/>
  <c r="F39" i="12" s="1"/>
  <c r="T42" i="11" l="1"/>
  <c r="U42" i="11"/>
  <c r="V42" i="11"/>
  <c r="W42" i="11"/>
  <c r="AC42" i="11"/>
  <c r="AC43" i="11" s="1"/>
  <c r="P42" i="11"/>
  <c r="P43" i="11" s="1"/>
  <c r="Q42" i="11"/>
  <c r="Q40" i="11"/>
  <c r="R40" i="11" s="1"/>
  <c r="S40" i="11" s="1"/>
  <c r="S31" i="11"/>
  <c r="Q37" i="11"/>
  <c r="R37" i="11" s="1"/>
  <c r="S34" i="11"/>
  <c r="H50" i="11"/>
  <c r="G50" i="11"/>
  <c r="E50" i="11"/>
  <c r="B47" i="11"/>
  <c r="F44" i="11"/>
  <c r="J41" i="11" s="1"/>
  <c r="M54" i="11"/>
  <c r="V88" i="12"/>
  <c r="C59" i="11" s="1"/>
  <c r="C53" i="11"/>
  <c r="B50" i="11" s="1"/>
  <c r="M51" i="11"/>
  <c r="C56" i="11"/>
  <c r="E55" i="12"/>
  <c r="E56" i="12" s="1"/>
  <c r="F55" i="12"/>
  <c r="F56" i="12" s="1"/>
  <c r="U28" i="11"/>
  <c r="F57" i="12" l="1"/>
  <c r="F58" i="12" s="1"/>
  <c r="F59" i="12" s="1"/>
  <c r="F60" i="12" s="1"/>
  <c r="E57" i="12"/>
  <c r="E58" i="12" s="1"/>
  <c r="E59" i="12" s="1"/>
  <c r="E60" i="12" s="1"/>
  <c r="Q43" i="11"/>
  <c r="R43" i="11" s="1"/>
  <c r="M57" i="11"/>
  <c r="S37" i="11"/>
  <c r="P48" i="11"/>
  <c r="P49" i="11" s="1"/>
  <c r="AC48" i="11"/>
  <c r="AC49" i="11" s="1"/>
  <c r="W48" i="11"/>
  <c r="V48" i="11"/>
  <c r="U48" i="11"/>
  <c r="T48" i="11"/>
  <c r="S48" i="11"/>
  <c r="Q48" i="11"/>
  <c r="T40" i="11"/>
  <c r="T31" i="11"/>
  <c r="F53" i="11"/>
  <c r="I50" i="11" s="1"/>
  <c r="E53" i="11"/>
  <c r="J20" i="11" s="1"/>
  <c r="B53" i="11"/>
  <c r="H53" i="11"/>
  <c r="G53" i="11"/>
  <c r="T34" i="11"/>
  <c r="AC45" i="11"/>
  <c r="AC46" i="11" s="1"/>
  <c r="W45" i="11"/>
  <c r="V45" i="11"/>
  <c r="U45" i="11"/>
  <c r="T45" i="11"/>
  <c r="S45" i="11"/>
  <c r="R45" i="11"/>
  <c r="P45" i="11"/>
  <c r="P46" i="11" s="1"/>
  <c r="B59" i="11"/>
  <c r="I59" i="11"/>
  <c r="H59" i="11"/>
  <c r="G59" i="11"/>
  <c r="H56" i="11"/>
  <c r="G56" i="11"/>
  <c r="B56" i="11"/>
  <c r="F47" i="11"/>
  <c r="F75" i="12"/>
  <c r="F76" i="12" s="1"/>
  <c r="E75" i="12"/>
  <c r="E76" i="12" s="1"/>
  <c r="F88" i="12"/>
  <c r="F89" i="12" s="1"/>
  <c r="E88" i="12"/>
  <c r="E89" i="12" s="1"/>
  <c r="V28" i="11"/>
  <c r="F77" i="12" l="1"/>
  <c r="F78" i="12" s="1"/>
  <c r="F79" i="12" s="1"/>
  <c r="E77" i="12"/>
  <c r="E78" i="12" s="1"/>
  <c r="E79" i="12" s="1"/>
  <c r="Q49" i="11"/>
  <c r="E56" i="11"/>
  <c r="E59" i="11" s="1"/>
  <c r="I20" i="11" s="1"/>
  <c r="D20" i="11" s="1"/>
  <c r="F56" i="11"/>
  <c r="R49" i="11"/>
  <c r="Q46" i="11"/>
  <c r="R46" i="11" s="1"/>
  <c r="U34" i="11"/>
  <c r="F50" i="11"/>
  <c r="I26" i="11" s="1"/>
  <c r="D26" i="11" s="1"/>
  <c r="U57" i="11"/>
  <c r="T57" i="11"/>
  <c r="S57" i="11"/>
  <c r="R57" i="11"/>
  <c r="P58" i="11"/>
  <c r="Q58" i="11" s="1"/>
  <c r="AC57" i="11"/>
  <c r="AC58" i="11" s="1"/>
  <c r="W57" i="11"/>
  <c r="V57" i="11"/>
  <c r="S43" i="11"/>
  <c r="U40" i="11"/>
  <c r="T37" i="11"/>
  <c r="AC54" i="11"/>
  <c r="AC55" i="11" s="1"/>
  <c r="W54" i="11"/>
  <c r="V54" i="11"/>
  <c r="U54" i="11"/>
  <c r="T54" i="11"/>
  <c r="Q54" i="11"/>
  <c r="P54" i="11"/>
  <c r="P55" i="11" s="1"/>
  <c r="F59" i="11"/>
  <c r="J56" i="11" s="1"/>
  <c r="J44" i="11"/>
  <c r="U31" i="11"/>
  <c r="E62" i="12"/>
  <c r="E63" i="12" s="1"/>
  <c r="E64" i="12" s="1"/>
  <c r="E65" i="12" s="1"/>
  <c r="E66" i="12" s="1"/>
  <c r="E67" i="12" s="1"/>
  <c r="E61" i="12"/>
  <c r="F62" i="12"/>
  <c r="F63" i="12" s="1"/>
  <c r="F64" i="12" s="1"/>
  <c r="F65" i="12" s="1"/>
  <c r="F66" i="12" s="1"/>
  <c r="F67" i="12" s="1"/>
  <c r="F61" i="12"/>
  <c r="W28" i="11"/>
  <c r="E80" i="12" l="1"/>
  <c r="E81" i="12" s="1"/>
  <c r="E82" i="12" s="1"/>
  <c r="E83" i="12" s="1"/>
  <c r="E84" i="12" s="1"/>
  <c r="E85" i="12" s="1"/>
  <c r="E86" i="12" s="1"/>
  <c r="E87" i="12" s="1"/>
  <c r="F80" i="12"/>
  <c r="F81" i="12" s="1"/>
  <c r="F82" i="12" s="1"/>
  <c r="F83" i="12" s="1"/>
  <c r="F84" i="12" s="1"/>
  <c r="F85" i="12" s="1"/>
  <c r="F86" i="12" s="1"/>
  <c r="F87" i="12" s="1"/>
  <c r="J53" i="11"/>
  <c r="I53" i="11"/>
  <c r="I35" i="11"/>
  <c r="D35" i="11" s="1"/>
  <c r="J47" i="11"/>
  <c r="I44" i="11"/>
  <c r="D44" i="11" s="1"/>
  <c r="I32" i="11"/>
  <c r="D32" i="11" s="1"/>
  <c r="Q55" i="11"/>
  <c r="R55" i="11" s="1"/>
  <c r="S55" i="11" s="1"/>
  <c r="R58" i="11"/>
  <c r="S58" i="11" s="1"/>
  <c r="V34" i="11"/>
  <c r="V40" i="11"/>
  <c r="I47" i="11"/>
  <c r="J50" i="11"/>
  <c r="D50" i="11" s="1"/>
  <c r="I41" i="11"/>
  <c r="D41" i="11" s="1"/>
  <c r="S46" i="11"/>
  <c r="I38" i="11"/>
  <c r="D38" i="11" s="1"/>
  <c r="J59" i="11"/>
  <c r="D59" i="11" s="1"/>
  <c r="I56" i="11"/>
  <c r="D56" i="11" s="1"/>
  <c r="V31" i="11"/>
  <c r="I29" i="11"/>
  <c r="D29" i="11" s="1"/>
  <c r="S49" i="11"/>
  <c r="U37" i="11"/>
  <c r="T43" i="11"/>
  <c r="I23" i="11"/>
  <c r="D23" i="11" s="1"/>
  <c r="F68" i="12"/>
  <c r="E68" i="12"/>
  <c r="E90" i="12"/>
  <c r="E91" i="12" s="1"/>
  <c r="E92" i="12" s="1"/>
  <c r="E93" i="12" s="1"/>
  <c r="E94" i="12" s="1"/>
  <c r="E95" i="12" s="1"/>
  <c r="F90" i="12"/>
  <c r="F91" i="12" s="1"/>
  <c r="F92" i="12" s="1"/>
  <c r="F93" i="12" s="1"/>
  <c r="F94" i="12" s="1"/>
  <c r="F95" i="12" s="1"/>
  <c r="D17" i="12"/>
  <c r="D47" i="11" l="1"/>
  <c r="D53" i="11"/>
  <c r="T46" i="11"/>
  <c r="T58" i="11"/>
  <c r="V37" i="11"/>
  <c r="T49" i="11"/>
  <c r="T55" i="11"/>
  <c r="U43" i="11"/>
  <c r="W34" i="11"/>
  <c r="W40" i="11"/>
  <c r="W31" i="11"/>
  <c r="E69" i="12"/>
  <c r="E70" i="12" s="1"/>
  <c r="E71" i="12" s="1"/>
  <c r="E72" i="12" s="1"/>
  <c r="E73" i="12" s="1"/>
  <c r="E74" i="12" s="1"/>
  <c r="F69" i="12"/>
  <c r="F70" i="12" s="1"/>
  <c r="F71" i="12" s="1"/>
  <c r="F72" i="12" s="1"/>
  <c r="F73" i="12" s="1"/>
  <c r="F74" i="12" s="1"/>
  <c r="I14" i="12"/>
  <c r="D18" i="12"/>
  <c r="V43" i="11" l="1"/>
  <c r="U58" i="11"/>
  <c r="U55" i="11"/>
  <c r="U49" i="11"/>
  <c r="W37" i="11"/>
  <c r="U46" i="11"/>
  <c r="D19" i="12"/>
  <c r="V55" i="11" l="1"/>
  <c r="W43" i="11"/>
  <c r="V46" i="11"/>
  <c r="V49" i="11"/>
  <c r="V58" i="11"/>
  <c r="D20" i="12"/>
  <c r="W58" i="11" l="1"/>
  <c r="W46" i="11"/>
  <c r="W49" i="11"/>
  <c r="W55" i="11"/>
  <c r="D21" i="12"/>
  <c r="M21" i="11"/>
  <c r="D22" i="12" l="1"/>
  <c r="D23" i="12" l="1"/>
  <c r="D24" i="12" s="1"/>
  <c r="D25" i="12" s="1"/>
  <c r="I18" i="12"/>
  <c r="D26" i="12" l="1"/>
  <c r="D27" i="12" s="1"/>
  <c r="D28" i="12" s="1"/>
  <c r="D29" i="12" s="1"/>
  <c r="D30" i="12" l="1"/>
  <c r="D31" i="12" s="1"/>
  <c r="D32" i="12" s="1"/>
  <c r="C17" i="12"/>
  <c r="D33" i="12" l="1"/>
  <c r="C18" i="12"/>
  <c r="D34" i="12" l="1"/>
  <c r="D35" i="12" s="1"/>
  <c r="D36" i="12" s="1"/>
  <c r="D37" i="12" s="1"/>
  <c r="D38" i="12" s="1"/>
  <c r="C19" i="12"/>
  <c r="D39" i="12" l="1"/>
  <c r="D40" i="12" s="1"/>
  <c r="C20" i="12"/>
  <c r="I33" i="12" l="1"/>
  <c r="D41" i="12"/>
  <c r="D42" i="12" s="1"/>
  <c r="D43" i="12" s="1"/>
  <c r="D44" i="12" s="1"/>
  <c r="C21" i="12"/>
  <c r="I40" i="12" l="1"/>
  <c r="D45" i="12"/>
  <c r="I42" i="12" s="1"/>
  <c r="C22" i="12" l="1"/>
  <c r="D46" i="12"/>
  <c r="D47" i="12" l="1"/>
  <c r="D48" i="12" s="1"/>
  <c r="D49" i="12" s="1"/>
  <c r="D50" i="12" s="1"/>
  <c r="D51" i="12" s="1"/>
  <c r="D52" i="12" s="1"/>
  <c r="C23" i="12"/>
  <c r="D53" i="12" l="1"/>
  <c r="C24" i="12"/>
  <c r="C25" i="12" s="1"/>
  <c r="C26" i="12" l="1"/>
  <c r="C27" i="12" s="1"/>
  <c r="D54" i="12"/>
  <c r="D55" i="12" s="1"/>
  <c r="D56" i="12" s="1"/>
  <c r="D57" i="12" l="1"/>
  <c r="D58" i="12" s="1"/>
  <c r="D59" i="12" s="1"/>
  <c r="D60" i="12" s="1"/>
  <c r="G17" i="12"/>
  <c r="D61" i="12" l="1"/>
  <c r="D62" i="12" s="1"/>
  <c r="D63" i="12" s="1"/>
  <c r="D75" i="12"/>
  <c r="C28" i="12"/>
  <c r="I22" i="12"/>
  <c r="G18" i="12"/>
  <c r="K17" i="12"/>
  <c r="D76" i="12" l="1"/>
  <c r="D64" i="12"/>
  <c r="C29" i="12"/>
  <c r="H18" i="12"/>
  <c r="B18" i="12" s="1"/>
  <c r="L21" i="11"/>
  <c r="B17" i="13"/>
  <c r="G19" i="12"/>
  <c r="K18" i="12"/>
  <c r="B18" i="13" s="1"/>
  <c r="D77" i="12" l="1"/>
  <c r="D78" i="12" s="1"/>
  <c r="D79" i="12" s="1"/>
  <c r="D65" i="12"/>
  <c r="D66" i="12" s="1"/>
  <c r="D67" i="12" s="1"/>
  <c r="D68" i="12" s="1"/>
  <c r="D69" i="12" s="1"/>
  <c r="C30" i="12"/>
  <c r="G20" i="12"/>
  <c r="K19" i="12"/>
  <c r="B19" i="13" s="1"/>
  <c r="D80" i="12" l="1"/>
  <c r="D81" i="12" s="1"/>
  <c r="D82" i="12" s="1"/>
  <c r="D83" i="12" s="1"/>
  <c r="D84" i="12" s="1"/>
  <c r="D85" i="12" s="1"/>
  <c r="D86" i="12" s="1"/>
  <c r="D70" i="12"/>
  <c r="D71" i="12" s="1"/>
  <c r="C31" i="12"/>
  <c r="C32" i="12" s="1"/>
  <c r="I45" i="12"/>
  <c r="G21" i="12"/>
  <c r="K20" i="12"/>
  <c r="B20" i="13" s="1"/>
  <c r="D72" i="12" l="1"/>
  <c r="D73" i="12" s="1"/>
  <c r="D74" i="12" s="1"/>
  <c r="H52" i="12" s="1"/>
  <c r="D87" i="12"/>
  <c r="D88" i="12" s="1"/>
  <c r="D89" i="12" s="1"/>
  <c r="K21" i="12"/>
  <c r="B21" i="13" s="1"/>
  <c r="H66" i="12" l="1"/>
  <c r="H40" i="12"/>
  <c r="B40" i="12" s="1"/>
  <c r="H42" i="12"/>
  <c r="B42" i="12" s="1"/>
  <c r="H45" i="12"/>
  <c r="B45" i="12" s="1"/>
  <c r="H62" i="12"/>
  <c r="H33" i="12"/>
  <c r="B33" i="12" s="1"/>
  <c r="H22" i="12"/>
  <c r="B22" i="12" s="1"/>
  <c r="H14" i="12"/>
  <c r="B14" i="12" s="1"/>
  <c r="C33" i="12"/>
  <c r="C34" i="12" s="1"/>
  <c r="C35" i="12" s="1"/>
  <c r="C36" i="12" s="1"/>
  <c r="C37" i="12" s="1"/>
  <c r="C38" i="12" s="1"/>
  <c r="C39" i="12" s="1"/>
  <c r="G22" i="12"/>
  <c r="D90" i="12" l="1"/>
  <c r="G23" i="12"/>
  <c r="K22" i="12"/>
  <c r="L24" i="11" s="1"/>
  <c r="D91" i="12" l="1"/>
  <c r="D92" i="12" s="1"/>
  <c r="D93" i="12" s="1"/>
  <c r="D94" i="12" s="1"/>
  <c r="D95" i="12" s="1"/>
  <c r="H88" i="12" s="1"/>
  <c r="G24" i="12"/>
  <c r="K23" i="12"/>
  <c r="B23" i="13" s="1"/>
  <c r="B22" i="13"/>
  <c r="G40" i="12"/>
  <c r="G25" i="12" l="1"/>
  <c r="K25" i="12" s="1"/>
  <c r="B25" i="13" s="1"/>
  <c r="I66" i="12"/>
  <c r="B66" i="12" s="1"/>
  <c r="I88" i="12"/>
  <c r="B88" i="12" s="1"/>
  <c r="I62" i="12"/>
  <c r="B62" i="12" s="1"/>
  <c r="C40" i="12"/>
  <c r="C41" i="12" s="1"/>
  <c r="C42" i="12" s="1"/>
  <c r="C43" i="12" s="1"/>
  <c r="K24" i="12"/>
  <c r="B24" i="13" s="1"/>
  <c r="G41" i="12"/>
  <c r="G26" i="12" l="1"/>
  <c r="K40" i="12"/>
  <c r="B40" i="13" s="1"/>
  <c r="C44" i="12"/>
  <c r="K41" i="12"/>
  <c r="B41" i="13" s="1"/>
  <c r="X40" i="12"/>
  <c r="K26" i="12" l="1"/>
  <c r="B26" i="13" s="1"/>
  <c r="G27" i="12"/>
  <c r="I76" i="12"/>
  <c r="G42" i="12"/>
  <c r="Y40" i="12"/>
  <c r="O40" i="12"/>
  <c r="G28" i="12" l="1"/>
  <c r="K27" i="12"/>
  <c r="B27" i="13" s="1"/>
  <c r="G43" i="12"/>
  <c r="K42" i="12"/>
  <c r="B42" i="13" s="1"/>
  <c r="C40" i="13"/>
  <c r="D40" i="13"/>
  <c r="G29" i="12" l="1"/>
  <c r="K28" i="12"/>
  <c r="B28" i="13" s="1"/>
  <c r="G45" i="12"/>
  <c r="G46" i="12" s="1"/>
  <c r="G44" i="12"/>
  <c r="C45" i="12"/>
  <c r="C46" i="12" s="1"/>
  <c r="C47" i="12" s="1"/>
  <c r="G33" i="12"/>
  <c r="G34" i="12" s="1"/>
  <c r="K34" i="12" s="1"/>
  <c r="B34" i="13" s="1"/>
  <c r="K43" i="12"/>
  <c r="B43" i="13" s="1"/>
  <c r="G30" i="12" l="1"/>
  <c r="K29" i="12"/>
  <c r="B29" i="13" s="1"/>
  <c r="G47" i="12"/>
  <c r="G48" i="12" s="1"/>
  <c r="G49" i="12" s="1"/>
  <c r="G50" i="12" s="1"/>
  <c r="G51" i="12" s="1"/>
  <c r="K45" i="12"/>
  <c r="C48" i="12"/>
  <c r="K44" i="12"/>
  <c r="B44" i="13" s="1"/>
  <c r="H76" i="12"/>
  <c r="B76" i="12" s="1"/>
  <c r="I52" i="12"/>
  <c r="B52" i="12" s="1"/>
  <c r="G35" i="12"/>
  <c r="K33" i="12"/>
  <c r="L30" i="11" s="1"/>
  <c r="K46" i="12"/>
  <c r="B46" i="13" s="1"/>
  <c r="G52" i="12"/>
  <c r="W24" i="11"/>
  <c r="T24" i="11"/>
  <c r="K30" i="12" l="1"/>
  <c r="B30" i="13" s="1"/>
  <c r="G31" i="12"/>
  <c r="B45" i="13"/>
  <c r="L39" i="11"/>
  <c r="K47" i="12"/>
  <c r="B47" i="13" s="1"/>
  <c r="K48" i="12"/>
  <c r="B48" i="13" s="1"/>
  <c r="C49" i="12"/>
  <c r="C50" i="12" s="1"/>
  <c r="B33" i="13"/>
  <c r="L27" i="11"/>
  <c r="K35" i="12"/>
  <c r="B35" i="13" s="1"/>
  <c r="G36" i="12"/>
  <c r="G53" i="12"/>
  <c r="V24" i="11"/>
  <c r="AC24" i="11"/>
  <c r="AC25" i="11" s="1"/>
  <c r="P25" i="11"/>
  <c r="U24" i="11"/>
  <c r="G32" i="12" l="1"/>
  <c r="K32" i="12" s="1"/>
  <c r="B32" i="13" s="1"/>
  <c r="K31" i="12"/>
  <c r="B31" i="13" s="1"/>
  <c r="K50" i="12"/>
  <c r="B50" i="13" s="1"/>
  <c r="C51" i="12"/>
  <c r="K49" i="12"/>
  <c r="B49" i="13" s="1"/>
  <c r="K36" i="12"/>
  <c r="B36" i="13" s="1"/>
  <c r="G37" i="12"/>
  <c r="G54" i="12"/>
  <c r="G55" i="12" s="1"/>
  <c r="G56" i="12" s="1"/>
  <c r="Q25" i="11"/>
  <c r="G57" i="12" l="1"/>
  <c r="G58" i="12" s="1"/>
  <c r="G59" i="12" s="1"/>
  <c r="G60" i="12" s="1"/>
  <c r="K51" i="12"/>
  <c r="B51" i="13" s="1"/>
  <c r="G38" i="12"/>
  <c r="K37" i="12"/>
  <c r="B37" i="13" s="1"/>
  <c r="R25" i="11"/>
  <c r="G62" i="12" l="1"/>
  <c r="G63" i="12" s="1"/>
  <c r="G64" i="12" s="1"/>
  <c r="G65" i="12" s="1"/>
  <c r="G66" i="12" s="1"/>
  <c r="G67" i="12" s="1"/>
  <c r="G61" i="12"/>
  <c r="K38" i="12"/>
  <c r="B38" i="13" s="1"/>
  <c r="G39" i="12"/>
  <c r="G75" i="12"/>
  <c r="S25" i="11"/>
  <c r="G68" i="12" l="1"/>
  <c r="C52" i="12"/>
  <c r="K39" i="12"/>
  <c r="B39" i="13" s="1"/>
  <c r="G76" i="12"/>
  <c r="G77" i="12" s="1"/>
  <c r="G78" i="12" s="1"/>
  <c r="G79" i="12" s="1"/>
  <c r="G80" i="12" s="1"/>
  <c r="T25" i="11"/>
  <c r="G69" i="12" l="1"/>
  <c r="G70" i="12" s="1"/>
  <c r="G71" i="12" s="1"/>
  <c r="G72" i="12" s="1"/>
  <c r="G73" i="12" s="1"/>
  <c r="G74" i="12" s="1"/>
  <c r="C53" i="12"/>
  <c r="K52" i="12"/>
  <c r="G81" i="12"/>
  <c r="U25" i="11"/>
  <c r="B52" i="13" l="1"/>
  <c r="L42" i="11"/>
  <c r="K53" i="12"/>
  <c r="B53" i="13" s="1"/>
  <c r="C54" i="12"/>
  <c r="G82" i="12"/>
  <c r="V25" i="11"/>
  <c r="C55" i="12" l="1"/>
  <c r="K54" i="12"/>
  <c r="B54" i="13" s="1"/>
  <c r="G83" i="12"/>
  <c r="G84" i="12" s="1"/>
  <c r="G85" i="12" s="1"/>
  <c r="G86" i="12" s="1"/>
  <c r="G87" i="12" s="1"/>
  <c r="G88" i="12"/>
  <c r="G89" i="12" s="1"/>
  <c r="W25" i="11"/>
  <c r="C56" i="12" l="1"/>
  <c r="C57" i="12" s="1"/>
  <c r="K57" i="12" s="1"/>
  <c r="B57" i="13" s="1"/>
  <c r="K55" i="12"/>
  <c r="B55" i="13" s="1"/>
  <c r="C58" i="12" l="1"/>
  <c r="K56" i="12"/>
  <c r="B56" i="13" s="1"/>
  <c r="G90" i="12"/>
  <c r="G91" i="12" s="1"/>
  <c r="G92" i="12" s="1"/>
  <c r="G93" i="12" s="1"/>
  <c r="G94" i="12" s="1"/>
  <c r="G95" i="12" s="1"/>
  <c r="I17" i="12"/>
  <c r="K58" i="12" l="1"/>
  <c r="B58" i="13" s="1"/>
  <c r="C59" i="12"/>
  <c r="H17" i="12"/>
  <c r="B17" i="12" s="1"/>
  <c r="C60" i="12" l="1"/>
  <c r="K59" i="12"/>
  <c r="B59" i="13" s="1"/>
  <c r="C61" i="12" l="1"/>
  <c r="K60" i="12"/>
  <c r="B60" i="13" s="1"/>
  <c r="K61" i="12" l="1"/>
  <c r="B61" i="13" s="1"/>
  <c r="C62" i="12"/>
  <c r="K62" i="12" l="1"/>
  <c r="C63" i="12"/>
  <c r="B62" i="13" l="1"/>
  <c r="L45" i="11"/>
  <c r="C64" i="12"/>
  <c r="K63" i="12"/>
  <c r="B63" i="13" s="1"/>
  <c r="P22" i="11"/>
  <c r="W21" i="11"/>
  <c r="K64" i="12" l="1"/>
  <c r="B64" i="13" s="1"/>
  <c r="C65" i="12"/>
  <c r="C66" i="12" s="1"/>
  <c r="Q22" i="11"/>
  <c r="S21" i="11"/>
  <c r="K66" i="12" l="1"/>
  <c r="C67" i="12"/>
  <c r="C68" i="12" s="1"/>
  <c r="K65" i="12"/>
  <c r="B65" i="13" s="1"/>
  <c r="R21" i="11"/>
  <c r="R22" i="11" s="1"/>
  <c r="S22" i="11" s="1"/>
  <c r="U21" i="11"/>
  <c r="T21" i="11"/>
  <c r="V21" i="11"/>
  <c r="AC21" i="11"/>
  <c r="AC22" i="11" s="1"/>
  <c r="B66" i="13" l="1"/>
  <c r="L48" i="11"/>
  <c r="C69" i="12"/>
  <c r="K69" i="12" s="1"/>
  <c r="B69" i="13" s="1"/>
  <c r="K68" i="12"/>
  <c r="B68" i="13" s="1"/>
  <c r="K67" i="12"/>
  <c r="B67" i="13" s="1"/>
  <c r="T22" i="11"/>
  <c r="C70" i="12" l="1"/>
  <c r="U22" i="11"/>
  <c r="V22" i="11" s="1"/>
  <c r="K70" i="12" l="1"/>
  <c r="B70" i="13" s="1"/>
  <c r="C71" i="12"/>
  <c r="W22" i="11"/>
  <c r="K71" i="12" l="1"/>
  <c r="B71" i="13" s="1"/>
  <c r="C72" i="12"/>
  <c r="C73" i="12" l="1"/>
  <c r="K72" i="12"/>
  <c r="B72" i="13" s="1"/>
  <c r="C74" i="12" l="1"/>
  <c r="K73" i="12"/>
  <c r="B73" i="13" s="1"/>
  <c r="K74" i="12" l="1"/>
  <c r="B74" i="13" s="1"/>
  <c r="C75" i="12" l="1"/>
  <c r="C76" i="12" l="1"/>
  <c r="C77" i="12" s="1"/>
  <c r="K75" i="12"/>
  <c r="I13" i="12"/>
  <c r="K77" i="12" l="1"/>
  <c r="B77" i="13" s="1"/>
  <c r="C78" i="12"/>
  <c r="B75" i="13"/>
  <c r="L51" i="11"/>
  <c r="K76" i="12"/>
  <c r="K78" i="12" l="1"/>
  <c r="B78" i="13" s="1"/>
  <c r="C79" i="12"/>
  <c r="C80" i="12" s="1"/>
  <c r="K80" i="12" s="1"/>
  <c r="B80" i="13" s="1"/>
  <c r="B76" i="13"/>
  <c r="L54" i="11"/>
  <c r="K79" i="12" l="1"/>
  <c r="B79" i="13" s="1"/>
  <c r="C81" i="12"/>
  <c r="K81" i="12" l="1"/>
  <c r="B81" i="13" s="1"/>
  <c r="C82" i="12"/>
  <c r="K82" i="12" l="1"/>
  <c r="B82" i="13" s="1"/>
  <c r="C83" i="12"/>
  <c r="C84" i="12" l="1"/>
  <c r="K83" i="12"/>
  <c r="B83" i="13" s="1"/>
  <c r="K84" i="12" l="1"/>
  <c r="B84" i="13" s="1"/>
  <c r="C85" i="12"/>
  <c r="C86" i="12" l="1"/>
  <c r="K85" i="12"/>
  <c r="B85" i="13" s="1"/>
  <c r="C87" i="12" l="1"/>
  <c r="K87" i="12" s="1"/>
  <c r="B87" i="13" s="1"/>
  <c r="K86" i="12"/>
  <c r="B86" i="13" s="1"/>
  <c r="C88" i="12"/>
  <c r="K88" i="12" l="1"/>
  <c r="C89" i="12"/>
  <c r="B88" i="13" l="1"/>
  <c r="L57" i="11"/>
  <c r="K89" i="12"/>
  <c r="B89" i="13" s="1"/>
  <c r="I86" i="12"/>
  <c r="B86" i="12" s="1"/>
  <c r="H86" i="12"/>
  <c r="C90" i="12" l="1"/>
  <c r="K90" i="12" l="1"/>
  <c r="B90" i="13" s="1"/>
  <c r="C91" i="12"/>
  <c r="K91" i="12" l="1"/>
  <c r="B91" i="13" s="1"/>
  <c r="C92" i="12"/>
  <c r="C93" i="12" l="1"/>
  <c r="K92" i="12"/>
  <c r="B92" i="13" s="1"/>
  <c r="K93" i="12" l="1"/>
  <c r="B93" i="13" s="1"/>
  <c r="C94" i="12"/>
  <c r="K94" i="12" l="1"/>
  <c r="B94" i="13" s="1"/>
  <c r="C95" i="12"/>
  <c r="K95" i="12" l="1"/>
  <c r="B95" i="13" s="1"/>
  <c r="H13" i="12"/>
  <c r="B13" i="12" s="1"/>
  <c r="H75" i="12"/>
  <c r="I75" i="12" l="1"/>
  <c r="B75" i="12" s="1"/>
  <c r="L33" i="11" l="1"/>
  <c r="L36" i="11"/>
  <c r="B12" i="12"/>
  <c r="X85" i="12" l="1"/>
  <c r="X18" i="12"/>
  <c r="X91" i="12"/>
  <c r="X44" i="12"/>
  <c r="X61" i="12"/>
  <c r="X57" i="12"/>
  <c r="X58" i="12"/>
  <c r="X28" i="12"/>
  <c r="X53" i="12"/>
  <c r="X71" i="12"/>
  <c r="X90" i="12"/>
  <c r="X73" i="12"/>
  <c r="X83" i="12"/>
  <c r="X29" i="12"/>
  <c r="X51" i="12"/>
  <c r="X31" i="12"/>
  <c r="X39" i="12"/>
  <c r="X47" i="12"/>
  <c r="X35" i="12"/>
  <c r="X43" i="12"/>
  <c r="X69" i="12"/>
  <c r="X46" i="12"/>
  <c r="X93" i="12"/>
  <c r="X16" i="12"/>
  <c r="X64" i="12"/>
  <c r="X82" i="12"/>
  <c r="X94" i="12"/>
  <c r="X32" i="12"/>
  <c r="X70" i="12"/>
  <c r="X84" i="12"/>
  <c r="X68" i="12"/>
  <c r="X27" i="12"/>
  <c r="X87" i="12"/>
  <c r="X59" i="12"/>
  <c r="X95" i="12"/>
  <c r="X23" i="12"/>
  <c r="X26" i="12"/>
  <c r="X72" i="12"/>
  <c r="X79" i="12"/>
  <c r="X19" i="12"/>
  <c r="X89" i="12"/>
  <c r="X86" i="12"/>
  <c r="X15" i="12"/>
  <c r="X54" i="12"/>
  <c r="X25" i="12"/>
  <c r="X80" i="12"/>
  <c r="X74" i="12"/>
  <c r="X77" i="12"/>
  <c r="X55" i="12"/>
  <c r="X49" i="12"/>
  <c r="X50" i="12"/>
  <c r="X41" i="12"/>
  <c r="X65" i="12"/>
  <c r="X48" i="12"/>
  <c r="X24" i="12"/>
  <c r="X21" i="12"/>
  <c r="X63" i="12"/>
  <c r="X92" i="12"/>
  <c r="X37" i="12"/>
  <c r="X56" i="12"/>
  <c r="X81" i="12"/>
  <c r="X34" i="12"/>
  <c r="X36" i="12"/>
  <c r="X30" i="12"/>
  <c r="X67" i="12"/>
  <c r="X20" i="12"/>
  <c r="X78" i="12"/>
  <c r="X38" i="12"/>
  <c r="X60" i="12"/>
  <c r="N78" i="12" l="1"/>
  <c r="Y30" i="12"/>
  <c r="O81" i="12"/>
  <c r="O37" i="12"/>
  <c r="N21" i="12"/>
  <c r="Y65" i="12"/>
  <c r="N50" i="12"/>
  <c r="O77" i="12"/>
  <c r="O25" i="12"/>
  <c r="N15" i="12"/>
  <c r="N19" i="12"/>
  <c r="N95" i="12"/>
  <c r="Y27" i="12"/>
  <c r="Y70" i="12"/>
  <c r="N94" i="12"/>
  <c r="O16" i="12"/>
  <c r="N69" i="12"/>
  <c r="Y35" i="12"/>
  <c r="N31" i="12"/>
  <c r="O83" i="12"/>
  <c r="O90" i="12"/>
  <c r="N28" i="12"/>
  <c r="Y61" i="12"/>
  <c r="O18" i="12"/>
  <c r="O60" i="12"/>
  <c r="N20" i="12"/>
  <c r="O30" i="12"/>
  <c r="Y81" i="12"/>
  <c r="N92" i="12"/>
  <c r="O21" i="12"/>
  <c r="O65" i="12"/>
  <c r="N49" i="12"/>
  <c r="N77" i="12"/>
  <c r="Y25" i="12"/>
  <c r="Y19" i="12"/>
  <c r="N26" i="12"/>
  <c r="N59" i="12"/>
  <c r="N27" i="12"/>
  <c r="O70" i="12"/>
  <c r="Y82" i="12"/>
  <c r="N16" i="12"/>
  <c r="O69" i="12"/>
  <c r="O47" i="12"/>
  <c r="Y31" i="12"/>
  <c r="N83" i="12"/>
  <c r="N71" i="12"/>
  <c r="Y28" i="12"/>
  <c r="N61" i="12"/>
  <c r="Y18" i="12"/>
  <c r="N60" i="12"/>
  <c r="O20" i="12"/>
  <c r="N36" i="12"/>
  <c r="N81" i="12"/>
  <c r="Y92" i="12"/>
  <c r="Y24" i="12"/>
  <c r="N65" i="12"/>
  <c r="O49" i="12"/>
  <c r="N74" i="12"/>
  <c r="N25" i="12"/>
  <c r="N86" i="12"/>
  <c r="Y79" i="12"/>
  <c r="O26" i="12"/>
  <c r="O59" i="12"/>
  <c r="O68" i="12"/>
  <c r="N70" i="12"/>
  <c r="O82" i="12"/>
  <c r="N93" i="12"/>
  <c r="Y69" i="12"/>
  <c r="N47" i="12"/>
  <c r="Y83" i="12"/>
  <c r="O71" i="12"/>
  <c r="N58" i="12"/>
  <c r="O44" i="12"/>
  <c r="N18" i="12"/>
  <c r="N38" i="12"/>
  <c r="Y20" i="12"/>
  <c r="Y36" i="12"/>
  <c r="O56" i="12"/>
  <c r="O92" i="12"/>
  <c r="N24" i="12"/>
  <c r="N41" i="12"/>
  <c r="Y49" i="12"/>
  <c r="O74" i="12"/>
  <c r="O54" i="12"/>
  <c r="O86" i="12"/>
  <c r="O79" i="12"/>
  <c r="O23" i="12"/>
  <c r="N68" i="12"/>
  <c r="Y32" i="12"/>
  <c r="N82" i="12"/>
  <c r="O93" i="12"/>
  <c r="Y47" i="12"/>
  <c r="N51" i="12"/>
  <c r="O73" i="12"/>
  <c r="Y71" i="12"/>
  <c r="O58" i="12"/>
  <c r="N44" i="12"/>
  <c r="O85" i="12"/>
  <c r="O38" i="12"/>
  <c r="O67" i="12"/>
  <c r="O36" i="12"/>
  <c r="N63" i="12"/>
  <c r="O24" i="12"/>
  <c r="O41" i="12"/>
  <c r="N55" i="12"/>
  <c r="Y74" i="12"/>
  <c r="N54" i="12"/>
  <c r="N89" i="12"/>
  <c r="N79" i="12"/>
  <c r="N87" i="12"/>
  <c r="Y68" i="12"/>
  <c r="O32" i="12"/>
  <c r="O64" i="12"/>
  <c r="Y93" i="12"/>
  <c r="O43" i="12"/>
  <c r="Y39" i="12"/>
  <c r="O51" i="12"/>
  <c r="N73" i="12"/>
  <c r="N53" i="12"/>
  <c r="Y44" i="12"/>
  <c r="N85" i="12"/>
  <c r="O78" i="12"/>
  <c r="N30" i="12"/>
  <c r="N34" i="12"/>
  <c r="N37" i="12"/>
  <c r="Y21" i="12"/>
  <c r="N48" i="12"/>
  <c r="O50" i="12"/>
  <c r="N80" i="12"/>
  <c r="O15" i="12"/>
  <c r="O19" i="12"/>
  <c r="N72" i="12"/>
  <c r="Y95" i="12"/>
  <c r="O27" i="12"/>
  <c r="O84" i="12"/>
  <c r="Y94" i="12"/>
  <c r="Y16" i="12"/>
  <c r="N46" i="12"/>
  <c r="N35" i="12"/>
  <c r="O31" i="12"/>
  <c r="Y29" i="12"/>
  <c r="N90" i="12"/>
  <c r="O28" i="12"/>
  <c r="O57" i="12"/>
  <c r="Y91" i="12"/>
  <c r="Y67" i="12"/>
  <c r="O34" i="12"/>
  <c r="N56" i="12"/>
  <c r="O63" i="12"/>
  <c r="Y48" i="12"/>
  <c r="Y41" i="12"/>
  <c r="Y55" i="12"/>
  <c r="O80" i="12"/>
  <c r="O89" i="12"/>
  <c r="Y72" i="12"/>
  <c r="N23" i="12"/>
  <c r="O87" i="12"/>
  <c r="Y84" i="12"/>
  <c r="N32" i="12"/>
  <c r="N64" i="12"/>
  <c r="N43" i="12"/>
  <c r="O39" i="12"/>
  <c r="O29" i="12"/>
  <c r="Y73" i="12"/>
  <c r="O53" i="12"/>
  <c r="N57" i="12"/>
  <c r="O91" i="12"/>
  <c r="Y85" i="12"/>
  <c r="Y78" i="12"/>
  <c r="N67" i="12"/>
  <c r="Y34" i="12"/>
  <c r="Y37" i="12"/>
  <c r="Y63" i="12"/>
  <c r="O48" i="12"/>
  <c r="Y50" i="12"/>
  <c r="O55" i="12"/>
  <c r="Y80" i="12"/>
  <c r="Y15" i="12"/>
  <c r="O72" i="12"/>
  <c r="O95" i="12"/>
  <c r="Y87" i="12"/>
  <c r="N84" i="12"/>
  <c r="O94" i="12"/>
  <c r="Y64" i="12"/>
  <c r="O46" i="12"/>
  <c r="O35" i="12"/>
  <c r="N39" i="12"/>
  <c r="N29" i="12"/>
  <c r="Y90" i="12"/>
  <c r="N91" i="12"/>
  <c r="C91" i="13" l="1"/>
  <c r="Q90" i="12"/>
  <c r="S90" i="12" s="1"/>
  <c r="T90" i="12" s="1"/>
  <c r="C29" i="13"/>
  <c r="C39" i="13"/>
  <c r="D35" i="13"/>
  <c r="D46" i="13"/>
  <c r="Q64" i="12"/>
  <c r="S64" i="12" s="1"/>
  <c r="T64" i="12" s="1"/>
  <c r="U64" i="12" s="1"/>
  <c r="D94" i="13"/>
  <c r="C84" i="13"/>
  <c r="Q87" i="12"/>
  <c r="S87" i="12" s="1"/>
  <c r="T87" i="12" s="1"/>
  <c r="D95" i="13"/>
  <c r="D72" i="13"/>
  <c r="Q15" i="12"/>
  <c r="S15" i="12" s="1"/>
  <c r="T15" i="12" s="1"/>
  <c r="Q80" i="12"/>
  <c r="S80" i="12" s="1"/>
  <c r="T80" i="12" s="1"/>
  <c r="U80" i="12" s="1"/>
  <c r="D55" i="13"/>
  <c r="Q50" i="12"/>
  <c r="S50" i="12" s="1"/>
  <c r="T50" i="12" s="1"/>
  <c r="D48" i="13"/>
  <c r="Q63" i="12"/>
  <c r="S63" i="12" s="1"/>
  <c r="T63" i="12" s="1"/>
  <c r="Q37" i="12"/>
  <c r="S37" i="12" s="1"/>
  <c r="T37" i="12" s="1"/>
  <c r="U37" i="12" s="1"/>
  <c r="Q34" i="12"/>
  <c r="S34" i="12" s="1"/>
  <c r="T34" i="12" s="1"/>
  <c r="C67" i="13"/>
  <c r="Q78" i="12"/>
  <c r="S78" i="12" s="1"/>
  <c r="T78" i="12" s="1"/>
  <c r="Q85" i="12"/>
  <c r="S85" i="12" s="1"/>
  <c r="T85" i="12" s="1"/>
  <c r="U85" i="12" s="1"/>
  <c r="D91" i="13"/>
  <c r="C57" i="13"/>
  <c r="D53" i="13"/>
  <c r="Q73" i="12"/>
  <c r="S73" i="12" s="1"/>
  <c r="T73" i="12" s="1"/>
  <c r="D29" i="13"/>
  <c r="D39" i="13"/>
  <c r="C43" i="13"/>
  <c r="C64" i="13"/>
  <c r="C32" i="13"/>
  <c r="Q84" i="12"/>
  <c r="S84" i="12" s="1"/>
  <c r="T84" i="12" s="1"/>
  <c r="U84" i="12" s="1"/>
  <c r="D87" i="13"/>
  <c r="C23" i="13"/>
  <c r="Q72" i="12"/>
  <c r="S72" i="12" s="1"/>
  <c r="T72" i="12" s="1"/>
  <c r="D89" i="13"/>
  <c r="D80" i="13"/>
  <c r="Q55" i="12"/>
  <c r="S55" i="12" s="1"/>
  <c r="T55" i="12" s="1"/>
  <c r="Q41" i="12"/>
  <c r="S41" i="12" s="1"/>
  <c r="T41" i="12" s="1"/>
  <c r="T40" i="12" s="1"/>
  <c r="Q48" i="12"/>
  <c r="S48" i="12" s="1"/>
  <c r="T48" i="12" s="1"/>
  <c r="D63" i="13"/>
  <c r="C56" i="13"/>
  <c r="D34" i="13"/>
  <c r="Q67" i="12"/>
  <c r="S67" i="12" s="1"/>
  <c r="T67" i="12" s="1"/>
  <c r="U67" i="12" s="1"/>
  <c r="Q91" i="12"/>
  <c r="S91" i="12" s="1"/>
  <c r="T91" i="12" s="1"/>
  <c r="U91" i="12" s="1"/>
  <c r="D57" i="13"/>
  <c r="D28" i="13"/>
  <c r="U90" i="12"/>
  <c r="C90" i="13"/>
  <c r="Q29" i="12"/>
  <c r="S29" i="12" s="1"/>
  <c r="T29" i="12" s="1"/>
  <c r="U29" i="12" s="1"/>
  <c r="D31" i="13"/>
  <c r="C35" i="13"/>
  <c r="C46" i="13"/>
  <c r="Q16" i="12"/>
  <c r="S16" i="12" s="1"/>
  <c r="T16" i="12" s="1"/>
  <c r="U16" i="12" s="1"/>
  <c r="Q94" i="12"/>
  <c r="S94" i="12" s="1"/>
  <c r="T94" i="12" s="1"/>
  <c r="D84" i="13"/>
  <c r="D27" i="13"/>
  <c r="Q95" i="12"/>
  <c r="S95" i="12" s="1"/>
  <c r="T95" i="12" s="1"/>
  <c r="C72" i="13"/>
  <c r="U72" i="12"/>
  <c r="D19" i="13"/>
  <c r="D15" i="13"/>
  <c r="C80" i="13"/>
  <c r="D50" i="13"/>
  <c r="C48" i="13"/>
  <c r="U48" i="12"/>
  <c r="Q21" i="12"/>
  <c r="S21" i="12" s="1"/>
  <c r="T21" i="12" s="1"/>
  <c r="C37" i="13"/>
  <c r="C34" i="13"/>
  <c r="U34" i="12"/>
  <c r="C30" i="13"/>
  <c r="D78" i="13"/>
  <c r="C85" i="13"/>
  <c r="Q44" i="12"/>
  <c r="S44" i="12" s="1"/>
  <c r="T44" i="12" s="1"/>
  <c r="C53" i="13"/>
  <c r="U73" i="12"/>
  <c r="C73" i="13"/>
  <c r="D51" i="13"/>
  <c r="Q39" i="12"/>
  <c r="S39" i="12" s="1"/>
  <c r="T39" i="12" s="1"/>
  <c r="U39" i="12" s="1"/>
  <c r="D43" i="13"/>
  <c r="Q93" i="12"/>
  <c r="S93" i="12" s="1"/>
  <c r="T93" i="12" s="1"/>
  <c r="U93" i="12" s="1"/>
  <c r="D64" i="13"/>
  <c r="D32" i="13"/>
  <c r="Q68" i="12"/>
  <c r="S68" i="12" s="1"/>
  <c r="T68" i="12" s="1"/>
  <c r="C87" i="13"/>
  <c r="U87" i="12"/>
  <c r="C79" i="13"/>
  <c r="C89" i="13"/>
  <c r="C54" i="13"/>
  <c r="Q74" i="12"/>
  <c r="S74" i="12" s="1"/>
  <c r="T74" i="12" s="1"/>
  <c r="U74" i="12" s="1"/>
  <c r="C55" i="13"/>
  <c r="U55" i="12"/>
  <c r="D41" i="13"/>
  <c r="D24" i="13"/>
  <c r="U63" i="12"/>
  <c r="C63" i="13"/>
  <c r="D36" i="13"/>
  <c r="D67" i="13"/>
  <c r="D38" i="13"/>
  <c r="D85" i="13"/>
  <c r="C44" i="13"/>
  <c r="U44" i="12"/>
  <c r="D58" i="13"/>
  <c r="Q71" i="12"/>
  <c r="S71" i="12" s="1"/>
  <c r="T71" i="12" s="1"/>
  <c r="U71" i="12" s="1"/>
  <c r="D73" i="13"/>
  <c r="C51" i="13"/>
  <c r="Q47" i="12"/>
  <c r="S47" i="12" s="1"/>
  <c r="T47" i="12" s="1"/>
  <c r="U47" i="12" s="1"/>
  <c r="D93" i="13"/>
  <c r="C82" i="13"/>
  <c r="Q32" i="12"/>
  <c r="S32" i="12" s="1"/>
  <c r="T32" i="12" s="1"/>
  <c r="U32" i="12" s="1"/>
  <c r="C68" i="13"/>
  <c r="U68" i="12"/>
  <c r="D23" i="13"/>
  <c r="D79" i="13"/>
  <c r="D86" i="13"/>
  <c r="D54" i="13"/>
  <c r="D74" i="13"/>
  <c r="Q49" i="12"/>
  <c r="S49" i="12" s="1"/>
  <c r="T49" i="12" s="1"/>
  <c r="U41" i="12"/>
  <c r="C41" i="13"/>
  <c r="C24" i="13"/>
  <c r="D92" i="13"/>
  <c r="D56" i="13"/>
  <c r="Q36" i="12"/>
  <c r="S36" i="12" s="1"/>
  <c r="T36" i="12" s="1"/>
  <c r="U36" i="12" s="1"/>
  <c r="Q20" i="12"/>
  <c r="S20" i="12" s="1"/>
  <c r="T20" i="12" s="1"/>
  <c r="C38" i="13"/>
  <c r="C18" i="13"/>
  <c r="D44" i="13"/>
  <c r="C58" i="13"/>
  <c r="D71" i="13"/>
  <c r="Q83" i="12"/>
  <c r="S83" i="12" s="1"/>
  <c r="T83" i="12" s="1"/>
  <c r="U83" i="12" s="1"/>
  <c r="C47" i="13"/>
  <c r="Q69" i="12"/>
  <c r="S69" i="12" s="1"/>
  <c r="T69" i="12" s="1"/>
  <c r="U69" i="12" s="1"/>
  <c r="C93" i="13"/>
  <c r="D82" i="13"/>
  <c r="C70" i="13"/>
  <c r="D68" i="13"/>
  <c r="D59" i="13"/>
  <c r="D26" i="13"/>
  <c r="Q79" i="12"/>
  <c r="S79" i="12" s="1"/>
  <c r="T79" i="12" s="1"/>
  <c r="U79" i="12" s="1"/>
  <c r="C86" i="13"/>
  <c r="C25" i="13"/>
  <c r="C74" i="13"/>
  <c r="D49" i="13"/>
  <c r="C65" i="13"/>
  <c r="U65" i="12"/>
  <c r="Q24" i="12"/>
  <c r="S24" i="12" s="1"/>
  <c r="T24" i="12" s="1"/>
  <c r="Q92" i="12"/>
  <c r="S92" i="12" s="1"/>
  <c r="T92" i="12" s="1"/>
  <c r="C81" i="13"/>
  <c r="C36" i="13"/>
  <c r="D20" i="13"/>
  <c r="C60" i="13"/>
  <c r="Q18" i="12"/>
  <c r="S18" i="12" s="1"/>
  <c r="T18" i="12" s="1"/>
  <c r="C61" i="13"/>
  <c r="Q28" i="12"/>
  <c r="S28" i="12" s="1"/>
  <c r="T28" i="12" s="1"/>
  <c r="C71" i="13"/>
  <c r="C83" i="13"/>
  <c r="Q31" i="12"/>
  <c r="S31" i="12" s="1"/>
  <c r="T31" i="12" s="1"/>
  <c r="D47" i="13"/>
  <c r="D69" i="13"/>
  <c r="C16" i="13"/>
  <c r="Q82" i="12"/>
  <c r="S82" i="12" s="1"/>
  <c r="T82" i="12" s="1"/>
  <c r="U82" i="12" s="1"/>
  <c r="D70" i="13"/>
  <c r="C27" i="13"/>
  <c r="C59" i="13"/>
  <c r="C26" i="13"/>
  <c r="Q19" i="12"/>
  <c r="S19" i="12" s="1"/>
  <c r="T19" i="12" s="1"/>
  <c r="U19" i="12" s="1"/>
  <c r="Q25" i="12"/>
  <c r="S25" i="12" s="1"/>
  <c r="T25" i="12" s="1"/>
  <c r="U25" i="12" s="1"/>
  <c r="C77" i="13"/>
  <c r="C49" i="13"/>
  <c r="U49" i="12"/>
  <c r="D65" i="13"/>
  <c r="D21" i="13"/>
  <c r="C92" i="13"/>
  <c r="U92" i="12"/>
  <c r="Q81" i="12"/>
  <c r="S81" i="12" s="1"/>
  <c r="T81" i="12" s="1"/>
  <c r="U81" i="12" s="1"/>
  <c r="D30" i="13"/>
  <c r="C20" i="13"/>
  <c r="U20" i="12"/>
  <c r="D60" i="13"/>
  <c r="D18" i="13"/>
  <c r="Q61" i="12"/>
  <c r="S61" i="12" s="1"/>
  <c r="T61" i="12" s="1"/>
  <c r="U61" i="12" s="1"/>
  <c r="C28" i="13"/>
  <c r="U28" i="12"/>
  <c r="D90" i="13"/>
  <c r="D83" i="13"/>
  <c r="C31" i="13"/>
  <c r="U31" i="12"/>
  <c r="Q35" i="12"/>
  <c r="S35" i="12" s="1"/>
  <c r="T35" i="12" s="1"/>
  <c r="U35" i="12" s="1"/>
  <c r="C69" i="13"/>
  <c r="D16" i="13"/>
  <c r="C94" i="13"/>
  <c r="U94" i="12"/>
  <c r="Q70" i="12"/>
  <c r="S70" i="12" s="1"/>
  <c r="T70" i="12" s="1"/>
  <c r="U70" i="12" s="1"/>
  <c r="Q27" i="12"/>
  <c r="S27" i="12" s="1"/>
  <c r="T27" i="12" s="1"/>
  <c r="U27" i="12" s="1"/>
  <c r="C95" i="13"/>
  <c r="U95" i="12"/>
  <c r="C19" i="13"/>
  <c r="C15" i="13"/>
  <c r="U15" i="12"/>
  <c r="D25" i="13"/>
  <c r="D77" i="13"/>
  <c r="C50" i="13"/>
  <c r="U50" i="12"/>
  <c r="Q65" i="12"/>
  <c r="S65" i="12" s="1"/>
  <c r="T65" i="12" s="1"/>
  <c r="U21" i="12"/>
  <c r="C21" i="13"/>
  <c r="D37" i="13"/>
  <c r="D81" i="13"/>
  <c r="Q30" i="12"/>
  <c r="S30" i="12" s="1"/>
  <c r="T30" i="12" s="1"/>
  <c r="U30" i="12" s="1"/>
  <c r="C78" i="13"/>
  <c r="U78" i="12"/>
  <c r="K35" i="11" l="1"/>
  <c r="N33" i="11" s="1"/>
  <c r="U40" i="12"/>
  <c r="T14" i="12"/>
  <c r="T66" i="12"/>
  <c r="T62" i="12"/>
  <c r="T17" i="12"/>
  <c r="U18" i="12"/>
  <c r="U24" i="12"/>
  <c r="Y23" i="12"/>
  <c r="Q23" i="12" l="1"/>
  <c r="S23" i="12" s="1"/>
  <c r="T23" i="12" s="1"/>
  <c r="K47" i="11"/>
  <c r="N45" i="11" s="1"/>
  <c r="U62" i="12"/>
  <c r="U66" i="12"/>
  <c r="K50" i="11"/>
  <c r="N48" i="11" s="1"/>
  <c r="K23" i="11"/>
  <c r="N21" i="11" s="1"/>
  <c r="U14" i="12"/>
  <c r="U17" i="12"/>
  <c r="K26" i="11"/>
  <c r="N24" i="11" s="1"/>
  <c r="V35" i="11"/>
  <c r="P35" i="11"/>
  <c r="W35" i="11"/>
  <c r="R35" i="11"/>
  <c r="AC35" i="11"/>
  <c r="Q35" i="11"/>
  <c r="T35" i="11"/>
  <c r="S35" i="11"/>
  <c r="U35" i="11"/>
  <c r="Y38" i="12"/>
  <c r="Y56" i="12"/>
  <c r="Y86" i="12"/>
  <c r="Y53" i="12"/>
  <c r="Y54" i="12"/>
  <c r="Y58" i="12"/>
  <c r="Y77" i="12"/>
  <c r="Y46" i="12"/>
  <c r="Y51" i="12"/>
  <c r="Y43" i="12"/>
  <c r="Y59" i="12"/>
  <c r="Y60" i="12"/>
  <c r="Q60" i="12" l="1"/>
  <c r="S60" i="12" s="1"/>
  <c r="T60" i="12" s="1"/>
  <c r="U60" i="12" s="1"/>
  <c r="Q59" i="12"/>
  <c r="S59" i="12" s="1"/>
  <c r="T59" i="12" s="1"/>
  <c r="U59" i="12" s="1"/>
  <c r="Q43" i="12"/>
  <c r="S43" i="12" s="1"/>
  <c r="T43" i="12" s="1"/>
  <c r="Q51" i="12"/>
  <c r="S51" i="12" s="1"/>
  <c r="T51" i="12" s="1"/>
  <c r="U51" i="12" s="1"/>
  <c r="Q46" i="12"/>
  <c r="S46" i="12" s="1"/>
  <c r="T46" i="12" s="1"/>
  <c r="Q77" i="12"/>
  <c r="S77" i="12" s="1"/>
  <c r="T77" i="12" s="1"/>
  <c r="Q58" i="12"/>
  <c r="S58" i="12" s="1"/>
  <c r="T58" i="12" s="1"/>
  <c r="U58" i="12" s="1"/>
  <c r="Q54" i="12"/>
  <c r="S54" i="12" s="1"/>
  <c r="T54" i="12" s="1"/>
  <c r="U54" i="12" s="1"/>
  <c r="Q53" i="12"/>
  <c r="S53" i="12" s="1"/>
  <c r="T53" i="12" s="1"/>
  <c r="Q86" i="12"/>
  <c r="S86" i="12" s="1"/>
  <c r="T86" i="12" s="1"/>
  <c r="U86" i="12" s="1"/>
  <c r="Q56" i="12"/>
  <c r="S56" i="12" s="1"/>
  <c r="T56" i="12" s="1"/>
  <c r="U56" i="12" s="1"/>
  <c r="Q38" i="12"/>
  <c r="S38" i="12" s="1"/>
  <c r="T38" i="12" s="1"/>
  <c r="T23" i="11"/>
  <c r="P23" i="11"/>
  <c r="W23" i="11"/>
  <c r="R23" i="11"/>
  <c r="S23" i="11"/>
  <c r="U23" i="11"/>
  <c r="AC23" i="11"/>
  <c r="V23" i="11"/>
  <c r="Q23" i="11"/>
  <c r="U50" i="11"/>
  <c r="W50" i="11"/>
  <c r="V50" i="11"/>
  <c r="P50" i="11"/>
  <c r="S50" i="11"/>
  <c r="Q50" i="11"/>
  <c r="T50" i="11"/>
  <c r="AC50" i="11"/>
  <c r="R50" i="11"/>
  <c r="T47" i="11"/>
  <c r="W47" i="11"/>
  <c r="Q47" i="11"/>
  <c r="AC47" i="11"/>
  <c r="R47" i="11"/>
  <c r="U47" i="11"/>
  <c r="V47" i="11"/>
  <c r="S47" i="11"/>
  <c r="P47" i="11"/>
  <c r="V26" i="11"/>
  <c r="AC26" i="11"/>
  <c r="S26" i="11"/>
  <c r="W26" i="11"/>
  <c r="T26" i="11"/>
  <c r="P26" i="11"/>
  <c r="U26" i="11"/>
  <c r="Q26" i="11"/>
  <c r="R26" i="11"/>
  <c r="U23" i="12"/>
  <c r="T76" i="12" l="1"/>
  <c r="U77" i="12"/>
  <c r="T45" i="12"/>
  <c r="U46" i="12"/>
  <c r="U38" i="12"/>
  <c r="T33" i="12"/>
  <c r="T42" i="12"/>
  <c r="U43" i="12"/>
  <c r="U53" i="12"/>
  <c r="U42" i="12" l="1"/>
  <c r="K38" i="11"/>
  <c r="N36" i="11" s="1"/>
  <c r="U33" i="12"/>
  <c r="K32" i="11"/>
  <c r="N30" i="11" s="1"/>
  <c r="U76" i="12"/>
  <c r="K56" i="11"/>
  <c r="N54" i="11" s="1"/>
  <c r="U45" i="12"/>
  <c r="K41" i="11"/>
  <c r="N39" i="11" s="1"/>
  <c r="Y57" i="12"/>
  <c r="Q57" i="12" l="1"/>
  <c r="S57" i="12" s="1"/>
  <c r="T57" i="12" s="1"/>
  <c r="Q38" i="11"/>
  <c r="T38" i="11"/>
  <c r="W38" i="11"/>
  <c r="R38" i="11"/>
  <c r="U38" i="11"/>
  <c r="AC38" i="11"/>
  <c r="V38" i="11"/>
  <c r="P38" i="11"/>
  <c r="S38" i="11"/>
  <c r="S41" i="11"/>
  <c r="T41" i="11"/>
  <c r="P41" i="11"/>
  <c r="U41" i="11"/>
  <c r="AC41" i="11"/>
  <c r="Q41" i="11"/>
  <c r="V41" i="11"/>
  <c r="R41" i="11"/>
  <c r="W41" i="11"/>
  <c r="R32" i="11"/>
  <c r="P32" i="11"/>
  <c r="T32" i="11"/>
  <c r="V32" i="11"/>
  <c r="U32" i="11"/>
  <c r="W32" i="11"/>
  <c r="Q32" i="11"/>
  <c r="S32" i="11"/>
  <c r="AC32" i="11"/>
  <c r="S56" i="11"/>
  <c r="U56" i="11"/>
  <c r="R56" i="11"/>
  <c r="W56" i="11"/>
  <c r="Q56" i="11"/>
  <c r="T56" i="11"/>
  <c r="V56" i="11"/>
  <c r="AC56" i="11"/>
  <c r="P56" i="11"/>
  <c r="Y26" i="12"/>
  <c r="Q26" i="12" l="1"/>
  <c r="S26" i="12" s="1"/>
  <c r="T26" i="12" s="1"/>
  <c r="U57" i="12"/>
  <c r="T52" i="12"/>
  <c r="U52" i="12" l="1"/>
  <c r="K44" i="11"/>
  <c r="N42" i="11" s="1"/>
  <c r="U26" i="12"/>
  <c r="T22" i="12"/>
  <c r="T13" i="12"/>
  <c r="U13" i="12" l="1"/>
  <c r="K20" i="11"/>
  <c r="N18" i="11" s="1"/>
  <c r="U22" i="12"/>
  <c r="K29" i="11"/>
  <c r="N27" i="11" s="1"/>
  <c r="T44" i="11"/>
  <c r="AC44" i="11"/>
  <c r="W44" i="11"/>
  <c r="S44" i="11"/>
  <c r="Q44" i="11"/>
  <c r="R44" i="11"/>
  <c r="V44" i="11"/>
  <c r="U44" i="11"/>
  <c r="P44" i="11"/>
  <c r="U29" i="11" l="1"/>
  <c r="U20" i="11" s="1"/>
  <c r="S29" i="11"/>
  <c r="S20" i="11" s="1"/>
  <c r="AC29" i="11"/>
  <c r="AC20" i="11" s="1"/>
  <c r="V29" i="11"/>
  <c r="V20" i="11" s="1"/>
  <c r="R29" i="11"/>
  <c r="R20" i="11" s="1"/>
  <c r="W29" i="11"/>
  <c r="W20" i="11" s="1"/>
  <c r="Q29" i="11"/>
  <c r="Q20" i="11" s="1"/>
  <c r="P29" i="11"/>
  <c r="P20" i="11" s="1"/>
  <c r="T29" i="11"/>
  <c r="T20" i="11" s="1"/>
  <c r="Y89" i="12"/>
  <c r="Q89" i="12" l="1"/>
  <c r="S89" i="12" s="1"/>
  <c r="T89" i="12" s="1"/>
  <c r="Q19" i="11"/>
  <c r="R18" i="11" s="1"/>
  <c r="W19" i="11"/>
  <c r="P19" i="11"/>
  <c r="R19" i="11"/>
  <c r="V19" i="11"/>
  <c r="AC19" i="11"/>
  <c r="AC18" i="11" s="1"/>
  <c r="S19" i="11"/>
  <c r="T19" i="11"/>
  <c r="T18" i="11" s="1"/>
  <c r="U19" i="11"/>
  <c r="U18" i="11" s="1"/>
  <c r="T88" i="12" l="1"/>
  <c r="U89" i="12"/>
  <c r="T75" i="12"/>
  <c r="T12" i="12"/>
  <c r="N14" i="11" s="1"/>
  <c r="S18" i="11"/>
  <c r="V18" i="11"/>
  <c r="W18" i="11"/>
  <c r="U75" i="12" l="1"/>
  <c r="K53" i="11"/>
  <c r="N51" i="11" s="1"/>
  <c r="U88" i="12"/>
  <c r="K59" i="11"/>
  <c r="N57" i="11" s="1"/>
  <c r="R59" i="11" l="1"/>
  <c r="R53" i="11" s="1"/>
  <c r="T59" i="11"/>
  <c r="T53" i="11" s="1"/>
  <c r="V59" i="11"/>
  <c r="V53" i="11" s="1"/>
  <c r="U59" i="11"/>
  <c r="U53" i="11" s="1"/>
  <c r="Q59" i="11"/>
  <c r="Q53" i="11" s="1"/>
  <c r="S59" i="11"/>
  <c r="S53" i="11" s="1"/>
  <c r="P59" i="11"/>
  <c r="P53" i="11" s="1"/>
  <c r="W59" i="11"/>
  <c r="W53" i="11" s="1"/>
  <c r="AC59" i="11"/>
  <c r="AC53" i="11" s="1"/>
  <c r="U5" i="12"/>
  <c r="V52" i="11" l="1"/>
  <c r="V17" i="11"/>
  <c r="W52" i="11"/>
  <c r="W51" i="11" s="1"/>
  <c r="W17" i="11"/>
  <c r="P52" i="11"/>
  <c r="P51" i="11" s="1"/>
  <c r="P17" i="11"/>
  <c r="S52" i="11"/>
  <c r="S51" i="11" s="1"/>
  <c r="S17" i="11"/>
  <c r="Q52" i="11"/>
  <c r="Q17" i="11"/>
  <c r="U52" i="11"/>
  <c r="U51" i="11" s="1"/>
  <c r="U17" i="11"/>
  <c r="T52" i="11"/>
  <c r="T17" i="11"/>
  <c r="AC52" i="11"/>
  <c r="AC51" i="11" s="1"/>
  <c r="AC17" i="11"/>
  <c r="R52" i="11"/>
  <c r="R51" i="11" s="1"/>
  <c r="R17" i="11"/>
  <c r="AC15" i="11" l="1"/>
  <c r="AC14" i="11" s="1"/>
  <c r="AC16" i="11"/>
  <c r="S16" i="11"/>
  <c r="S15" i="11"/>
  <c r="S14" i="11" s="1"/>
  <c r="T16" i="11"/>
  <c r="T15" i="11"/>
  <c r="T14" i="11" s="1"/>
  <c r="P15" i="11"/>
  <c r="P14" i="11" s="1"/>
  <c r="P16" i="11"/>
  <c r="T51" i="11"/>
  <c r="U15" i="11"/>
  <c r="U14" i="11" s="1"/>
  <c r="U16" i="11"/>
  <c r="W16" i="11"/>
  <c r="W15" i="11"/>
  <c r="W14" i="11" s="1"/>
  <c r="R16" i="11"/>
  <c r="R15" i="11"/>
  <c r="R14" i="11" s="1"/>
  <c r="Q15" i="11"/>
  <c r="Q14" i="11" s="1"/>
  <c r="Q16" i="11"/>
  <c r="V16" i="11"/>
  <c r="V15" i="11"/>
  <c r="V14" i="11" s="1"/>
  <c r="Q51" i="11"/>
  <c r="V51" i="11"/>
  <c r="L8" i="11" l="1"/>
</calcChain>
</file>

<file path=xl/sharedStrings.xml><?xml version="1.0" encoding="utf-8"?>
<sst xmlns="http://schemas.openxmlformats.org/spreadsheetml/2006/main" count="721" uniqueCount="327">
  <si>
    <t>OBJETO</t>
  </si>
  <si>
    <t>2.2 Na Versão Excel 2007 ou superior, selecione na Faixa de Opções: Arquivo --&gt; Opções --&gt; Central de Confiabilidade --&gt; Configurações da Central de Confiabilidade --&gt; Configurações de Macro --&gt; Habilitar todas as Macros --&gt; Clique em OK --&gt; Feche e abra o excel novamente para utilizar a Planilha.</t>
  </si>
  <si>
    <t>PO - Planilha Orçamentária / PLQ - Planilha de Levantamento de Quantidades / CFF - Cronograma Físico Financeiro</t>
  </si>
  <si>
    <t>Nível</t>
  </si>
  <si>
    <t>Código</t>
  </si>
  <si>
    <t>BDI
(%)</t>
  </si>
  <si>
    <t>Preço Total
(R$)</t>
  </si>
  <si>
    <t>BDI 1</t>
  </si>
  <si>
    <t>BDI 2</t>
  </si>
  <si>
    <t>BDI 3</t>
  </si>
  <si>
    <t>BDI 4</t>
  </si>
  <si>
    <t>BDI 5</t>
  </si>
  <si>
    <t>DESCRIÇÃO DO LOTE</t>
  </si>
  <si>
    <t>DESONERAÇÃO</t>
  </si>
  <si>
    <t>LOCALIDADE DO SINAPI</t>
  </si>
  <si>
    <t>DATA INÍCIO</t>
  </si>
  <si>
    <t>DATA BASE</t>
  </si>
  <si>
    <t>Título:</t>
  </si>
  <si>
    <t>Exibir o 2° Quadro de Assinatura?</t>
  </si>
  <si>
    <t>CRONOGRAMA GLOBAL DO LOTE</t>
  </si>
  <si>
    <t>Acumulado (R$)</t>
  </si>
  <si>
    <t>Observações:</t>
  </si>
  <si>
    <t xml:space="preserve">    CFF -</t>
  </si>
  <si>
    <r>
      <t xml:space="preserve">2. Para funcionamento pleno desse arquivo, a </t>
    </r>
    <r>
      <rPr>
        <b/>
        <sz val="10"/>
        <rFont val="Arial"/>
        <family val="2"/>
      </rPr>
      <t>Segurança de Macros do Excel deve ser habilitada</t>
    </r>
    <r>
      <rPr>
        <sz val="10"/>
        <rFont val="Arial"/>
        <family val="2"/>
      </rPr>
      <t>.</t>
    </r>
  </si>
  <si>
    <r>
      <t xml:space="preserve">3. O Preenchimento deve ser feito somente nas </t>
    </r>
    <r>
      <rPr>
        <b/>
        <sz val="10"/>
        <rFont val="Arial"/>
        <family val="2"/>
      </rPr>
      <t>células em amarelo</t>
    </r>
    <r>
      <rPr>
        <sz val="10"/>
        <rFont val="Arial"/>
        <family val="2"/>
      </rPr>
      <t>. As outras células são de preenchimento Automático.</t>
    </r>
  </si>
  <si>
    <t>MIN</t>
  </si>
  <si>
    <t>MED</t>
  </si>
  <si>
    <t>MAX</t>
  </si>
  <si>
    <t>Construção e Reforma de Edifícios</t>
  </si>
  <si>
    <t>AC</t>
  </si>
  <si>
    <t>SG</t>
  </si>
  <si>
    <t>R</t>
  </si>
  <si>
    <t>DF</t>
  </si>
  <si>
    <t>BDI PAD</t>
  </si>
  <si>
    <t>Construção de Praças Urbanas, Rodovias, Ferrovias e recapeamento e pavimentação de vias urbanas</t>
  </si>
  <si>
    <t>TIPO DE OBRA DO EMPREENDIMENTO</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</si>
  <si>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</si>
  <si>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</si>
  <si>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</si>
  <si>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</si>
  <si>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</si>
  <si>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</si>
  <si>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</si>
  <si>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</si>
  <si>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</si>
  <si>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</si>
  <si>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</si>
  <si>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</si>
  <si>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Tributos (impostos COFINS 3%, e  PIS 0,65%)</t>
  </si>
  <si>
    <t>CP</t>
  </si>
  <si>
    <t>Tributos (ISS, variável de acordo com o município)</t>
  </si>
  <si>
    <t>ISS</t>
  </si>
  <si>
    <t>CPRB</t>
  </si>
  <si>
    <t>BDI SEM desoneração
(Fórmula Acórdão TCU)</t>
  </si>
  <si>
    <t>Obras Portuárias, Marítimas e Fluviais</t>
  </si>
  <si>
    <t>BDI COM desoneração</t>
  </si>
  <si>
    <t>BDI DES</t>
  </si>
  <si>
    <t>Responsável Técnico</t>
  </si>
  <si>
    <t>Responsável Tomador</t>
  </si>
  <si>
    <t>Estudos e Projetos, Planos e Gerenciamento e outros correlatos</t>
  </si>
  <si>
    <t>Cargo:</t>
  </si>
  <si>
    <t>Os valores de BDI foram calculados com o emprego da fórmula:</t>
  </si>
  <si>
    <t>Encargos sociais:</t>
  </si>
  <si>
    <t>PLQ -</t>
  </si>
  <si>
    <t>PLANILHA DE LEVANTAMENTO DE QUANTIDADES</t>
  </si>
  <si>
    <t>São Paulo / SP</t>
  </si>
  <si>
    <t>Campo Grande / MS</t>
  </si>
  <si>
    <t>Cuiabá / MT</t>
  </si>
  <si>
    <t>Curitiba / PR</t>
  </si>
  <si>
    <t>Florianópolis / SC</t>
  </si>
  <si>
    <t>Fortaleza / CE</t>
  </si>
  <si>
    <t>Goiânia / GO</t>
  </si>
  <si>
    <t>João Pessoa / PB</t>
  </si>
  <si>
    <t>Macapá / AP</t>
  </si>
  <si>
    <t>Maceió / AL</t>
  </si>
  <si>
    <t>Manaus / AM</t>
  </si>
  <si>
    <t>Natal / RN</t>
  </si>
  <si>
    <t>Palmas / TO</t>
  </si>
  <si>
    <t>Porto Alegre / RS</t>
  </si>
  <si>
    <t>Porto Velho / RO</t>
  </si>
  <si>
    <t>Recife / PE</t>
  </si>
  <si>
    <t>Rio Branco / AC</t>
  </si>
  <si>
    <t>Rio de Janeiro / RJ</t>
  </si>
  <si>
    <t>Salvador / BA</t>
  </si>
  <si>
    <t>São Luís / MA</t>
  </si>
  <si>
    <t>Teresina / PI</t>
  </si>
  <si>
    <t>Vitória / ES</t>
  </si>
  <si>
    <t>CTEF n.º</t>
  </si>
  <si>
    <t>REGIME DE EXECUÇÃO</t>
  </si>
  <si>
    <t>DATA ASSINATURA</t>
  </si>
  <si>
    <t>VIGÊNCIA</t>
  </si>
  <si>
    <t>DESON.</t>
  </si>
  <si>
    <t>ACOMP.</t>
  </si>
  <si>
    <t>OBJETO CTEF</t>
  </si>
  <si>
    <t>Tarefa</t>
  </si>
  <si>
    <t>Contratação Integrada</t>
  </si>
  <si>
    <t>Não se aplica</t>
  </si>
  <si>
    <t>BM</t>
  </si>
  <si>
    <t>PLE</t>
  </si>
  <si>
    <t>Meta</t>
  </si>
  <si>
    <t>Nível 2</t>
  </si>
  <si>
    <t>Nível 3</t>
  </si>
  <si>
    <t>Nível 4</t>
  </si>
  <si>
    <t>Serviço</t>
  </si>
  <si>
    <t>K1</t>
  </si>
  <si>
    <t>K2</t>
  </si>
  <si>
    <t/>
  </si>
  <si>
    <t>K3</t>
  </si>
  <si>
    <t xml:space="preserve"> - 1</t>
  </si>
  <si>
    <t>N1</t>
  </si>
  <si>
    <t>N2</t>
  </si>
  <si>
    <t xml:space="preserve">NOME DA EMPRESA </t>
  </si>
  <si>
    <t>Empreitada Preço Global</t>
  </si>
  <si>
    <t>Empreitada Preço Unitário</t>
  </si>
  <si>
    <t>Empreitada Integral</t>
  </si>
  <si>
    <t>CRONOGRAMA FÍSICO-FINANCEIRO</t>
  </si>
  <si>
    <t>Tributos (Contribuição Previdenciária sobre a Receita Bruta - 0% ou 4,5% - Desoneração)</t>
  </si>
  <si>
    <t>Anexo: Relatório Técnico Circunstanciado justificando a adoção do percentual de cada parcela do BDI.</t>
  </si>
  <si>
    <t>pedir anexo</t>
  </si>
  <si>
    <t>anexo apresentado</t>
  </si>
  <si>
    <t>Local</t>
  </si>
  <si>
    <t>Data</t>
  </si>
  <si>
    <t>Concatenação Fonte-Código</t>
  </si>
  <si>
    <t>Altura</t>
  </si>
  <si>
    <t>Czero</t>
  </si>
  <si>
    <t>Cnível</t>
  </si>
  <si>
    <t>Nmax</t>
  </si>
  <si>
    <t>N3</t>
  </si>
  <si>
    <t>N4</t>
  </si>
  <si>
    <t>Último Nível</t>
  </si>
  <si>
    <t>BancoRef</t>
  </si>
  <si>
    <t>(Selecione uma Localidade)</t>
  </si>
  <si>
    <t>Aracaju / SE</t>
  </si>
  <si>
    <t>Belém / PA</t>
  </si>
  <si>
    <t>Belo Horizonte / MG</t>
  </si>
  <si>
    <t>Boa Vista / RR</t>
  </si>
  <si>
    <t>Brasília / DF</t>
  </si>
  <si>
    <t>Fornecimento de Materiais e Equipamentos (aquisição indireta - em conjunto com licitação de obras)</t>
  </si>
  <si>
    <t>Fornecimento de Materiais e Equipamentos (aquisição direta)</t>
  </si>
  <si>
    <t>Valores Totais (R$)</t>
  </si>
  <si>
    <t>Nome:</t>
  </si>
  <si>
    <t>Para elaboração deste orçamento, foram utilizados os encargos sociais do SINAPI para a Unidade da Federação indicada.</t>
  </si>
  <si>
    <t>Descrição</t>
  </si>
  <si>
    <t>Parcela (%)</t>
  </si>
  <si>
    <t>Parcela (R$)</t>
  </si>
  <si>
    <t>Acumulado (%)</t>
  </si>
  <si>
    <t>Fonte</t>
  </si>
  <si>
    <t>Item</t>
  </si>
  <si>
    <t>Quantidade</t>
  </si>
  <si>
    <t>Unidade</t>
  </si>
  <si>
    <t>Nº TC/CR</t>
  </si>
  <si>
    <t>Preço Unitário (R$)</t>
  </si>
  <si>
    <t>n1</t>
  </si>
  <si>
    <t>n2</t>
  </si>
  <si>
    <t>n3</t>
  </si>
  <si>
    <t>n4</t>
  </si>
  <si>
    <t>n5</t>
  </si>
  <si>
    <t>LOTE</t>
  </si>
  <si>
    <t>Unid.</t>
  </si>
  <si>
    <t>Erro de Dados</t>
  </si>
  <si>
    <t>Descrição das Metas / Macrosserviços</t>
  </si>
  <si>
    <t>Lista Crono</t>
  </si>
  <si>
    <t>4.1.2. Preencha no quadro abaixo as informações sobre o orçamento licitado:</t>
  </si>
  <si>
    <t>NOME DA EMPRESA / CNPJ:</t>
  </si>
  <si>
    <t>L</t>
  </si>
  <si>
    <t>Grau de Sigilo</t>
  </si>
  <si>
    <t>#PUBLICO</t>
  </si>
  <si>
    <t>PO - PLANILHA ORÇAMENTÁRIA</t>
  </si>
  <si>
    <t>INSTRUÇÕES DE USO E PREENCHIMENTO</t>
  </si>
  <si>
    <t>2.1  Na Versão Excel 2003, selecione na Faixa de Opções: Ferramentas --&gt; Macro --&gt; Segurança --&gt; Na aba Nível de Segurança selecione a Opção "Baixo" --&gt; Clique em OK --&gt; Feche e abra o Excel novamente para utilizar a Planilha.</t>
  </si>
  <si>
    <t>GESTOR</t>
  </si>
  <si>
    <t>PROGRAMA</t>
  </si>
  <si>
    <t>AÇÃO / MODALIDADE</t>
  </si>
  <si>
    <t>PROPONENTE / TOMADOR</t>
  </si>
  <si>
    <t>MUNICÍPIO / UF</t>
  </si>
  <si>
    <t>LOCALIDADE / ENDEREÇO</t>
  </si>
  <si>
    <t>Nível Máx Crono</t>
  </si>
  <si>
    <t>Nº OPERAÇÃO</t>
  </si>
  <si>
    <t>VTOTAL SOMA</t>
  </si>
  <si>
    <r>
      <t xml:space="preserve">1. Este documento somente pode ser utilizado nas versões do </t>
    </r>
    <r>
      <rPr>
        <b/>
        <sz val="10"/>
        <rFont val="Arial"/>
        <family val="2"/>
      </rPr>
      <t>Excel 2003 ou superior</t>
    </r>
    <r>
      <rPr>
        <sz val="10"/>
        <rFont val="Arial"/>
        <family val="2"/>
      </rPr>
      <t xml:space="preserve">. Não deve ser utilizado versões do BROffice. O Documento deve ser salvo </t>
    </r>
    <r>
      <rPr>
        <b/>
        <sz val="10"/>
        <rFont val="Arial"/>
        <family val="2"/>
      </rPr>
      <t>SOMENTE</t>
    </r>
    <r>
      <rPr>
        <sz val="10"/>
        <rFont val="Arial"/>
        <family val="2"/>
      </rPr>
      <t xml:space="preserve"> em extensão habilitada para macros </t>
    </r>
    <r>
      <rPr>
        <b/>
        <sz val="10"/>
        <rFont val="Arial"/>
        <family val="2"/>
      </rPr>
      <t xml:space="preserve">(.xls ou .xlsm). </t>
    </r>
    <r>
      <rPr>
        <sz val="10"/>
        <rFont val="Arial"/>
        <family val="2"/>
      </rPr>
      <t xml:space="preserve">Se o documento for salvo na extensão </t>
    </r>
    <r>
      <rPr>
        <b/>
        <sz val="10"/>
        <rFont val="Arial"/>
        <family val="2"/>
      </rPr>
      <t>.xlsx</t>
    </r>
    <r>
      <rPr>
        <sz val="10"/>
        <rFont val="Arial"/>
        <family val="2"/>
      </rPr>
      <t xml:space="preserve">, o arquivo será </t>
    </r>
    <r>
      <rPr>
        <b/>
        <sz val="10"/>
        <rFont val="Arial"/>
        <family val="2"/>
      </rPr>
      <t>INUTILIZADO.</t>
    </r>
    <r>
      <rPr>
        <sz val="10"/>
        <rFont val="Arial"/>
        <family val="2"/>
      </rPr>
      <t xml:space="preserve"> </t>
    </r>
  </si>
  <si>
    <t>APELIDO DO EMPREENDIMENTO</t>
  </si>
  <si>
    <t>Arredondamento</t>
  </si>
  <si>
    <t>Custo Unitáro</t>
  </si>
  <si>
    <t>BDI</t>
  </si>
  <si>
    <t>Preço Unitário</t>
  </si>
  <si>
    <t>Preço Total</t>
  </si>
  <si>
    <t>4. Preferências de Elaboração do Orçamento</t>
  </si>
  <si>
    <t>4.1. Preenchimento de Quantidades</t>
  </si>
  <si>
    <t>ERRO GERAL</t>
  </si>
  <si>
    <t>5. Ordem de Preenchimento</t>
  </si>
  <si>
    <t>5.1. na Aba DADOS</t>
  </si>
  <si>
    <t>5.1.1. Preencha no Quadro abaixo os Dados do TC/CR:</t>
  </si>
  <si>
    <t>5.1.2. Preencha no quadro abaixo as informações sobre o orçamento:</t>
  </si>
  <si>
    <t>5.1.3. Preencha a data de Início da Obra:</t>
  </si>
  <si>
    <t>5.1.4. Preencha no(s) Quadro(s) abaixo os Dados do(s) Responsável(is) Técnico(s) pela elaboração do Orçamento:</t>
  </si>
  <si>
    <t>5.2. Legenda das Abas</t>
  </si>
  <si>
    <t>5.2.1.  LARANJA: Aba DADOS. Preenchimento Obrigatório. Impressão Dispensada.</t>
  </si>
  <si>
    <t>5.2.2.  AMARELO: Abas BDI, PO, PLQ e CFF. Preenchimento e Impressão Obrigatórias. O preenchimento da Aba BDI é dispensada para os casos de Aquisição Direta de Materiais e Equipamentos. A Impressão da Aba PLQ pode ser dispensada para casos de Frente de Obra Única.</t>
  </si>
  <si>
    <t>5.3. na Aba BDI (Bonificações e Despesas Indiretas):</t>
  </si>
  <si>
    <t>5.3.1. Escolha o tipo de empreendimento.</t>
  </si>
  <si>
    <t>5.3.2. Escolha se o BDI será do tipo desonerado ou não (aba DADOS)</t>
  </si>
  <si>
    <t>5.3.3. Informe a base de cálculo do ISS (0 a 100%).</t>
  </si>
  <si>
    <t>5.3.4. Informe a alíquota do ISS (Normalmente de 2 a 5%).</t>
  </si>
  <si>
    <t>5.3.5. Defina na tabela os percentuais a serem adotados para cada item que compõe o BDI nos campos em amarelo.</t>
  </si>
  <si>
    <t>5.3.6. Preencha o campo observações se necessário (recomendado para os orçamentos que utilizam mais de um BDI).</t>
  </si>
  <si>
    <t>5.4. na Aba PO (Planilha Orçamentária):</t>
  </si>
  <si>
    <t>5.4.1. Primeiramente, selecione os níveis de cada item do orçamento na coluna NÍVEL.</t>
  </si>
  <si>
    <t>5.4.1.1: O nível de "Serviço" serve tanto para serviços ou insumos (mão-de-obra / material / equipamento / veículo / máquina / ferramenta / etc). Um "nível 2/3/4" é um título (é preenchida apenas a coluna descrição) utilizado para organizar melhor a planilha orçamentária e engloba (agrupa) serviços e agrupadores de nível inferior.</t>
  </si>
  <si>
    <t>5.4.2. Após a seleção dos níveis, preencha, para cada serviço, as informações sobre a Fonte de Referência, (SINAPI, SICRO, SIURB, etc) e o respectivo Código de Referência.</t>
  </si>
  <si>
    <t>5.4.3. Esta planilha é compatível com o arquivo REFERÊNCIA distribuído pela CAIXA. Caso o arquivo REFERÊNCIA esteja aberto, será possível buscar um código através do botão "Buscar Código". Desta forma a descrição dos serviços será preenchida automaticamente (podendo ser substituída). Caso contrário, seu preenchimento deve ser manual.</t>
  </si>
  <si>
    <t>5.4.3.1. As descrições e unidades preenchidas automaticamente ficarão vinculadas ao arquivo REFERÊNCIA até que se use o botão "Fixar Descrições", que quebra a fórmula e transforma as descrições em texto.</t>
  </si>
  <si>
    <t>5.4.4. Preencher o custo unitário do serviço/insumo na Coluna CUSTO UNITÁRIO. ATENÇÃO: o custo unitário adotado deve ser menor ou igual ao contido na tabela de referência ou mediana das cotações de mercado.</t>
  </si>
  <si>
    <t>5.4.5. Indicar o BDI adotado para cada serviço/insumo na Coluna BDI. Preferencialmente selecione uma das opções da lista suspensa que aparecerá na célula, esta lista contém os 05 BDIs que podem ser preenchidos na Aba BDI (conforme item 5.2 das instruções). Caso seja necessária a adoção de mais de 05 valores diferentes de BDI, digite o percentual diretamente na célula.</t>
  </si>
  <si>
    <t>5.4.6. Conforme selecionado no item 4.1. desta Aba, a Coluna Quantidade pode ser preenchida diretamente na PO, ou representar a soma das quantidades de cada Frente de Obra, informadas na aba PLQ (Planilha de Levantamento de Quantitativos).</t>
  </si>
  <si>
    <t>5.4.7. OBSERVAÇÃO: As demais colunas (Item / Quantidade / Preço Unitário / Preço Total) são de preenchimento automático. Não tente preenche-las ou alterá-las na Aba PO.</t>
  </si>
  <si>
    <t>5.4.8. Se for necessário acrescentar ou excluir linhas da Planilha Orçamentária, utilize o Botão EDITAR PLANILHA e selecione as opções no quadro.
ATENÇÃO: quanto maior o número de linhas mais lento será o processamento dos dados, então acrescente apenas o número necessário ou um pouco a mais.</t>
  </si>
  <si>
    <t>5.4.8.1. Evite deixar linhas em branco no corpo da Planilha Orçamentária.</t>
  </si>
  <si>
    <t>5.4.9. Caso deseje importar os dados de outro arquivo utilize apenas a opção COLAR ESPECIAL ==&gt; VALORES.</t>
  </si>
  <si>
    <t>5.4.10. Clique no Botão LICITAR / REPROGRAMAR para preencher o Orçamento Licitado ou Reprogramado.</t>
  </si>
  <si>
    <t>5.5. na Aba PLQ (Planilha de Levantamento de Quantitativos):</t>
  </si>
  <si>
    <t>5.5.1. Preencha primeiramente as Frentes de Obra.</t>
  </si>
  <si>
    <t xml:space="preserve">5.5.1.1. Exemplos de Frentes de Obra (Rua A trecho 01 / Rua A trecho 02 / Rua B ; UH 01 / UH 02 / UH 03). </t>
  </si>
  <si>
    <t>5.5.2. Preencha as quantidades dos serviços por frente de obra. A soma das quantidades de todas as frentes de um determinado serviço será a quantidade exibida na Planilha Orçamentária.</t>
  </si>
  <si>
    <t>5.5.3. Caso deseje incluir ou excluir frentes, utilize os botões ADICIONAR e EXCLUIR.</t>
  </si>
  <si>
    <t>5.6. na Aba CFF (Cronograma Físico-Financeiro):</t>
  </si>
  <si>
    <t>5.6.1. Preencha a data de início da obra na aba Dados.</t>
  </si>
  <si>
    <t>5.6.2. Preencha as porcentagens previstas por parcela para cada meta ou macrosserviço.</t>
  </si>
  <si>
    <t>5.6.3. Para atualizar o Cronograma conforme o Orçamento e incluir ou excluir parcelas, utilize o botão EDITAR / ATUALIZAR CRONOGRAMA.</t>
  </si>
  <si>
    <t>v008</t>
  </si>
  <si>
    <t>MUNICIPIO</t>
  </si>
  <si>
    <t>SINAPI</t>
  </si>
  <si>
    <t>ENG CIVIL</t>
  </si>
  <si>
    <t>TUCUNDUVA RS</t>
  </si>
  <si>
    <t>RUA SANTA ROSA 520</t>
  </si>
  <si>
    <t>CRISTIAN SCHENDEL</t>
  </si>
  <si>
    <t>195387RS</t>
  </si>
  <si>
    <t>SIM</t>
  </si>
  <si>
    <t>COMPOSIÇÃO</t>
  </si>
  <si>
    <t>88489</t>
  </si>
  <si>
    <t>01</t>
  </si>
  <si>
    <t>REFORMA DO CENTRO DE ASSISTÊNCIA A SAÚDE (CAS)</t>
  </si>
  <si>
    <t>REFORMA DO CENTRO DE ASSITÊNCIA A SAÚDE (CAS)</t>
  </si>
  <si>
    <t>REFORMA</t>
  </si>
  <si>
    <t>87905</t>
  </si>
  <si>
    <t>87777</t>
  </si>
  <si>
    <t>88415</t>
  </si>
  <si>
    <t>95626</t>
  </si>
  <si>
    <t>TELHADO, FORROS E BEIRAIS</t>
  </si>
  <si>
    <t>REVESTIMENTO INTERNO</t>
  </si>
  <si>
    <t>96116</t>
  </si>
  <si>
    <t>PISOS</t>
  </si>
  <si>
    <t>87529</t>
  </si>
  <si>
    <t>88485</t>
  </si>
  <si>
    <t>02</t>
  </si>
  <si>
    <t>ESTACIONAMENTO E CALÇADAS</t>
  </si>
  <si>
    <t>REVITALIZAÇÃO DO PÁTIO</t>
  </si>
  <si>
    <t>DRENAGEM PLUVIAL</t>
  </si>
  <si>
    <t>94263</t>
  </si>
  <si>
    <t>102498</t>
  </si>
  <si>
    <t>102500</t>
  </si>
  <si>
    <t>88650</t>
  </si>
  <si>
    <t>86932</t>
  </si>
  <si>
    <t>95472</t>
  </si>
  <si>
    <t>100869</t>
  </si>
  <si>
    <t>ESQUADRIAS</t>
  </si>
  <si>
    <t>102230</t>
  </si>
  <si>
    <t>07</t>
  </si>
  <si>
    <t>08</t>
  </si>
  <si>
    <t>09</t>
  </si>
  <si>
    <t>10</t>
  </si>
  <si>
    <t>92543</t>
  </si>
  <si>
    <t>94228</t>
  </si>
  <si>
    <t>89578</t>
  </si>
  <si>
    <t>100327</t>
  </si>
  <si>
    <t>12</t>
  </si>
  <si>
    <t>REVESTIMENTOS CERÂMICOS</t>
  </si>
  <si>
    <t>97622</t>
  </si>
  <si>
    <t>SERVIÇOS INICIAIS</t>
  </si>
  <si>
    <t>REFORMA CAS</t>
  </si>
  <si>
    <t>99814</t>
  </si>
  <si>
    <t>88247</t>
  </si>
  <si>
    <t>88264</t>
  </si>
  <si>
    <t>INSTALAÇÕES ELÉTRICAS (MÃO DE OBRA)</t>
  </si>
  <si>
    <t>M2</t>
  </si>
  <si>
    <t>OTIMIZAÇÃO DA SAÚDE PÚBLICA</t>
  </si>
  <si>
    <t>39387</t>
  </si>
  <si>
    <t>SINAPI-I</t>
  </si>
  <si>
    <t>15</t>
  </si>
  <si>
    <t>90106</t>
  </si>
  <si>
    <t>101623</t>
  </si>
  <si>
    <t>96396</t>
  </si>
  <si>
    <t>93382</t>
  </si>
  <si>
    <t>95568</t>
  </si>
  <si>
    <t>INSTALAÇÃO SANITÁRIAS E EQUIPAMENTOS</t>
  </si>
  <si>
    <t>89714</t>
  </si>
  <si>
    <t>96622</t>
  </si>
  <si>
    <t>103328</t>
  </si>
  <si>
    <t>94213</t>
  </si>
  <si>
    <t>103076</t>
  </si>
  <si>
    <t>96536</t>
  </si>
  <si>
    <t>96557</t>
  </si>
  <si>
    <t>98557</t>
  </si>
  <si>
    <t>96544</t>
  </si>
  <si>
    <t>ALVENARIA E TELHADO PARA O ABRIGO PARA RESÍDUOS (2,3mx1,50m)</t>
  </si>
  <si>
    <t>COTAÇÃO</t>
  </si>
  <si>
    <t>11</t>
  </si>
  <si>
    <t>LUIZ AUGUSTO DOBAL</t>
  </si>
  <si>
    <t>238129RS</t>
  </si>
  <si>
    <t>Não</t>
  </si>
  <si>
    <t>JONAS FEERNANDO HAULSCHILD</t>
  </si>
  <si>
    <t>PREFEITO MUNICIPAL</t>
  </si>
  <si>
    <t>103689</t>
  </si>
  <si>
    <t>96486</t>
  </si>
  <si>
    <t>87257</t>
  </si>
  <si>
    <t>03</t>
  </si>
  <si>
    <t>04</t>
  </si>
  <si>
    <t>05</t>
  </si>
  <si>
    <t>06</t>
  </si>
  <si>
    <t>16</t>
  </si>
  <si>
    <t>94993</t>
  </si>
  <si>
    <t>92403</t>
  </si>
  <si>
    <t>17</t>
  </si>
  <si>
    <t>O REGIME DE DESONERAÇÃO VIÁVEL É O NÃO DESONERADO</t>
  </si>
  <si>
    <t>18</t>
  </si>
  <si>
    <t>100576</t>
  </si>
  <si>
    <t>105727</t>
  </si>
  <si>
    <t>95876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</si>
</sst>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R$&quot;\ * #,##0.00_-;\-&quot;R$&quot;\ * #,##0.00_-;_-&quot;R$&quot;\ * &quot;-&quot;??_-;_-@_-"/>
    <numFmt numFmtId="164" formatCode="_(* #,##0.00_);_(* \(#,##0.00\);_(* &quot;-&quot;??_);_(@_)"/>
    <numFmt numFmtId="165" formatCode="_(&quot;R$&quot;* #,##0.00_);_(&quot;R$&quot;* \(#,##0.00\);_(&quot;R$&quot;* &quot;-&quot;??_);_(@_)"/>
    <numFmt numFmtId="166" formatCode="dd/mm/yy;@"/>
    <numFmt numFmtId="167" formatCode="[$-416]mmm\-yy;@"/>
    <numFmt numFmtId="168" formatCode="[$-F800]dddd\,\ mmmm\ dd\,\ yyyy"/>
    <numFmt numFmtId="169" formatCode="_(&quot;R$ &quot;* #,##0.00_);_(&quot;R$ &quot;* \(#,##0.00\);_(&quot;R$ &quot;* &quot;-&quot;??_);_(@_)"/>
    <numFmt numFmtId="170" formatCode="dd\ &quot;de&quot;\ mmmm\ &quot;de&quot;\ yyyy"/>
    <numFmt numFmtId="171" formatCode="General;General;"/>
  </numFmts>
  <fonts count="55" x14ac:knownFonts="1">
    <font>
      <sz val="10"/>
      <name val="Arial"/>
    </font>
    <font>
      <sz val="11"/>
      <color theme="1"/>
      <name val="Calibri"/>
      <family val="2"/>
      <scheme val="minor"/>
    </font>
    <font>
      <sz val="10"/>
      <name val="Arial"/>
      <family val="2"/>
    </font>
    <font>
      <sz val="9"/>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8"/>
      <name val="Arial"/>
      <family val="2"/>
    </font>
    <font>
      <b/>
      <sz val="12"/>
      <name val="Arial"/>
      <family val="2"/>
    </font>
    <font>
      <b/>
      <sz val="10"/>
      <name val="Arial"/>
      <family val="2"/>
    </font>
    <font>
      <b/>
      <sz val="10"/>
      <color indexed="10"/>
      <name val="Arial"/>
      <family val="2"/>
    </font>
    <font>
      <sz val="14"/>
      <color indexed="9"/>
      <name val="Arial Black"/>
      <family val="2"/>
    </font>
    <font>
      <sz val="8"/>
      <name val="Arial"/>
      <family val="2"/>
    </font>
    <font>
      <b/>
      <sz val="11"/>
      <name val="Arial"/>
      <family val="2"/>
    </font>
    <font>
      <b/>
      <sz val="10"/>
      <color indexed="8"/>
      <name val="Arial"/>
      <family val="2"/>
    </font>
    <font>
      <sz val="8"/>
      <color indexed="9"/>
      <name val="Arial"/>
      <family val="2"/>
    </font>
    <font>
      <sz val="10"/>
      <color indexed="9"/>
      <name val="Arial"/>
      <family val="2"/>
    </font>
    <font>
      <sz val="11"/>
      <name val="Arial"/>
      <family val="2"/>
    </font>
    <font>
      <b/>
      <sz val="10"/>
      <color indexed="12"/>
      <name val="Arial"/>
      <family val="2"/>
    </font>
    <font>
      <b/>
      <u/>
      <sz val="15"/>
      <name val="Arial"/>
      <family val="2"/>
    </font>
    <font>
      <b/>
      <sz val="11"/>
      <color indexed="12"/>
      <name val="Arial"/>
      <family val="2"/>
    </font>
    <font>
      <u/>
      <sz val="10"/>
      <name val="Arial"/>
      <family val="2"/>
    </font>
    <font>
      <sz val="12"/>
      <name val="Arial"/>
      <family val="2"/>
    </font>
    <font>
      <sz val="14"/>
      <color indexed="9"/>
      <name val="Arial"/>
      <family val="2"/>
    </font>
    <font>
      <sz val="10"/>
      <name val="Arial"/>
      <family val="2"/>
    </font>
    <font>
      <b/>
      <sz val="9"/>
      <name val="Arial"/>
      <family val="2"/>
    </font>
    <font>
      <sz val="11"/>
      <color indexed="9"/>
      <name val="Arial"/>
      <family val="2"/>
    </font>
    <font>
      <b/>
      <sz val="10"/>
      <color indexed="23"/>
      <name val="Arial"/>
      <family val="2"/>
    </font>
    <font>
      <i/>
      <sz val="12"/>
      <name val="Calibri"/>
      <family val="2"/>
    </font>
    <font>
      <i/>
      <u/>
      <sz val="12"/>
      <name val="Calibri"/>
      <family val="2"/>
    </font>
    <font>
      <sz val="8"/>
      <name val="Arial"/>
      <family val="2"/>
    </font>
    <font>
      <b/>
      <sz val="18"/>
      <name val="Arial"/>
      <family val="2"/>
    </font>
    <font>
      <sz val="10.5"/>
      <name val="Arial"/>
      <family val="2"/>
    </font>
    <font>
      <b/>
      <sz val="12"/>
      <color indexed="10"/>
      <name val="Arial"/>
      <family val="2"/>
    </font>
    <font>
      <b/>
      <sz val="20"/>
      <color indexed="10"/>
      <name val="Arial"/>
      <family val="2"/>
    </font>
    <font>
      <sz val="8"/>
      <name val="Arial"/>
      <family val="2"/>
    </font>
    <font>
      <sz val="11"/>
      <name val="Arial"/>
      <family val="2"/>
    </font>
    <font>
      <sz val="10"/>
      <color indexed="13"/>
      <name val="Arial"/>
      <family val="2"/>
    </font>
    <font>
      <b/>
      <sz val="10"/>
      <color indexed="13"/>
      <name val="Arial"/>
      <family val="2"/>
    </font>
    <font>
      <b/>
      <sz val="10"/>
      <color indexed="13"/>
      <name val="Arial"/>
      <family val="2"/>
    </font>
    <font>
      <sz val="8"/>
      <color rgb="FF000000"/>
      <name val="Segoe UI"/>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3"/>
        <bgColor indexed="64"/>
      </patternFill>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8"/>
        <bgColor indexed="64"/>
      </patternFill>
    </fill>
    <fill>
      <patternFill patternType="solid">
        <fgColor indexed="47"/>
        <bgColor indexed="64"/>
      </patternFill>
    </fill>
    <fill>
      <patternFill patternType="solid">
        <fgColor rgb="FFFFFF99"/>
        <bgColor indexed="64"/>
      </patternFill>
    </fill>
  </fills>
  <borders count="4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bottom/>
      <diagonal/>
    </border>
  </borders>
  <cellStyleXfs count="91">
    <xf numFmtId="0" fontId="0" fillId="0" borderId="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9" borderId="0" applyNumberFormat="0" applyBorder="0" applyAlignment="0" applyProtection="0"/>
    <xf numFmtId="0" fontId="11" fillId="3" borderId="0" applyNumberFormat="0" applyBorder="0" applyAlignment="0" applyProtection="0"/>
    <xf numFmtId="0" fontId="6" fillId="4" borderId="0" applyNumberFormat="0" applyBorder="0" applyAlignment="0" applyProtection="0"/>
    <xf numFmtId="0" fontId="7" fillId="20" borderId="1" applyNumberFormat="0" applyAlignment="0" applyProtection="0"/>
    <xf numFmtId="0" fontId="7" fillId="20" borderId="1" applyNumberFormat="0" applyAlignment="0" applyProtection="0"/>
    <xf numFmtId="0" fontId="8" fillId="21" borderId="2" applyNumberFormat="0" applyAlignment="0" applyProtection="0"/>
    <xf numFmtId="0" fontId="9" fillId="0" borderId="3" applyNumberFormat="0" applyFill="0" applyAlignment="0" applyProtection="0"/>
    <xf numFmtId="0" fontId="8" fillId="21" borderId="2" applyNumberFormat="0" applyAlignment="0" applyProtection="0"/>
    <xf numFmtId="0" fontId="5"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9" borderId="0" applyNumberFormat="0" applyBorder="0" applyAlignment="0" applyProtection="0"/>
    <xf numFmtId="0" fontId="10" fillId="7" borderId="1" applyNumberFormat="0" applyAlignment="0" applyProtection="0"/>
    <xf numFmtId="0" fontId="4" fillId="0" borderId="0"/>
    <xf numFmtId="0" fontId="15" fillId="0" borderId="0" applyNumberFormat="0" applyFill="0" applyBorder="0" applyAlignment="0" applyProtection="0"/>
    <xf numFmtId="0" fontId="6" fillId="4" borderId="0" applyNumberFormat="0" applyBorder="0" applyAlignment="0" applyProtection="0"/>
    <xf numFmtId="0" fontId="17" fillId="0" borderId="4" applyNumberFormat="0" applyFill="0" applyAlignment="0" applyProtection="0"/>
    <xf numFmtId="0" fontId="18" fillId="0" borderId="5" applyNumberFormat="0" applyFill="0" applyAlignment="0" applyProtection="0"/>
    <xf numFmtId="0" fontId="19" fillId="0" borderId="6" applyNumberFormat="0" applyFill="0" applyAlignment="0" applyProtection="0"/>
    <xf numFmtId="0" fontId="19" fillId="0" borderId="0" applyNumberFormat="0" applyFill="0" applyBorder="0" applyAlignment="0" applyProtection="0"/>
    <xf numFmtId="0" fontId="11" fillId="3" borderId="0" applyNumberFormat="0" applyBorder="0" applyAlignment="0" applyProtection="0"/>
    <xf numFmtId="0" fontId="10" fillId="7" borderId="1" applyNumberFormat="0" applyAlignment="0" applyProtection="0"/>
    <xf numFmtId="0" fontId="9" fillId="0" borderId="3" applyNumberFormat="0" applyFill="0" applyAlignment="0" applyProtection="0"/>
    <xf numFmtId="165" fontId="2" fillId="0" borderId="0" applyFont="0" applyFill="0" applyBorder="0" applyAlignment="0" applyProtection="0"/>
    <xf numFmtId="169" fontId="2" fillId="0" borderId="0" applyFont="0" applyFill="0" applyBorder="0" applyAlignment="0" applyProtection="0"/>
    <xf numFmtId="0" fontId="12" fillId="22" borderId="0" applyNumberFormat="0" applyBorder="0" applyAlignment="0" applyProtection="0"/>
    <xf numFmtId="0" fontId="12" fillId="22" borderId="0" applyNumberFormat="0" applyBorder="0" applyAlignment="0" applyProtection="0"/>
    <xf numFmtId="0" fontId="2" fillId="0" borderId="0"/>
    <xf numFmtId="0" fontId="3" fillId="0" borderId="0"/>
    <xf numFmtId="0" fontId="2" fillId="23" borderId="7" applyNumberFormat="0" applyFont="0" applyAlignment="0" applyProtection="0"/>
    <xf numFmtId="0" fontId="2" fillId="23" borderId="7" applyNumberFormat="0" applyFont="0" applyAlignment="0" applyProtection="0"/>
    <xf numFmtId="0" fontId="13" fillId="20" borderId="8" applyNumberFormat="0" applyAlignment="0" applyProtection="0"/>
    <xf numFmtId="9" fontId="2" fillId="0" borderId="0" applyFont="0" applyFill="0" applyBorder="0" applyAlignment="0" applyProtection="0"/>
    <xf numFmtId="0" fontId="13" fillId="20" borderId="8"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7" fillId="0" borderId="4" applyNumberFormat="0" applyFill="0" applyAlignment="0" applyProtection="0"/>
    <xf numFmtId="0" fontId="18" fillId="0" borderId="5" applyNumberFormat="0" applyFill="0" applyAlignment="0" applyProtection="0"/>
    <xf numFmtId="0" fontId="19" fillId="0" borderId="6" applyNumberFormat="0" applyFill="0" applyAlignment="0" applyProtection="0"/>
    <xf numFmtId="0" fontId="19" fillId="0" borderId="0" applyNumberFormat="0" applyFill="0" applyBorder="0" applyAlignment="0" applyProtection="0"/>
    <xf numFmtId="0" fontId="20" fillId="0" borderId="9" applyNumberFormat="0" applyFill="0" applyAlignment="0" applyProtection="0"/>
    <xf numFmtId="164" fontId="2" fillId="0" borderId="0" applyFont="0" applyFill="0" applyBorder="0" applyAlignment="0" applyProtection="0"/>
    <xf numFmtId="0" fontId="14" fillId="0" borderId="0" applyNumberFormat="0" applyFill="0" applyBorder="0" applyAlignment="0" applyProtection="0"/>
    <xf numFmtId="0" fontId="1" fillId="0" borderId="0"/>
    <xf numFmtId="44" fontId="4" fillId="0" borderId="0" applyFont="0" applyFill="0" applyBorder="0" applyAlignment="0" applyProtection="0"/>
  </cellStyleXfs>
  <cellXfs count="353">
    <xf numFmtId="0" fontId="0" fillId="0" borderId="0" xfId="0"/>
    <xf numFmtId="0" fontId="2" fillId="0" borderId="0" xfId="0" applyFont="1"/>
    <xf numFmtId="0" fontId="21" fillId="0" borderId="0" xfId="0" applyFont="1"/>
    <xf numFmtId="0" fontId="23" fillId="0" borderId="0" xfId="0" applyFont="1" applyAlignment="1">
      <alignment horizontal="center"/>
    </xf>
    <xf numFmtId="0" fontId="2" fillId="0" borderId="0" xfId="0" applyFont="1" applyAlignment="1">
      <alignment horizontal="center"/>
    </xf>
    <xf numFmtId="0" fontId="0" fillId="0" borderId="0" xfId="0" applyAlignment="1">
      <alignment horizontal="left"/>
    </xf>
    <xf numFmtId="49" fontId="23" fillId="24" borderId="10" xfId="0" applyNumberFormat="1" applyFont="1" applyFill="1" applyBorder="1" applyAlignment="1">
      <alignment horizontal="center" vertical="center"/>
    </xf>
    <xf numFmtId="164" fontId="23" fillId="24" borderId="10" xfId="87" applyFont="1" applyFill="1" applyBorder="1" applyAlignment="1" applyProtection="1">
      <alignment horizontal="center" vertical="center"/>
    </xf>
    <xf numFmtId="10" fontId="23" fillId="24" borderId="10" xfId="76" applyNumberFormat="1" applyFont="1" applyFill="1" applyBorder="1" applyAlignment="1" applyProtection="1">
      <alignment horizontal="center" vertical="center"/>
    </xf>
    <xf numFmtId="0" fontId="24" fillId="0" borderId="0" xfId="0" applyFont="1"/>
    <xf numFmtId="0" fontId="2" fillId="0" borderId="0" xfId="0" applyFont="1" applyAlignment="1">
      <alignment horizontal="left"/>
    </xf>
    <xf numFmtId="0" fontId="2" fillId="0" borderId="0" xfId="0" applyFont="1" applyAlignment="1">
      <alignment horizontal="center" vertical="center"/>
    </xf>
    <xf numFmtId="164" fontId="2" fillId="0" borderId="0" xfId="87" applyFont="1"/>
    <xf numFmtId="0" fontId="28" fillId="0" borderId="0" xfId="0" applyFont="1" applyAlignment="1">
      <alignment vertical="center"/>
    </xf>
    <xf numFmtId="0" fontId="2" fillId="0" borderId="0" xfId="0" applyFont="1" applyAlignment="1">
      <alignment horizontal="right"/>
    </xf>
    <xf numFmtId="0" fontId="23" fillId="0" borderId="0" xfId="0" applyFont="1" applyAlignment="1">
      <alignment horizontal="right"/>
    </xf>
    <xf numFmtId="0" fontId="2" fillId="0" borderId="0" xfId="0" applyFont="1" applyAlignment="1">
      <alignment wrapText="1"/>
    </xf>
    <xf numFmtId="0" fontId="0" fillId="0" borderId="0" xfId="0" applyAlignment="1">
      <alignment horizontal="left" wrapText="1"/>
    </xf>
    <xf numFmtId="0" fontId="2" fillId="0" borderId="0" xfId="0" applyFont="1" applyAlignment="1">
      <alignment horizontal="left" wrapText="1" indent="2"/>
    </xf>
    <xf numFmtId="0" fontId="0" fillId="0" borderId="0" xfId="0" applyAlignment="1">
      <alignment horizontal="center"/>
    </xf>
    <xf numFmtId="0" fontId="23" fillId="0" borderId="11" xfId="72" applyFont="1" applyBorder="1" applyAlignment="1">
      <alignment horizontal="left" vertical="top"/>
    </xf>
    <xf numFmtId="0" fontId="23" fillId="0" borderId="0" xfId="72" applyFont="1" applyAlignment="1">
      <alignment horizontal="left" vertical="top"/>
    </xf>
    <xf numFmtId="0" fontId="23" fillId="0" borderId="12" xfId="72" applyFont="1" applyBorder="1" applyAlignment="1">
      <alignment horizontal="left" vertical="top"/>
    </xf>
    <xf numFmtId="10" fontId="2" fillId="0" borderId="0" xfId="76" applyNumberFormat="1" applyFont="1" applyBorder="1" applyAlignment="1" applyProtection="1">
      <alignment horizontal="left"/>
    </xf>
    <xf numFmtId="0" fontId="0" fillId="0" borderId="0" xfId="0" applyAlignment="1">
      <alignment horizontal="left" indent="2"/>
    </xf>
    <xf numFmtId="14" fontId="29" fillId="0" borderId="0" xfId="0" applyNumberFormat="1" applyFont="1" applyAlignment="1">
      <alignment vertical="top" wrapText="1"/>
    </xf>
    <xf numFmtId="0" fontId="30" fillId="0" borderId="0" xfId="0" applyFont="1" applyAlignment="1">
      <alignment horizontal="center"/>
    </xf>
    <xf numFmtId="0" fontId="30" fillId="0" borderId="0" xfId="0" applyFont="1"/>
    <xf numFmtId="0" fontId="22" fillId="0" borderId="0" xfId="0" applyFont="1" applyAlignment="1">
      <alignment horizontal="left"/>
    </xf>
    <xf numFmtId="166" fontId="0" fillId="0" borderId="0" xfId="87" applyNumberFormat="1" applyFont="1" applyFill="1" applyBorder="1" applyProtection="1"/>
    <xf numFmtId="0" fontId="0" fillId="0" borderId="13" xfId="0" applyBorder="1" applyAlignment="1">
      <alignment horizontal="left"/>
    </xf>
    <xf numFmtId="0" fontId="0" fillId="0" borderId="13" xfId="0" applyBorder="1"/>
    <xf numFmtId="0" fontId="0" fillId="0" borderId="0" xfId="0" applyProtection="1">
      <protection hidden="1"/>
    </xf>
    <xf numFmtId="0" fontId="2" fillId="0" borderId="0" xfId="0" applyFont="1" applyProtection="1">
      <protection hidden="1"/>
    </xf>
    <xf numFmtId="0" fontId="23" fillId="0" borderId="0" xfId="0" applyFont="1" applyAlignment="1" applyProtection="1">
      <alignment wrapText="1"/>
      <protection hidden="1"/>
    </xf>
    <xf numFmtId="0" fontId="23" fillId="0" borderId="0" xfId="0" applyFont="1" applyAlignment="1" applyProtection="1">
      <alignment horizontal="center" vertical="center"/>
      <protection hidden="1"/>
    </xf>
    <xf numFmtId="0" fontId="3" fillId="0" borderId="0" xfId="0" applyFont="1" applyProtection="1">
      <protection hidden="1"/>
    </xf>
    <xf numFmtId="0" fontId="2" fillId="0" borderId="0" xfId="0" applyFont="1" applyAlignment="1" applyProtection="1">
      <alignment horizontal="center"/>
      <protection hidden="1"/>
    </xf>
    <xf numFmtId="0" fontId="2" fillId="0" borderId="0" xfId="0" applyFont="1" applyAlignment="1">
      <alignment horizontal="left" wrapText="1"/>
    </xf>
    <xf numFmtId="0" fontId="2" fillId="0" borderId="0" xfId="0" applyFont="1" applyAlignment="1">
      <alignment horizontal="left" wrapText="1" indent="1"/>
    </xf>
    <xf numFmtId="0" fontId="23" fillId="0" borderId="0" xfId="0" applyFont="1" applyAlignment="1">
      <alignment horizontal="left" wrapText="1" indent="1"/>
    </xf>
    <xf numFmtId="0" fontId="23" fillId="0" borderId="0" xfId="0" applyFont="1" applyAlignment="1">
      <alignment horizontal="left" indent="1"/>
    </xf>
    <xf numFmtId="0" fontId="2" fillId="0" borderId="0" xfId="71"/>
    <xf numFmtId="0" fontId="23" fillId="0" borderId="0" xfId="71" applyFont="1" applyAlignment="1">
      <alignment horizontal="center"/>
    </xf>
    <xf numFmtId="0" fontId="23" fillId="0" borderId="14" xfId="71" applyFont="1" applyBorder="1" applyAlignment="1">
      <alignment horizontal="center"/>
    </xf>
    <xf numFmtId="10" fontId="32" fillId="0" borderId="14" xfId="71" applyNumberFormat="1" applyFont="1" applyBorder="1" applyAlignment="1">
      <alignment horizontal="center"/>
    </xf>
    <xf numFmtId="0" fontId="22" fillId="0" borderId="0" xfId="71" applyFont="1" applyAlignment="1">
      <alignment horizontal="center"/>
    </xf>
    <xf numFmtId="0" fontId="33" fillId="0" borderId="0" xfId="71" applyFont="1"/>
    <xf numFmtId="0" fontId="23" fillId="0" borderId="0" xfId="71" applyFont="1"/>
    <xf numFmtId="0" fontId="23" fillId="0" borderId="14" xfId="71" applyFont="1" applyBorder="1" applyAlignment="1">
      <alignment horizontal="center" vertical="center" wrapText="1"/>
    </xf>
    <xf numFmtId="0" fontId="31" fillId="0" borderId="14" xfId="71" applyFont="1" applyBorder="1" applyAlignment="1">
      <alignment horizontal="center" vertical="center"/>
    </xf>
    <xf numFmtId="10" fontId="31" fillId="25" borderId="14" xfId="71" applyNumberFormat="1" applyFont="1" applyFill="1" applyBorder="1" applyAlignment="1" applyProtection="1">
      <alignment horizontal="center" vertical="center"/>
      <protection locked="0"/>
    </xf>
    <xf numFmtId="4" fontId="27" fillId="0" borderId="14" xfId="71" applyNumberFormat="1" applyFont="1" applyBorder="1" applyAlignment="1">
      <alignment horizontal="center" vertical="center"/>
    </xf>
    <xf numFmtId="10" fontId="31" fillId="0" borderId="14" xfId="71" applyNumberFormat="1" applyFont="1" applyBorder="1" applyAlignment="1">
      <alignment horizontal="center" vertical="center"/>
    </xf>
    <xf numFmtId="10" fontId="31" fillId="0" borderId="14" xfId="71" applyNumberFormat="1" applyFont="1" applyBorder="1" applyAlignment="1">
      <alignment horizontal="center" vertical="center" wrapText="1"/>
    </xf>
    <xf numFmtId="0" fontId="31" fillId="0" borderId="14" xfId="71" applyFont="1" applyBorder="1" applyAlignment="1">
      <alignment horizontal="center" vertical="center" wrapText="1"/>
    </xf>
    <xf numFmtId="0" fontId="40" fillId="0" borderId="0" xfId="71" applyFont="1" applyAlignment="1">
      <alignment horizontal="center" vertical="center" wrapText="1"/>
    </xf>
    <xf numFmtId="10" fontId="40" fillId="0" borderId="0" xfId="71" applyNumberFormat="1" applyFont="1" applyAlignment="1">
      <alignment horizontal="center" vertical="center"/>
    </xf>
    <xf numFmtId="170" fontId="2" fillId="0" borderId="0" xfId="71" applyNumberFormat="1"/>
    <xf numFmtId="0" fontId="31" fillId="0" borderId="0" xfId="71" applyFont="1"/>
    <xf numFmtId="0" fontId="31" fillId="0" borderId="0" xfId="71" applyFont="1" applyAlignment="1">
      <alignment vertical="top"/>
    </xf>
    <xf numFmtId="0" fontId="35" fillId="0" borderId="0" xfId="71" applyFont="1" applyAlignment="1">
      <alignment horizontal="center" vertical="top"/>
    </xf>
    <xf numFmtId="0" fontId="23" fillId="0" borderId="14" xfId="0" applyFont="1" applyBorder="1" applyAlignment="1">
      <alignment horizontal="center" vertical="center" wrapText="1"/>
    </xf>
    <xf numFmtId="0" fontId="23" fillId="0" borderId="14" xfId="0" applyFont="1" applyBorder="1" applyAlignment="1">
      <alignment horizontal="center" vertical="center"/>
    </xf>
    <xf numFmtId="0" fontId="23" fillId="24" borderId="14" xfId="0" applyFont="1" applyFill="1" applyBorder="1" applyAlignment="1">
      <alignment horizontal="center" vertical="center"/>
    </xf>
    <xf numFmtId="0" fontId="2" fillId="0" borderId="15" xfId="0" applyFont="1" applyBorder="1" applyAlignment="1">
      <alignment horizontal="center"/>
    </xf>
    <xf numFmtId="0" fontId="23" fillId="0" borderId="16" xfId="0" applyFont="1" applyBorder="1" applyAlignment="1">
      <alignment horizontal="center"/>
    </xf>
    <xf numFmtId="0" fontId="37" fillId="0" borderId="0" xfId="0" applyFont="1" applyAlignment="1">
      <alignment vertical="center"/>
    </xf>
    <xf numFmtId="0" fontId="2" fillId="0" borderId="0" xfId="0" applyFont="1" applyAlignment="1">
      <alignment horizontal="center" vertical="top"/>
    </xf>
    <xf numFmtId="0" fontId="2" fillId="0" borderId="17" xfId="0" applyFont="1" applyBorder="1"/>
    <xf numFmtId="0" fontId="31" fillId="0" borderId="0" xfId="0" applyFont="1"/>
    <xf numFmtId="0" fontId="22" fillId="0" borderId="0" xfId="0" applyFont="1" applyAlignment="1">
      <alignment horizontal="right"/>
    </xf>
    <xf numFmtId="0" fontId="23" fillId="25" borderId="0" xfId="0" applyFont="1" applyFill="1" applyProtection="1">
      <protection locked="0"/>
    </xf>
    <xf numFmtId="0" fontId="23" fillId="24" borderId="10" xfId="0" applyFont="1" applyFill="1" applyBorder="1" applyAlignment="1">
      <alignment horizontal="center" vertical="center" wrapText="1"/>
    </xf>
    <xf numFmtId="0" fontId="2" fillId="25" borderId="18" xfId="0" applyFont="1" applyFill="1" applyBorder="1" applyAlignment="1" applyProtection="1">
      <alignment horizontal="left" vertical="top" wrapText="1"/>
      <protection locked="0"/>
    </xf>
    <xf numFmtId="0" fontId="2" fillId="0" borderId="12" xfId="0" applyFont="1" applyBorder="1"/>
    <xf numFmtId="0" fontId="31" fillId="0" borderId="11" xfId="0" applyFont="1" applyBorder="1" applyAlignment="1">
      <alignment horizontal="left" vertical="center"/>
    </xf>
    <xf numFmtId="0" fontId="2" fillId="25" borderId="18" xfId="0" applyFont="1" applyFill="1" applyBorder="1" applyAlignment="1" applyProtection="1">
      <alignment vertical="top" wrapText="1"/>
      <protection locked="0"/>
    </xf>
    <xf numFmtId="0" fontId="23" fillId="0" borderId="11" xfId="72" applyFont="1" applyBorder="1" applyAlignment="1">
      <alignment vertical="top"/>
    </xf>
    <xf numFmtId="0" fontId="23" fillId="0" borderId="15" xfId="72" applyFont="1" applyBorder="1" applyAlignment="1">
      <alignment horizontal="center" vertical="top"/>
    </xf>
    <xf numFmtId="10" fontId="38" fillId="25" borderId="16" xfId="76" applyNumberFormat="1" applyFont="1" applyFill="1" applyBorder="1" applyAlignment="1" applyProtection="1">
      <alignment horizontal="center" vertical="top" wrapText="1"/>
    </xf>
    <xf numFmtId="10" fontId="0" fillId="0" borderId="16" xfId="76" applyNumberFormat="1" applyFont="1" applyFill="1" applyBorder="1" applyAlignment="1" applyProtection="1">
      <alignment horizontal="center" vertical="top" wrapText="1"/>
    </xf>
    <xf numFmtId="164" fontId="23" fillId="24" borderId="19" xfId="87" applyFont="1" applyFill="1" applyBorder="1" applyAlignment="1" applyProtection="1">
      <alignment horizontal="center" vertical="center" shrinkToFit="1"/>
    </xf>
    <xf numFmtId="164" fontId="2" fillId="0" borderId="20" xfId="87" applyFont="1" applyFill="1" applyBorder="1" applyAlignment="1">
      <alignment horizontal="center" vertical="center" shrinkToFit="1"/>
    </xf>
    <xf numFmtId="0" fontId="22" fillId="0" borderId="0" xfId="0" applyFont="1" applyAlignment="1">
      <alignment horizontal="left" vertical="center"/>
    </xf>
    <xf numFmtId="0" fontId="2" fillId="0" borderId="0" xfId="71" applyAlignment="1">
      <alignment horizontal="center" vertical="top"/>
    </xf>
    <xf numFmtId="0" fontId="39" fillId="0" borderId="0" xfId="72" applyFont="1" applyAlignment="1">
      <alignment horizontal="left" vertical="top"/>
    </xf>
    <xf numFmtId="0" fontId="36" fillId="0" borderId="0" xfId="0" applyFont="1" applyAlignment="1">
      <alignment horizontal="left" vertical="center"/>
    </xf>
    <xf numFmtId="3" fontId="0" fillId="26" borderId="21" xfId="0" applyNumberFormat="1" applyFill="1" applyBorder="1" applyAlignment="1">
      <alignment horizontal="left"/>
    </xf>
    <xf numFmtId="10" fontId="38" fillId="25" borderId="18" xfId="76" applyNumberFormat="1" applyFont="1" applyFill="1" applyBorder="1" applyAlignment="1" applyProtection="1">
      <alignment horizontal="left" vertical="top" wrapText="1"/>
      <protection locked="0"/>
    </xf>
    <xf numFmtId="0" fontId="2" fillId="26" borderId="18" xfId="0" applyFont="1" applyFill="1" applyBorder="1" applyAlignment="1">
      <alignment horizontal="left"/>
    </xf>
    <xf numFmtId="4" fontId="27" fillId="0" borderId="14" xfId="71" applyNumberFormat="1" applyFont="1" applyBorder="1" applyAlignment="1">
      <alignment horizontal="center" vertical="center" wrapText="1"/>
    </xf>
    <xf numFmtId="0" fontId="47" fillId="0" borderId="0" xfId="71" applyFont="1" applyAlignment="1">
      <alignment wrapText="1"/>
    </xf>
    <xf numFmtId="0" fontId="48" fillId="0" borderId="0" xfId="71" applyFont="1" applyAlignment="1">
      <alignment vertical="top" wrapText="1"/>
    </xf>
    <xf numFmtId="0" fontId="45" fillId="0" borderId="14" xfId="71" applyFont="1" applyBorder="1" applyAlignment="1">
      <alignment horizontal="center" vertical="center"/>
    </xf>
    <xf numFmtId="4" fontId="27" fillId="0" borderId="0" xfId="71" applyNumberFormat="1" applyFont="1" applyAlignment="1">
      <alignment horizontal="center" vertical="center" wrapText="1"/>
    </xf>
    <xf numFmtId="0" fontId="2" fillId="0" borderId="0" xfId="71" applyProtection="1">
      <protection locked="0"/>
    </xf>
    <xf numFmtId="0" fontId="23" fillId="0" borderId="0" xfId="0" applyFont="1"/>
    <xf numFmtId="0" fontId="23" fillId="0" borderId="0" xfId="0" applyFont="1" applyAlignment="1">
      <alignment horizontal="left"/>
    </xf>
    <xf numFmtId="0" fontId="23" fillId="0" borderId="22" xfId="0" applyFont="1" applyBorder="1" applyAlignment="1">
      <alignment horizontal="center" vertical="center" wrapText="1"/>
    </xf>
    <xf numFmtId="0" fontId="23" fillId="0" borderId="0" xfId="0" applyFont="1" applyAlignment="1">
      <alignment horizontal="center" vertical="center" wrapText="1"/>
    </xf>
    <xf numFmtId="0" fontId="24" fillId="0" borderId="16" xfId="0" applyFont="1" applyBorder="1" applyAlignment="1">
      <alignment horizontal="center"/>
    </xf>
    <xf numFmtId="0" fontId="3" fillId="25" borderId="23" xfId="0" applyFont="1" applyFill="1" applyBorder="1" applyAlignment="1" applyProtection="1">
      <alignment vertical="center" wrapText="1"/>
      <protection locked="0"/>
    </xf>
    <xf numFmtId="164" fontId="2" fillId="0" borderId="24" xfId="87" applyFont="1" applyFill="1" applyBorder="1" applyAlignment="1">
      <alignment vertical="center" shrinkToFit="1"/>
    </xf>
    <xf numFmtId="0" fontId="2" fillId="25" borderId="25" xfId="0" applyFont="1" applyFill="1" applyBorder="1" applyAlignment="1" applyProtection="1">
      <alignment horizontal="center" textRotation="90" wrapText="1"/>
      <protection locked="0"/>
    </xf>
    <xf numFmtId="0" fontId="23" fillId="0" borderId="15" xfId="0" applyFont="1" applyBorder="1" applyAlignment="1">
      <alignment horizontal="center" vertical="center" wrapText="1"/>
    </xf>
    <xf numFmtId="0" fontId="23" fillId="0" borderId="15" xfId="0" applyFont="1" applyBorder="1" applyAlignment="1">
      <alignment horizontal="center" vertical="center"/>
    </xf>
    <xf numFmtId="0" fontId="28" fillId="0" borderId="26" xfId="0" applyFont="1" applyBorder="1" applyAlignment="1">
      <alignment horizontal="center" vertical="center"/>
    </xf>
    <xf numFmtId="0" fontId="3" fillId="0" borderId="27" xfId="0" applyFont="1" applyBorder="1" applyAlignment="1">
      <alignment vertical="center"/>
    </xf>
    <xf numFmtId="0" fontId="2" fillId="0" borderId="28" xfId="0" applyFont="1" applyBorder="1" applyAlignment="1">
      <alignment vertical="center" wrapText="1"/>
    </xf>
    <xf numFmtId="0" fontId="3" fillId="0" borderId="28" xfId="0" applyFont="1" applyBorder="1" applyAlignment="1">
      <alignment vertical="center"/>
    </xf>
    <xf numFmtId="0" fontId="2" fillId="0" borderId="28" xfId="0" applyFont="1" applyBorder="1" applyAlignment="1">
      <alignment horizontal="center" vertical="center" wrapText="1"/>
    </xf>
    <xf numFmtId="0" fontId="2" fillId="0" borderId="28" xfId="0" applyFont="1" applyBorder="1" applyAlignment="1">
      <alignment vertical="center" shrinkToFit="1"/>
    </xf>
    <xf numFmtId="10" fontId="2" fillId="0" borderId="24" xfId="87" applyNumberFormat="1" applyFont="1" applyFill="1" applyBorder="1" applyAlignment="1">
      <alignment vertical="center" shrinkToFit="1"/>
    </xf>
    <xf numFmtId="10" fontId="23" fillId="24" borderId="10" xfId="87" applyNumberFormat="1" applyFont="1" applyFill="1" applyBorder="1" applyAlignment="1" applyProtection="1">
      <alignment horizontal="center" vertical="center"/>
    </xf>
    <xf numFmtId="0" fontId="2" fillId="0" borderId="18" xfId="0" applyFont="1" applyBorder="1" applyAlignment="1">
      <alignment vertical="top" wrapText="1"/>
    </xf>
    <xf numFmtId="0" fontId="2" fillId="0" borderId="18" xfId="0" applyFont="1" applyBorder="1" applyAlignment="1">
      <alignment horizontal="left" vertical="top" wrapText="1"/>
    </xf>
    <xf numFmtId="10" fontId="38" fillId="0" borderId="16" xfId="76" applyNumberFormat="1" applyFont="1" applyFill="1" applyBorder="1" applyAlignment="1" applyProtection="1">
      <alignment horizontal="center" vertical="top" wrapText="1"/>
    </xf>
    <xf numFmtId="10" fontId="38" fillId="0" borderId="18" xfId="76" applyNumberFormat="1" applyFont="1" applyFill="1" applyBorder="1" applyAlignment="1" applyProtection="1">
      <alignment horizontal="left" vertical="top" wrapText="1"/>
    </xf>
    <xf numFmtId="0" fontId="23" fillId="0" borderId="17" xfId="0" applyFont="1" applyBorder="1"/>
    <xf numFmtId="0" fontId="23" fillId="0" borderId="17" xfId="0" applyFont="1" applyBorder="1" applyAlignment="1">
      <alignment horizontal="left"/>
    </xf>
    <xf numFmtId="0" fontId="2" fillId="0" borderId="17" xfId="0" applyFont="1" applyBorder="1" applyAlignment="1">
      <alignment horizontal="left"/>
    </xf>
    <xf numFmtId="0" fontId="23" fillId="0" borderId="17" xfId="71" applyFont="1" applyBorder="1" applyAlignment="1">
      <alignment horizontal="left"/>
    </xf>
    <xf numFmtId="0" fontId="2" fillId="0" borderId="17" xfId="71" applyBorder="1"/>
    <xf numFmtId="0" fontId="28" fillId="0" borderId="0" xfId="0" applyFont="1" applyAlignment="1">
      <alignment horizontal="center" vertical="center"/>
    </xf>
    <xf numFmtId="0" fontId="39" fillId="0" borderId="29" xfId="0" applyFont="1" applyBorder="1" applyAlignment="1">
      <alignment horizontal="center" vertical="center" wrapText="1"/>
    </xf>
    <xf numFmtId="0" fontId="30" fillId="0" borderId="0" xfId="0" applyFont="1" applyAlignment="1">
      <alignment horizontal="center" vertical="center" wrapText="1"/>
    </xf>
    <xf numFmtId="4" fontId="27" fillId="27" borderId="13" xfId="87" applyNumberFormat="1" applyFont="1" applyFill="1" applyBorder="1" applyAlignment="1" applyProtection="1">
      <alignment horizontal="center" vertical="center" shrinkToFit="1"/>
    </xf>
    <xf numFmtId="10" fontId="27" fillId="28" borderId="0" xfId="76" applyNumberFormat="1" applyFont="1" applyFill="1" applyBorder="1" applyAlignment="1" applyProtection="1">
      <alignment horizontal="center" vertical="center" shrinkToFit="1"/>
    </xf>
    <xf numFmtId="4" fontId="27" fillId="28" borderId="13" xfId="87" applyNumberFormat="1" applyFont="1" applyFill="1" applyBorder="1" applyAlignment="1" applyProtection="1">
      <alignment horizontal="center" vertical="center" shrinkToFit="1"/>
    </xf>
    <xf numFmtId="0" fontId="39" fillId="0" borderId="30" xfId="0" applyFont="1" applyBorder="1" applyAlignment="1">
      <alignment horizontal="center" vertical="center" wrapText="1"/>
    </xf>
    <xf numFmtId="0" fontId="2" fillId="0" borderId="17" xfId="0" applyFont="1" applyBorder="1" applyAlignment="1">
      <alignment horizontal="center"/>
    </xf>
    <xf numFmtId="0" fontId="23" fillId="27" borderId="18" xfId="0" applyFont="1" applyFill="1" applyBorder="1" applyAlignment="1">
      <alignment horizontal="center" vertical="center"/>
    </xf>
    <xf numFmtId="0" fontId="23" fillId="28" borderId="11" xfId="0" applyFont="1" applyFill="1" applyBorder="1" applyAlignment="1">
      <alignment horizontal="center" vertical="center"/>
    </xf>
    <xf numFmtId="0" fontId="23" fillId="28" borderId="18" xfId="0" applyFont="1" applyFill="1" applyBorder="1" applyAlignment="1">
      <alignment horizontal="center" vertical="center"/>
    </xf>
    <xf numFmtId="0" fontId="0" fillId="25" borderId="14" xfId="0" applyFill="1" applyBorder="1" applyAlignment="1" applyProtection="1">
      <alignment horizontal="center" vertical="center"/>
      <protection locked="0"/>
    </xf>
    <xf numFmtId="0" fontId="39" fillId="0" borderId="0" xfId="0" applyFont="1" applyAlignment="1">
      <alignment horizontal="center" wrapText="1"/>
    </xf>
    <xf numFmtId="0" fontId="51" fillId="0" borderId="0" xfId="0" applyFont="1"/>
    <xf numFmtId="0" fontId="2" fillId="0" borderId="31" xfId="0" applyFont="1" applyBorder="1" applyAlignment="1">
      <alignment vertical="center" wrapText="1" shrinkToFit="1"/>
    </xf>
    <xf numFmtId="0" fontId="41" fillId="24" borderId="32" xfId="0" applyFont="1" applyFill="1" applyBorder="1" applyAlignment="1">
      <alignment horizontal="center" vertical="center" wrapText="1"/>
    </xf>
    <xf numFmtId="0" fontId="3" fillId="28" borderId="23" xfId="0" applyFont="1" applyFill="1" applyBorder="1" applyAlignment="1">
      <alignment vertical="center" wrapText="1"/>
    </xf>
    <xf numFmtId="164" fontId="2" fillId="0" borderId="28" xfId="87" applyFont="1" applyFill="1" applyBorder="1" applyAlignment="1" applyProtection="1">
      <alignment vertical="center" shrinkToFit="1"/>
    </xf>
    <xf numFmtId="0" fontId="2" fillId="0" borderId="0" xfId="0" applyFont="1" applyAlignment="1" applyProtection="1">
      <alignment horizontal="center"/>
      <protection locked="0"/>
    </xf>
    <xf numFmtId="0" fontId="23" fillId="27" borderId="11" xfId="0" applyFont="1" applyFill="1" applyBorder="1" applyAlignment="1">
      <alignment horizontal="center" vertical="center"/>
    </xf>
    <xf numFmtId="10" fontId="31" fillId="0" borderId="0" xfId="76" applyNumberFormat="1" applyFont="1" applyFill="1" applyBorder="1" applyAlignment="1" applyProtection="1">
      <alignment horizontal="center" vertical="center"/>
    </xf>
    <xf numFmtId="4" fontId="31" fillId="0" borderId="0" xfId="76" applyNumberFormat="1" applyFont="1" applyFill="1" applyBorder="1" applyAlignment="1" applyProtection="1">
      <alignment horizontal="center" vertical="center"/>
    </xf>
    <xf numFmtId="0" fontId="2" fillId="0" borderId="11" xfId="0" applyFont="1" applyBorder="1" applyAlignment="1">
      <alignment horizontal="center" vertical="center"/>
    </xf>
    <xf numFmtId="0" fontId="23" fillId="0" borderId="11" xfId="0" applyFont="1" applyBorder="1" applyAlignment="1">
      <alignment horizontal="center" vertical="center"/>
    </xf>
    <xf numFmtId="0" fontId="25" fillId="0" borderId="0" xfId="0" applyFont="1" applyAlignment="1">
      <alignment vertical="center"/>
    </xf>
    <xf numFmtId="0" fontId="22" fillId="0" borderId="0" xfId="0" applyFont="1" applyAlignment="1">
      <alignment horizontal="right" vertical="center"/>
    </xf>
    <xf numFmtId="0" fontId="0" fillId="0" borderId="0" xfId="0" applyAlignment="1">
      <alignment horizontal="center" vertical="top"/>
    </xf>
    <xf numFmtId="0" fontId="2" fillId="0" borderId="0" xfId="0" applyFont="1" applyAlignment="1">
      <alignment horizontal="center" wrapText="1"/>
    </xf>
    <xf numFmtId="0" fontId="49" fillId="0" borderId="0" xfId="0" applyFont="1" applyAlignment="1">
      <alignment wrapText="1"/>
    </xf>
    <xf numFmtId="0" fontId="23" fillId="0" borderId="0" xfId="0" applyFont="1" applyAlignment="1">
      <alignment horizontal="center" wrapText="1"/>
    </xf>
    <xf numFmtId="0" fontId="27" fillId="0" borderId="15" xfId="0" applyFont="1" applyBorder="1" applyAlignment="1">
      <alignment horizontal="center" vertical="center"/>
    </xf>
    <xf numFmtId="0" fontId="27" fillId="0" borderId="15" xfId="0" applyFont="1" applyBorder="1" applyAlignment="1">
      <alignment horizontal="center" vertical="center" wrapText="1"/>
    </xf>
    <xf numFmtId="0" fontId="27" fillId="0" borderId="30" xfId="0" applyFont="1" applyBorder="1" applyAlignment="1">
      <alignment horizontal="center" vertical="center" wrapText="1"/>
    </xf>
    <xf numFmtId="4" fontId="2" fillId="0" borderId="0" xfId="0" applyNumberFormat="1" applyFont="1" applyAlignment="1">
      <alignment horizontal="center" vertical="center"/>
    </xf>
    <xf numFmtId="0" fontId="3" fillId="0" borderId="0" xfId="0" applyFont="1"/>
    <xf numFmtId="0" fontId="2" fillId="0" borderId="0" xfId="0" applyFont="1" applyAlignment="1">
      <alignment vertical="top"/>
    </xf>
    <xf numFmtId="0" fontId="23" fillId="0" borderId="0" xfId="0" applyFont="1" applyAlignment="1">
      <alignment vertical="center"/>
    </xf>
    <xf numFmtId="4" fontId="3" fillId="0" borderId="0" xfId="0" applyNumberFormat="1" applyFont="1"/>
    <xf numFmtId="0" fontId="23" fillId="0" borderId="17" xfId="0" applyFont="1" applyBorder="1" applyAlignment="1">
      <alignment horizontal="left" vertical="center"/>
    </xf>
    <xf numFmtId="0" fontId="23" fillId="0" borderId="11" xfId="0" applyFont="1" applyBorder="1" applyAlignment="1">
      <alignment wrapText="1"/>
    </xf>
    <xf numFmtId="0" fontId="0" fillId="0" borderId="11" xfId="0" applyBorder="1"/>
    <xf numFmtId="0" fontId="0" fillId="0" borderId="11" xfId="0" quotePrefix="1" applyBorder="1"/>
    <xf numFmtId="10" fontId="31" fillId="0" borderId="11" xfId="76" applyNumberFormat="1" applyFont="1" applyFill="1" applyBorder="1" applyAlignment="1" applyProtection="1">
      <alignment horizontal="center" vertical="center"/>
    </xf>
    <xf numFmtId="4" fontId="31" fillId="0" borderId="11" xfId="76" applyNumberFormat="1" applyFont="1" applyFill="1" applyBorder="1" applyAlignment="1" applyProtection="1">
      <alignment horizontal="center" vertical="center"/>
    </xf>
    <xf numFmtId="4" fontId="27" fillId="27" borderId="18" xfId="87" applyNumberFormat="1" applyFont="1" applyFill="1" applyBorder="1" applyAlignment="1" applyProtection="1">
      <alignment horizontal="center" vertical="center" shrinkToFit="1"/>
    </xf>
    <xf numFmtId="10" fontId="27" fillId="28" borderId="11" xfId="76" applyNumberFormat="1" applyFont="1" applyFill="1" applyBorder="1" applyAlignment="1" applyProtection="1">
      <alignment horizontal="center" vertical="center" shrinkToFit="1"/>
    </xf>
    <xf numFmtId="4" fontId="27" fillId="28" borderId="18" xfId="87" applyNumberFormat="1" applyFont="1" applyFill="1" applyBorder="1" applyAlignment="1" applyProtection="1">
      <alignment horizontal="center" vertical="center" shrinkToFit="1"/>
    </xf>
    <xf numFmtId="0" fontId="2" fillId="0" borderId="15" xfId="0" applyFont="1" applyBorder="1" applyAlignment="1">
      <alignment horizontal="center" vertical="center"/>
    </xf>
    <xf numFmtId="0" fontId="2" fillId="0" borderId="33" xfId="0" applyFont="1" applyBorder="1" applyAlignment="1">
      <alignment horizontal="center" vertical="center"/>
    </xf>
    <xf numFmtId="10" fontId="27" fillId="27" borderId="11" xfId="76" applyNumberFormat="1" applyFont="1" applyFill="1" applyBorder="1" applyAlignment="1" applyProtection="1">
      <alignment horizontal="center" vertical="center" shrinkToFit="1"/>
    </xf>
    <xf numFmtId="10" fontId="27" fillId="27" borderId="0" xfId="76" applyNumberFormat="1" applyFont="1" applyFill="1" applyBorder="1" applyAlignment="1" applyProtection="1">
      <alignment horizontal="center" vertical="center" shrinkToFit="1"/>
    </xf>
    <xf numFmtId="4" fontId="31" fillId="0" borderId="12" xfId="76" applyNumberFormat="1" applyFont="1" applyFill="1" applyBorder="1" applyAlignment="1" applyProtection="1">
      <alignment horizontal="center" vertical="center"/>
    </xf>
    <xf numFmtId="10" fontId="0" fillId="0" borderId="14" xfId="0" applyNumberFormat="1" applyBorder="1"/>
    <xf numFmtId="49" fontId="2" fillId="25" borderId="24" xfId="0" applyNumberFormat="1" applyFont="1" applyFill="1" applyBorder="1" applyAlignment="1" applyProtection="1">
      <alignment horizontal="center" vertical="center" wrapText="1"/>
      <protection locked="0"/>
    </xf>
    <xf numFmtId="0" fontId="27" fillId="0" borderId="0" xfId="0" applyFont="1" applyAlignment="1">
      <alignment horizontal="center" vertical="center" wrapText="1"/>
    </xf>
    <xf numFmtId="0" fontId="2" fillId="0" borderId="14" xfId="0" applyFont="1" applyBorder="1"/>
    <xf numFmtId="0" fontId="0" fillId="0" borderId="0" xfId="0" quotePrefix="1"/>
    <xf numFmtId="0" fontId="31" fillId="0" borderId="0" xfId="0" applyFont="1" applyAlignment="1" applyProtection="1">
      <alignment horizontal="left" wrapText="1"/>
      <protection locked="0"/>
    </xf>
    <xf numFmtId="0" fontId="2" fillId="0" borderId="14" xfId="0" applyFont="1" applyBorder="1" applyProtection="1">
      <protection locked="0"/>
    </xf>
    <xf numFmtId="164" fontId="2" fillId="25" borderId="34" xfId="87" applyFont="1" applyFill="1" applyBorder="1" applyAlignment="1" applyProtection="1">
      <alignment vertical="center" shrinkToFit="1"/>
      <protection locked="0"/>
    </xf>
    <xf numFmtId="0" fontId="23" fillId="24" borderId="32" xfId="0" applyFont="1" applyFill="1" applyBorder="1" applyAlignment="1">
      <alignment horizontal="center" vertical="center" shrinkToFit="1"/>
    </xf>
    <xf numFmtId="0" fontId="23" fillId="24" borderId="25" xfId="0" applyFont="1" applyFill="1" applyBorder="1" applyAlignment="1">
      <alignment horizontal="center" vertical="center" shrinkToFit="1"/>
    </xf>
    <xf numFmtId="0" fontId="23" fillId="0" borderId="11" xfId="0" applyFont="1" applyBorder="1" applyAlignment="1">
      <alignment horizontal="center" vertical="center" wrapText="1" shrinkToFit="1"/>
    </xf>
    <xf numFmtId="14" fontId="27" fillId="0" borderId="11" xfId="0" applyNumberFormat="1" applyFont="1" applyBorder="1" applyAlignment="1">
      <alignment horizontal="center" vertical="center" wrapText="1"/>
    </xf>
    <xf numFmtId="0" fontId="2" fillId="0" borderId="28" xfId="0" applyFont="1" applyBorder="1" applyAlignment="1">
      <alignment horizontal="center" vertical="center"/>
    </xf>
    <xf numFmtId="10" fontId="31" fillId="25" borderId="35" xfId="76" applyNumberFormat="1" applyFont="1" applyFill="1" applyBorder="1" applyAlignment="1" applyProtection="1">
      <alignment horizontal="center" vertical="center"/>
      <protection locked="0" hidden="1"/>
    </xf>
    <xf numFmtId="0" fontId="27" fillId="0" borderId="12" xfId="0" applyFont="1" applyBorder="1" applyAlignment="1">
      <alignment horizontal="center" vertical="center" wrapText="1"/>
    </xf>
    <xf numFmtId="0" fontId="23" fillId="0" borderId="0" xfId="0" applyFont="1" applyAlignment="1">
      <alignment wrapText="1"/>
    </xf>
    <xf numFmtId="0" fontId="2" fillId="26" borderId="0" xfId="0" applyFont="1" applyFill="1"/>
    <xf numFmtId="164" fontId="2" fillId="25" borderId="24" xfId="87" applyFont="1" applyFill="1" applyBorder="1" applyAlignment="1" applyProtection="1">
      <alignment vertical="center" shrinkToFit="1"/>
    </xf>
    <xf numFmtId="10" fontId="31" fillId="25" borderId="36" xfId="76" applyNumberFormat="1" applyFont="1" applyFill="1" applyBorder="1" applyAlignment="1" applyProtection="1">
      <alignment horizontal="center" vertical="center"/>
      <protection locked="0"/>
    </xf>
    <xf numFmtId="10" fontId="31" fillId="25" borderId="35" xfId="76" applyNumberFormat="1" applyFont="1" applyFill="1" applyBorder="1" applyAlignment="1" applyProtection="1">
      <alignment horizontal="center" vertical="center"/>
      <protection locked="0"/>
    </xf>
    <xf numFmtId="10" fontId="31" fillId="25" borderId="37" xfId="76" applyNumberFormat="1" applyFont="1" applyFill="1" applyBorder="1" applyAlignment="1" applyProtection="1">
      <alignment horizontal="center" vertical="center"/>
      <protection locked="0"/>
    </xf>
    <xf numFmtId="164" fontId="2" fillId="31" borderId="24" xfId="87" applyFont="1" applyFill="1" applyBorder="1" applyAlignment="1" applyProtection="1">
      <alignment vertical="center" wrapText="1"/>
      <protection locked="0"/>
    </xf>
    <xf numFmtId="0" fontId="2" fillId="31" borderId="24" xfId="0" applyFont="1" applyFill="1" applyBorder="1" applyAlignment="1" applyProtection="1">
      <alignment horizontal="center" vertical="center" wrapText="1"/>
      <protection locked="0"/>
    </xf>
    <xf numFmtId="0" fontId="2" fillId="31" borderId="24" xfId="0" applyFont="1" applyFill="1" applyBorder="1" applyAlignment="1" applyProtection="1">
      <alignment vertical="center" wrapText="1"/>
      <protection locked="0"/>
    </xf>
    <xf numFmtId="10" fontId="2" fillId="31" borderId="24" xfId="76" applyNumberFormat="1" applyFont="1" applyFill="1" applyBorder="1" applyAlignment="1" applyProtection="1">
      <alignment horizontal="center" vertical="center" wrapText="1"/>
      <protection locked="0"/>
    </xf>
    <xf numFmtId="0" fontId="0" fillId="0" borderId="18" xfId="0" applyBorder="1" applyAlignment="1">
      <alignment horizontal="left" vertical="top" wrapText="1"/>
    </xf>
    <xf numFmtId="0" fontId="0" fillId="0" borderId="13" xfId="0" applyBorder="1" applyAlignment="1">
      <alignment horizontal="left" vertical="top" wrapText="1"/>
    </xf>
    <xf numFmtId="0" fontId="0" fillId="0" borderId="38" xfId="0" applyBorder="1" applyAlignment="1">
      <alignment horizontal="left" vertical="top" wrapText="1"/>
    </xf>
    <xf numFmtId="0" fontId="23" fillId="0" borderId="11" xfId="72" applyFont="1" applyBorder="1" applyAlignment="1">
      <alignment horizontal="left" vertical="top"/>
    </xf>
    <xf numFmtId="0" fontId="23" fillId="0" borderId="0" xfId="72" applyFont="1" applyAlignment="1">
      <alignment horizontal="left" vertical="top"/>
    </xf>
    <xf numFmtId="0" fontId="23" fillId="0" borderId="12" xfId="72" applyFont="1" applyBorder="1" applyAlignment="1">
      <alignment horizontal="left" vertical="top"/>
    </xf>
    <xf numFmtId="0" fontId="2" fillId="25" borderId="18" xfId="0" applyFont="1" applyFill="1" applyBorder="1" applyAlignment="1" applyProtection="1">
      <alignment horizontal="left" vertical="top" wrapText="1"/>
      <protection locked="0"/>
    </xf>
    <xf numFmtId="0" fontId="2" fillId="25" borderId="13" xfId="0" applyFont="1" applyFill="1" applyBorder="1" applyAlignment="1" applyProtection="1">
      <alignment horizontal="left" vertical="top" wrapText="1"/>
      <protection locked="0"/>
    </xf>
    <xf numFmtId="0" fontId="2" fillId="25" borderId="38" xfId="0" applyFont="1" applyFill="1" applyBorder="1" applyAlignment="1" applyProtection="1">
      <alignment horizontal="left" vertical="top" wrapText="1"/>
      <protection locked="0"/>
    </xf>
    <xf numFmtId="0" fontId="0" fillId="25" borderId="13" xfId="0" applyFill="1" applyBorder="1" applyAlignment="1" applyProtection="1">
      <alignment horizontal="left" vertical="top" wrapText="1"/>
      <protection locked="0"/>
    </xf>
    <xf numFmtId="0" fontId="0" fillId="25" borderId="38" xfId="0" applyFill="1" applyBorder="1" applyAlignment="1" applyProtection="1">
      <alignment horizontal="left" vertical="top" wrapText="1"/>
      <protection locked="0"/>
    </xf>
    <xf numFmtId="49" fontId="2" fillId="25" borderId="18" xfId="0" applyNumberFormat="1" applyFont="1" applyFill="1" applyBorder="1" applyAlignment="1" applyProtection="1">
      <alignment horizontal="left" vertical="top" wrapText="1"/>
      <protection locked="0"/>
    </xf>
    <xf numFmtId="49" fontId="0" fillId="25" borderId="13" xfId="0" applyNumberFormat="1" applyFill="1" applyBorder="1" applyAlignment="1" applyProtection="1">
      <alignment horizontal="left" vertical="top" wrapText="1"/>
      <protection locked="0"/>
    </xf>
    <xf numFmtId="49" fontId="0" fillId="25" borderId="38" xfId="0" applyNumberFormat="1" applyFill="1" applyBorder="1" applyAlignment="1" applyProtection="1">
      <alignment horizontal="left" vertical="top" wrapText="1"/>
      <protection locked="0"/>
    </xf>
    <xf numFmtId="0" fontId="2" fillId="0" borderId="0" xfId="0" applyFont="1" applyAlignment="1">
      <alignment horizontal="left" wrapText="1" indent="2"/>
    </xf>
    <xf numFmtId="0" fontId="0" fillId="0" borderId="0" xfId="0" applyAlignment="1">
      <alignment horizontal="left" indent="2"/>
    </xf>
    <xf numFmtId="10" fontId="2" fillId="25" borderId="18" xfId="76" applyNumberFormat="1" applyFont="1" applyFill="1" applyBorder="1" applyAlignment="1" applyProtection="1">
      <alignment horizontal="left" vertical="top" wrapText="1"/>
      <protection locked="0"/>
    </xf>
    <xf numFmtId="10" fontId="38" fillId="25" borderId="13" xfId="76" applyNumberFormat="1" applyFont="1" applyFill="1" applyBorder="1" applyAlignment="1" applyProtection="1">
      <alignment horizontal="left" vertical="top" wrapText="1"/>
      <protection locked="0"/>
    </xf>
    <xf numFmtId="10" fontId="38" fillId="25" borderId="38" xfId="76" applyNumberFormat="1" applyFont="1" applyFill="1" applyBorder="1" applyAlignment="1" applyProtection="1">
      <alignment horizontal="left" vertical="top" wrapText="1"/>
      <protection locked="0"/>
    </xf>
    <xf numFmtId="10" fontId="2" fillId="0" borderId="18" xfId="76" applyNumberFormat="1" applyFont="1" applyFill="1" applyBorder="1" applyAlignment="1" applyProtection="1">
      <alignment horizontal="left" vertical="top" wrapText="1"/>
    </xf>
    <xf numFmtId="10" fontId="2" fillId="0" borderId="13" xfId="76" applyNumberFormat="1" applyFont="1" applyFill="1" applyBorder="1" applyAlignment="1" applyProtection="1">
      <alignment horizontal="left" vertical="top" wrapText="1"/>
    </xf>
    <xf numFmtId="10" fontId="38" fillId="0" borderId="13" xfId="76" applyNumberFormat="1" applyFont="1" applyFill="1" applyBorder="1" applyAlignment="1" applyProtection="1">
      <alignment horizontal="left" vertical="top" wrapText="1"/>
    </xf>
    <xf numFmtId="10" fontId="38" fillId="0" borderId="38" xfId="76" applyNumberFormat="1" applyFont="1" applyFill="1" applyBorder="1" applyAlignment="1" applyProtection="1">
      <alignment horizontal="left" vertical="top" wrapText="1"/>
    </xf>
    <xf numFmtId="14" fontId="38" fillId="0" borderId="18" xfId="76" applyNumberFormat="1" applyFont="1" applyFill="1" applyBorder="1" applyAlignment="1" applyProtection="1">
      <alignment horizontal="center" vertical="top" wrapText="1"/>
    </xf>
    <xf numFmtId="14" fontId="38" fillId="0" borderId="38" xfId="76" applyNumberFormat="1" applyFont="1" applyFill="1" applyBorder="1" applyAlignment="1" applyProtection="1">
      <alignment horizontal="center" vertical="top" wrapText="1"/>
    </xf>
    <xf numFmtId="0" fontId="2" fillId="0" borderId="0" xfId="0" applyFont="1" applyAlignment="1">
      <alignment horizontal="left" wrapText="1" indent="3"/>
    </xf>
    <xf numFmtId="0" fontId="0" fillId="0" borderId="0" xfId="0" applyAlignment="1">
      <alignment horizontal="left" indent="3"/>
    </xf>
    <xf numFmtId="0" fontId="2" fillId="0" borderId="18" xfId="0" applyFont="1" applyBorder="1" applyAlignment="1">
      <alignment horizontal="left" vertical="top" wrapText="1"/>
    </xf>
    <xf numFmtId="0" fontId="2" fillId="0" borderId="38" xfId="0" applyFont="1" applyBorder="1" applyAlignment="1">
      <alignment horizontal="left" vertical="top" wrapText="1"/>
    </xf>
    <xf numFmtId="14" fontId="2" fillId="0" borderId="18" xfId="76" applyNumberFormat="1" applyFont="1" applyFill="1" applyBorder="1" applyAlignment="1" applyProtection="1">
      <alignment horizontal="center" vertical="top" wrapText="1"/>
    </xf>
    <xf numFmtId="14" fontId="2" fillId="0" borderId="38" xfId="76" applyNumberFormat="1" applyFont="1" applyFill="1" applyBorder="1" applyAlignment="1" applyProtection="1">
      <alignment horizontal="center" vertical="top" wrapText="1"/>
    </xf>
    <xf numFmtId="0" fontId="2" fillId="0" borderId="13" xfId="0" applyFont="1" applyBorder="1" applyAlignment="1">
      <alignment horizontal="left" vertical="top" wrapText="1"/>
    </xf>
    <xf numFmtId="167" fontId="2" fillId="0" borderId="18" xfId="76" applyNumberFormat="1" applyFont="1" applyFill="1" applyBorder="1" applyAlignment="1" applyProtection="1">
      <alignment horizontal="left" vertical="top" wrapText="1"/>
    </xf>
    <xf numFmtId="167" fontId="2" fillId="0" borderId="13" xfId="76" applyNumberFormat="1" applyFont="1" applyFill="1" applyBorder="1" applyAlignment="1" applyProtection="1">
      <alignment horizontal="left" vertical="top" wrapText="1"/>
    </xf>
    <xf numFmtId="49" fontId="0" fillId="0" borderId="18" xfId="0" applyNumberFormat="1" applyBorder="1" applyAlignment="1">
      <alignment horizontal="left" vertical="top" wrapText="1"/>
    </xf>
    <xf numFmtId="49" fontId="0" fillId="0" borderId="13" xfId="0" applyNumberFormat="1" applyBorder="1" applyAlignment="1">
      <alignment horizontal="left" vertical="top" wrapText="1"/>
    </xf>
    <xf numFmtId="0" fontId="39" fillId="0" borderId="11" xfId="72" applyFont="1" applyBorder="1" applyAlignment="1">
      <alignment horizontal="left" vertical="top"/>
    </xf>
    <xf numFmtId="0" fontId="39" fillId="0" borderId="12" xfId="72" applyFont="1" applyBorder="1" applyAlignment="1">
      <alignment horizontal="left" vertical="top"/>
    </xf>
    <xf numFmtId="167" fontId="0" fillId="25" borderId="18" xfId="0" applyNumberFormat="1" applyFill="1" applyBorder="1" applyAlignment="1" applyProtection="1">
      <alignment horizontal="center" vertical="top" wrapText="1"/>
      <protection locked="0"/>
    </xf>
    <xf numFmtId="167" fontId="0" fillId="25" borderId="38" xfId="0" applyNumberFormat="1" applyFill="1" applyBorder="1" applyAlignment="1" applyProtection="1">
      <alignment horizontal="center" vertical="top" wrapText="1"/>
      <protection locked="0"/>
    </xf>
    <xf numFmtId="167" fontId="0" fillId="0" borderId="18" xfId="0" applyNumberFormat="1" applyBorder="1" applyAlignment="1">
      <alignment horizontal="center" vertical="top" wrapText="1"/>
    </xf>
    <xf numFmtId="167" fontId="0" fillId="0" borderId="38" xfId="0" applyNumberFormat="1" applyBorder="1" applyAlignment="1">
      <alignment horizontal="center" vertical="top" wrapText="1"/>
    </xf>
    <xf numFmtId="14" fontId="0" fillId="25" borderId="18" xfId="0" applyNumberFormat="1" applyFill="1" applyBorder="1" applyAlignment="1" applyProtection="1">
      <alignment horizontal="left" vertical="top" wrapText="1"/>
      <protection locked="0"/>
    </xf>
    <xf numFmtId="14" fontId="0" fillId="25" borderId="13" xfId="0" applyNumberFormat="1" applyFill="1" applyBorder="1" applyAlignment="1" applyProtection="1">
      <alignment horizontal="left" vertical="top" wrapText="1"/>
      <protection locked="0"/>
    </xf>
    <xf numFmtId="14" fontId="0" fillId="25" borderId="38" xfId="0" applyNumberFormat="1" applyFill="1" applyBorder="1" applyAlignment="1" applyProtection="1">
      <alignment horizontal="left" vertical="top" wrapText="1"/>
      <protection locked="0"/>
    </xf>
    <xf numFmtId="49" fontId="0" fillId="25" borderId="0" xfId="0" applyNumberFormat="1" applyFill="1" applyAlignment="1" applyProtection="1">
      <alignment horizontal="left"/>
      <protection locked="0"/>
    </xf>
    <xf numFmtId="0" fontId="2" fillId="25" borderId="0" xfId="0" applyFont="1" applyFill="1" applyAlignment="1" applyProtection="1">
      <alignment horizontal="left"/>
      <protection locked="0"/>
    </xf>
    <xf numFmtId="0" fontId="0" fillId="25" borderId="0" xfId="0" applyFill="1" applyAlignment="1" applyProtection="1">
      <alignment horizontal="left"/>
      <protection locked="0"/>
    </xf>
    <xf numFmtId="0" fontId="23" fillId="0" borderId="0" xfId="0" applyFont="1" applyAlignment="1">
      <alignment horizontal="left" wrapText="1" indent="1"/>
    </xf>
    <xf numFmtId="0" fontId="23" fillId="0" borderId="0" xfId="0" applyFont="1" applyAlignment="1">
      <alignment horizontal="left" indent="1"/>
    </xf>
    <xf numFmtId="0" fontId="52" fillId="29" borderId="0" xfId="0" applyFont="1" applyFill="1" applyAlignment="1">
      <alignment horizontal="left" vertical="top" wrapText="1" indent="2"/>
    </xf>
    <xf numFmtId="0" fontId="52" fillId="29" borderId="0" xfId="0" applyFont="1" applyFill="1" applyAlignment="1">
      <alignment horizontal="left" vertical="top" indent="2"/>
    </xf>
    <xf numFmtId="49" fontId="2" fillId="25" borderId="0" xfId="0" applyNumberFormat="1" applyFont="1" applyFill="1" applyAlignment="1" applyProtection="1">
      <alignment horizontal="left"/>
      <protection locked="0"/>
    </xf>
    <xf numFmtId="0" fontId="22" fillId="26" borderId="17" xfId="0" applyFont="1" applyFill="1" applyBorder="1" applyAlignment="1">
      <alignment horizontal="center" vertical="center" wrapText="1"/>
    </xf>
    <xf numFmtId="0" fontId="22" fillId="26" borderId="39" xfId="0" applyFont="1" applyFill="1" applyBorder="1" applyAlignment="1">
      <alignment horizontal="center" vertical="center" wrapText="1"/>
    </xf>
    <xf numFmtId="0" fontId="22" fillId="26" borderId="13" xfId="0" applyFont="1" applyFill="1" applyBorder="1" applyAlignment="1">
      <alignment horizontal="center" vertical="center" wrapText="1"/>
    </xf>
    <xf numFmtId="0" fontId="22" fillId="26" borderId="38" xfId="0" applyFont="1" applyFill="1" applyBorder="1" applyAlignment="1">
      <alignment horizontal="center" vertical="center" wrapText="1"/>
    </xf>
    <xf numFmtId="14" fontId="2" fillId="25" borderId="18" xfId="76" applyNumberFormat="1" applyFont="1" applyFill="1" applyBorder="1" applyAlignment="1" applyProtection="1">
      <alignment horizontal="center" vertical="top" wrapText="1"/>
      <protection locked="0"/>
    </xf>
    <xf numFmtId="14" fontId="38" fillId="25" borderId="38" xfId="76" applyNumberFormat="1" applyFont="1" applyFill="1" applyBorder="1" applyAlignment="1" applyProtection="1">
      <alignment horizontal="center" vertical="top" wrapText="1"/>
      <protection locked="0"/>
    </xf>
    <xf numFmtId="49" fontId="2" fillId="25" borderId="18" xfId="76" applyNumberFormat="1" applyFont="1" applyFill="1" applyBorder="1" applyAlignment="1" applyProtection="1">
      <alignment horizontal="left" vertical="top" wrapText="1"/>
      <protection locked="0"/>
    </xf>
    <xf numFmtId="49" fontId="2" fillId="25" borderId="13" xfId="76" applyNumberFormat="1" applyFont="1" applyFill="1" applyBorder="1" applyAlignment="1" applyProtection="1">
      <alignment horizontal="left" vertical="top" wrapText="1"/>
      <protection locked="0"/>
    </xf>
    <xf numFmtId="49" fontId="38" fillId="25" borderId="13" xfId="76" applyNumberFormat="1" applyFont="1" applyFill="1" applyBorder="1" applyAlignment="1" applyProtection="1">
      <alignment horizontal="left" vertical="top" wrapText="1"/>
      <protection locked="0"/>
    </xf>
    <xf numFmtId="49" fontId="38" fillId="25" borderId="38" xfId="76" applyNumberFormat="1" applyFont="1" applyFill="1" applyBorder="1" applyAlignment="1" applyProtection="1">
      <alignment horizontal="left" vertical="top" wrapText="1"/>
      <protection locked="0"/>
    </xf>
    <xf numFmtId="14" fontId="2" fillId="25" borderId="38" xfId="76" applyNumberFormat="1" applyFont="1" applyFill="1" applyBorder="1" applyAlignment="1" applyProtection="1">
      <alignment horizontal="center" vertical="top" wrapText="1"/>
      <protection locked="0"/>
    </xf>
    <xf numFmtId="0" fontId="27" fillId="0" borderId="0" xfId="0" applyFont="1" applyAlignment="1">
      <alignment horizontal="center" vertical="center" wrapText="1"/>
    </xf>
    <xf numFmtId="0" fontId="2" fillId="0" borderId="40" xfId="0" applyFont="1" applyBorder="1" applyAlignment="1">
      <alignment horizontal="left" vertical="top" wrapText="1"/>
    </xf>
    <xf numFmtId="0" fontId="2" fillId="0" borderId="0" xfId="0" applyFont="1" applyAlignment="1">
      <alignment horizontal="left" vertical="top" wrapText="1"/>
    </xf>
    <xf numFmtId="0" fontId="2" fillId="0" borderId="0" xfId="0" applyFont="1" applyAlignment="1">
      <alignment horizontal="left" wrapText="1"/>
    </xf>
    <xf numFmtId="0" fontId="2" fillId="0" borderId="40" xfId="0" applyFont="1" applyBorder="1" applyAlignment="1">
      <alignment horizontal="left" wrapText="1"/>
    </xf>
    <xf numFmtId="0" fontId="2" fillId="0" borderId="0" xfId="0" applyFont="1" applyAlignment="1">
      <alignment horizontal="left" wrapText="1" indent="1"/>
    </xf>
    <xf numFmtId="49" fontId="2" fillId="25" borderId="38" xfId="0" applyNumberFormat="1" applyFont="1" applyFill="1" applyBorder="1" applyAlignment="1" applyProtection="1">
      <alignment horizontal="left" vertical="top" wrapText="1"/>
      <protection locked="0"/>
    </xf>
    <xf numFmtId="0" fontId="53" fillId="29" borderId="0" xfId="0" applyFont="1" applyFill="1" applyAlignment="1">
      <alignment horizontal="left" vertical="top" wrapText="1" indent="2"/>
    </xf>
    <xf numFmtId="0" fontId="53" fillId="29" borderId="0" xfId="0" applyFont="1" applyFill="1" applyAlignment="1">
      <alignment horizontal="left" vertical="top" indent="2"/>
    </xf>
    <xf numFmtId="0" fontId="23" fillId="0" borderId="40" xfId="0" applyFont="1" applyBorder="1" applyAlignment="1">
      <alignment horizontal="left" wrapText="1"/>
    </xf>
    <xf numFmtId="0" fontId="23" fillId="0" borderId="0" xfId="0" applyFont="1" applyAlignment="1">
      <alignment horizontal="left" wrapText="1"/>
    </xf>
    <xf numFmtId="49" fontId="2" fillId="0" borderId="0" xfId="71" applyNumberFormat="1" applyAlignment="1" applyProtection="1">
      <alignment horizontal="left"/>
      <protection locked="0"/>
    </xf>
    <xf numFmtId="0" fontId="27" fillId="0" borderId="0" xfId="71" applyFont="1" applyAlignment="1">
      <alignment horizontal="left" vertical="center"/>
    </xf>
    <xf numFmtId="0" fontId="23" fillId="0" borderId="0" xfId="71" applyFont="1" applyAlignment="1">
      <alignment horizontal="left" vertical="center"/>
    </xf>
    <xf numFmtId="10" fontId="3" fillId="25" borderId="14" xfId="71" applyNumberFormat="1" applyFont="1" applyFill="1" applyBorder="1" applyAlignment="1" applyProtection="1">
      <alignment horizontal="center"/>
      <protection locked="0"/>
    </xf>
    <xf numFmtId="0" fontId="3" fillId="0" borderId="14" xfId="71" applyFont="1" applyBorder="1" applyAlignment="1">
      <alignment horizontal="left"/>
    </xf>
    <xf numFmtId="0" fontId="27" fillId="0" borderId="14" xfId="71" applyFont="1" applyBorder="1" applyAlignment="1">
      <alignment horizontal="center" vertical="center"/>
    </xf>
    <xf numFmtId="0" fontId="3" fillId="0" borderId="14" xfId="71" applyFont="1" applyBorder="1" applyAlignment="1">
      <alignment horizontal="left" wrapText="1"/>
    </xf>
    <xf numFmtId="4" fontId="27" fillId="0" borderId="14" xfId="71" applyNumberFormat="1" applyFont="1" applyBorder="1" applyAlignment="1">
      <alignment horizontal="center" vertical="center" wrapText="1"/>
    </xf>
    <xf numFmtId="169" fontId="3" fillId="25" borderId="18" xfId="68" applyFont="1" applyFill="1" applyBorder="1" applyAlignment="1" applyProtection="1">
      <alignment horizontal="left"/>
      <protection locked="0"/>
    </xf>
    <xf numFmtId="169" fontId="3" fillId="25" borderId="13" xfId="68" applyFont="1" applyFill="1" applyBorder="1" applyAlignment="1" applyProtection="1">
      <alignment horizontal="left"/>
      <protection locked="0"/>
    </xf>
    <xf numFmtId="169" fontId="3" fillId="25" borderId="38" xfId="68" applyFont="1" applyFill="1" applyBorder="1" applyAlignment="1" applyProtection="1">
      <alignment horizontal="left"/>
      <protection locked="0"/>
    </xf>
    <xf numFmtId="0" fontId="2" fillId="0" borderId="18" xfId="71" applyBorder="1" applyAlignment="1">
      <alignment horizontal="center" vertical="top" wrapText="1"/>
    </xf>
    <xf numFmtId="0" fontId="2" fillId="0" borderId="38" xfId="71" applyBorder="1" applyAlignment="1">
      <alignment horizontal="center" vertical="top" wrapText="1"/>
    </xf>
    <xf numFmtId="0" fontId="2" fillId="0" borderId="18" xfId="71" applyBorder="1" applyAlignment="1">
      <alignment horizontal="left" vertical="top" wrapText="1"/>
    </xf>
    <xf numFmtId="0" fontId="2" fillId="0" borderId="38" xfId="71" applyBorder="1" applyAlignment="1">
      <alignment horizontal="left" vertical="top" wrapText="1"/>
    </xf>
    <xf numFmtId="49" fontId="2" fillId="0" borderId="18" xfId="71" applyNumberFormat="1" applyBorder="1" applyAlignment="1">
      <alignment horizontal="left" vertical="top" wrapText="1"/>
    </xf>
    <xf numFmtId="0" fontId="2" fillId="0" borderId="13" xfId="71" applyBorder="1" applyAlignment="1">
      <alignment horizontal="left" vertical="top" wrapText="1"/>
    </xf>
    <xf numFmtId="0" fontId="3" fillId="0" borderId="16" xfId="68" applyNumberFormat="1" applyFont="1" applyFill="1" applyBorder="1" applyAlignment="1" applyProtection="1">
      <alignment horizontal="left" wrapText="1"/>
    </xf>
    <xf numFmtId="0" fontId="48" fillId="0" borderId="0" xfId="71" applyFont="1" applyAlignment="1">
      <alignment horizontal="center" vertical="top" wrapText="1"/>
    </xf>
    <xf numFmtId="171" fontId="2" fillId="0" borderId="13" xfId="71" applyNumberFormat="1" applyBorder="1" applyAlignment="1">
      <alignment horizontal="left"/>
    </xf>
    <xf numFmtId="0" fontId="2" fillId="0" borderId="14" xfId="71" applyBorder="1" applyAlignment="1">
      <alignment horizontal="left" vertical="center" wrapText="1"/>
    </xf>
    <xf numFmtId="0" fontId="2" fillId="0" borderId="14" xfId="71" applyBorder="1" applyAlignment="1">
      <alignment horizontal="left" vertical="center"/>
    </xf>
    <xf numFmtId="0" fontId="23" fillId="0" borderId="14" xfId="71" applyFont="1" applyBorder="1" applyAlignment="1">
      <alignment horizontal="center" vertical="center"/>
    </xf>
    <xf numFmtId="0" fontId="36" fillId="0" borderId="14" xfId="71" applyFont="1" applyBorder="1" applyAlignment="1">
      <alignment horizontal="center" vertical="center" wrapText="1"/>
    </xf>
    <xf numFmtId="0" fontId="42" fillId="0" borderId="0" xfId="0" quotePrefix="1" applyFont="1" applyAlignment="1">
      <alignment horizontal="left" vertical="center"/>
    </xf>
    <xf numFmtId="0" fontId="42" fillId="0" borderId="0" xfId="0" applyFont="1" applyAlignment="1">
      <alignment horizontal="left" vertical="center"/>
    </xf>
    <xf numFmtId="0" fontId="43" fillId="0" borderId="0" xfId="0" applyFont="1" applyAlignment="1">
      <alignment horizontal="center"/>
    </xf>
    <xf numFmtId="0" fontId="42" fillId="0" borderId="0" xfId="0" applyFont="1" applyAlignment="1">
      <alignment horizontal="center" vertical="top"/>
    </xf>
    <xf numFmtId="0" fontId="42" fillId="0" borderId="0" xfId="0" applyFont="1" applyAlignment="1">
      <alignment horizontal="right" vertical="center"/>
    </xf>
    <xf numFmtId="171" fontId="2" fillId="0" borderId="0" xfId="71" applyNumberFormat="1" applyAlignment="1">
      <alignment horizontal="left"/>
    </xf>
    <xf numFmtId="0" fontId="46" fillId="0" borderId="0" xfId="71" applyFont="1" applyAlignment="1">
      <alignment horizontal="left" vertical="center" indent="1"/>
    </xf>
    <xf numFmtId="0" fontId="40" fillId="0" borderId="0" xfId="71" applyFont="1" applyAlignment="1">
      <alignment horizontal="left" vertical="center" wrapText="1"/>
    </xf>
    <xf numFmtId="2" fontId="34" fillId="0" borderId="17" xfId="71" applyNumberFormat="1" applyFont="1" applyBorder="1" applyAlignment="1">
      <alignment horizontal="center" vertical="center"/>
    </xf>
    <xf numFmtId="0" fontId="2" fillId="0" borderId="0" xfId="71" applyAlignment="1">
      <alignment horizontal="center" vertical="center"/>
    </xf>
    <xf numFmtId="168" fontId="2" fillId="0" borderId="13" xfId="71" applyNumberFormat="1" applyBorder="1" applyAlignment="1">
      <alignment horizontal="left"/>
    </xf>
    <xf numFmtId="49" fontId="2" fillId="25" borderId="32" xfId="71" applyNumberFormat="1" applyFill="1" applyBorder="1" applyAlignment="1" applyProtection="1">
      <alignment horizontal="left" vertical="top" wrapText="1"/>
      <protection locked="0"/>
    </xf>
    <xf numFmtId="49" fontId="2" fillId="25" borderId="10" xfId="71" applyNumberFormat="1" applyFill="1" applyBorder="1" applyAlignment="1" applyProtection="1">
      <alignment horizontal="left" vertical="top" wrapText="1"/>
      <protection locked="0"/>
    </xf>
    <xf numFmtId="49" fontId="2" fillId="25" borderId="19" xfId="71" applyNumberFormat="1" applyFill="1" applyBorder="1" applyAlignment="1" applyProtection="1">
      <alignment horizontal="left" vertical="top" wrapText="1"/>
      <protection locked="0"/>
    </xf>
    <xf numFmtId="0" fontId="2" fillId="0" borderId="17" xfId="71" applyBorder="1" applyAlignment="1">
      <alignment horizontal="center" vertical="center"/>
    </xf>
    <xf numFmtId="0" fontId="2" fillId="0" borderId="14" xfId="0" applyFont="1" applyBorder="1" applyAlignment="1">
      <alignment horizontal="center"/>
    </xf>
    <xf numFmtId="0" fontId="27" fillId="0" borderId="32" xfId="0" applyFont="1" applyBorder="1" applyAlignment="1">
      <alignment horizontal="left" wrapText="1"/>
    </xf>
    <xf numFmtId="0" fontId="27" fillId="0" borderId="10" xfId="0" applyFont="1" applyBorder="1" applyAlignment="1">
      <alignment horizontal="left" wrapText="1"/>
    </xf>
    <xf numFmtId="0" fontId="27" fillId="0" borderId="19" xfId="0" applyFont="1" applyBorder="1" applyAlignment="1">
      <alignment horizontal="left" wrapText="1"/>
    </xf>
    <xf numFmtId="0" fontId="31" fillId="25" borderId="11" xfId="0" applyFont="1" applyFill="1" applyBorder="1" applyAlignment="1" applyProtection="1">
      <alignment horizontal="left" wrapText="1"/>
      <protection locked="0"/>
    </xf>
    <xf numFmtId="0" fontId="31" fillId="25" borderId="0" xfId="0" applyFont="1" applyFill="1" applyAlignment="1" applyProtection="1">
      <alignment horizontal="left" wrapText="1"/>
      <protection locked="0"/>
    </xf>
    <xf numFmtId="0" fontId="31" fillId="25" borderId="12" xfId="0" applyFont="1" applyFill="1" applyBorder="1" applyAlignment="1" applyProtection="1">
      <alignment horizontal="left" wrapText="1"/>
      <protection locked="0"/>
    </xf>
    <xf numFmtId="0" fontId="31" fillId="25" borderId="18" xfId="0" applyFont="1" applyFill="1" applyBorder="1" applyAlignment="1" applyProtection="1">
      <alignment horizontal="left" wrapText="1"/>
      <protection locked="0"/>
    </xf>
    <xf numFmtId="0" fontId="31" fillId="25" borderId="13" xfId="0" applyFont="1" applyFill="1" applyBorder="1" applyAlignment="1" applyProtection="1">
      <alignment horizontal="left" wrapText="1"/>
      <protection locked="0"/>
    </xf>
    <xf numFmtId="0" fontId="31" fillId="25" borderId="38" xfId="0" applyFont="1" applyFill="1" applyBorder="1" applyAlignment="1" applyProtection="1">
      <alignment horizontal="left" wrapText="1"/>
      <protection locked="0"/>
    </xf>
    <xf numFmtId="0" fontId="31" fillId="0" borderId="32" xfId="0" applyFont="1" applyBorder="1" applyAlignment="1" applyProtection="1">
      <alignment horizontal="left" vertical="center"/>
      <protection locked="0"/>
    </xf>
    <xf numFmtId="0" fontId="31" fillId="0" borderId="10" xfId="0" applyFont="1" applyBorder="1" applyAlignment="1" applyProtection="1">
      <alignment horizontal="left" vertical="center"/>
      <protection locked="0"/>
    </xf>
    <xf numFmtId="0" fontId="31" fillId="0" borderId="19" xfId="0" applyFont="1" applyBorder="1" applyAlignment="1" applyProtection="1">
      <alignment horizontal="left" vertical="center"/>
      <protection locked="0"/>
    </xf>
    <xf numFmtId="170" fontId="2" fillId="0" borderId="0" xfId="0" applyNumberFormat="1" applyFont="1" applyAlignment="1" applyProtection="1">
      <alignment horizontal="left"/>
      <protection locked="0"/>
    </xf>
    <xf numFmtId="171" fontId="2" fillId="0" borderId="13" xfId="0" applyNumberFormat="1" applyFont="1" applyBorder="1" applyAlignment="1" applyProtection="1">
      <alignment horizontal="left"/>
      <protection locked="0"/>
    </xf>
    <xf numFmtId="171" fontId="2" fillId="0" borderId="13" xfId="0" applyNumberFormat="1" applyFont="1" applyBorder="1" applyAlignment="1">
      <alignment horizontal="left"/>
    </xf>
    <xf numFmtId="170" fontId="2" fillId="0" borderId="13" xfId="0" applyNumberFormat="1" applyFont="1" applyBorder="1" applyAlignment="1">
      <alignment horizontal="left"/>
    </xf>
    <xf numFmtId="170" fontId="2" fillId="0" borderId="13" xfId="0" applyNumberFormat="1" applyFont="1" applyBorder="1" applyAlignment="1">
      <alignment horizontal="left" vertical="center"/>
    </xf>
    <xf numFmtId="0" fontId="31" fillId="30" borderId="36" xfId="0" applyFont="1" applyFill="1" applyBorder="1" applyAlignment="1">
      <alignment horizontal="center" vertical="center" shrinkToFit="1"/>
    </xf>
    <xf numFmtId="0" fontId="31" fillId="30" borderId="11" xfId="0" applyFont="1" applyFill="1" applyBorder="1" applyAlignment="1">
      <alignment horizontal="center" vertical="center" shrinkToFit="1"/>
    </xf>
    <xf numFmtId="0" fontId="31" fillId="30" borderId="37" xfId="0" applyFont="1" applyFill="1" applyBorder="1" applyAlignment="1">
      <alignment horizontal="center" vertical="center" wrapText="1"/>
    </xf>
    <xf numFmtId="0" fontId="31" fillId="30" borderId="12" xfId="0" applyFont="1" applyFill="1" applyBorder="1" applyAlignment="1">
      <alignment horizontal="center" vertical="center" wrapText="1"/>
    </xf>
    <xf numFmtId="0" fontId="27" fillId="24" borderId="21" xfId="0" applyFont="1" applyFill="1" applyBorder="1" applyAlignment="1">
      <alignment horizontal="center" vertical="center" wrapText="1"/>
    </xf>
    <xf numFmtId="0" fontId="27" fillId="24" borderId="39" xfId="0" applyFont="1" applyFill="1" applyBorder="1" applyAlignment="1">
      <alignment horizontal="center" vertical="center" wrapText="1"/>
    </xf>
    <xf numFmtId="0" fontId="27" fillId="24" borderId="11" xfId="0" applyFont="1" applyFill="1" applyBorder="1" applyAlignment="1">
      <alignment horizontal="center" vertical="center" wrapText="1"/>
    </xf>
    <xf numFmtId="0" fontId="27" fillId="24" borderId="12" xfId="0" applyFont="1" applyFill="1" applyBorder="1" applyAlignment="1">
      <alignment horizontal="center" vertical="center" wrapText="1"/>
    </xf>
    <xf numFmtId="0" fontId="27" fillId="24" borderId="18" xfId="0" applyFont="1" applyFill="1" applyBorder="1" applyAlignment="1">
      <alignment horizontal="center" vertical="center" wrapText="1"/>
    </xf>
    <xf numFmtId="0" fontId="27" fillId="24" borderId="38" xfId="0" applyFont="1" applyFill="1" applyBorder="1" applyAlignment="1">
      <alignment horizontal="center" vertical="center" wrapText="1"/>
    </xf>
    <xf numFmtId="4" fontId="27" fillId="24" borderId="30" xfId="0" applyNumberFormat="1" applyFont="1" applyFill="1" applyBorder="1" applyAlignment="1">
      <alignment horizontal="center" vertical="center" shrinkToFit="1"/>
    </xf>
    <xf numFmtId="4" fontId="27" fillId="24" borderId="15" xfId="0" applyNumberFormat="1" applyFont="1" applyFill="1" applyBorder="1" applyAlignment="1">
      <alignment horizontal="center" vertical="center" shrinkToFit="1"/>
    </xf>
    <xf numFmtId="4" fontId="27" fillId="24" borderId="16" xfId="0" applyNumberFormat="1" applyFont="1" applyFill="1" applyBorder="1" applyAlignment="1">
      <alignment horizontal="center" vertical="center" shrinkToFit="1"/>
    </xf>
    <xf numFmtId="4" fontId="31" fillId="30" borderId="28" xfId="0" applyNumberFormat="1" applyFont="1" applyFill="1" applyBorder="1" applyAlignment="1">
      <alignment horizontal="center" vertical="center"/>
    </xf>
    <xf numFmtId="4" fontId="31" fillId="30" borderId="15" xfId="0" applyNumberFormat="1" applyFont="1" applyFill="1" applyBorder="1" applyAlignment="1">
      <alignment horizontal="center" vertical="center"/>
    </xf>
    <xf numFmtId="0" fontId="50" fillId="0" borderId="0" xfId="0" applyFont="1" applyAlignment="1">
      <alignment horizontal="center" vertical="top" wrapText="1"/>
    </xf>
    <xf numFmtId="168" fontId="2" fillId="0" borderId="0" xfId="0" applyNumberFormat="1" applyFont="1" applyAlignment="1">
      <alignment horizontal="left"/>
    </xf>
    <xf numFmtId="49" fontId="2" fillId="0" borderId="0" xfId="0" applyNumberFormat="1" applyFont="1" applyAlignment="1">
      <alignment horizontal="left"/>
    </xf>
    <xf numFmtId="0" fontId="2" fillId="0" borderId="0" xfId="0" applyFont="1" applyAlignment="1">
      <alignment horizontal="left"/>
    </xf>
    <xf numFmtId="171" fontId="2" fillId="0" borderId="13" xfId="0" applyNumberFormat="1" applyFont="1" applyBorder="1" applyAlignment="1">
      <alignment horizontal="left" vertical="center"/>
    </xf>
  </cellXfs>
  <cellStyles count="91">
    <cellStyle name="20% - Accent1" xfId="1" xr:uid="{00000000-0005-0000-0000-000000000000}"/>
    <cellStyle name="20% - Accent2" xfId="2" xr:uid="{00000000-0005-0000-0000-000001000000}"/>
    <cellStyle name="20% - Accent3" xfId="3" xr:uid="{00000000-0005-0000-0000-000002000000}"/>
    <cellStyle name="20% - Accent4" xfId="4" xr:uid="{00000000-0005-0000-0000-000003000000}"/>
    <cellStyle name="20% - Accent5" xfId="5" xr:uid="{00000000-0005-0000-0000-000004000000}"/>
    <cellStyle name="20% - Accent6" xfId="6" xr:uid="{00000000-0005-0000-0000-000005000000}"/>
    <cellStyle name="20% - Ênfase1" xfId="7" builtinId="30" customBuiltin="1"/>
    <cellStyle name="20% - Ênfase2" xfId="8" builtinId="34" customBuiltin="1"/>
    <cellStyle name="20% - Ênfase3" xfId="9" builtinId="38" customBuiltin="1"/>
    <cellStyle name="20% - Ênfase4" xfId="10" builtinId="42" customBuiltin="1"/>
    <cellStyle name="20% - Ênfase5" xfId="11" builtinId="46" customBuiltin="1"/>
    <cellStyle name="20% - Ênfase6" xfId="12" builtinId="50" customBuiltin="1"/>
    <cellStyle name="40% - Accent1" xfId="13" xr:uid="{00000000-0005-0000-0000-00000C000000}"/>
    <cellStyle name="40% - Accent2" xfId="14" xr:uid="{00000000-0005-0000-0000-00000D000000}"/>
    <cellStyle name="40% - Accent3" xfId="15" xr:uid="{00000000-0005-0000-0000-00000E000000}"/>
    <cellStyle name="40% - Accent4" xfId="16" xr:uid="{00000000-0005-0000-0000-00000F000000}"/>
    <cellStyle name="40% - Accent5" xfId="17" xr:uid="{00000000-0005-0000-0000-000010000000}"/>
    <cellStyle name="40% - Accent6" xfId="18" xr:uid="{00000000-0005-0000-0000-000011000000}"/>
    <cellStyle name="40% - Ênfase1" xfId="19" builtinId="31" customBuiltin="1"/>
    <cellStyle name="40% - Ênfase2" xfId="20" builtinId="35" customBuiltin="1"/>
    <cellStyle name="40% - Ênfase3" xfId="21" builtinId="39" customBuiltin="1"/>
    <cellStyle name="40% - Ênfase4" xfId="22" builtinId="43" customBuiltin="1"/>
    <cellStyle name="40% - Ênfase5" xfId="23" builtinId="47" customBuiltin="1"/>
    <cellStyle name="40% - Ênfase6" xfId="24" builtinId="51" customBuiltin="1"/>
    <cellStyle name="60% - Accent1" xfId="25" xr:uid="{00000000-0005-0000-0000-000018000000}"/>
    <cellStyle name="60% - Accent2" xfId="26" xr:uid="{00000000-0005-0000-0000-000019000000}"/>
    <cellStyle name="60% - Accent3" xfId="27" xr:uid="{00000000-0005-0000-0000-00001A000000}"/>
    <cellStyle name="60% - Accent4" xfId="28" xr:uid="{00000000-0005-0000-0000-00001B000000}"/>
    <cellStyle name="60% - Accent5" xfId="29" xr:uid="{00000000-0005-0000-0000-00001C000000}"/>
    <cellStyle name="60% - Accent6" xfId="30" xr:uid="{00000000-0005-0000-0000-00001D000000}"/>
    <cellStyle name="60% - Ênfase1" xfId="31" builtinId="32" customBuiltin="1"/>
    <cellStyle name="60% - Ênfase2" xfId="32" builtinId="36" customBuiltin="1"/>
    <cellStyle name="60% - Ênfase3" xfId="33" builtinId="40" customBuiltin="1"/>
    <cellStyle name="60% - Ênfase4" xfId="34" builtinId="44" customBuiltin="1"/>
    <cellStyle name="60% - Ênfase5" xfId="35" builtinId="48" customBuiltin="1"/>
    <cellStyle name="60% - Ênfase6" xfId="36" builtinId="52" customBuiltin="1"/>
    <cellStyle name="Accent1" xfId="37" xr:uid="{00000000-0005-0000-0000-000024000000}"/>
    <cellStyle name="Accent2" xfId="38" xr:uid="{00000000-0005-0000-0000-000025000000}"/>
    <cellStyle name="Accent3" xfId="39" xr:uid="{00000000-0005-0000-0000-000026000000}"/>
    <cellStyle name="Accent4" xfId="40" xr:uid="{00000000-0005-0000-0000-000027000000}"/>
    <cellStyle name="Accent5" xfId="41" xr:uid="{00000000-0005-0000-0000-000028000000}"/>
    <cellStyle name="Accent6" xfId="42" xr:uid="{00000000-0005-0000-0000-000029000000}"/>
    <cellStyle name="Bad" xfId="43" xr:uid="{00000000-0005-0000-0000-00002A000000}"/>
    <cellStyle name="Bom" xfId="44" builtinId="26" customBuiltin="1"/>
    <cellStyle name="Calculation" xfId="45" xr:uid="{00000000-0005-0000-0000-00002C000000}"/>
    <cellStyle name="Cálculo" xfId="46" builtinId="22" customBuiltin="1"/>
    <cellStyle name="Célula de Verificação" xfId="47" builtinId="23" customBuiltin="1"/>
    <cellStyle name="Célula Vinculada" xfId="48" builtinId="24" customBuiltin="1"/>
    <cellStyle name="Check Cell" xfId="49" xr:uid="{00000000-0005-0000-0000-000030000000}"/>
    <cellStyle name="Ênfase1" xfId="50" builtinId="29" customBuiltin="1"/>
    <cellStyle name="Ênfase2" xfId="51" builtinId="33" customBuiltin="1"/>
    <cellStyle name="Ênfase3" xfId="52" builtinId="37" customBuiltin="1"/>
    <cellStyle name="Ênfase4" xfId="53" builtinId="41" customBuiltin="1"/>
    <cellStyle name="Ênfase5" xfId="54" builtinId="45" customBuiltin="1"/>
    <cellStyle name="Ênfase6" xfId="55" builtinId="49" customBuiltin="1"/>
    <cellStyle name="Entrada" xfId="56" builtinId="20" customBuiltin="1"/>
    <cellStyle name="Excel Built-in Normal" xfId="57" xr:uid="{00000000-0005-0000-0000-000038000000}"/>
    <cellStyle name="Explanatory Text" xfId="58" xr:uid="{00000000-0005-0000-0000-000039000000}"/>
    <cellStyle name="Good" xfId="59" xr:uid="{00000000-0005-0000-0000-00003A000000}"/>
    <cellStyle name="Heading 1" xfId="60" xr:uid="{00000000-0005-0000-0000-00003B000000}"/>
    <cellStyle name="Heading 2" xfId="61" xr:uid="{00000000-0005-0000-0000-00003C000000}"/>
    <cellStyle name="Heading 3" xfId="62" xr:uid="{00000000-0005-0000-0000-00003D000000}"/>
    <cellStyle name="Heading 4" xfId="63" xr:uid="{00000000-0005-0000-0000-00003E000000}"/>
    <cellStyle name="Input" xfId="65" xr:uid="{00000000-0005-0000-0000-000040000000}"/>
    <cellStyle name="Linked Cell" xfId="66" xr:uid="{00000000-0005-0000-0000-000041000000}"/>
    <cellStyle name="Moeda 2" xfId="67" xr:uid="{00000000-0005-0000-0000-000042000000}"/>
    <cellStyle name="Moeda 3" xfId="90" xr:uid="{00000000-0005-0000-0000-000043000000}"/>
    <cellStyle name="Moeda_Composicao BDI v2.1" xfId="68" xr:uid="{00000000-0005-0000-0000-000044000000}"/>
    <cellStyle name="Neutral" xfId="70" xr:uid="{00000000-0005-0000-0000-000046000000}"/>
    <cellStyle name="Neutro" xfId="69" builtinId="28" customBuiltin="1"/>
    <cellStyle name="Normal" xfId="0" builtinId="0"/>
    <cellStyle name="Normal 2" xfId="71" xr:uid="{00000000-0005-0000-0000-000048000000}"/>
    <cellStyle name="Normal 3" xfId="89" xr:uid="{00000000-0005-0000-0000-000049000000}"/>
    <cellStyle name="Normal_FICHA DE VERIFICAÇÃO PRELIMINAR - Plano R" xfId="72" xr:uid="{00000000-0005-0000-0000-00004A000000}"/>
    <cellStyle name="Nota" xfId="73" builtinId="10" customBuiltin="1"/>
    <cellStyle name="Note" xfId="74" xr:uid="{00000000-0005-0000-0000-00004C000000}"/>
    <cellStyle name="Output" xfId="75" xr:uid="{00000000-0005-0000-0000-00004D000000}"/>
    <cellStyle name="Porcentagem" xfId="76" builtinId="5"/>
    <cellStyle name="Ruim" xfId="64" builtinId="27" customBuiltin="1"/>
    <cellStyle name="Saída" xfId="77" builtinId="21" customBuiltin="1"/>
    <cellStyle name="Texto de Aviso" xfId="78" builtinId="11" customBuiltin="1"/>
    <cellStyle name="Texto Explicativo" xfId="79" builtinId="53" customBuiltin="1"/>
    <cellStyle name="Title" xfId="80" xr:uid="{00000000-0005-0000-0000-000052000000}"/>
    <cellStyle name="Título" xfId="81" builtinId="15" customBuiltin="1"/>
    <cellStyle name="Título 1" xfId="82" builtinId="16" customBuiltin="1"/>
    <cellStyle name="Título 2" xfId="83" builtinId="17" customBuiltin="1"/>
    <cellStyle name="Título 3" xfId="84" builtinId="18" customBuiltin="1"/>
    <cellStyle name="Título 4" xfId="85" builtinId="19" customBuiltin="1"/>
    <cellStyle name="Total" xfId="86" builtinId="25" customBuiltin="1"/>
    <cellStyle name="Vírgula" xfId="87" builtinId="3"/>
    <cellStyle name="Warning Text" xfId="88" xr:uid="{00000000-0005-0000-0000-00005A000000}"/>
  </cellStyles>
  <dxfs count="143">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font>
      <fill>
        <patternFill>
          <bgColor indexed="55"/>
        </patternFill>
      </fill>
      <border>
        <top style="thin">
          <color indexed="64"/>
        </top>
      </border>
    </dxf>
    <dxf>
      <font>
        <condense val="0"/>
        <extend val="0"/>
        <color indexed="9"/>
      </font>
      <fill>
        <patternFill patternType="none">
          <bgColor indexed="65"/>
        </patternFill>
      </fill>
      <border>
        <left/>
        <right/>
        <top/>
        <bottom/>
      </border>
    </dxf>
    <dxf>
      <font>
        <b/>
        <i val="0"/>
        <condense val="0"/>
        <extend val="0"/>
        <color indexed="9"/>
      </font>
      <fill>
        <patternFill>
          <bgColor indexed="10"/>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bgColor indexed="43"/>
        </patternFill>
      </fill>
    </dxf>
    <dxf>
      <font>
        <condense val="0"/>
        <extend val="0"/>
        <color indexed="9"/>
      </font>
      <fill>
        <patternFill patternType="none">
          <bgColor indexed="65"/>
        </patternFill>
      </fill>
      <border>
        <left/>
        <right/>
        <top/>
        <bottom/>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i val="0"/>
      </font>
      <fill>
        <patternFill>
          <bgColor rgb="FFC0C0C0"/>
        </patternFill>
      </fill>
    </dxf>
    <dxf>
      <font>
        <b/>
        <i val="0"/>
      </font>
      <fill>
        <patternFill>
          <bgColor rgb="FF969696"/>
        </patternFill>
      </fill>
    </dxf>
    <dxf>
      <font>
        <color theme="1"/>
      </font>
    </dxf>
    <dxf>
      <font>
        <b/>
        <i val="0"/>
      </font>
      <fill>
        <patternFill>
          <bgColor rgb="FFC0C0C0"/>
        </patternFill>
      </fill>
    </dxf>
    <dxf>
      <font>
        <b/>
        <i val="0"/>
      </font>
      <fill>
        <patternFill>
          <bgColor rgb="FF969696"/>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ill>
        <patternFill patternType="none">
          <bgColor indexed="65"/>
        </patternFill>
      </fill>
    </dxf>
    <dxf>
      <fill>
        <patternFill patternType="none">
          <bgColor indexed="65"/>
        </patternFill>
      </fill>
    </dxf>
    <dxf>
      <font>
        <condense val="0"/>
        <extend val="0"/>
        <color indexed="9"/>
      </font>
      <fill>
        <patternFill patternType="none">
          <bgColor indexed="65"/>
        </patternFill>
      </fill>
      <border>
        <left/>
        <right/>
        <top/>
        <bottom/>
      </border>
    </dxf>
    <dxf>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bgColor indexed="9"/>
        </patternFill>
      </fill>
      <border>
        <left/>
        <right/>
        <top/>
        <bottom/>
      </border>
    </dxf>
    <dxf>
      <fill>
        <patternFill patternType="none">
          <bgColor indexed="65"/>
        </patternFill>
      </fill>
    </dxf>
    <dxf>
      <fill>
        <patternFill patternType="none">
          <bgColor indexed="6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Radio" checked="Checked"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CheckBox" checked="Checked" fmlaLink="$X$3" noThreeD="1"/>
</file>

<file path=xl/ctrlProps/ctrlProp4.xml><?xml version="1.0" encoding="utf-8"?>
<formControlPr xmlns="http://schemas.microsoft.com/office/spreadsheetml/2009/9/main" objectType="CheckBox" checked="Checked" fmlaLink="$X$4" noThreeD="1"/>
</file>

<file path=xl/ctrlProps/ctrlProp5.xml><?xml version="1.0" encoding="utf-8"?>
<formControlPr xmlns="http://schemas.microsoft.com/office/spreadsheetml/2009/9/main" objectType="CheckBox" checked="Checked" fmlaLink="$X$5" noThreeD="1"/>
</file>

<file path=xl/ctrlProps/ctrlProp6.xml><?xml version="1.0" encoding="utf-8"?>
<formControlPr xmlns="http://schemas.microsoft.com/office/spreadsheetml/2009/9/main" objectType="CheckBox" checked="Checked" fmlaLink="$X$6" noThreeD="1"/>
</file>

<file path=xl/ctrlProps/ctrlProp7.xml><?xml version="1.0" encoding="utf-8"?>
<formControlPr xmlns="http://schemas.microsoft.com/office/spreadsheetml/2009/9/main" objectType="CheckBox" checked="Checked" fmlaLink="$X$7" noThreeD="1"/>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3" Type="http://schemas.openxmlformats.org/officeDocument/2006/relationships/image" Target="../media/image9.emf"/><Relationship Id="rId2" Type="http://schemas.openxmlformats.org/officeDocument/2006/relationships/image" Target="../media/image8.emf"/><Relationship Id="rId1" Type="http://schemas.openxmlformats.org/officeDocument/2006/relationships/image" Target="../media/image1.emf"/><Relationship Id="rId5" Type="http://schemas.openxmlformats.org/officeDocument/2006/relationships/image" Target="../media/image11.emf"/><Relationship Id="rId4" Type="http://schemas.openxmlformats.org/officeDocument/2006/relationships/image" Target="../media/image10.emf"/></Relationships>
</file>

<file path=xl/drawings/_rels/drawing5.xml.rels><?xml version="1.0" encoding="UTF-8" standalone="yes"?>
<Relationships xmlns="http://schemas.openxmlformats.org/package/2006/relationships"><Relationship Id="rId3" Type="http://schemas.openxmlformats.org/officeDocument/2006/relationships/image" Target="../media/image10.emf"/><Relationship Id="rId2" Type="http://schemas.openxmlformats.org/officeDocument/2006/relationships/image" Target="../media/image16.emf"/><Relationship Id="rId1" Type="http://schemas.openxmlformats.org/officeDocument/2006/relationships/image" Target="../media/image1.emf"/><Relationship Id="rId4" Type="http://schemas.openxmlformats.org/officeDocument/2006/relationships/image" Target="../media/image1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6.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14.emf"/><Relationship Id="rId2" Type="http://schemas.openxmlformats.org/officeDocument/2006/relationships/image" Target="../media/image13.emf"/><Relationship Id="rId1" Type="http://schemas.openxmlformats.org/officeDocument/2006/relationships/image" Target="../media/image12.emf"/><Relationship Id="rId4" Type="http://schemas.openxmlformats.org/officeDocument/2006/relationships/image" Target="../media/image15.emf"/></Relationships>
</file>

<file path=xl/drawings/_rels/vmlDrawing5.vml.rels><?xml version="1.0" encoding="UTF-8" standalone="yes"?>
<Relationships xmlns="http://schemas.openxmlformats.org/package/2006/relationships"><Relationship Id="rId3" Type="http://schemas.openxmlformats.org/officeDocument/2006/relationships/image" Target="../media/image15.emf"/><Relationship Id="rId2" Type="http://schemas.openxmlformats.org/officeDocument/2006/relationships/image" Target="../media/image14.emf"/><Relationship Id="rId1" Type="http://schemas.openxmlformats.org/officeDocument/2006/relationships/image" Target="../media/image17.emf"/></Relationships>
</file>

<file path=xl/drawings/drawing1.xml><?xml version="1.0" encoding="utf-8"?>
<xdr:wsDr xmlns:xdr="http://schemas.openxmlformats.org/drawingml/2006/spreadsheetDrawing" xmlns:a="http://schemas.openxmlformats.org/drawingml/2006/main">
  <xdr:twoCellAnchor editAs="oneCell">
    <xdr:from>
      <xdr:col>12</xdr:col>
      <xdr:colOff>495300</xdr:colOff>
      <xdr:row>12</xdr:row>
      <xdr:rowOff>85725</xdr:rowOff>
    </xdr:from>
    <xdr:to>
      <xdr:col>15</xdr:col>
      <xdr:colOff>466725</xdr:colOff>
      <xdr:row>15</xdr:row>
      <xdr:rowOff>57150</xdr:rowOff>
    </xdr:to>
    <xdr:sp macro="[0]!Importar" textlink="">
      <xdr:nvSpPr>
        <xdr:cNvPr id="2" name="ImportButton">
          <a:extLst>
            <a:ext uri="{FF2B5EF4-FFF2-40B4-BE49-F238E27FC236}">
              <a16:creationId xmlns:a16="http://schemas.microsoft.com/office/drawing/2014/main" id="{00000000-0008-0000-0000-000002000000}"/>
            </a:ext>
          </a:extLst>
        </xdr:cNvPr>
        <xdr:cNvSpPr>
          <a:spLocks noChangeArrowheads="1"/>
        </xdr:cNvSpPr>
      </xdr:nvSpPr>
      <xdr:spPr bwMode="auto">
        <a:xfrm>
          <a:off x="8077200" y="1847850"/>
          <a:ext cx="1714500" cy="457200"/>
        </a:xfrm>
        <a:prstGeom prst="rect">
          <a:avLst/>
        </a:prstGeom>
        <a:solidFill>
          <a:srgbClr val="D0CECE"/>
        </a:solidFill>
        <a:ln w="6350" algn="ctr">
          <a:solidFill>
            <a:srgbClr val="41719C"/>
          </a:solidFill>
          <a:miter lim="800000"/>
          <a:headEnd/>
          <a:tailEnd/>
        </a:ln>
        <a:effectLst>
          <a:outerShdw dist="63500" dir="2700000" algn="tl" rotWithShape="0">
            <a:srgbClr val="000000"/>
          </a:outerShdw>
        </a:effectLst>
      </xdr:spPr>
      <xdr:txBody>
        <a:bodyPr vertOverflow="clip" wrap="square" lIns="27432" tIns="27432" rIns="27432" bIns="27432" anchor="ctr" upright="1"/>
        <a:lstStyle/>
        <a:p>
          <a:pPr algn="ctr" rtl="0">
            <a:defRPr sz="1000"/>
          </a:pPr>
          <a:r>
            <a:rPr lang="pt-BR" sz="1050" b="0" i="0" u="none" strike="noStrike" baseline="0">
              <a:solidFill>
                <a:srgbClr val="000000"/>
              </a:solidFill>
              <a:latin typeface="Calibri"/>
            </a:rPr>
            <a:t>Importar PO</a:t>
          </a:r>
        </a:p>
        <a:p>
          <a:pPr algn="ctr" rtl="0">
            <a:defRPr sz="1000"/>
          </a:pPr>
          <a:r>
            <a:rPr lang="pt-BR" sz="1050" b="0" i="0" u="none" strike="noStrike" baseline="0">
              <a:solidFill>
                <a:srgbClr val="000000"/>
              </a:solidFill>
              <a:latin typeface="Calibri"/>
            </a:rPr>
            <a:t>(MO27476)</a:t>
          </a:r>
        </a:p>
      </xdr:txBody>
    </xdr:sp>
    <xdr:clientData fPrintsWithSheet="0"/>
  </xdr:twoCellAnchor>
  <mc:AlternateContent xmlns:mc="http://schemas.openxmlformats.org/markup-compatibility/2006">
    <mc:Choice xmlns:a14="http://schemas.microsoft.com/office/drawing/2010/main" Requires="a14">
      <xdr:twoCellAnchor editAs="oneCell">
        <xdr:from>
          <xdr:col>0</xdr:col>
          <xdr:colOff>381000</xdr:colOff>
          <xdr:row>18</xdr:row>
          <xdr:rowOff>85725</xdr:rowOff>
        </xdr:from>
        <xdr:to>
          <xdr:col>5</xdr:col>
          <xdr:colOff>228600</xdr:colOff>
          <xdr:row>20</xdr:row>
          <xdr:rowOff>47625</xdr:rowOff>
        </xdr:to>
        <xdr:sp macro="" textlink="">
          <xdr:nvSpPr>
            <xdr:cNvPr id="34202" name="OptionPLQ-ON" descr="Parcela 1" hidden="1">
              <a:extLst>
                <a:ext uri="{63B3BB69-23CF-44E3-9099-C40C66FF867C}">
                  <a14:compatExt spid="_x0000_s34202"/>
                </a:ext>
                <a:ext uri="{FF2B5EF4-FFF2-40B4-BE49-F238E27FC236}">
                  <a16:creationId xmlns:a16="http://schemas.microsoft.com/office/drawing/2014/main" id="{00000000-0008-0000-0000-00009A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MÚLTIPLAS FRENTES (PREENCHIMENTO NA PLQ)</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228600</xdr:colOff>
          <xdr:row>18</xdr:row>
          <xdr:rowOff>85725</xdr:rowOff>
        </xdr:from>
        <xdr:to>
          <xdr:col>11</xdr:col>
          <xdr:colOff>142875</xdr:colOff>
          <xdr:row>20</xdr:row>
          <xdr:rowOff>47625</xdr:rowOff>
        </xdr:to>
        <xdr:sp macro="" textlink="">
          <xdr:nvSpPr>
            <xdr:cNvPr id="34203" name="OptionPLQ-OFF" descr="Parcela 1" hidden="1">
              <a:extLst>
                <a:ext uri="{63B3BB69-23CF-44E3-9099-C40C66FF867C}">
                  <a14:compatExt spid="_x0000_s34203"/>
                </a:ext>
                <a:ext uri="{FF2B5EF4-FFF2-40B4-BE49-F238E27FC236}">
                  <a16:creationId xmlns:a16="http://schemas.microsoft.com/office/drawing/2014/main" id="{00000000-0008-0000-0000-00009B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FRENTE ÚNICA (PREENCHIMENTO DIRETAMENTE NA PO)</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id="{00000000-0008-0000-0100-000002000000}"/>
            </a:ext>
          </a:extLst>
        </xdr:cNvPr>
        <xdr:cNvSpPr txBox="1">
          <a:spLocks noChangeArrowheads="1"/>
        </xdr:cNvSpPr>
      </xdr:nvSpPr>
      <xdr:spPr bwMode="auto">
        <a:xfrm>
          <a:off x="7629525" y="885825"/>
          <a:ext cx="1057275" cy="342900"/>
        </a:xfrm>
        <a:prstGeom prst="rect">
          <a:avLst/>
        </a:prstGeom>
        <a:solidFill>
          <a:srgbClr val="E3E3E3"/>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156124" name="Object 476" hidden="1">
          <a:extLst>
            <a:ext uri="{63B3BB69-23CF-44E3-9099-C40C66FF867C}">
              <a14:compatExt xmlns:a14="http://schemas.microsoft.com/office/drawing/2010/main" spid="_x0000_s156124"/>
            </a:ext>
            <a:ext uri="{FF2B5EF4-FFF2-40B4-BE49-F238E27FC236}">
              <a16:creationId xmlns:a16="http://schemas.microsoft.com/office/drawing/2014/main" id="{00000000-0008-0000-0100-0000DC61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28575</xdr:colOff>
      <xdr:row>0</xdr:row>
      <xdr:rowOff>19050</xdr:rowOff>
    </xdr:from>
    <xdr:to>
      <xdr:col>10</xdr:col>
      <xdr:colOff>390525</xdr:colOff>
      <xdr:row>2</xdr:row>
      <xdr:rowOff>47625</xdr:rowOff>
    </xdr:to>
    <xdr:pic>
      <xdr:nvPicPr>
        <xdr:cNvPr id="3" name="Picture 476">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18</xdr:col>
          <xdr:colOff>19050</xdr:colOff>
          <xdr:row>2</xdr:row>
          <xdr:rowOff>57150</xdr:rowOff>
        </xdr:to>
        <xdr:pic>
          <xdr:nvPicPr>
            <xdr:cNvPr id="207880" name="SigiloPic">
              <a:extLst>
                <a:ext uri="{FF2B5EF4-FFF2-40B4-BE49-F238E27FC236}">
                  <a16:creationId xmlns:a16="http://schemas.microsoft.com/office/drawing/2014/main" id="{00000000-0008-0000-0100-0000082C0300}"/>
                </a:ext>
              </a:extLst>
            </xdr:cNvPr>
            <xdr:cNvPicPr>
              <a:picLocks noChangeArrowheads="1"/>
              <a:extLst>
                <a:ext uri="{84589F7E-364E-4C9E-8A38-B11213B215E9}">
                  <a14:cameraTool cellRange="PO!$T$1:$T$2" spid="_x0000_s208628"/>
                </a:ext>
              </a:extLst>
            </xdr:cNvPicPr>
          </xdr:nvPicPr>
          <xdr:blipFill>
            <a:blip xmlns:r="http://schemas.openxmlformats.org/officeDocument/2006/relationships" r:embed="rId2"/>
            <a:srcRect/>
            <a:stretch>
              <a:fillRect/>
            </a:stretch>
          </xdr:blipFill>
          <xdr:spPr bwMode="auto">
            <a:xfrm>
              <a:off x="6172200" y="28575"/>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10</xdr:col>
      <xdr:colOff>57150</xdr:colOff>
      <xdr:row>0</xdr:row>
      <xdr:rowOff>19050</xdr:rowOff>
    </xdr:from>
    <xdr:to>
      <xdr:col>11</xdr:col>
      <xdr:colOff>1009650</xdr:colOff>
      <xdr:row>2</xdr:row>
      <xdr:rowOff>76200</xdr:rowOff>
    </xdr:to>
    <xdr:sp macro="" textlink="">
      <xdr:nvSpPr>
        <xdr:cNvPr id="185899" name="Object 5675" hidden="1">
          <a:extLst>
            <a:ext uri="{63B3BB69-23CF-44E3-9099-C40C66FF867C}">
              <a14:compatExt xmlns:a14="http://schemas.microsoft.com/office/drawing/2010/main" spid="_x0000_s185899"/>
            </a:ext>
            <a:ext uri="{FF2B5EF4-FFF2-40B4-BE49-F238E27FC236}">
              <a16:creationId xmlns:a16="http://schemas.microsoft.com/office/drawing/2014/main" id="{00000000-0008-0000-0200-00002BD6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13</xdr:col>
      <xdr:colOff>142874</xdr:colOff>
      <xdr:row>7</xdr:row>
      <xdr:rowOff>166687</xdr:rowOff>
    </xdr:from>
    <xdr:to>
      <xdr:col>13</xdr:col>
      <xdr:colOff>1619249</xdr:colOff>
      <xdr:row>7</xdr:row>
      <xdr:rowOff>347662</xdr:rowOff>
    </xdr:to>
    <xdr:sp macro="[0]!EditarPlan" textlink="">
      <xdr:nvSpPr>
        <xdr:cNvPr id="5" name="EditarButton">
          <a:extLst>
            <a:ext uri="{FF2B5EF4-FFF2-40B4-BE49-F238E27FC236}">
              <a16:creationId xmlns:a16="http://schemas.microsoft.com/office/drawing/2014/main" id="{00000000-0008-0000-0200-000005000000}"/>
            </a:ext>
          </a:extLst>
        </xdr:cNvPr>
        <xdr:cNvSpPr txBox="1">
          <a:spLocks noChangeArrowheads="1"/>
        </xdr:cNvSpPr>
      </xdr:nvSpPr>
      <xdr:spPr bwMode="auto">
        <a:xfrm>
          <a:off x="3667124" y="1905000"/>
          <a:ext cx="1476375" cy="180975"/>
        </a:xfrm>
        <a:prstGeom prst="rect">
          <a:avLst/>
        </a:prstGeom>
        <a:solidFill>
          <a:srgbClr val="99FF99"/>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PLANILHA</a:t>
          </a:r>
        </a:p>
      </xdr:txBody>
    </xdr:sp>
    <xdr:clientData fPrintsWithSheet="0"/>
  </xdr:twoCellAnchor>
  <xdr:twoCellAnchor>
    <xdr:from>
      <xdr:col>13</xdr:col>
      <xdr:colOff>3762375</xdr:colOff>
      <xdr:row>7</xdr:row>
      <xdr:rowOff>166687</xdr:rowOff>
    </xdr:from>
    <xdr:to>
      <xdr:col>13</xdr:col>
      <xdr:colOff>5076826</xdr:colOff>
      <xdr:row>9</xdr:row>
      <xdr:rowOff>154779</xdr:rowOff>
    </xdr:to>
    <xdr:sp macro="[0]!licitacaouserform" textlink="">
      <xdr:nvSpPr>
        <xdr:cNvPr id="6" name="LicitButton">
          <a:extLst>
            <a:ext uri="{FF2B5EF4-FFF2-40B4-BE49-F238E27FC236}">
              <a16:creationId xmlns:a16="http://schemas.microsoft.com/office/drawing/2014/main" id="{00000000-0008-0000-0200-000006000000}"/>
            </a:ext>
          </a:extLst>
        </xdr:cNvPr>
        <xdr:cNvSpPr txBox="1">
          <a:spLocks noChangeArrowheads="1"/>
        </xdr:cNvSpPr>
      </xdr:nvSpPr>
      <xdr:spPr bwMode="auto">
        <a:xfrm>
          <a:off x="7286625" y="1905000"/>
          <a:ext cx="1314451" cy="369092"/>
        </a:xfrm>
        <a:prstGeom prst="rect">
          <a:avLst/>
        </a:prstGeom>
        <a:solidFill>
          <a:srgbClr val="33CCCC"/>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LICITAR / REPROGRAMAR</a:t>
          </a:r>
        </a:p>
      </xdr:txBody>
    </xdr:sp>
    <xdr:clientData fPrintsWithSheet="0"/>
  </xdr:twoCellAnchor>
  <xdr:twoCellAnchor>
    <xdr:from>
      <xdr:col>13</xdr:col>
      <xdr:colOff>1976437</xdr:colOff>
      <xdr:row>7</xdr:row>
      <xdr:rowOff>166686</xdr:rowOff>
    </xdr:from>
    <xdr:to>
      <xdr:col>13</xdr:col>
      <xdr:colOff>3452812</xdr:colOff>
      <xdr:row>7</xdr:row>
      <xdr:rowOff>346686</xdr:rowOff>
    </xdr:to>
    <xdr:sp macro="[0]!fixarReferencias" textlink="">
      <xdr:nvSpPr>
        <xdr:cNvPr id="7" name="FixarButton">
          <a:extLst>
            <a:ext uri="{FF2B5EF4-FFF2-40B4-BE49-F238E27FC236}">
              <a16:creationId xmlns:a16="http://schemas.microsoft.com/office/drawing/2014/main" id="{00000000-0008-0000-0200-000007000000}"/>
            </a:ext>
          </a:extLst>
        </xdr:cNvPr>
        <xdr:cNvSpPr txBox="1">
          <a:spLocks noChangeArrowheads="1"/>
        </xdr:cNvSpPr>
      </xdr:nvSpPr>
      <xdr:spPr bwMode="auto">
        <a:xfrm>
          <a:off x="5500687" y="1904999"/>
          <a:ext cx="1476375" cy="180000"/>
        </a:xfrm>
        <a:prstGeom prst="rect">
          <a:avLst/>
        </a:prstGeom>
        <a:solidFill>
          <a:srgbClr val="99FF99"/>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FIXAR DESCRICOES</a:t>
          </a:r>
        </a:p>
      </xdr:txBody>
    </xdr:sp>
    <xdr:clientData fPrintsWithSheet="0"/>
  </xdr:twoCellAnchor>
  <xdr:twoCellAnchor>
    <xdr:from>
      <xdr:col>11</xdr:col>
      <xdr:colOff>378619</xdr:colOff>
      <xdr:row>7</xdr:row>
      <xdr:rowOff>164306</xdr:rowOff>
    </xdr:from>
    <xdr:to>
      <xdr:col>12</xdr:col>
      <xdr:colOff>807244</xdr:colOff>
      <xdr:row>7</xdr:row>
      <xdr:rowOff>345281</xdr:rowOff>
    </xdr:to>
    <xdr:sp macro="[0]!buscaCodigo" textlink="">
      <xdr:nvSpPr>
        <xdr:cNvPr id="8" name="BuscarButton">
          <a:extLst>
            <a:ext uri="{FF2B5EF4-FFF2-40B4-BE49-F238E27FC236}">
              <a16:creationId xmlns:a16="http://schemas.microsoft.com/office/drawing/2014/main" id="{00000000-0008-0000-0200-000008000000}"/>
            </a:ext>
          </a:extLst>
        </xdr:cNvPr>
        <xdr:cNvSpPr txBox="1">
          <a:spLocks noChangeArrowheads="1"/>
        </xdr:cNvSpPr>
      </xdr:nvSpPr>
      <xdr:spPr bwMode="auto">
        <a:xfrm>
          <a:off x="1807369" y="1902619"/>
          <a:ext cx="1476375" cy="180975"/>
        </a:xfrm>
        <a:prstGeom prst="rect">
          <a:avLst/>
        </a:prstGeom>
        <a:solidFill>
          <a:srgbClr val="99FF99"/>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BUSCAR CÓDIGO</a:t>
          </a:r>
        </a:p>
      </xdr:txBody>
    </xdr:sp>
    <xdr:clientData fPrintsWithSheet="0"/>
  </xdr:twoCellAnchor>
  <xdr:twoCellAnchor editAs="oneCell">
    <xdr:from>
      <xdr:col>14</xdr:col>
      <xdr:colOff>714374</xdr:colOff>
      <xdr:row>6</xdr:row>
      <xdr:rowOff>285748</xdr:rowOff>
    </xdr:from>
    <xdr:to>
      <xdr:col>19</xdr:col>
      <xdr:colOff>1047748</xdr:colOff>
      <xdr:row>7</xdr:row>
      <xdr:rowOff>323232</xdr:rowOff>
    </xdr:to>
    <xdr:sp macro="" textlink="">
      <xdr:nvSpPr>
        <xdr:cNvPr id="9" name="TextBoxArred">
          <a:extLst>
            <a:ext uri="{FF2B5EF4-FFF2-40B4-BE49-F238E27FC236}">
              <a16:creationId xmlns:a16="http://schemas.microsoft.com/office/drawing/2014/main" id="{00000000-0008-0000-0200-000009000000}"/>
            </a:ext>
          </a:extLst>
        </xdr:cNvPr>
        <xdr:cNvSpPr txBox="1">
          <a:spLocks noChangeArrowheads="1"/>
        </xdr:cNvSpPr>
      </xdr:nvSpPr>
      <xdr:spPr bwMode="auto">
        <a:xfrm flipH="1">
          <a:off x="9620249" y="1714498"/>
          <a:ext cx="4905374" cy="354667"/>
        </a:xfrm>
        <a:prstGeom prst="rect">
          <a:avLst/>
        </a:prstGeom>
        <a:noFill/>
        <a:ln w="6350">
          <a:solidFill>
            <a:srgbClr val="000000"/>
          </a:solidFill>
          <a:miter lim="800000"/>
          <a:headEnd/>
          <a:tailEnd/>
        </a:ln>
        <a:extLst>
          <a:ext uri="{909E8E84-426E-40DD-AFC4-6F175D3DCCD1}">
            <a14:hiddenFill xmlns:a14="http://schemas.microsoft.com/office/drawing/2010/main">
              <a:solidFill>
                <a:srgbClr val="FFFFFF"/>
              </a:solidFill>
            </a14:hiddenFill>
          </a:ext>
        </a:extLst>
      </xdr:spPr>
      <xdr:txBody>
        <a:bodyPr vertOverflow="clip" wrap="square" lIns="27432" tIns="22860" rIns="27432" bIns="0" anchor="t" upright="1"/>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editAs="oneCell">
    <xdr:from>
      <xdr:col>10</xdr:col>
      <xdr:colOff>57150</xdr:colOff>
      <xdr:row>0</xdr:row>
      <xdr:rowOff>19050</xdr:rowOff>
    </xdr:from>
    <xdr:to>
      <xdr:col>11</xdr:col>
      <xdr:colOff>1009650</xdr:colOff>
      <xdr:row>2</xdr:row>
      <xdr:rowOff>76200</xdr:rowOff>
    </xdr:to>
    <xdr:pic>
      <xdr:nvPicPr>
        <xdr:cNvPr id="2" name="Picture 5675">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38175" y="19050"/>
          <a:ext cx="180022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15</xdr:col>
          <xdr:colOff>428625</xdr:colOff>
          <xdr:row>7</xdr:row>
          <xdr:rowOff>114300</xdr:rowOff>
        </xdr:from>
        <xdr:to>
          <xdr:col>15</xdr:col>
          <xdr:colOff>847725</xdr:colOff>
          <xdr:row>7</xdr:row>
          <xdr:rowOff>342900</xdr:rowOff>
        </xdr:to>
        <xdr:sp macro="" textlink="">
          <xdr:nvSpPr>
            <xdr:cNvPr id="197642" name="CaixaArredQuant" hidden="1">
              <a:extLst>
                <a:ext uri="{63B3BB69-23CF-44E3-9099-C40C66FF867C}">
                  <a14:compatExt spid="_x0000_s197642"/>
                </a:ext>
                <a:ext uri="{FF2B5EF4-FFF2-40B4-BE49-F238E27FC236}">
                  <a16:creationId xmlns:a16="http://schemas.microsoft.com/office/drawing/2014/main" id="{00000000-0008-0000-0200-00000A040300}"/>
                </a:ext>
              </a:extLst>
            </xdr:cNvPr>
            <xdr:cNvSpPr/>
          </xdr:nvSpPr>
          <xdr:spPr bwMode="auto">
            <a:xfrm>
              <a:off x="0" y="0"/>
              <a:ext cx="0" cy="0"/>
            </a:xfrm>
            <a:prstGeom prst="rect">
              <a:avLst/>
            </a:prstGeom>
            <a:noFill/>
            <a:ln>
              <a:noFill/>
            </a:ln>
            <a:extLst>
              <a:ext uri="{909E8E84-426E-40DD-AFC4-6F175D3DCCD1}">
                <a14:hiddenFill>
                  <a:solidFill>
                    <a:srgbClr val="FFFF99" mc:Ignorable="a14" a14:legacySpreadsheetColorIndex="43">
                      <a:alpha val="50000"/>
                    </a:srgbClr>
                  </a:solidFill>
                </a14:hiddenFill>
              </a:ext>
              <a:ext uri="{91240B29-F687-4F45-9708-019B960494DF}">
                <a14:hiddenLine w="9525">
                  <a:solidFill>
                    <a:srgbClr val="A6CAF0"/>
                  </a:solidFill>
                  <a:miter lim="800000"/>
                  <a:headEnd/>
                  <a:tailEnd/>
                </a14:hiddenLine>
              </a:ext>
            </a:extLst>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419100</xdr:colOff>
          <xdr:row>7</xdr:row>
          <xdr:rowOff>114300</xdr:rowOff>
        </xdr:from>
        <xdr:to>
          <xdr:col>16</xdr:col>
          <xdr:colOff>838200</xdr:colOff>
          <xdr:row>7</xdr:row>
          <xdr:rowOff>342900</xdr:rowOff>
        </xdr:to>
        <xdr:sp macro="" textlink="">
          <xdr:nvSpPr>
            <xdr:cNvPr id="197650" name="CaixaArredCustoUnit" hidden="1">
              <a:extLst>
                <a:ext uri="{63B3BB69-23CF-44E3-9099-C40C66FF867C}">
                  <a14:compatExt spid="_x0000_s197650"/>
                </a:ext>
                <a:ext uri="{FF2B5EF4-FFF2-40B4-BE49-F238E27FC236}">
                  <a16:creationId xmlns:a16="http://schemas.microsoft.com/office/drawing/2014/main" id="{00000000-0008-0000-0200-000012040300}"/>
                </a:ext>
              </a:extLst>
            </xdr:cNvPr>
            <xdr:cNvSpPr/>
          </xdr:nvSpPr>
          <xdr:spPr bwMode="auto">
            <a:xfrm>
              <a:off x="0" y="0"/>
              <a:ext cx="0" cy="0"/>
            </a:xfrm>
            <a:prstGeom prst="rect">
              <a:avLst/>
            </a:prstGeom>
            <a:noFill/>
            <a:ln>
              <a:noFill/>
            </a:ln>
            <a:extLst>
              <a:ext uri="{909E8E84-426E-40DD-AFC4-6F175D3DCCD1}">
                <a14:hiddenFill>
                  <a:solidFill>
                    <a:srgbClr val="FFFF99" mc:Ignorable="a14" a14:legacySpreadsheetColorIndex="43">
                      <a:alpha val="50000"/>
                    </a:srgbClr>
                  </a:solidFill>
                </a14:hiddenFill>
              </a:ext>
              <a:ext uri="{91240B29-F687-4F45-9708-019B960494DF}">
                <a14:hiddenLine w="9525">
                  <a:solidFill>
                    <a:srgbClr val="A6CAF0"/>
                  </a:solidFill>
                  <a:miter lim="800000"/>
                  <a:headEnd/>
                  <a:tailEnd/>
                </a14:hiddenLine>
              </a:ext>
            </a:extLst>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257175</xdr:colOff>
          <xdr:row>7</xdr:row>
          <xdr:rowOff>114300</xdr:rowOff>
        </xdr:from>
        <xdr:to>
          <xdr:col>17</xdr:col>
          <xdr:colOff>676275</xdr:colOff>
          <xdr:row>7</xdr:row>
          <xdr:rowOff>342900</xdr:rowOff>
        </xdr:to>
        <xdr:sp macro="" textlink="">
          <xdr:nvSpPr>
            <xdr:cNvPr id="197651" name="CaixaArredBDI" hidden="1">
              <a:extLst>
                <a:ext uri="{63B3BB69-23CF-44E3-9099-C40C66FF867C}">
                  <a14:compatExt spid="_x0000_s197651"/>
                </a:ext>
                <a:ext uri="{FF2B5EF4-FFF2-40B4-BE49-F238E27FC236}">
                  <a16:creationId xmlns:a16="http://schemas.microsoft.com/office/drawing/2014/main" id="{00000000-0008-0000-0200-000013040300}"/>
                </a:ext>
              </a:extLst>
            </xdr:cNvPr>
            <xdr:cNvSpPr/>
          </xdr:nvSpPr>
          <xdr:spPr bwMode="auto">
            <a:xfrm>
              <a:off x="0" y="0"/>
              <a:ext cx="0" cy="0"/>
            </a:xfrm>
            <a:prstGeom prst="rect">
              <a:avLst/>
            </a:prstGeom>
            <a:noFill/>
            <a:ln>
              <a:noFill/>
            </a:ln>
            <a:extLst>
              <a:ext uri="{909E8E84-426E-40DD-AFC4-6F175D3DCCD1}">
                <a14:hiddenFill>
                  <a:solidFill>
                    <a:srgbClr val="FFFF99" mc:Ignorable="a14" a14:legacySpreadsheetColorIndex="43">
                      <a:alpha val="50000"/>
                    </a:srgbClr>
                  </a:solidFill>
                </a14:hiddenFill>
              </a:ext>
              <a:ext uri="{91240B29-F687-4F45-9708-019B960494DF}">
                <a14:hiddenLine w="9525">
                  <a:solidFill>
                    <a:srgbClr val="A6CAF0"/>
                  </a:solidFill>
                  <a:miter lim="800000"/>
                  <a:headEnd/>
                  <a:tailEnd/>
                </a14:hiddenLine>
              </a:ext>
            </a:extLst>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18</xdr:col>
          <xdr:colOff>333375</xdr:colOff>
          <xdr:row>7</xdr:row>
          <xdr:rowOff>114300</xdr:rowOff>
        </xdr:from>
        <xdr:to>
          <xdr:col>18</xdr:col>
          <xdr:colOff>752475</xdr:colOff>
          <xdr:row>7</xdr:row>
          <xdr:rowOff>342900</xdr:rowOff>
        </xdr:to>
        <xdr:sp macro="" textlink="">
          <xdr:nvSpPr>
            <xdr:cNvPr id="197652" name="CaixaArredPrecoUnit" hidden="1">
              <a:extLst>
                <a:ext uri="{63B3BB69-23CF-44E3-9099-C40C66FF867C}">
                  <a14:compatExt spid="_x0000_s197652"/>
                </a:ext>
                <a:ext uri="{FF2B5EF4-FFF2-40B4-BE49-F238E27FC236}">
                  <a16:creationId xmlns:a16="http://schemas.microsoft.com/office/drawing/2014/main" id="{00000000-0008-0000-0200-000014040300}"/>
                </a:ext>
              </a:extLst>
            </xdr:cNvPr>
            <xdr:cNvSpPr/>
          </xdr:nvSpPr>
          <xdr:spPr bwMode="auto">
            <a:xfrm>
              <a:off x="0" y="0"/>
              <a:ext cx="0" cy="0"/>
            </a:xfrm>
            <a:prstGeom prst="rect">
              <a:avLst/>
            </a:prstGeom>
            <a:noFill/>
            <a:ln>
              <a:noFill/>
            </a:ln>
            <a:extLst>
              <a:ext uri="{909E8E84-426E-40DD-AFC4-6F175D3DCCD1}">
                <a14:hiddenFill>
                  <a:solidFill>
                    <a:srgbClr val="FFFF99" mc:Ignorable="a14" a14:legacySpreadsheetColorIndex="43">
                      <a:alpha val="50000"/>
                    </a:srgbClr>
                  </a:solidFill>
                </a14:hiddenFill>
              </a:ext>
              <a:ext uri="{91240B29-F687-4F45-9708-019B960494DF}">
                <a14:hiddenLine w="9525">
                  <a:solidFill>
                    <a:srgbClr val="A6CAF0"/>
                  </a:solidFill>
                  <a:miter lim="800000"/>
                  <a:headEnd/>
                  <a:tailEnd/>
                </a14:hiddenLine>
              </a:ext>
            </a:extLst>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19</xdr:col>
          <xdr:colOff>419100</xdr:colOff>
          <xdr:row>7</xdr:row>
          <xdr:rowOff>104775</xdr:rowOff>
        </xdr:from>
        <xdr:to>
          <xdr:col>19</xdr:col>
          <xdr:colOff>838200</xdr:colOff>
          <xdr:row>7</xdr:row>
          <xdr:rowOff>333375</xdr:rowOff>
        </xdr:to>
        <xdr:sp macro="" textlink="">
          <xdr:nvSpPr>
            <xdr:cNvPr id="197660" name="CaixaArredPrecoTotal" hidden="1">
              <a:extLst>
                <a:ext uri="{63B3BB69-23CF-44E3-9099-C40C66FF867C}">
                  <a14:compatExt spid="_x0000_s197660"/>
                </a:ext>
                <a:ext uri="{FF2B5EF4-FFF2-40B4-BE49-F238E27FC236}">
                  <a16:creationId xmlns:a16="http://schemas.microsoft.com/office/drawing/2014/main" id="{00000000-0008-0000-0200-00001C040300}"/>
                </a:ext>
              </a:extLst>
            </xdr:cNvPr>
            <xdr:cNvSpPr/>
          </xdr:nvSpPr>
          <xdr:spPr bwMode="auto">
            <a:xfrm>
              <a:off x="0" y="0"/>
              <a:ext cx="0" cy="0"/>
            </a:xfrm>
            <a:prstGeom prst="rect">
              <a:avLst/>
            </a:prstGeom>
            <a:noFill/>
            <a:ln>
              <a:noFill/>
            </a:ln>
            <a:extLst>
              <a:ext uri="{909E8E84-426E-40DD-AFC4-6F175D3DCCD1}">
                <a14:hiddenFill>
                  <a:solidFill>
                    <a:srgbClr val="FFFF99" mc:Ignorable="a14" a14:legacySpreadsheetColorIndex="43">
                      <a:alpha val="50000"/>
                    </a:srgbClr>
                  </a:solidFill>
                </a14:hiddenFill>
              </a:ext>
              <a:ext uri="{91240B29-F687-4F45-9708-019B960494DF}">
                <a14:hiddenLine w="9525">
                  <a:solidFill>
                    <a:srgbClr val="A6CAF0"/>
                  </a:solidFill>
                  <a:miter lim="800000"/>
                  <a:headEnd/>
                  <a:tailEnd/>
                </a14:hiddenLine>
              </a:ext>
            </a:extLst>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10</xdr:col>
          <xdr:colOff>0</xdr:colOff>
          <xdr:row>3</xdr:row>
          <xdr:rowOff>0</xdr:rowOff>
        </xdr:from>
        <xdr:to>
          <xdr:col>19</xdr:col>
          <xdr:colOff>923925</xdr:colOff>
          <xdr:row>6</xdr:row>
          <xdr:rowOff>219075</xdr:rowOff>
        </xdr:to>
        <xdr:pic>
          <xdr:nvPicPr>
            <xdr:cNvPr id="201899" name="Picture 482">
              <a:extLst>
                <a:ext uri="{FF2B5EF4-FFF2-40B4-BE49-F238E27FC236}">
                  <a16:creationId xmlns:a16="http://schemas.microsoft.com/office/drawing/2014/main" id="{00000000-0008-0000-0200-0000AB140300}"/>
                </a:ext>
              </a:extLst>
            </xdr:cNvPr>
            <xdr:cNvPicPr>
              <a:picLocks noChangeArrowheads="1"/>
              <a:extLst>
                <a:ext uri="{84589F7E-364E-4C9E-8A38-B11213B215E9}">
                  <a14:cameraTool cellRange="DADOS!$A$220:$X$230" spid="_x0000_s220829"/>
                </a:ext>
              </a:extLst>
            </xdr:cNvPicPr>
          </xdr:nvPicPr>
          <xdr:blipFill>
            <a:blip xmlns:r="http://schemas.openxmlformats.org/officeDocument/2006/relationships" r:embed="rId2"/>
            <a:srcRect/>
            <a:stretch>
              <a:fillRect/>
            </a:stretch>
          </xdr:blipFill>
          <xdr:spPr bwMode="auto">
            <a:xfrm>
              <a:off x="581025" y="485775"/>
              <a:ext cx="13820775"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3686175</xdr:colOff>
          <xdr:row>106</xdr:row>
          <xdr:rowOff>0</xdr:rowOff>
        </xdr:from>
        <xdr:to>
          <xdr:col>19</xdr:col>
          <xdr:colOff>104775</xdr:colOff>
          <xdr:row>110</xdr:row>
          <xdr:rowOff>152400</xdr:rowOff>
        </xdr:to>
        <xdr:pic>
          <xdr:nvPicPr>
            <xdr:cNvPr id="201900" name="Picture 483">
              <a:extLst>
                <a:ext uri="{FF2B5EF4-FFF2-40B4-BE49-F238E27FC236}">
                  <a16:creationId xmlns:a16="http://schemas.microsoft.com/office/drawing/2014/main" id="{00000000-0008-0000-0200-0000AC140300}"/>
                </a:ext>
              </a:extLst>
            </xdr:cNvPr>
            <xdr:cNvPicPr>
              <a:picLocks noChangeArrowheads="1"/>
              <a:extLst>
                <a:ext uri="{84589F7E-364E-4C9E-8A38-B11213B215E9}">
                  <a14:cameraTool cellRange="DADOS!$A$53:$K$57" spid="_x0000_s220830"/>
                </a:ext>
              </a:extLst>
            </xdr:cNvPicPr>
          </xdr:nvPicPr>
          <xdr:blipFill>
            <a:blip xmlns:r="http://schemas.openxmlformats.org/officeDocument/2006/relationships" r:embed="rId3"/>
            <a:srcRect/>
            <a:stretch>
              <a:fillRect/>
            </a:stretch>
          </xdr:blipFill>
          <xdr:spPr bwMode="auto">
            <a:xfrm>
              <a:off x="7210425" y="10306050"/>
              <a:ext cx="6372225" cy="8001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1</xdr:col>
      <xdr:colOff>28575</xdr:colOff>
      <xdr:row>0</xdr:row>
      <xdr:rowOff>28575</xdr:rowOff>
    </xdr:from>
    <xdr:to>
      <xdr:col>2</xdr:col>
      <xdr:colOff>1104900</xdr:colOff>
      <xdr:row>1</xdr:row>
      <xdr:rowOff>190500</xdr:rowOff>
    </xdr:to>
    <xdr:sp macro="" textlink="">
      <xdr:nvSpPr>
        <xdr:cNvPr id="193696" name="Object 13472" hidden="1">
          <a:extLst>
            <a:ext uri="{63B3BB69-23CF-44E3-9099-C40C66FF867C}">
              <a14:compatExt xmlns:a14="http://schemas.microsoft.com/office/drawing/2010/main" spid="_x0000_s193696"/>
            </a:ext>
            <a:ext uri="{FF2B5EF4-FFF2-40B4-BE49-F238E27FC236}">
              <a16:creationId xmlns:a16="http://schemas.microsoft.com/office/drawing/2014/main" id="{00000000-0008-0000-0300-0000A0F4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3</xdr:col>
      <xdr:colOff>28575</xdr:colOff>
      <xdr:row>8</xdr:row>
      <xdr:rowOff>123825</xdr:rowOff>
    </xdr:from>
    <xdr:to>
      <xdr:col>4</xdr:col>
      <xdr:colOff>800100</xdr:colOff>
      <xdr:row>8</xdr:row>
      <xdr:rowOff>638175</xdr:rowOff>
    </xdr:to>
    <xdr:sp macro="" textlink="">
      <xdr:nvSpPr>
        <xdr:cNvPr id="5" name="AutoShape 68" descr="Frente de Obra:">
          <a:extLst>
            <a:ext uri="{FF2B5EF4-FFF2-40B4-BE49-F238E27FC236}">
              <a16:creationId xmlns:a16="http://schemas.microsoft.com/office/drawing/2014/main" id="{00000000-0008-0000-0300-000005000000}"/>
            </a:ext>
          </a:extLst>
        </xdr:cNvPr>
        <xdr:cNvSpPr>
          <a:spLocks noChangeArrowheads="1"/>
        </xdr:cNvSpPr>
      </xdr:nvSpPr>
      <xdr:spPr bwMode="auto">
        <a:xfrm>
          <a:off x="5629275" y="2095500"/>
          <a:ext cx="1285875" cy="514350"/>
        </a:xfrm>
        <a:prstGeom prst="rightArrow">
          <a:avLst>
            <a:gd name="adj1" fmla="val 50000"/>
            <a:gd name="adj2" fmla="val 57203"/>
          </a:avLst>
        </a:prstGeom>
        <a:solidFill>
          <a:srgbClr val="CCFFCC"/>
        </a:solidFill>
        <a:ln w="9525" algn="ctr">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t" upright="1"/>
        <a:lstStyle/>
        <a:p>
          <a:pPr algn="l" rtl="0">
            <a:defRPr sz="1000"/>
          </a:pPr>
          <a:r>
            <a:rPr lang="pt-BR" sz="1000" b="1" i="0" u="none" strike="noStrike" baseline="0">
              <a:solidFill>
                <a:srgbClr val="000000"/>
              </a:solidFill>
              <a:latin typeface="Arial"/>
              <a:cs typeface="Arial"/>
            </a:rPr>
            <a:t>Frente de Obra:</a:t>
          </a:r>
        </a:p>
      </xdr:txBody>
    </xdr:sp>
    <xdr:clientData/>
  </xdr:twoCellAnchor>
  <xdr:twoCellAnchor editAs="oneCell">
    <xdr:from>
      <xdr:col>2</xdr:col>
      <xdr:colOff>676275</xdr:colOff>
      <xdr:row>8</xdr:row>
      <xdr:rowOff>104775</xdr:rowOff>
    </xdr:from>
    <xdr:to>
      <xdr:col>2</xdr:col>
      <xdr:colOff>1693545</xdr:colOff>
      <xdr:row>8</xdr:row>
      <xdr:rowOff>474345</xdr:rowOff>
    </xdr:to>
    <xdr:sp macro="[0]!IncluirPLQ" textlink="">
      <xdr:nvSpPr>
        <xdr:cNvPr id="6" name="AddPLQ">
          <a:extLst>
            <a:ext uri="{FF2B5EF4-FFF2-40B4-BE49-F238E27FC236}">
              <a16:creationId xmlns:a16="http://schemas.microsoft.com/office/drawing/2014/main" id="{00000000-0008-0000-0300-000006000000}"/>
            </a:ext>
          </a:extLst>
        </xdr:cNvPr>
        <xdr:cNvSpPr txBox="1">
          <a:spLocks noChangeArrowheads="1"/>
        </xdr:cNvSpPr>
      </xdr:nvSpPr>
      <xdr:spPr bwMode="auto">
        <a:xfrm>
          <a:off x="2238375" y="2076450"/>
          <a:ext cx="1028700" cy="381000"/>
        </a:xfrm>
        <a:prstGeom prst="rect">
          <a:avLst/>
        </a:prstGeom>
        <a:solidFill>
          <a:srgbClr val="99FF99"/>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10 FRENTES</a:t>
          </a:r>
        </a:p>
      </xdr:txBody>
    </xdr:sp>
    <xdr:clientData fPrintsWithSheet="0"/>
  </xdr:twoCellAnchor>
  <xdr:twoCellAnchor editAs="oneCell">
    <xdr:from>
      <xdr:col>2</xdr:col>
      <xdr:colOff>1971675</xdr:colOff>
      <xdr:row>8</xdr:row>
      <xdr:rowOff>104775</xdr:rowOff>
    </xdr:from>
    <xdr:to>
      <xdr:col>2</xdr:col>
      <xdr:colOff>2988945</xdr:colOff>
      <xdr:row>8</xdr:row>
      <xdr:rowOff>474345</xdr:rowOff>
    </xdr:to>
    <xdr:sp macro="[0]!ExcluirPLQ" textlink="">
      <xdr:nvSpPr>
        <xdr:cNvPr id="7" name="RemovePLQ">
          <a:extLst>
            <a:ext uri="{FF2B5EF4-FFF2-40B4-BE49-F238E27FC236}">
              <a16:creationId xmlns:a16="http://schemas.microsoft.com/office/drawing/2014/main" id="{00000000-0008-0000-0300-000007000000}"/>
            </a:ext>
          </a:extLst>
        </xdr:cNvPr>
        <xdr:cNvSpPr txBox="1">
          <a:spLocks noChangeArrowheads="1"/>
        </xdr:cNvSpPr>
      </xdr:nvSpPr>
      <xdr:spPr bwMode="auto">
        <a:xfrm>
          <a:off x="3533775" y="2076450"/>
          <a:ext cx="1028700" cy="381000"/>
        </a:xfrm>
        <a:prstGeom prst="rect">
          <a:avLst/>
        </a:prstGeom>
        <a:solidFill>
          <a:srgbClr val="993366"/>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FFFFFF"/>
              </a:solidFill>
              <a:latin typeface="Arial"/>
              <a:cs typeface="Arial"/>
            </a:rPr>
            <a:t>EXCLUIR 10 FRENTES</a:t>
          </a:r>
        </a:p>
      </xdr:txBody>
    </xdr:sp>
    <xdr:clientData fPrintsWithSheet="0"/>
  </xdr:twoCellAnchor>
  <xdr:twoCellAnchor editAs="oneCell">
    <xdr:from>
      <xdr:col>1</xdr:col>
      <xdr:colOff>28575</xdr:colOff>
      <xdr:row>0</xdr:row>
      <xdr:rowOff>28575</xdr:rowOff>
    </xdr:from>
    <xdr:to>
      <xdr:col>2</xdr:col>
      <xdr:colOff>1104900</xdr:colOff>
      <xdr:row>1</xdr:row>
      <xdr:rowOff>190500</xdr:rowOff>
    </xdr:to>
    <xdr:pic>
      <xdr:nvPicPr>
        <xdr:cNvPr id="2" name="Picture 13472">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76300" y="28575"/>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absolute">
        <xdr:from>
          <xdr:col>1</xdr:col>
          <xdr:colOff>0</xdr:colOff>
          <xdr:row>3</xdr:row>
          <xdr:rowOff>0</xdr:rowOff>
        </xdr:from>
        <xdr:to>
          <xdr:col>4</xdr:col>
          <xdr:colOff>815340</xdr:colOff>
          <xdr:row>5</xdr:row>
          <xdr:rowOff>129540</xdr:rowOff>
        </xdr:to>
        <xdr:pic>
          <xdr:nvPicPr>
            <xdr:cNvPr id="204953" name="PIC1">
              <a:extLst>
                <a:ext uri="{FF2B5EF4-FFF2-40B4-BE49-F238E27FC236}">
                  <a16:creationId xmlns:a16="http://schemas.microsoft.com/office/drawing/2014/main" id="{00000000-0008-0000-0300-000099200300}"/>
                </a:ext>
              </a:extLst>
            </xdr:cNvPr>
            <xdr:cNvPicPr>
              <a:picLocks noChangeArrowheads="1"/>
              <a:extLst>
                <a:ext uri="{84589F7E-364E-4C9E-8A38-B11213B215E9}">
                  <a14:cameraTool cellRange="DADOS!$A$220:$X$230" spid="_x0000_s228388"/>
                </a:ext>
              </a:extLst>
            </xdr:cNvPicPr>
          </xdr:nvPicPr>
          <xdr:blipFill>
            <a:blip xmlns:r="http://schemas.openxmlformats.org/officeDocument/2006/relationships" r:embed="rId2"/>
            <a:srcRect r="56371"/>
            <a:stretch>
              <a:fillRect/>
            </a:stretch>
          </xdr:blipFill>
          <xdr:spPr bwMode="auto">
            <a:xfrm>
              <a:off x="847725" y="581025"/>
              <a:ext cx="6076950" cy="11334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0</xdr:colOff>
          <xdr:row>3</xdr:row>
          <xdr:rowOff>0</xdr:rowOff>
        </xdr:from>
        <xdr:to>
          <xdr:col>14</xdr:col>
          <xdr:colOff>777240</xdr:colOff>
          <xdr:row>5</xdr:row>
          <xdr:rowOff>129540</xdr:rowOff>
        </xdr:to>
        <xdr:pic>
          <xdr:nvPicPr>
            <xdr:cNvPr id="204954" name="PIC2">
              <a:extLst>
                <a:ext uri="{FF2B5EF4-FFF2-40B4-BE49-F238E27FC236}">
                  <a16:creationId xmlns:a16="http://schemas.microsoft.com/office/drawing/2014/main" id="{00000000-0008-0000-0300-00009A200300}"/>
                </a:ext>
              </a:extLst>
            </xdr:cNvPr>
            <xdr:cNvPicPr>
              <a:picLocks noChangeArrowheads="1"/>
              <a:extLst>
                <a:ext uri="{84589F7E-364E-4C9E-8A38-B11213B215E9}">
                  <a14:cameraTool cellRange="DADOS!$A$220:$X$230" spid="_x0000_s228389"/>
                </a:ext>
              </a:extLst>
            </xdr:cNvPicPr>
          </xdr:nvPicPr>
          <xdr:blipFill>
            <a:blip xmlns:r="http://schemas.openxmlformats.org/officeDocument/2006/relationships" r:embed="rId3"/>
            <a:srcRect l="44028"/>
            <a:stretch>
              <a:fillRect/>
            </a:stretch>
          </xdr:blipFill>
          <xdr:spPr bwMode="auto">
            <a:xfrm>
              <a:off x="6962775" y="581025"/>
              <a:ext cx="7800975" cy="11334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5</xdr:col>
          <xdr:colOff>704850</xdr:colOff>
          <xdr:row>97</xdr:row>
          <xdr:rowOff>9525</xdr:rowOff>
        </xdr:from>
        <xdr:to>
          <xdr:col>14</xdr:col>
          <xdr:colOff>28575</xdr:colOff>
          <xdr:row>101</xdr:row>
          <xdr:rowOff>152400</xdr:rowOff>
        </xdr:to>
        <xdr:pic>
          <xdr:nvPicPr>
            <xdr:cNvPr id="204955" name="Picture 483">
              <a:extLst>
                <a:ext uri="{FF2B5EF4-FFF2-40B4-BE49-F238E27FC236}">
                  <a16:creationId xmlns:a16="http://schemas.microsoft.com/office/drawing/2014/main" id="{00000000-0008-0000-0300-00009B200300}"/>
                </a:ext>
              </a:extLst>
            </xdr:cNvPr>
            <xdr:cNvPicPr>
              <a:picLocks noChangeArrowheads="1"/>
              <a:extLst>
                <a:ext uri="{84589F7E-364E-4C9E-8A38-B11213B215E9}">
                  <a14:cameraTool cellRange="DADOS!$A$53:$K$57" spid="_x0000_s228390"/>
                </a:ext>
              </a:extLst>
            </xdr:cNvPicPr>
          </xdr:nvPicPr>
          <xdr:blipFill>
            <a:blip xmlns:r="http://schemas.openxmlformats.org/officeDocument/2006/relationships" r:embed="rId4"/>
            <a:srcRect/>
            <a:stretch>
              <a:fillRect/>
            </a:stretch>
          </xdr:blipFill>
          <xdr:spPr bwMode="auto">
            <a:xfrm>
              <a:off x="7667625" y="10248900"/>
              <a:ext cx="6353175"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352425</xdr:colOff>
          <xdr:row>0</xdr:row>
          <xdr:rowOff>57150</xdr:rowOff>
        </xdr:from>
        <xdr:to>
          <xdr:col>14</xdr:col>
          <xdr:colOff>704850</xdr:colOff>
          <xdr:row>2</xdr:row>
          <xdr:rowOff>19050</xdr:rowOff>
        </xdr:to>
        <xdr:pic>
          <xdr:nvPicPr>
            <xdr:cNvPr id="204956" name="SigiloPic">
              <a:extLst>
                <a:ext uri="{FF2B5EF4-FFF2-40B4-BE49-F238E27FC236}">
                  <a16:creationId xmlns:a16="http://schemas.microsoft.com/office/drawing/2014/main" id="{00000000-0008-0000-0300-00009C200300}"/>
                </a:ext>
              </a:extLst>
            </xdr:cNvPr>
            <xdr:cNvPicPr>
              <a:picLocks noChangeArrowheads="1"/>
              <a:extLst>
                <a:ext uri="{84589F7E-364E-4C9E-8A38-B11213B215E9}">
                  <a14:cameraTool cellRange="PO!$T$1:$T$2" spid="_x0000_s228391"/>
                </a:ext>
              </a:extLst>
            </xdr:cNvPicPr>
          </xdr:nvPicPr>
          <xdr:blipFill>
            <a:blip xmlns:r="http://schemas.openxmlformats.org/officeDocument/2006/relationships" r:embed="rId5"/>
            <a:srcRect/>
            <a:stretch>
              <a:fillRect/>
            </a:stretch>
          </xdr:blipFill>
          <xdr:spPr bwMode="auto">
            <a:xfrm>
              <a:off x="13563600" y="57150"/>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11</xdr:col>
      <xdr:colOff>57150</xdr:colOff>
      <xdr:row>0</xdr:row>
      <xdr:rowOff>38100</xdr:rowOff>
    </xdr:from>
    <xdr:to>
      <xdr:col>12</xdr:col>
      <xdr:colOff>1133475</xdr:colOff>
      <xdr:row>2</xdr:row>
      <xdr:rowOff>95250</xdr:rowOff>
    </xdr:to>
    <xdr:sp macro="" textlink="">
      <xdr:nvSpPr>
        <xdr:cNvPr id="193474" name="Object 125890" hidden="1">
          <a:extLst>
            <a:ext uri="{63B3BB69-23CF-44E3-9099-C40C66FF867C}">
              <a14:compatExt xmlns:a14="http://schemas.microsoft.com/office/drawing/2010/main" spid="_x0000_s193474"/>
            </a:ext>
            <a:ext uri="{FF2B5EF4-FFF2-40B4-BE49-F238E27FC236}">
              <a16:creationId xmlns:a16="http://schemas.microsoft.com/office/drawing/2014/main" id="{00000000-0008-0000-0400-0000C2F3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628650</xdr:colOff>
      <xdr:row>7</xdr:row>
      <xdr:rowOff>209550</xdr:rowOff>
    </xdr:from>
    <xdr:to>
      <xdr:col>12</xdr:col>
      <xdr:colOff>1695450</xdr:colOff>
      <xdr:row>9</xdr:row>
      <xdr:rowOff>0</xdr:rowOff>
    </xdr:to>
    <xdr:sp macro="[0]!EditarCRONO" textlink="">
      <xdr:nvSpPr>
        <xdr:cNvPr id="7" name="AddCFF">
          <a:extLst>
            <a:ext uri="{FF2B5EF4-FFF2-40B4-BE49-F238E27FC236}">
              <a16:creationId xmlns:a16="http://schemas.microsoft.com/office/drawing/2014/main" id="{00000000-0008-0000-0400-000007000000}"/>
            </a:ext>
          </a:extLst>
        </xdr:cNvPr>
        <xdr:cNvSpPr txBox="1">
          <a:spLocks noChangeArrowheads="1"/>
        </xdr:cNvSpPr>
      </xdr:nvSpPr>
      <xdr:spPr bwMode="auto">
        <a:xfrm>
          <a:off x="628650" y="1914525"/>
          <a:ext cx="1781175" cy="342900"/>
        </a:xfrm>
        <a:prstGeom prst="rect">
          <a:avLst/>
        </a:prstGeom>
        <a:solidFill>
          <a:srgbClr val="99FF99"/>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 ATUALIZAR CRONOGRAMA</a:t>
          </a:r>
        </a:p>
      </xdr:txBody>
    </xdr:sp>
    <xdr:clientData fPrintsWithSheet="0"/>
  </xdr:twoCellAnchor>
  <xdr:twoCellAnchor editAs="oneCell">
    <xdr:from>
      <xdr:col>11</xdr:col>
      <xdr:colOff>57150</xdr:colOff>
      <xdr:row>0</xdr:row>
      <xdr:rowOff>38100</xdr:rowOff>
    </xdr:from>
    <xdr:to>
      <xdr:col>12</xdr:col>
      <xdr:colOff>1133475</xdr:colOff>
      <xdr:row>2</xdr:row>
      <xdr:rowOff>95250</xdr:rowOff>
    </xdr:to>
    <xdr:pic>
      <xdr:nvPicPr>
        <xdr:cNvPr id="2" name="Picture 125890">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 y="3810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absolute">
        <xdr:from>
          <xdr:col>15</xdr:col>
          <xdr:colOff>0</xdr:colOff>
          <xdr:row>3</xdr:row>
          <xdr:rowOff>0</xdr:rowOff>
        </xdr:from>
        <xdr:to>
          <xdr:col>23</xdr:col>
          <xdr:colOff>0</xdr:colOff>
          <xdr:row>6</xdr:row>
          <xdr:rowOff>219075</xdr:rowOff>
        </xdr:to>
        <xdr:pic>
          <xdr:nvPicPr>
            <xdr:cNvPr id="207318" name="PIC2">
              <a:extLst>
                <a:ext uri="{FF2B5EF4-FFF2-40B4-BE49-F238E27FC236}">
                  <a16:creationId xmlns:a16="http://schemas.microsoft.com/office/drawing/2014/main" id="{00000000-0008-0000-0400-0000D6290300}"/>
                </a:ext>
              </a:extLst>
            </xdr:cNvPr>
            <xdr:cNvPicPr>
              <a:picLocks noChangeArrowheads="1"/>
              <a:extLst>
                <a:ext uri="{84589F7E-364E-4C9E-8A38-B11213B215E9}">
                  <a14:cameraTool cellRange="DADOS!$A$220:$X$230" spid="_x0000_s227764"/>
                </a:ext>
              </a:extLst>
            </xdr:cNvPicPr>
          </xdr:nvPicPr>
          <xdr:blipFill>
            <a:blip xmlns:r="http://schemas.openxmlformats.org/officeDocument/2006/relationships" r:embed="rId2"/>
            <a:srcRect l="39473"/>
            <a:stretch>
              <a:fillRect/>
            </a:stretch>
          </xdr:blipFill>
          <xdr:spPr bwMode="auto">
            <a:xfrm>
              <a:off x="5619750" y="485775"/>
              <a:ext cx="8382000"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3</xdr:row>
          <xdr:rowOff>0</xdr:rowOff>
        </xdr:from>
        <xdr:to>
          <xdr:col>14</xdr:col>
          <xdr:colOff>1076325</xdr:colOff>
          <xdr:row>6</xdr:row>
          <xdr:rowOff>219075</xdr:rowOff>
        </xdr:to>
        <xdr:pic>
          <xdr:nvPicPr>
            <xdr:cNvPr id="207319" name="PIC1">
              <a:extLst>
                <a:ext uri="{FF2B5EF4-FFF2-40B4-BE49-F238E27FC236}">
                  <a16:creationId xmlns:a16="http://schemas.microsoft.com/office/drawing/2014/main" id="{00000000-0008-0000-0400-0000D7290300}"/>
                </a:ext>
              </a:extLst>
            </xdr:cNvPr>
            <xdr:cNvPicPr>
              <a:picLocks noChangeArrowheads="1"/>
              <a:extLst>
                <a:ext uri="{84589F7E-364E-4C9E-8A38-B11213B215E9}">
                  <a14:cameraTool cellRange="DADOS!$A$220:$X$230" spid="_x0000_s227765"/>
                </a:ext>
              </a:extLst>
            </xdr:cNvPicPr>
          </xdr:nvPicPr>
          <xdr:blipFill>
            <a:blip xmlns:r="http://schemas.openxmlformats.org/officeDocument/2006/relationships" r:embed="rId2"/>
            <a:srcRect r="60628"/>
            <a:stretch>
              <a:fillRect/>
            </a:stretch>
          </xdr:blipFill>
          <xdr:spPr bwMode="auto">
            <a:xfrm>
              <a:off x="152400" y="485775"/>
              <a:ext cx="5438775"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15</xdr:col>
          <xdr:colOff>971550</xdr:colOff>
          <xdr:row>61</xdr:row>
          <xdr:rowOff>0</xdr:rowOff>
        </xdr:from>
        <xdr:to>
          <xdr:col>22</xdr:col>
          <xdr:colOff>28575</xdr:colOff>
          <xdr:row>65</xdr:row>
          <xdr:rowOff>142875</xdr:rowOff>
        </xdr:to>
        <xdr:pic>
          <xdr:nvPicPr>
            <xdr:cNvPr id="207320" name="Picture 483">
              <a:extLst>
                <a:ext uri="{FF2B5EF4-FFF2-40B4-BE49-F238E27FC236}">
                  <a16:creationId xmlns:a16="http://schemas.microsoft.com/office/drawing/2014/main" id="{00000000-0008-0000-0400-0000D8290300}"/>
                </a:ext>
              </a:extLst>
            </xdr:cNvPr>
            <xdr:cNvPicPr>
              <a:picLocks noChangeArrowheads="1"/>
              <a:extLst>
                <a:ext uri="{84589F7E-364E-4C9E-8A38-B11213B215E9}">
                  <a14:cameraTool cellRange="DADOS!$A$53:$K$57" spid="_x0000_s227766"/>
                </a:ext>
              </a:extLst>
            </xdr:cNvPicPr>
          </xdr:nvPicPr>
          <xdr:blipFill>
            <a:blip xmlns:r="http://schemas.openxmlformats.org/officeDocument/2006/relationships" r:embed="rId3"/>
            <a:srcRect/>
            <a:stretch>
              <a:fillRect/>
            </a:stretch>
          </xdr:blipFill>
          <xdr:spPr bwMode="auto">
            <a:xfrm>
              <a:off x="6591300" y="6315075"/>
              <a:ext cx="6391275"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914400</xdr:colOff>
          <xdr:row>0</xdr:row>
          <xdr:rowOff>66675</xdr:rowOff>
        </xdr:from>
        <xdr:to>
          <xdr:col>22</xdr:col>
          <xdr:colOff>1000125</xdr:colOff>
          <xdr:row>2</xdr:row>
          <xdr:rowOff>123825</xdr:rowOff>
        </xdr:to>
        <xdr:pic>
          <xdr:nvPicPr>
            <xdr:cNvPr id="207321" name="SigiloPic">
              <a:extLst>
                <a:ext uri="{FF2B5EF4-FFF2-40B4-BE49-F238E27FC236}">
                  <a16:creationId xmlns:a16="http://schemas.microsoft.com/office/drawing/2014/main" id="{00000000-0008-0000-0400-0000D9290300}"/>
                </a:ext>
              </a:extLst>
            </xdr:cNvPr>
            <xdr:cNvPicPr>
              <a:picLocks noChangeArrowheads="1"/>
              <a:extLst>
                <a:ext uri="{84589F7E-364E-4C9E-8A38-B11213B215E9}">
                  <a14:cameraTool cellRange="PO!$T$1:$T$2" spid="_x0000_s227767"/>
                </a:ext>
              </a:extLst>
            </xdr:cNvPicPr>
          </xdr:nvPicPr>
          <xdr:blipFill>
            <a:blip xmlns:r="http://schemas.openxmlformats.org/officeDocument/2006/relationships" r:embed="rId4"/>
            <a:srcRect/>
            <a:stretch>
              <a:fillRect/>
            </a:stretch>
          </xdr:blipFill>
          <xdr:spPr bwMode="auto">
            <a:xfrm>
              <a:off x="12820650" y="66675"/>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61</xdr:row>
          <xdr:rowOff>0</xdr:rowOff>
        </xdr:from>
        <xdr:to>
          <xdr:col>23</xdr:col>
          <xdr:colOff>0</xdr:colOff>
          <xdr:row>65</xdr:row>
          <xdr:rowOff>142875</xdr:rowOff>
        </xdr:to>
        <xdr:pic>
          <xdr:nvPicPr>
            <xdr:cNvPr id="207322" name="Picture 130522">
              <a:extLst>
                <a:ext uri="{FF2B5EF4-FFF2-40B4-BE49-F238E27FC236}">
                  <a16:creationId xmlns:a16="http://schemas.microsoft.com/office/drawing/2014/main" id="{00000000-0008-0000-0400-0000DA290300}"/>
                </a:ext>
              </a:extLst>
            </xdr:cNvPr>
            <xdr:cNvPicPr>
              <a:picLocks noChangeArrowheads="1"/>
              <a:extLst>
                <a:ext uri="{84589F7E-364E-4C9E-8A38-B11213B215E9}">
                  <a14:cameraTool cellRange="DADOS!$A$53:$K$57" spid="_x0000_s227768"/>
                </a:ext>
              </a:extLst>
            </xdr:cNvPicPr>
          </xdr:nvPicPr>
          <xdr:blipFill>
            <a:blip xmlns:r="http://schemas.openxmlformats.org/officeDocument/2006/relationships" r:embed="rId3"/>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7323" name="Picture 130523">
              <a:extLst>
                <a:ext uri="{FF2B5EF4-FFF2-40B4-BE49-F238E27FC236}">
                  <a16:creationId xmlns:a16="http://schemas.microsoft.com/office/drawing/2014/main" id="{00000000-0008-0000-0400-0000DB290300}"/>
                </a:ext>
              </a:extLst>
            </xdr:cNvPr>
            <xdr:cNvPicPr>
              <a:picLocks noChangeArrowheads="1"/>
              <a:extLst>
                <a:ext uri="{84589F7E-364E-4C9E-8A38-B11213B215E9}">
                  <a14:cameraTool cellRange="PO!$T$1:$T$2" spid="_x0000_s227769"/>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61</xdr:row>
          <xdr:rowOff>0</xdr:rowOff>
        </xdr:from>
        <xdr:to>
          <xdr:col>23</xdr:col>
          <xdr:colOff>0</xdr:colOff>
          <xdr:row>65</xdr:row>
          <xdr:rowOff>142875</xdr:rowOff>
        </xdr:to>
        <xdr:pic>
          <xdr:nvPicPr>
            <xdr:cNvPr id="207324" name="Picture 130524">
              <a:extLst>
                <a:ext uri="{FF2B5EF4-FFF2-40B4-BE49-F238E27FC236}">
                  <a16:creationId xmlns:a16="http://schemas.microsoft.com/office/drawing/2014/main" id="{00000000-0008-0000-0400-0000DC290300}"/>
                </a:ext>
              </a:extLst>
            </xdr:cNvPr>
            <xdr:cNvPicPr>
              <a:picLocks noChangeArrowheads="1"/>
              <a:extLst>
                <a:ext uri="{84589F7E-364E-4C9E-8A38-B11213B215E9}">
                  <a14:cameraTool cellRange="DADOS!$A$53:$K$57" spid="_x0000_s227770"/>
                </a:ext>
              </a:extLst>
            </xdr:cNvPicPr>
          </xdr:nvPicPr>
          <xdr:blipFill>
            <a:blip xmlns:r="http://schemas.openxmlformats.org/officeDocument/2006/relationships" r:embed="rId3"/>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7325" name="Picture 130525">
              <a:extLst>
                <a:ext uri="{FF2B5EF4-FFF2-40B4-BE49-F238E27FC236}">
                  <a16:creationId xmlns:a16="http://schemas.microsoft.com/office/drawing/2014/main" id="{00000000-0008-0000-0400-0000DD290300}"/>
                </a:ext>
              </a:extLst>
            </xdr:cNvPr>
            <xdr:cNvPicPr>
              <a:picLocks noChangeArrowheads="1"/>
              <a:extLst>
                <a:ext uri="{84589F7E-364E-4C9E-8A38-B11213B215E9}">
                  <a14:cameraTool cellRange="PO!$T$1:$T$2" spid="_x0000_s227771"/>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61</xdr:row>
          <xdr:rowOff>0</xdr:rowOff>
        </xdr:from>
        <xdr:to>
          <xdr:col>23</xdr:col>
          <xdr:colOff>0</xdr:colOff>
          <xdr:row>65</xdr:row>
          <xdr:rowOff>142875</xdr:rowOff>
        </xdr:to>
        <xdr:pic>
          <xdr:nvPicPr>
            <xdr:cNvPr id="207326" name="Picture 130526">
              <a:extLst>
                <a:ext uri="{FF2B5EF4-FFF2-40B4-BE49-F238E27FC236}">
                  <a16:creationId xmlns:a16="http://schemas.microsoft.com/office/drawing/2014/main" id="{00000000-0008-0000-0400-0000DE290300}"/>
                </a:ext>
              </a:extLst>
            </xdr:cNvPr>
            <xdr:cNvPicPr>
              <a:picLocks noChangeArrowheads="1"/>
              <a:extLst>
                <a:ext uri="{84589F7E-364E-4C9E-8A38-B11213B215E9}">
                  <a14:cameraTool cellRange="DADOS!$A$53:$K$57" spid="_x0000_s227772"/>
                </a:ext>
              </a:extLst>
            </xdr:cNvPicPr>
          </xdr:nvPicPr>
          <xdr:blipFill>
            <a:blip xmlns:r="http://schemas.openxmlformats.org/officeDocument/2006/relationships" r:embed="rId3"/>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7327" name="Picture 130527">
              <a:extLst>
                <a:ext uri="{FF2B5EF4-FFF2-40B4-BE49-F238E27FC236}">
                  <a16:creationId xmlns:a16="http://schemas.microsoft.com/office/drawing/2014/main" id="{00000000-0008-0000-0400-0000DF290300}"/>
                </a:ext>
              </a:extLst>
            </xdr:cNvPr>
            <xdr:cNvPicPr>
              <a:picLocks noChangeArrowheads="1"/>
              <a:extLst>
                <a:ext uri="{84589F7E-364E-4C9E-8A38-B11213B215E9}">
                  <a14:cameraTool cellRange="PO!$T$1:$T$2" spid="_x0000_s227773"/>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61</xdr:row>
          <xdr:rowOff>0</xdr:rowOff>
        </xdr:from>
        <xdr:to>
          <xdr:col>23</xdr:col>
          <xdr:colOff>0</xdr:colOff>
          <xdr:row>65</xdr:row>
          <xdr:rowOff>142875</xdr:rowOff>
        </xdr:to>
        <xdr:pic>
          <xdr:nvPicPr>
            <xdr:cNvPr id="207328" name="Picture 130528">
              <a:extLst>
                <a:ext uri="{FF2B5EF4-FFF2-40B4-BE49-F238E27FC236}">
                  <a16:creationId xmlns:a16="http://schemas.microsoft.com/office/drawing/2014/main" id="{00000000-0008-0000-0400-0000E0290300}"/>
                </a:ext>
              </a:extLst>
            </xdr:cNvPr>
            <xdr:cNvPicPr>
              <a:picLocks noChangeArrowheads="1"/>
              <a:extLst>
                <a:ext uri="{84589F7E-364E-4C9E-8A38-B11213B215E9}">
                  <a14:cameraTool cellRange="DADOS!$A$53:$K$57" spid="_x0000_s227774"/>
                </a:ext>
              </a:extLst>
            </xdr:cNvPicPr>
          </xdr:nvPicPr>
          <xdr:blipFill>
            <a:blip xmlns:r="http://schemas.openxmlformats.org/officeDocument/2006/relationships" r:embed="rId3"/>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7329" name="Picture 130529">
              <a:extLst>
                <a:ext uri="{FF2B5EF4-FFF2-40B4-BE49-F238E27FC236}">
                  <a16:creationId xmlns:a16="http://schemas.microsoft.com/office/drawing/2014/main" id="{00000000-0008-0000-0400-0000E1290300}"/>
                </a:ext>
              </a:extLst>
            </xdr:cNvPr>
            <xdr:cNvPicPr>
              <a:picLocks noChangeArrowheads="1"/>
              <a:extLst>
                <a:ext uri="{84589F7E-364E-4C9E-8A38-B11213B215E9}">
                  <a14:cameraTool cellRange="PO!$T$1:$T$2" spid="_x0000_s227775"/>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61</xdr:row>
          <xdr:rowOff>0</xdr:rowOff>
        </xdr:from>
        <xdr:to>
          <xdr:col>23</xdr:col>
          <xdr:colOff>0</xdr:colOff>
          <xdr:row>65</xdr:row>
          <xdr:rowOff>142875</xdr:rowOff>
        </xdr:to>
        <xdr:pic>
          <xdr:nvPicPr>
            <xdr:cNvPr id="207330" name="Picture 130530">
              <a:extLst>
                <a:ext uri="{FF2B5EF4-FFF2-40B4-BE49-F238E27FC236}">
                  <a16:creationId xmlns:a16="http://schemas.microsoft.com/office/drawing/2014/main" id="{00000000-0008-0000-0400-0000E2290300}"/>
                </a:ext>
              </a:extLst>
            </xdr:cNvPr>
            <xdr:cNvPicPr>
              <a:picLocks noChangeArrowheads="1"/>
              <a:extLst>
                <a:ext uri="{84589F7E-364E-4C9E-8A38-B11213B215E9}">
                  <a14:cameraTool cellRange="DADOS!$A$53:$K$57" spid="_x0000_s227776"/>
                </a:ext>
              </a:extLst>
            </xdr:cNvPicPr>
          </xdr:nvPicPr>
          <xdr:blipFill>
            <a:blip xmlns:r="http://schemas.openxmlformats.org/officeDocument/2006/relationships" r:embed="rId3"/>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7331" name="Picture 130531">
              <a:extLst>
                <a:ext uri="{FF2B5EF4-FFF2-40B4-BE49-F238E27FC236}">
                  <a16:creationId xmlns:a16="http://schemas.microsoft.com/office/drawing/2014/main" id="{00000000-0008-0000-0400-0000E3290300}"/>
                </a:ext>
              </a:extLst>
            </xdr:cNvPr>
            <xdr:cNvPicPr>
              <a:picLocks noChangeArrowheads="1"/>
              <a:extLst>
                <a:ext uri="{84589F7E-364E-4C9E-8A38-B11213B215E9}">
                  <a14:cameraTool cellRange="PO!$T$1:$T$2" spid="_x0000_s227777"/>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3.vml"/><Relationship Id="rId7" Type="http://schemas.openxmlformats.org/officeDocument/2006/relationships/ctrlProp" Target="../ctrlProps/ctrlProp6.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5.xml"/><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3">
    <tabColor rgb="FFFFC000"/>
    <pageSetUpPr fitToPage="1"/>
  </sheetPr>
  <dimension ref="A1:Y257"/>
  <sheetViews>
    <sheetView showGridLines="0" topLeftCell="A10" zoomScaleNormal="100" zoomScaleSheetLayoutView="100" workbookViewId="0">
      <selection activeCell="C42" sqref="C42:G42"/>
    </sheetView>
  </sheetViews>
  <sheetFormatPr defaultColWidth="9.140625" defaultRowHeight="12.75" x14ac:dyDescent="0.2"/>
  <cols>
    <col min="1" max="2" width="8.7109375" style="5" customWidth="1"/>
    <col min="3" max="5" width="8.7109375" customWidth="1"/>
    <col min="6" max="8" width="8.7109375" style="4" customWidth="1"/>
    <col min="9" max="24" width="8.7109375" customWidth="1"/>
  </cols>
  <sheetData>
    <row r="1" spans="1:25" ht="12.75" customHeight="1" x14ac:dyDescent="0.2">
      <c r="A1" s="88">
        <v>27476</v>
      </c>
      <c r="B1" s="254" t="s">
        <v>2</v>
      </c>
      <c r="C1" s="254"/>
      <c r="D1" s="254"/>
      <c r="E1" s="254"/>
      <c r="F1" s="254"/>
      <c r="G1" s="254"/>
      <c r="H1" s="254"/>
      <c r="I1" s="254"/>
      <c r="J1" s="254"/>
      <c r="K1" s="254"/>
      <c r="L1" s="254"/>
      <c r="M1" s="254"/>
      <c r="N1" s="254"/>
      <c r="O1" s="254"/>
      <c r="P1" s="254"/>
      <c r="Q1" s="254"/>
      <c r="R1" s="254"/>
      <c r="S1" s="254"/>
      <c r="T1" s="254"/>
      <c r="U1" s="254"/>
      <c r="V1" s="254"/>
      <c r="W1" s="254"/>
      <c r="X1" s="255"/>
    </row>
    <row r="2" spans="1:25" ht="13.5" customHeight="1" x14ac:dyDescent="0.2">
      <c r="A2" s="90" t="s">
        <v>228</v>
      </c>
      <c r="B2" s="256"/>
      <c r="C2" s="256"/>
      <c r="D2" s="256"/>
      <c r="E2" s="256"/>
      <c r="F2" s="256"/>
      <c r="G2" s="256"/>
      <c r="H2" s="256"/>
      <c r="I2" s="256"/>
      <c r="J2" s="256"/>
      <c r="K2" s="256"/>
      <c r="L2" s="256"/>
      <c r="M2" s="256"/>
      <c r="N2" s="256"/>
      <c r="O2" s="256"/>
      <c r="P2" s="256"/>
      <c r="Q2" s="256"/>
      <c r="R2" s="256"/>
      <c r="S2" s="256"/>
      <c r="T2" s="256"/>
      <c r="U2" s="256"/>
      <c r="V2" s="256"/>
      <c r="W2" s="256"/>
      <c r="X2" s="257"/>
    </row>
    <row r="3" spans="1:25" ht="13.5" customHeight="1" x14ac:dyDescent="0.2">
      <c r="A3"/>
      <c r="B3"/>
      <c r="F3"/>
      <c r="G3"/>
      <c r="H3"/>
    </row>
    <row r="4" spans="1:25" ht="12.75" customHeight="1" x14ac:dyDescent="0.2">
      <c r="A4" s="265" t="s">
        <v>168</v>
      </c>
      <c r="B4" s="265"/>
      <c r="C4" s="265"/>
      <c r="D4" s="265"/>
      <c r="E4" s="265"/>
      <c r="F4" s="265"/>
      <c r="G4" s="265"/>
      <c r="H4" s="265"/>
      <c r="I4" s="265"/>
      <c r="J4" s="265"/>
      <c r="K4" s="265"/>
      <c r="L4" s="265"/>
      <c r="M4" s="265"/>
      <c r="N4" s="265"/>
      <c r="O4" s="265"/>
      <c r="P4" s="265"/>
      <c r="Q4" s="265"/>
      <c r="R4" s="265"/>
      <c r="S4" s="265"/>
      <c r="T4" s="265"/>
      <c r="U4" s="265"/>
      <c r="V4" s="265"/>
      <c r="W4" s="265"/>
      <c r="X4" s="265"/>
    </row>
    <row r="6" spans="1:25" s="5" customFormat="1" ht="24.95" customHeight="1" x14ac:dyDescent="0.2">
      <c r="A6" s="266" t="s">
        <v>179</v>
      </c>
      <c r="B6" s="267"/>
      <c r="C6" s="267"/>
      <c r="D6" s="267"/>
      <c r="E6" s="267"/>
      <c r="F6" s="267"/>
      <c r="G6" s="267"/>
      <c r="H6" s="267"/>
      <c r="I6" s="267"/>
      <c r="J6" s="267"/>
      <c r="K6" s="267"/>
      <c r="L6" s="267"/>
      <c r="M6" s="267"/>
      <c r="N6" s="267"/>
      <c r="O6" s="267"/>
      <c r="P6" s="267"/>
      <c r="Q6" s="267"/>
      <c r="R6" s="267"/>
      <c r="S6" s="267"/>
      <c r="T6" s="267"/>
      <c r="U6" s="267"/>
      <c r="V6" s="267"/>
      <c r="W6" s="267"/>
      <c r="X6" s="267"/>
    </row>
    <row r="7" spans="1:25" ht="12.75" customHeight="1" x14ac:dyDescent="0.2"/>
    <row r="8" spans="1:25" ht="12.75" customHeight="1" x14ac:dyDescent="0.2">
      <c r="A8" s="268" t="s">
        <v>23</v>
      </c>
      <c r="B8" s="268"/>
      <c r="C8" s="268"/>
      <c r="D8" s="268"/>
      <c r="E8" s="268"/>
      <c r="F8" s="268"/>
      <c r="G8" s="268"/>
      <c r="H8" s="268"/>
      <c r="I8" s="268"/>
      <c r="J8" s="268"/>
      <c r="K8" s="268"/>
      <c r="L8" s="268"/>
      <c r="M8" s="268"/>
      <c r="N8" s="268"/>
      <c r="O8" s="268"/>
      <c r="P8" s="268"/>
      <c r="Q8" s="268"/>
      <c r="R8" s="268"/>
      <c r="S8" s="268"/>
      <c r="T8" s="268"/>
      <c r="U8" s="268"/>
      <c r="V8" s="268"/>
      <c r="W8" s="268"/>
      <c r="X8" s="268"/>
      <c r="Y8" s="16"/>
    </row>
    <row r="9" spans="1:25" ht="6" customHeight="1" x14ac:dyDescent="0.2">
      <c r="A9" s="38"/>
      <c r="B9" s="38"/>
      <c r="C9" s="38"/>
      <c r="D9" s="38"/>
      <c r="E9" s="38"/>
      <c r="F9" s="38"/>
      <c r="G9" s="38"/>
      <c r="H9" s="38"/>
      <c r="I9" s="38"/>
      <c r="J9" s="38"/>
      <c r="K9" s="38"/>
      <c r="L9" s="38"/>
      <c r="M9" s="38"/>
      <c r="N9" s="38"/>
      <c r="O9" s="38"/>
      <c r="P9" s="38"/>
      <c r="Q9" s="38"/>
      <c r="R9" s="38"/>
      <c r="S9" s="38"/>
      <c r="T9" s="38"/>
      <c r="U9" s="38"/>
      <c r="V9" s="38"/>
      <c r="W9" s="38"/>
      <c r="X9" s="38"/>
      <c r="Y9" s="16"/>
    </row>
    <row r="10" spans="1:25" ht="12.75" customHeight="1" x14ac:dyDescent="0.2">
      <c r="A10" s="270" t="s">
        <v>169</v>
      </c>
      <c r="B10" s="270"/>
      <c r="C10" s="270"/>
      <c r="D10" s="270"/>
      <c r="E10" s="270"/>
      <c r="F10" s="270"/>
      <c r="G10" s="270"/>
      <c r="H10" s="270"/>
      <c r="I10" s="270"/>
      <c r="J10" s="270"/>
      <c r="K10" s="270"/>
      <c r="L10" s="270"/>
      <c r="M10" s="270"/>
      <c r="N10" s="270"/>
      <c r="O10" s="270"/>
      <c r="P10" s="270"/>
      <c r="Q10" s="270"/>
      <c r="R10" s="270"/>
      <c r="S10" s="270"/>
      <c r="T10" s="270"/>
      <c r="U10" s="270"/>
      <c r="V10" s="270"/>
      <c r="W10" s="270"/>
      <c r="X10" s="270"/>
    </row>
    <row r="11" spans="1:25" ht="6" customHeight="1" x14ac:dyDescent="0.2">
      <c r="A11" s="39"/>
      <c r="B11" s="39"/>
      <c r="C11" s="39"/>
      <c r="D11" s="39"/>
      <c r="E11" s="39"/>
      <c r="F11" s="39"/>
      <c r="G11" s="39"/>
      <c r="H11" s="39"/>
      <c r="I11" s="39"/>
      <c r="J11" s="39"/>
      <c r="K11" s="39"/>
      <c r="L11" s="39"/>
      <c r="M11" s="39"/>
      <c r="N11" s="39"/>
      <c r="O11" s="39"/>
      <c r="P11" s="39"/>
      <c r="Q11" s="39"/>
      <c r="R11" s="39"/>
      <c r="S11" s="39"/>
      <c r="T11" s="39"/>
      <c r="U11" s="39"/>
      <c r="V11" s="39"/>
      <c r="W11" s="39"/>
      <c r="X11" s="39"/>
    </row>
    <row r="12" spans="1:25" ht="24.95" customHeight="1" x14ac:dyDescent="0.2">
      <c r="A12" s="270" t="s">
        <v>1</v>
      </c>
      <c r="B12" s="270"/>
      <c r="C12" s="270"/>
      <c r="D12" s="270"/>
      <c r="E12" s="270"/>
      <c r="F12" s="270"/>
      <c r="G12" s="270"/>
      <c r="H12" s="270"/>
      <c r="I12" s="270"/>
      <c r="J12" s="270"/>
      <c r="K12" s="270"/>
      <c r="L12" s="270"/>
      <c r="M12" s="270"/>
      <c r="N12" s="270"/>
      <c r="O12" s="270"/>
      <c r="P12" s="270"/>
      <c r="Q12" s="270"/>
      <c r="R12" s="270"/>
      <c r="S12" s="270"/>
      <c r="T12" s="270"/>
      <c r="U12" s="270"/>
      <c r="V12" s="270"/>
      <c r="W12" s="270"/>
      <c r="X12" s="270"/>
    </row>
    <row r="14" spans="1:25" x14ac:dyDescent="0.2">
      <c r="A14" s="269" t="s">
        <v>24</v>
      </c>
      <c r="B14" s="268"/>
      <c r="C14" s="268"/>
      <c r="D14" s="268"/>
      <c r="E14" s="268"/>
      <c r="F14" s="268"/>
      <c r="G14" s="268"/>
      <c r="H14" s="268"/>
      <c r="I14" s="268"/>
      <c r="J14" s="268"/>
      <c r="K14" s="268"/>
      <c r="L14" s="268"/>
      <c r="M14" s="268"/>
      <c r="N14" s="268"/>
      <c r="O14" s="268"/>
      <c r="P14" s="268"/>
      <c r="Q14" s="268"/>
      <c r="R14" s="268"/>
      <c r="S14" s="268"/>
      <c r="T14" s="268"/>
      <c r="U14" s="268"/>
      <c r="V14" s="268"/>
      <c r="W14" s="268"/>
      <c r="X14" s="268"/>
    </row>
    <row r="16" spans="1:25" x14ac:dyDescent="0.2">
      <c r="A16" s="274" t="s">
        <v>186</v>
      </c>
      <c r="B16" s="275"/>
      <c r="C16" s="275"/>
      <c r="D16" s="275"/>
      <c r="E16" s="275"/>
      <c r="F16" s="275"/>
      <c r="G16" s="275"/>
      <c r="H16" s="275"/>
      <c r="I16" s="275"/>
      <c r="J16" s="275"/>
      <c r="K16" s="275"/>
      <c r="L16" s="275"/>
      <c r="M16" s="275"/>
      <c r="N16" s="275"/>
      <c r="O16" s="275"/>
      <c r="P16" s="275"/>
      <c r="Q16" s="275"/>
      <c r="R16" s="275"/>
      <c r="S16" s="275"/>
      <c r="T16" s="275"/>
      <c r="U16" s="275"/>
      <c r="V16" s="275"/>
      <c r="W16" s="275"/>
      <c r="X16" s="275"/>
    </row>
    <row r="17" spans="1:25" ht="6" customHeight="1" x14ac:dyDescent="0.2">
      <c r="A17" s="38"/>
      <c r="B17" s="38"/>
      <c r="C17" s="38"/>
      <c r="D17" s="38"/>
      <c r="E17" s="38"/>
      <c r="F17" s="38"/>
      <c r="G17" s="38"/>
      <c r="H17" s="38"/>
      <c r="I17" s="38"/>
      <c r="J17" s="38"/>
      <c r="K17" s="38"/>
      <c r="L17" s="38"/>
      <c r="M17" s="38"/>
      <c r="N17" s="38"/>
      <c r="O17" s="38"/>
      <c r="P17" s="38"/>
      <c r="Q17" s="38"/>
      <c r="R17" s="38"/>
      <c r="S17" s="38"/>
      <c r="T17" s="38"/>
      <c r="U17" s="38"/>
      <c r="V17" s="38"/>
      <c r="W17" s="38"/>
      <c r="X17" s="38"/>
    </row>
    <row r="18" spans="1:25" x14ac:dyDescent="0.2">
      <c r="A18" s="249" t="s">
        <v>187</v>
      </c>
      <c r="B18" s="249"/>
      <c r="C18" s="250"/>
      <c r="D18" s="250"/>
      <c r="E18" s="250"/>
      <c r="F18" s="250"/>
      <c r="G18" s="250"/>
      <c r="H18" s="250"/>
      <c r="I18" s="250"/>
      <c r="J18" s="250"/>
      <c r="K18" s="250"/>
      <c r="L18" s="250"/>
      <c r="M18" s="250"/>
      <c r="N18" s="250"/>
      <c r="O18" s="250"/>
      <c r="P18" s="250"/>
      <c r="Q18" s="250"/>
      <c r="R18" s="250"/>
      <c r="S18" s="250"/>
      <c r="T18" s="250"/>
      <c r="U18" s="250"/>
      <c r="V18" s="250"/>
      <c r="W18" s="250"/>
      <c r="X18" s="250"/>
    </row>
    <row r="21" spans="1:25" x14ac:dyDescent="0.2">
      <c r="A21"/>
    </row>
    <row r="22" spans="1:25" ht="12.75" customHeight="1" x14ac:dyDescent="0.2">
      <c r="A22" s="274" t="s">
        <v>189</v>
      </c>
      <c r="B22" s="275"/>
      <c r="C22" s="275"/>
      <c r="D22" s="275"/>
      <c r="E22" s="275"/>
      <c r="F22" s="275"/>
      <c r="G22" s="275"/>
      <c r="H22" s="275"/>
      <c r="I22" s="275"/>
      <c r="J22" s="191"/>
      <c r="K22" s="191"/>
      <c r="L22" s="191"/>
      <c r="M22" s="191"/>
      <c r="N22" s="191"/>
      <c r="O22" s="191"/>
      <c r="P22" s="191"/>
      <c r="Q22" s="191"/>
      <c r="R22" s="191"/>
      <c r="S22" s="191"/>
      <c r="T22" s="191"/>
      <c r="U22" s="191"/>
      <c r="V22" s="191"/>
      <c r="W22" s="191"/>
      <c r="X22" s="191"/>
      <c r="Y22" s="191"/>
    </row>
    <row r="23" spans="1:25" ht="6" customHeight="1" x14ac:dyDescent="0.2">
      <c r="A23" s="38"/>
      <c r="B23"/>
      <c r="F23"/>
      <c r="G23"/>
      <c r="H23"/>
    </row>
    <row r="24" spans="1:25" ht="12.75" customHeight="1" x14ac:dyDescent="0.2">
      <c r="A24" s="249" t="s">
        <v>190</v>
      </c>
      <c r="B24" s="249"/>
      <c r="C24" s="250"/>
      <c r="D24" s="250"/>
      <c r="E24" s="250"/>
      <c r="F24" s="250"/>
      <c r="G24" s="250"/>
      <c r="H24" s="250"/>
      <c r="I24" s="250"/>
      <c r="J24" s="250"/>
      <c r="K24" s="250"/>
      <c r="L24" s="250"/>
      <c r="M24" s="250"/>
      <c r="N24" s="250"/>
      <c r="O24" s="250"/>
      <c r="P24" s="250"/>
      <c r="Q24" s="250"/>
      <c r="R24" s="250"/>
      <c r="S24" s="250"/>
      <c r="T24" s="250"/>
      <c r="U24" s="250"/>
      <c r="V24" s="250"/>
      <c r="W24" s="250"/>
      <c r="X24" s="250"/>
    </row>
    <row r="25" spans="1:25" ht="6" customHeight="1" x14ac:dyDescent="0.2">
      <c r="A25" s="40"/>
      <c r="B25" s="40"/>
      <c r="C25" s="41"/>
      <c r="D25" s="41"/>
      <c r="E25" s="41"/>
      <c r="F25" s="41"/>
      <c r="G25" s="41"/>
      <c r="H25" s="41"/>
      <c r="I25" s="41"/>
      <c r="J25" s="41"/>
      <c r="K25" s="41"/>
      <c r="L25" s="41"/>
      <c r="M25" s="41"/>
      <c r="N25" s="41"/>
      <c r="O25" s="41"/>
      <c r="P25" s="41"/>
      <c r="Q25" s="41"/>
      <c r="R25" s="41"/>
      <c r="S25" s="41"/>
      <c r="T25" s="41"/>
      <c r="U25" s="41"/>
      <c r="V25" s="41"/>
      <c r="W25" s="41"/>
      <c r="X25" s="41"/>
    </row>
    <row r="26" spans="1:25" ht="12.75" customHeight="1" x14ac:dyDescent="0.2">
      <c r="A26" s="215" t="s">
        <v>191</v>
      </c>
      <c r="B26" s="215"/>
      <c r="C26" s="216"/>
      <c r="D26" s="216"/>
      <c r="E26" s="216"/>
      <c r="F26" s="216"/>
      <c r="G26" s="216"/>
      <c r="H26" s="216"/>
      <c r="I26" s="216"/>
      <c r="J26" s="216"/>
      <c r="K26" s="216"/>
      <c r="L26" s="216"/>
      <c r="M26" s="216"/>
      <c r="N26" s="216"/>
      <c r="O26" s="216"/>
      <c r="P26" s="216"/>
      <c r="Q26" s="216"/>
      <c r="R26" s="216"/>
      <c r="S26" s="216"/>
      <c r="T26" s="216"/>
      <c r="U26" s="216"/>
      <c r="V26" s="216"/>
      <c r="W26" s="216"/>
      <c r="X26" s="216"/>
    </row>
    <row r="27" spans="1:25" ht="6" customHeight="1" x14ac:dyDescent="0.2">
      <c r="A27" s="17"/>
      <c r="B27" s="17"/>
    </row>
    <row r="28" spans="1:25" ht="12.75" customHeight="1" x14ac:dyDescent="0.2">
      <c r="A28" s="204" t="s">
        <v>177</v>
      </c>
      <c r="B28" s="206"/>
      <c r="C28" s="204" t="s">
        <v>170</v>
      </c>
      <c r="D28" s="205"/>
      <c r="E28" s="206"/>
      <c r="F28" s="204" t="s">
        <v>171</v>
      </c>
      <c r="G28" s="205"/>
      <c r="H28" s="205"/>
      <c r="I28" s="206"/>
      <c r="J28" s="204" t="s">
        <v>172</v>
      </c>
      <c r="K28" s="205"/>
      <c r="L28" s="205"/>
      <c r="M28" s="205"/>
      <c r="N28" s="205"/>
      <c r="O28" s="206"/>
      <c r="P28" s="204" t="s">
        <v>0</v>
      </c>
      <c r="Q28" s="205"/>
      <c r="R28" s="205"/>
      <c r="S28" s="205"/>
      <c r="T28" s="205"/>
      <c r="U28" s="205"/>
      <c r="V28" s="205"/>
      <c r="W28" s="205"/>
      <c r="X28" s="206"/>
    </row>
    <row r="29" spans="1:25" ht="12.75" customHeight="1" x14ac:dyDescent="0.2">
      <c r="A29" s="207"/>
      <c r="B29" s="211"/>
      <c r="C29" s="207"/>
      <c r="D29" s="208"/>
      <c r="E29" s="209"/>
      <c r="F29" s="207"/>
      <c r="G29" s="210"/>
      <c r="H29" s="210"/>
      <c r="I29" s="211"/>
      <c r="J29" s="207" t="s">
        <v>284</v>
      </c>
      <c r="K29" s="210"/>
      <c r="L29" s="210"/>
      <c r="M29" s="210"/>
      <c r="N29" s="210"/>
      <c r="O29" s="211"/>
      <c r="P29" s="207" t="s">
        <v>241</v>
      </c>
      <c r="Q29" s="210"/>
      <c r="R29" s="210"/>
      <c r="S29" s="210"/>
      <c r="T29" s="210"/>
      <c r="U29" s="210"/>
      <c r="V29" s="210"/>
      <c r="W29" s="210"/>
      <c r="X29" s="211"/>
    </row>
    <row r="30" spans="1:25" ht="6" customHeight="1" x14ac:dyDescent="0.2">
      <c r="A30"/>
      <c r="B30"/>
      <c r="F30"/>
      <c r="G30"/>
      <c r="H30"/>
    </row>
    <row r="31" spans="1:25" x14ac:dyDescent="0.2">
      <c r="A31" s="204" t="s">
        <v>173</v>
      </c>
      <c r="B31" s="205"/>
      <c r="C31" s="205"/>
      <c r="D31" s="205"/>
      <c r="E31" s="205"/>
      <c r="F31" s="206"/>
      <c r="G31" s="204" t="s">
        <v>174</v>
      </c>
      <c r="H31" s="205"/>
      <c r="I31" s="205"/>
      <c r="J31" s="206"/>
      <c r="K31" s="204" t="s">
        <v>175</v>
      </c>
      <c r="L31" s="205"/>
      <c r="M31" s="205"/>
      <c r="N31" s="205"/>
      <c r="O31" s="205"/>
      <c r="P31" s="206"/>
      <c r="Q31" s="204" t="s">
        <v>180</v>
      </c>
      <c r="R31" s="205"/>
      <c r="S31" s="205"/>
      <c r="T31" s="205"/>
      <c r="U31" s="205"/>
      <c r="V31" s="205"/>
      <c r="W31" s="205"/>
      <c r="X31" s="206"/>
    </row>
    <row r="32" spans="1:25" x14ac:dyDescent="0.2">
      <c r="A32" s="212" t="s">
        <v>229</v>
      </c>
      <c r="B32" s="213"/>
      <c r="C32" s="213"/>
      <c r="D32" s="213"/>
      <c r="E32" s="213"/>
      <c r="F32" s="214"/>
      <c r="G32" s="207" t="s">
        <v>232</v>
      </c>
      <c r="H32" s="208"/>
      <c r="I32" s="208"/>
      <c r="J32" s="209"/>
      <c r="K32" s="207" t="s">
        <v>233</v>
      </c>
      <c r="L32" s="210"/>
      <c r="M32" s="210"/>
      <c r="N32" s="210"/>
      <c r="O32" s="210"/>
      <c r="P32" s="211"/>
      <c r="Q32" s="207" t="s">
        <v>241</v>
      </c>
      <c r="R32" s="210"/>
      <c r="S32" s="210"/>
      <c r="T32" s="210"/>
      <c r="U32" s="210"/>
      <c r="V32" s="210"/>
      <c r="W32" s="210"/>
      <c r="X32" s="211"/>
    </row>
    <row r="33" spans="1:24" ht="9" customHeight="1" x14ac:dyDescent="0.2"/>
    <row r="34" spans="1:24" s="19" customFormat="1" x14ac:dyDescent="0.2"/>
    <row r="35" spans="1:24" ht="12.75" customHeight="1" x14ac:dyDescent="0.2">
      <c r="A35" s="215" t="s">
        <v>192</v>
      </c>
      <c r="B35" s="215"/>
      <c r="C35" s="216"/>
      <c r="D35" s="216"/>
      <c r="E35" s="216"/>
      <c r="F35" s="216"/>
      <c r="G35" s="216"/>
      <c r="H35" s="216"/>
      <c r="I35" s="216"/>
      <c r="J35" s="216"/>
      <c r="K35" s="216"/>
      <c r="L35" s="216"/>
      <c r="M35" s="216"/>
      <c r="N35" s="216"/>
      <c r="O35" s="216"/>
      <c r="P35" s="216"/>
      <c r="Q35" s="216"/>
      <c r="R35" s="216"/>
      <c r="S35" s="216"/>
      <c r="T35" s="216"/>
      <c r="U35" s="216"/>
      <c r="V35" s="216"/>
      <c r="W35" s="216"/>
      <c r="X35" s="216"/>
    </row>
    <row r="36" spans="1:24" ht="6" customHeight="1" x14ac:dyDescent="0.2">
      <c r="A36" s="18"/>
      <c r="B36" s="18"/>
      <c r="C36" s="24"/>
      <c r="D36" s="24"/>
      <c r="E36" s="24"/>
      <c r="F36" s="24"/>
      <c r="G36" s="24"/>
      <c r="H36" s="24"/>
      <c r="I36" s="24"/>
      <c r="J36" s="24"/>
      <c r="K36" s="24"/>
      <c r="L36" s="24"/>
      <c r="M36" s="24"/>
      <c r="N36" s="24"/>
      <c r="O36" s="24"/>
      <c r="P36" s="24"/>
      <c r="Q36" s="24"/>
      <c r="R36" s="24"/>
      <c r="S36" s="24"/>
      <c r="T36" s="24"/>
      <c r="U36" s="24"/>
      <c r="V36" s="24"/>
      <c r="W36" s="24"/>
      <c r="X36" s="24"/>
    </row>
    <row r="37" spans="1:24" ht="12.75" customHeight="1" x14ac:dyDescent="0.2">
      <c r="A37" s="204" t="s">
        <v>16</v>
      </c>
      <c r="B37" s="206"/>
      <c r="C37" s="78" t="s">
        <v>91</v>
      </c>
      <c r="D37" s="204" t="s">
        <v>14</v>
      </c>
      <c r="E37" s="205"/>
      <c r="F37" s="206"/>
      <c r="G37" s="204" t="s">
        <v>12</v>
      </c>
      <c r="H37" s="205"/>
      <c r="I37" s="205"/>
      <c r="J37" s="205"/>
      <c r="K37" s="205"/>
      <c r="L37" s="205"/>
      <c r="M37" s="205"/>
      <c r="N37" s="205"/>
      <c r="O37" s="205"/>
      <c r="P37" s="205"/>
      <c r="Q37" s="205"/>
      <c r="R37" s="205"/>
      <c r="S37" s="206"/>
      <c r="T37" s="79" t="s">
        <v>7</v>
      </c>
      <c r="U37" s="79" t="s">
        <v>8</v>
      </c>
      <c r="V37" s="79" t="s">
        <v>9</v>
      </c>
      <c r="W37" s="79" t="s">
        <v>10</v>
      </c>
      <c r="X37" s="79" t="s">
        <v>11</v>
      </c>
    </row>
    <row r="38" spans="1:24" ht="12.75" customHeight="1" x14ac:dyDescent="0.2">
      <c r="A38" s="239">
        <v>45870</v>
      </c>
      <c r="B38" s="240"/>
      <c r="C38" s="77" t="s">
        <v>308</v>
      </c>
      <c r="D38" s="207" t="s">
        <v>78</v>
      </c>
      <c r="E38" s="208"/>
      <c r="F38" s="209"/>
      <c r="G38" s="207" t="s">
        <v>240</v>
      </c>
      <c r="H38" s="208"/>
      <c r="I38" s="208"/>
      <c r="J38" s="208"/>
      <c r="K38" s="208"/>
      <c r="L38" s="208"/>
      <c r="M38" s="208"/>
      <c r="N38" s="208"/>
      <c r="O38" s="208"/>
      <c r="P38" s="208"/>
      <c r="Q38" s="208"/>
      <c r="R38" s="208"/>
      <c r="S38" s="209"/>
      <c r="T38" s="80">
        <f ca="1">IF(ISERROR(INDIRECT("'BDI ("&amp;RIGHT(T37,1)&amp;")'!N27")),"",INDIRECT("'BDI ("&amp;RIGHT(T37,1)&amp;")'!N27"))</f>
        <v>0.2109</v>
      </c>
      <c r="U38" s="81" t="str">
        <f ca="1">IF(ISERROR(INDIRECT("'BDI ("&amp;RIGHT(U37,1)&amp;")'!N27")),"",INDIRECT("'BDI ("&amp;RIGHT(U37,1)&amp;")'!N27"))</f>
        <v/>
      </c>
      <c r="V38" s="81" t="str">
        <f ca="1">IF(ISERROR(INDIRECT("'BDI ("&amp;RIGHT(V37,1)&amp;")'!N27")),"",INDIRECT("'BDI ("&amp;RIGHT(V37,1)&amp;")'!N27"))</f>
        <v/>
      </c>
      <c r="W38" s="81" t="str">
        <f ca="1">IF(ISERROR(INDIRECT("'BDI ("&amp;RIGHT(W37,1)&amp;")'!N27")),"",INDIRECT("'BDI ("&amp;RIGHT(W37,1)&amp;")'!N27"))</f>
        <v/>
      </c>
      <c r="X38" s="81" t="str">
        <f ca="1">IF(ISERROR(INDIRECT("'BDI ("&amp;RIGHT(X37,1)&amp;")'!N27")),"",INDIRECT("'BDI ("&amp;RIGHT(X37,1)&amp;")'!N27"))</f>
        <v/>
      </c>
    </row>
    <row r="39" spans="1:24" ht="11.25" customHeight="1" x14ac:dyDescent="0.2">
      <c r="A39" s="18"/>
      <c r="B39" s="18"/>
      <c r="C39" s="24"/>
      <c r="D39" s="24"/>
      <c r="E39" s="24"/>
      <c r="F39" s="24"/>
      <c r="G39" s="24"/>
      <c r="H39" s="24"/>
      <c r="I39" s="24"/>
      <c r="J39" s="24"/>
      <c r="K39" s="24"/>
      <c r="L39" s="24"/>
      <c r="M39" s="24"/>
      <c r="N39" s="24"/>
      <c r="O39" s="24"/>
      <c r="P39" s="24"/>
      <c r="Q39" s="24"/>
      <c r="R39" s="24"/>
      <c r="S39" s="24"/>
      <c r="T39" s="24"/>
      <c r="U39" s="24"/>
      <c r="V39" s="24"/>
      <c r="W39" s="24"/>
      <c r="X39" s="24"/>
    </row>
    <row r="40" spans="1:24" ht="12.75" customHeight="1" x14ac:dyDescent="0.2">
      <c r="A40" s="215" t="s">
        <v>162</v>
      </c>
      <c r="B40" s="215"/>
      <c r="C40" s="216"/>
      <c r="D40" s="216"/>
      <c r="E40" s="216"/>
      <c r="F40" s="216"/>
      <c r="G40" s="216"/>
      <c r="H40" s="216"/>
      <c r="I40" s="216"/>
      <c r="J40" s="216"/>
      <c r="K40" s="216"/>
      <c r="L40" s="216"/>
      <c r="M40" s="216"/>
      <c r="N40" s="216"/>
      <c r="O40" s="216"/>
      <c r="P40" s="216"/>
      <c r="Q40" s="216"/>
      <c r="R40" s="216"/>
      <c r="S40" s="216"/>
      <c r="T40" s="216"/>
      <c r="U40" s="216"/>
      <c r="V40" s="216"/>
      <c r="W40" s="216"/>
      <c r="X40" s="216"/>
    </row>
    <row r="41" spans="1:24" ht="6" customHeight="1" x14ac:dyDescent="0.2">
      <c r="A41" s="18"/>
      <c r="B41" s="18"/>
      <c r="C41" s="24"/>
      <c r="D41" s="24"/>
      <c r="E41" s="24"/>
      <c r="F41" s="24"/>
      <c r="G41" s="24"/>
      <c r="H41" s="24"/>
      <c r="I41" s="24"/>
      <c r="J41" s="24"/>
      <c r="K41" s="24"/>
      <c r="L41" s="24"/>
      <c r="M41" s="24"/>
      <c r="N41" s="24"/>
      <c r="O41" s="24"/>
      <c r="P41" s="24"/>
      <c r="Q41" s="24"/>
      <c r="R41" s="24"/>
      <c r="S41" s="24"/>
      <c r="T41" s="24"/>
      <c r="U41" s="24"/>
      <c r="V41" s="24"/>
      <c r="W41" s="24"/>
      <c r="X41" s="24"/>
    </row>
    <row r="42" spans="1:24" ht="12.75" customHeight="1" x14ac:dyDescent="0.2">
      <c r="A42" s="204" t="s">
        <v>87</v>
      </c>
      <c r="B42" s="206"/>
      <c r="C42" s="204" t="s">
        <v>111</v>
      </c>
      <c r="D42" s="205"/>
      <c r="E42" s="205"/>
      <c r="F42" s="205"/>
      <c r="G42" s="205"/>
      <c r="H42" s="204" t="s">
        <v>16</v>
      </c>
      <c r="I42" s="205"/>
      <c r="J42" s="20" t="s">
        <v>91</v>
      </c>
      <c r="K42" s="204" t="s">
        <v>88</v>
      </c>
      <c r="L42" s="205"/>
      <c r="M42" s="206"/>
      <c r="N42" s="20" t="s">
        <v>92</v>
      </c>
      <c r="O42" s="204" t="s">
        <v>93</v>
      </c>
      <c r="P42" s="205"/>
      <c r="Q42" s="205"/>
      <c r="R42" s="205"/>
      <c r="S42" s="205"/>
      <c r="T42" s="206"/>
      <c r="U42" s="237" t="s">
        <v>89</v>
      </c>
      <c r="V42" s="238"/>
      <c r="W42" s="237" t="s">
        <v>90</v>
      </c>
      <c r="X42" s="238"/>
    </row>
    <row r="43" spans="1:24" ht="12.75" customHeight="1" x14ac:dyDescent="0.2">
      <c r="A43" s="212"/>
      <c r="B43" s="271"/>
      <c r="C43" s="207"/>
      <c r="D43" s="208"/>
      <c r="E43" s="208"/>
      <c r="F43" s="208"/>
      <c r="G43" s="208"/>
      <c r="H43" s="239"/>
      <c r="I43" s="240"/>
      <c r="J43" s="74"/>
      <c r="K43" s="217"/>
      <c r="L43" s="218"/>
      <c r="M43" s="219"/>
      <c r="N43" s="89"/>
      <c r="O43" s="260"/>
      <c r="P43" s="261"/>
      <c r="Q43" s="261"/>
      <c r="R43" s="262"/>
      <c r="S43" s="262"/>
      <c r="T43" s="263"/>
      <c r="U43" s="258"/>
      <c r="V43" s="264"/>
      <c r="W43" s="258"/>
      <c r="X43" s="259"/>
    </row>
    <row r="44" spans="1:24" ht="12.75" customHeight="1" x14ac:dyDescent="0.2">
      <c r="A44" s="18"/>
      <c r="B44" s="18"/>
      <c r="C44" s="24"/>
      <c r="D44" s="24"/>
      <c r="E44" s="24"/>
      <c r="F44" s="24"/>
      <c r="G44" s="24"/>
      <c r="H44" s="24"/>
      <c r="I44" s="24"/>
      <c r="J44" s="24"/>
      <c r="K44" s="24"/>
      <c r="L44" s="24"/>
      <c r="M44" s="24"/>
      <c r="N44" s="24"/>
      <c r="O44" s="24"/>
      <c r="P44" s="24"/>
      <c r="Q44" s="24"/>
      <c r="R44" s="24"/>
      <c r="S44" s="24"/>
      <c r="T44" s="24"/>
      <c r="U44" s="24"/>
      <c r="V44" s="24"/>
      <c r="W44" s="24"/>
      <c r="X44" s="24"/>
    </row>
    <row r="45" spans="1:24" ht="12.75" customHeight="1" x14ac:dyDescent="0.2">
      <c r="A45" s="215" t="s">
        <v>193</v>
      </c>
      <c r="B45" s="215"/>
      <c r="C45" s="216"/>
      <c r="D45" s="216"/>
      <c r="E45" s="216"/>
      <c r="F45" s="216"/>
      <c r="G45" s="216"/>
      <c r="H45" s="216"/>
      <c r="I45" s="216"/>
      <c r="J45" s="216"/>
      <c r="K45" s="216"/>
      <c r="L45" s="216"/>
      <c r="M45" s="216"/>
      <c r="N45" s="216"/>
      <c r="O45" s="216"/>
      <c r="P45" s="216"/>
      <c r="Q45" s="216"/>
      <c r="R45" s="216"/>
      <c r="S45" s="216"/>
      <c r="T45" s="216"/>
      <c r="U45" s="216"/>
      <c r="V45" s="216"/>
      <c r="W45" s="216"/>
      <c r="X45" s="216"/>
    </row>
    <row r="46" spans="1:24" ht="6" customHeight="1" x14ac:dyDescent="0.2">
      <c r="A46" s="18"/>
      <c r="B46" s="18"/>
      <c r="C46" s="24"/>
      <c r="D46" s="24"/>
      <c r="E46" s="24"/>
      <c r="F46" s="24"/>
      <c r="G46" s="24"/>
      <c r="H46" s="24"/>
      <c r="I46" s="24"/>
      <c r="J46" s="24"/>
      <c r="K46" s="24"/>
      <c r="L46" s="24"/>
      <c r="M46" s="24"/>
      <c r="N46" s="24"/>
      <c r="O46" s="24"/>
      <c r="P46" s="24"/>
      <c r="Q46" s="24"/>
      <c r="R46" s="24"/>
      <c r="S46" s="24"/>
      <c r="T46" s="24"/>
      <c r="U46" s="24"/>
      <c r="V46" s="24"/>
      <c r="W46" s="24"/>
      <c r="X46" s="24"/>
    </row>
    <row r="47" spans="1:24" x14ac:dyDescent="0.2">
      <c r="A47" s="20" t="s">
        <v>15</v>
      </c>
      <c r="B47" s="21"/>
      <c r="C47" s="22"/>
      <c r="F47"/>
      <c r="G47"/>
      <c r="H47"/>
    </row>
    <row r="48" spans="1:24" x14ac:dyDescent="0.2">
      <c r="A48" s="243">
        <v>46143</v>
      </c>
      <c r="B48" s="244"/>
      <c r="C48" s="245"/>
      <c r="E48" s="29"/>
      <c r="F48"/>
      <c r="G48"/>
      <c r="H48"/>
    </row>
    <row r="49" spans="1:24" x14ac:dyDescent="0.2">
      <c r="F49" s="25"/>
      <c r="G49" s="26"/>
      <c r="H49" s="27"/>
    </row>
    <row r="50" spans="1:24" x14ac:dyDescent="0.2">
      <c r="A50" s="215" t="s">
        <v>194</v>
      </c>
      <c r="B50" s="215"/>
      <c r="C50" s="216"/>
      <c r="D50" s="216"/>
      <c r="E50" s="216"/>
      <c r="F50" s="216"/>
      <c r="G50" s="216"/>
      <c r="H50" s="216"/>
      <c r="I50" s="216"/>
      <c r="J50" s="216"/>
      <c r="K50" s="216"/>
      <c r="L50" s="216"/>
      <c r="M50" s="216"/>
      <c r="N50" s="216"/>
      <c r="O50" s="216"/>
      <c r="P50" s="216"/>
      <c r="Q50" s="216"/>
      <c r="R50" s="216"/>
      <c r="S50" s="216"/>
      <c r="T50" s="216"/>
      <c r="U50" s="216"/>
      <c r="V50" s="216"/>
      <c r="W50" s="216"/>
      <c r="X50" s="216"/>
    </row>
    <row r="51" spans="1:24" x14ac:dyDescent="0.2">
      <c r="A51" s="18"/>
      <c r="B51" s="18"/>
      <c r="C51" s="24"/>
      <c r="D51" s="24"/>
      <c r="E51" s="24"/>
      <c r="F51" s="24"/>
      <c r="G51" s="24"/>
      <c r="H51" s="24"/>
      <c r="I51" s="24"/>
      <c r="J51" s="24"/>
      <c r="K51" s="24"/>
      <c r="L51" s="24"/>
    </row>
    <row r="52" spans="1:24" x14ac:dyDescent="0.2">
      <c r="A52" s="18"/>
      <c r="B52" s="18"/>
      <c r="C52" s="24"/>
      <c r="D52" s="24"/>
      <c r="E52" s="24"/>
      <c r="F52" s="24"/>
      <c r="G52" s="5" t="s">
        <v>18</v>
      </c>
      <c r="H52" s="24"/>
      <c r="I52" s="24"/>
      <c r="K52" s="72" t="s">
        <v>236</v>
      </c>
      <c r="L52" s="24"/>
    </row>
    <row r="53" spans="1:24" x14ac:dyDescent="0.2">
      <c r="A53" s="30"/>
      <c r="B53" s="30"/>
      <c r="C53" s="31"/>
      <c r="D53" s="31"/>
      <c r="E53" s="31"/>
      <c r="F53" s="25"/>
      <c r="G53" s="30"/>
      <c r="H53" s="30"/>
      <c r="I53" s="31"/>
      <c r="J53" s="31"/>
      <c r="K53" s="31"/>
    </row>
    <row r="54" spans="1:24" x14ac:dyDescent="0.2">
      <c r="A54" s="86" t="s">
        <v>140</v>
      </c>
      <c r="B54" s="247" t="s">
        <v>234</v>
      </c>
      <c r="C54" s="248"/>
      <c r="D54" s="248"/>
      <c r="E54" s="248"/>
      <c r="F54" s="25"/>
      <c r="G54" s="86" t="s">
        <v>140</v>
      </c>
      <c r="H54" s="247" t="s">
        <v>306</v>
      </c>
      <c r="I54" s="248"/>
      <c r="J54" s="248"/>
      <c r="K54" s="248"/>
    </row>
    <row r="55" spans="1:24" x14ac:dyDescent="0.2">
      <c r="A55" s="86" t="str">
        <f>IF(OR(TipoOrçamento="BASE",TipoOrçamento="REPROGRAMADONPL"),"Título:","Cargo:")</f>
        <v>Título:</v>
      </c>
      <c r="B55" s="247" t="s">
        <v>231</v>
      </c>
      <c r="C55" s="248"/>
      <c r="D55" s="248"/>
      <c r="E55" s="248"/>
      <c r="F55" s="25"/>
      <c r="G55" s="86" t="str">
        <f>A55</f>
        <v>Título:</v>
      </c>
      <c r="H55" s="247" t="s">
        <v>231</v>
      </c>
      <c r="I55" s="248"/>
      <c r="J55" s="248"/>
      <c r="K55" s="248"/>
    </row>
    <row r="56" spans="1:24" x14ac:dyDescent="0.2">
      <c r="A56" s="86" t="str">
        <f>IF(OR(TipoOrçamento="BASE",TipoOrçamento="REPROGRAMADONPL"),"CREA/CAU:","Empresa:")</f>
        <v>CREA/CAU:</v>
      </c>
      <c r="B56" s="253" t="s">
        <v>235</v>
      </c>
      <c r="C56" s="246"/>
      <c r="D56" s="246"/>
      <c r="E56" s="246"/>
      <c r="F56" s="25"/>
      <c r="G56" s="86" t="str">
        <f>A56</f>
        <v>CREA/CAU:</v>
      </c>
      <c r="H56" s="253" t="s">
        <v>307</v>
      </c>
      <c r="I56" s="246"/>
      <c r="J56" s="246"/>
      <c r="K56" s="246"/>
    </row>
    <row r="57" spans="1:24" x14ac:dyDescent="0.2">
      <c r="A57" s="86" t="str">
        <f>IF(OR(TipoOrçamento="BASE",TipoOrçamento="REPROGRAMADONPL"),"ART/RRT:","CNPJ:")</f>
        <v>ART/RRT:</v>
      </c>
      <c r="B57" s="253"/>
      <c r="C57" s="246"/>
      <c r="D57" s="246"/>
      <c r="E57" s="246"/>
      <c r="F57" s="25"/>
      <c r="G57" s="86" t="str">
        <f>A57</f>
        <v>ART/RRT:</v>
      </c>
      <c r="H57" s="246"/>
      <c r="I57" s="246"/>
      <c r="J57" s="246"/>
      <c r="K57" s="246"/>
    </row>
    <row r="58" spans="1:24" x14ac:dyDescent="0.2">
      <c r="F58" s="25"/>
      <c r="G58" s="26"/>
      <c r="H58" s="27"/>
    </row>
    <row r="59" spans="1:24" x14ac:dyDescent="0.2">
      <c r="F59" s="25"/>
      <c r="G59" s="26"/>
      <c r="H59" s="27"/>
    </row>
    <row r="60" spans="1:24" ht="12.75" customHeight="1" x14ac:dyDescent="0.2">
      <c r="A60" s="249" t="s">
        <v>195</v>
      </c>
      <c r="B60" s="249"/>
      <c r="C60" s="250"/>
      <c r="D60" s="250"/>
      <c r="E60" s="250"/>
      <c r="F60" s="250"/>
      <c r="G60" s="250"/>
      <c r="H60" s="250"/>
      <c r="I60" s="250"/>
      <c r="J60" s="250"/>
      <c r="K60" s="250"/>
      <c r="L60" s="250"/>
      <c r="M60" s="250"/>
      <c r="N60" s="250"/>
      <c r="O60" s="250"/>
      <c r="P60" s="250"/>
      <c r="Q60" s="250"/>
      <c r="R60" s="250"/>
      <c r="S60" s="250"/>
      <c r="T60" s="250"/>
      <c r="U60" s="250"/>
      <c r="V60" s="250"/>
      <c r="W60" s="250"/>
      <c r="X60" s="250"/>
    </row>
    <row r="61" spans="1:24" x14ac:dyDescent="0.2">
      <c r="A61" s="40"/>
      <c r="B61" s="40"/>
      <c r="C61" s="41"/>
      <c r="D61" s="41"/>
      <c r="E61" s="41"/>
      <c r="F61" s="41"/>
      <c r="G61" s="41"/>
      <c r="H61" s="41"/>
      <c r="I61" s="41"/>
      <c r="J61" s="41"/>
      <c r="K61" s="41"/>
      <c r="L61" s="41"/>
      <c r="M61" s="41"/>
      <c r="N61" s="41"/>
      <c r="O61" s="41"/>
      <c r="P61" s="41"/>
      <c r="Q61" s="41"/>
      <c r="R61" s="41"/>
      <c r="S61" s="41"/>
      <c r="T61" s="41"/>
      <c r="U61" s="41"/>
      <c r="V61" s="41"/>
      <c r="W61" s="41"/>
      <c r="X61" s="41"/>
    </row>
    <row r="62" spans="1:24" s="137" customFormat="1" ht="12.75" customHeight="1" x14ac:dyDescent="0.2">
      <c r="A62" s="251" t="s">
        <v>196</v>
      </c>
      <c r="B62" s="272"/>
      <c r="C62" s="273"/>
      <c r="D62" s="273"/>
      <c r="E62" s="273"/>
      <c r="F62" s="273"/>
      <c r="G62" s="273"/>
      <c r="H62" s="273"/>
      <c r="I62" s="273"/>
      <c r="J62" s="273"/>
      <c r="K62" s="273"/>
      <c r="L62" s="273"/>
      <c r="M62" s="273"/>
      <c r="N62" s="273"/>
      <c r="O62" s="273"/>
      <c r="P62" s="273"/>
      <c r="Q62" s="273"/>
      <c r="R62" s="273"/>
      <c r="S62" s="273"/>
      <c r="T62" s="273"/>
      <c r="U62" s="273"/>
      <c r="V62" s="273"/>
      <c r="W62" s="273"/>
      <c r="X62" s="273"/>
    </row>
    <row r="63" spans="1:24" ht="30" customHeight="1" x14ac:dyDescent="0.2">
      <c r="A63" s="251" t="s">
        <v>197</v>
      </c>
      <c r="B63" s="251"/>
      <c r="C63" s="252"/>
      <c r="D63" s="252"/>
      <c r="E63" s="252"/>
      <c r="F63" s="252"/>
      <c r="G63" s="252"/>
      <c r="H63" s="252"/>
      <c r="I63" s="252"/>
      <c r="J63" s="252"/>
      <c r="K63" s="252"/>
      <c r="L63" s="252"/>
      <c r="M63" s="252"/>
      <c r="N63" s="252"/>
      <c r="O63" s="252"/>
      <c r="P63" s="252"/>
      <c r="Q63" s="252"/>
      <c r="R63" s="252"/>
      <c r="S63" s="252"/>
      <c r="T63" s="252"/>
      <c r="U63" s="252"/>
      <c r="V63" s="252"/>
      <c r="W63" s="252"/>
      <c r="X63" s="252"/>
    </row>
    <row r="64" spans="1:24" x14ac:dyDescent="0.2">
      <c r="F64" s="25"/>
      <c r="G64" s="26"/>
      <c r="H64" s="27"/>
    </row>
    <row r="65" spans="1:24" ht="12.75" customHeight="1" x14ac:dyDescent="0.2">
      <c r="A65" s="249" t="s">
        <v>198</v>
      </c>
      <c r="B65" s="249"/>
      <c r="C65" s="250"/>
      <c r="D65" s="250"/>
      <c r="E65" s="250"/>
      <c r="F65" s="250"/>
      <c r="G65" s="250"/>
      <c r="H65" s="250"/>
      <c r="I65" s="250"/>
      <c r="J65" s="250"/>
      <c r="K65" s="250"/>
      <c r="L65" s="250"/>
      <c r="M65" s="250"/>
      <c r="N65" s="250"/>
      <c r="O65" s="250"/>
      <c r="P65" s="250"/>
      <c r="Q65" s="250"/>
      <c r="R65" s="250"/>
      <c r="S65" s="250"/>
      <c r="T65" s="250"/>
      <c r="U65" s="250"/>
      <c r="V65" s="250"/>
      <c r="W65" s="250"/>
      <c r="X65" s="250"/>
    </row>
    <row r="66" spans="1:24" x14ac:dyDescent="0.2">
      <c r="A66" s="40"/>
      <c r="B66" s="40"/>
      <c r="C66" s="41"/>
      <c r="D66" s="41"/>
      <c r="E66" s="41"/>
      <c r="F66" s="41"/>
      <c r="G66" s="41"/>
      <c r="H66" s="41"/>
      <c r="I66" s="41"/>
      <c r="J66" s="41"/>
      <c r="K66" s="41"/>
      <c r="L66" s="41"/>
      <c r="M66" s="41"/>
      <c r="N66" s="41"/>
      <c r="O66" s="41"/>
      <c r="P66" s="41"/>
      <c r="Q66" s="41"/>
      <c r="R66" s="41"/>
      <c r="S66" s="41"/>
      <c r="T66" s="41"/>
      <c r="U66" s="41"/>
      <c r="V66" s="41"/>
      <c r="W66" s="41"/>
      <c r="X66" s="41"/>
    </row>
    <row r="67" spans="1:24" ht="12.75" customHeight="1" x14ac:dyDescent="0.2">
      <c r="A67" s="215" t="s">
        <v>199</v>
      </c>
      <c r="B67" s="215"/>
      <c r="C67" s="216"/>
      <c r="D67" s="216"/>
      <c r="E67" s="216"/>
      <c r="F67" s="216"/>
      <c r="G67" s="216"/>
      <c r="H67" s="216"/>
      <c r="I67" s="216"/>
      <c r="J67" s="216"/>
      <c r="K67" s="216"/>
      <c r="L67" s="216"/>
      <c r="M67" s="216"/>
      <c r="N67" s="216"/>
      <c r="O67" s="216"/>
      <c r="P67" s="216"/>
      <c r="Q67" s="216"/>
      <c r="R67" s="216"/>
      <c r="S67" s="216"/>
      <c r="T67" s="216"/>
      <c r="U67" s="216"/>
      <c r="V67" s="216"/>
      <c r="W67" s="216"/>
      <c r="X67" s="216"/>
    </row>
    <row r="68" spans="1:24" x14ac:dyDescent="0.2">
      <c r="A68" s="215" t="s">
        <v>200</v>
      </c>
      <c r="B68" s="215"/>
      <c r="C68" s="216"/>
      <c r="D68" s="216"/>
      <c r="E68" s="216"/>
      <c r="F68" s="216"/>
      <c r="G68" s="216"/>
      <c r="H68" s="216"/>
      <c r="I68" s="216"/>
      <c r="J68" s="216"/>
      <c r="K68" s="216"/>
      <c r="L68" s="216"/>
      <c r="M68" s="216"/>
      <c r="N68" s="216"/>
      <c r="O68" s="216"/>
      <c r="P68" s="216"/>
      <c r="Q68" s="216"/>
      <c r="R68" s="216"/>
      <c r="S68" s="216"/>
      <c r="T68" s="216"/>
      <c r="U68" s="216"/>
      <c r="V68" s="216"/>
      <c r="W68" s="216"/>
      <c r="X68" s="216"/>
    </row>
    <row r="69" spans="1:24" ht="12.75" customHeight="1" x14ac:dyDescent="0.2">
      <c r="A69" s="215" t="s">
        <v>201</v>
      </c>
      <c r="B69" s="215"/>
      <c r="C69" s="216"/>
      <c r="D69" s="216"/>
      <c r="E69" s="216"/>
      <c r="F69" s="216"/>
      <c r="G69" s="216"/>
      <c r="H69" s="216"/>
      <c r="I69" s="216"/>
      <c r="J69" s="216"/>
      <c r="K69" s="216"/>
      <c r="L69" s="216"/>
      <c r="M69" s="216"/>
      <c r="N69" s="216"/>
      <c r="O69" s="216"/>
      <c r="P69" s="216"/>
      <c r="Q69" s="216"/>
      <c r="R69" s="216"/>
      <c r="S69" s="216"/>
      <c r="T69" s="216"/>
      <c r="U69" s="216"/>
      <c r="V69" s="216"/>
      <c r="W69" s="216"/>
      <c r="X69" s="216"/>
    </row>
    <row r="70" spans="1:24" ht="12.75" customHeight="1" x14ac:dyDescent="0.2">
      <c r="A70" s="215" t="s">
        <v>202</v>
      </c>
      <c r="B70" s="215"/>
      <c r="C70" s="216"/>
      <c r="D70" s="216"/>
      <c r="E70" s="216"/>
      <c r="F70" s="216"/>
      <c r="G70" s="216"/>
      <c r="H70" s="216"/>
      <c r="I70" s="216"/>
      <c r="J70" s="216"/>
      <c r="K70" s="216"/>
      <c r="L70" s="216"/>
      <c r="M70" s="216"/>
      <c r="N70" s="216"/>
      <c r="O70" s="216"/>
      <c r="P70" s="216"/>
      <c r="Q70" s="216"/>
      <c r="R70" s="216"/>
      <c r="S70" s="216"/>
      <c r="T70" s="216"/>
      <c r="U70" s="216"/>
      <c r="V70" s="216"/>
      <c r="W70" s="216"/>
      <c r="X70" s="216"/>
    </row>
    <row r="71" spans="1:24" ht="12.75" customHeight="1" x14ac:dyDescent="0.2">
      <c r="A71" s="215" t="s">
        <v>203</v>
      </c>
      <c r="B71" s="215"/>
      <c r="C71" s="216"/>
      <c r="D71" s="216"/>
      <c r="E71" s="216"/>
      <c r="F71" s="216"/>
      <c r="G71" s="216"/>
      <c r="H71" s="216"/>
      <c r="I71" s="216"/>
      <c r="J71" s="216"/>
      <c r="K71" s="216"/>
      <c r="L71" s="216"/>
      <c r="M71" s="216"/>
      <c r="N71" s="216"/>
      <c r="O71" s="216"/>
      <c r="P71" s="216"/>
      <c r="Q71" s="216"/>
      <c r="R71" s="216"/>
      <c r="S71" s="216"/>
      <c r="T71" s="216"/>
      <c r="U71" s="216"/>
      <c r="V71" s="216"/>
      <c r="W71" s="216"/>
      <c r="X71" s="216"/>
    </row>
    <row r="72" spans="1:24" ht="12.75" customHeight="1" x14ac:dyDescent="0.2">
      <c r="A72" s="215" t="s">
        <v>204</v>
      </c>
      <c r="B72" s="215"/>
      <c r="C72" s="216"/>
      <c r="D72" s="216"/>
      <c r="E72" s="216"/>
      <c r="F72" s="216"/>
      <c r="G72" s="216"/>
      <c r="H72" s="216"/>
      <c r="I72" s="216"/>
      <c r="J72" s="216"/>
      <c r="K72" s="216"/>
      <c r="L72" s="216"/>
      <c r="M72" s="216"/>
      <c r="N72" s="216"/>
      <c r="O72" s="216"/>
      <c r="P72" s="216"/>
      <c r="Q72" s="216"/>
      <c r="R72" s="216"/>
      <c r="S72" s="216"/>
      <c r="T72" s="216"/>
      <c r="U72" s="216"/>
      <c r="V72" s="216"/>
      <c r="W72" s="216"/>
      <c r="X72" s="216"/>
    </row>
    <row r="73" spans="1:24" x14ac:dyDescent="0.2">
      <c r="F73" s="25"/>
      <c r="G73" s="26"/>
      <c r="H73" s="27"/>
    </row>
    <row r="74" spans="1:24" ht="12.75" customHeight="1" x14ac:dyDescent="0.2">
      <c r="A74" s="249" t="s">
        <v>205</v>
      </c>
      <c r="B74" s="249"/>
      <c r="C74" s="250"/>
      <c r="D74" s="250"/>
      <c r="E74" s="250"/>
      <c r="F74" s="250"/>
      <c r="G74" s="250"/>
      <c r="H74" s="250"/>
      <c r="I74" s="250"/>
      <c r="J74" s="250"/>
      <c r="K74" s="250"/>
      <c r="L74" s="250"/>
      <c r="M74" s="250"/>
      <c r="N74" s="250"/>
      <c r="O74" s="250"/>
      <c r="P74" s="250"/>
      <c r="Q74" s="250"/>
      <c r="R74" s="250"/>
      <c r="S74" s="250"/>
      <c r="T74" s="250"/>
      <c r="U74" s="250"/>
      <c r="V74" s="250"/>
      <c r="W74" s="250"/>
      <c r="X74" s="250"/>
    </row>
    <row r="75" spans="1:24" x14ac:dyDescent="0.2">
      <c r="A75" s="40"/>
      <c r="B75" s="40"/>
      <c r="C75" s="41"/>
      <c r="D75" s="41"/>
      <c r="E75" s="41"/>
      <c r="F75" s="41"/>
      <c r="G75" s="41"/>
      <c r="H75" s="41"/>
      <c r="I75" s="41"/>
      <c r="J75" s="41"/>
      <c r="K75" s="41"/>
      <c r="L75" s="41"/>
      <c r="M75" s="41"/>
      <c r="N75" s="41"/>
      <c r="O75" s="41"/>
      <c r="P75" s="41"/>
      <c r="Q75" s="41"/>
      <c r="R75" s="41"/>
      <c r="S75" s="41"/>
      <c r="T75" s="41"/>
      <c r="U75" s="41"/>
      <c r="V75" s="41"/>
      <c r="W75" s="41"/>
      <c r="X75" s="41"/>
    </row>
    <row r="76" spans="1:24" ht="12.75" customHeight="1" x14ac:dyDescent="0.2">
      <c r="A76" s="215" t="s">
        <v>206</v>
      </c>
      <c r="B76" s="215"/>
      <c r="C76" s="216"/>
      <c r="D76" s="216"/>
      <c r="E76" s="216"/>
      <c r="F76" s="216"/>
      <c r="G76" s="216"/>
      <c r="H76" s="216"/>
      <c r="I76" s="216"/>
      <c r="J76" s="216"/>
      <c r="K76" s="216"/>
      <c r="L76" s="216"/>
      <c r="M76" s="216"/>
      <c r="N76" s="216"/>
      <c r="O76" s="216"/>
      <c r="P76" s="216"/>
      <c r="Q76" s="216"/>
      <c r="R76" s="216"/>
      <c r="S76" s="216"/>
      <c r="T76" s="216"/>
      <c r="U76" s="216"/>
      <c r="V76" s="216"/>
      <c r="W76" s="216"/>
      <c r="X76" s="216"/>
    </row>
    <row r="77" spans="1:24" ht="26.1" customHeight="1" x14ac:dyDescent="0.2">
      <c r="A77" s="226" t="s">
        <v>207</v>
      </c>
      <c r="B77" s="226"/>
      <c r="C77" s="227"/>
      <c r="D77" s="227"/>
      <c r="E77" s="227"/>
      <c r="F77" s="227"/>
      <c r="G77" s="227"/>
      <c r="H77" s="227"/>
      <c r="I77" s="227"/>
      <c r="J77" s="227"/>
      <c r="K77" s="227"/>
      <c r="L77" s="227"/>
      <c r="M77" s="227"/>
      <c r="N77" s="227"/>
      <c r="O77" s="227"/>
      <c r="P77" s="227"/>
      <c r="Q77" s="227"/>
      <c r="R77" s="227"/>
      <c r="S77" s="227"/>
      <c r="T77" s="227"/>
      <c r="U77" s="227"/>
      <c r="V77" s="227"/>
      <c r="W77" s="227"/>
      <c r="X77" s="227"/>
    </row>
    <row r="78" spans="1:24" ht="12.75" customHeight="1" x14ac:dyDescent="0.2">
      <c r="A78" s="215" t="s">
        <v>208</v>
      </c>
      <c r="B78" s="215"/>
      <c r="C78" s="216"/>
      <c r="D78" s="216"/>
      <c r="E78" s="216"/>
      <c r="F78" s="216"/>
      <c r="G78" s="216"/>
      <c r="H78" s="216"/>
      <c r="I78" s="216"/>
      <c r="J78" s="216"/>
      <c r="K78" s="216"/>
      <c r="L78" s="216"/>
      <c r="M78" s="216"/>
      <c r="N78" s="216"/>
      <c r="O78" s="216"/>
      <c r="P78" s="216"/>
      <c r="Q78" s="216"/>
      <c r="R78" s="216"/>
      <c r="S78" s="216"/>
      <c r="T78" s="216"/>
      <c r="U78" s="216"/>
      <c r="V78" s="216"/>
      <c r="W78" s="216"/>
      <c r="X78" s="216"/>
    </row>
    <row r="79" spans="1:24" ht="25.5" customHeight="1" x14ac:dyDescent="0.2">
      <c r="A79" s="215" t="s">
        <v>209</v>
      </c>
      <c r="B79" s="215"/>
      <c r="C79" s="216"/>
      <c r="D79" s="216"/>
      <c r="E79" s="216"/>
      <c r="F79" s="216"/>
      <c r="G79" s="216"/>
      <c r="H79" s="216"/>
      <c r="I79" s="216"/>
      <c r="J79" s="216"/>
      <c r="K79" s="216"/>
      <c r="L79" s="216"/>
      <c r="M79" s="216"/>
      <c r="N79" s="216"/>
      <c r="O79" s="216"/>
      <c r="P79" s="216"/>
      <c r="Q79" s="216"/>
      <c r="R79" s="216"/>
      <c r="S79" s="216"/>
      <c r="T79" s="216"/>
      <c r="U79" s="216"/>
      <c r="V79" s="216"/>
      <c r="W79" s="216"/>
      <c r="X79" s="216"/>
    </row>
    <row r="80" spans="1:24" x14ac:dyDescent="0.2">
      <c r="A80" s="226" t="s">
        <v>210</v>
      </c>
      <c r="B80" s="226"/>
      <c r="C80" s="227"/>
      <c r="D80" s="227"/>
      <c r="E80" s="227"/>
      <c r="F80" s="227"/>
      <c r="G80" s="227"/>
      <c r="H80" s="227"/>
      <c r="I80" s="227"/>
      <c r="J80" s="227"/>
      <c r="K80" s="227"/>
      <c r="L80" s="227"/>
      <c r="M80" s="227"/>
      <c r="N80" s="227"/>
      <c r="O80" s="227"/>
      <c r="P80" s="227"/>
      <c r="Q80" s="227"/>
      <c r="R80" s="227"/>
      <c r="S80" s="227"/>
      <c r="T80" s="227"/>
      <c r="U80" s="227"/>
      <c r="V80" s="227"/>
      <c r="W80" s="227"/>
      <c r="X80" s="227"/>
    </row>
    <row r="81" spans="1:24" ht="12.75" customHeight="1" x14ac:dyDescent="0.2">
      <c r="A81" s="215" t="s">
        <v>211</v>
      </c>
      <c r="B81" s="215"/>
      <c r="C81" s="216"/>
      <c r="D81" s="216"/>
      <c r="E81" s="216"/>
      <c r="F81" s="216"/>
      <c r="G81" s="216"/>
      <c r="H81" s="216"/>
      <c r="I81" s="216"/>
      <c r="J81" s="216"/>
      <c r="K81" s="216"/>
      <c r="L81" s="216"/>
      <c r="M81" s="216"/>
      <c r="N81" s="216"/>
      <c r="O81" s="216"/>
      <c r="P81" s="216"/>
      <c r="Q81" s="216"/>
      <c r="R81" s="216"/>
      <c r="S81" s="216"/>
      <c r="T81" s="216"/>
      <c r="U81" s="216"/>
      <c r="V81" s="216"/>
      <c r="W81" s="216"/>
      <c r="X81" s="216"/>
    </row>
    <row r="82" spans="1:24" ht="26.1" customHeight="1" x14ac:dyDescent="0.2">
      <c r="A82" s="215" t="s">
        <v>212</v>
      </c>
      <c r="B82" s="215"/>
      <c r="C82" s="216"/>
      <c r="D82" s="216"/>
      <c r="E82" s="216"/>
      <c r="F82" s="216"/>
      <c r="G82" s="216"/>
      <c r="H82" s="216"/>
      <c r="I82" s="216"/>
      <c r="J82" s="216"/>
      <c r="K82" s="216"/>
      <c r="L82" s="216"/>
      <c r="M82" s="216"/>
      <c r="N82" s="216"/>
      <c r="O82" s="216"/>
      <c r="P82" s="216"/>
      <c r="Q82" s="216"/>
      <c r="R82" s="216"/>
      <c r="S82" s="216"/>
      <c r="T82" s="216"/>
      <c r="U82" s="216"/>
      <c r="V82" s="216"/>
      <c r="W82" s="216"/>
      <c r="X82" s="216"/>
    </row>
    <row r="83" spans="1:24" ht="26.1" customHeight="1" x14ac:dyDescent="0.2">
      <c r="A83" s="215" t="s">
        <v>213</v>
      </c>
      <c r="B83" s="215"/>
      <c r="C83" s="216"/>
      <c r="D83" s="216"/>
      <c r="E83" s="216"/>
      <c r="F83" s="216"/>
      <c r="G83" s="216"/>
      <c r="H83" s="216"/>
      <c r="I83" s="216"/>
      <c r="J83" s="216"/>
      <c r="K83" s="216"/>
      <c r="L83" s="216"/>
      <c r="M83" s="216"/>
      <c r="N83" s="216"/>
      <c r="O83" s="216"/>
      <c r="P83" s="216"/>
      <c r="Q83" s="216"/>
      <c r="R83" s="216"/>
      <c r="S83" s="216"/>
      <c r="T83" s="216"/>
      <c r="U83" s="216"/>
      <c r="V83" s="216"/>
      <c r="W83" s="216"/>
      <c r="X83" s="216"/>
    </row>
    <row r="84" spans="1:24" ht="12.75" customHeight="1" x14ac:dyDescent="0.2">
      <c r="A84" s="215" t="s">
        <v>214</v>
      </c>
      <c r="B84" s="215"/>
      <c r="C84" s="216"/>
      <c r="D84" s="216"/>
      <c r="E84" s="216"/>
      <c r="F84" s="216"/>
      <c r="G84" s="216"/>
      <c r="H84" s="216"/>
      <c r="I84" s="216"/>
      <c r="J84" s="216"/>
      <c r="K84" s="216"/>
      <c r="L84" s="216"/>
      <c r="M84" s="216"/>
      <c r="N84" s="216"/>
      <c r="O84" s="216"/>
      <c r="P84" s="216"/>
      <c r="Q84" s="216"/>
      <c r="R84" s="216"/>
      <c r="S84" s="216"/>
      <c r="T84" s="216"/>
      <c r="U84" s="216"/>
      <c r="V84" s="216"/>
      <c r="W84" s="216"/>
      <c r="X84" s="216"/>
    </row>
    <row r="85" spans="1:24" x14ac:dyDescent="0.2">
      <c r="A85" s="215" t="s">
        <v>215</v>
      </c>
      <c r="B85" s="215"/>
      <c r="C85" s="216"/>
      <c r="D85" s="216"/>
      <c r="E85" s="216"/>
      <c r="F85" s="216"/>
      <c r="G85" s="216"/>
      <c r="H85" s="216"/>
      <c r="I85" s="216"/>
      <c r="J85" s="216"/>
      <c r="K85" s="216"/>
      <c r="L85" s="216"/>
      <c r="M85" s="216"/>
      <c r="N85" s="216"/>
      <c r="O85" s="216"/>
      <c r="P85" s="216"/>
      <c r="Q85" s="216"/>
      <c r="R85" s="216"/>
      <c r="S85" s="216"/>
      <c r="T85" s="216"/>
      <c r="U85" s="216"/>
      <c r="V85" s="216"/>
      <c r="W85" s="216"/>
      <c r="X85" s="216"/>
    </row>
    <row r="86" spans="1:24" ht="12.75" customHeight="1" x14ac:dyDescent="0.2">
      <c r="A86" s="226" t="s">
        <v>216</v>
      </c>
      <c r="B86" s="226"/>
      <c r="C86" s="227"/>
      <c r="D86" s="227"/>
      <c r="E86" s="227"/>
      <c r="F86" s="227"/>
      <c r="G86" s="227"/>
      <c r="H86" s="227"/>
      <c r="I86" s="227"/>
      <c r="J86" s="227"/>
      <c r="K86" s="227"/>
      <c r="L86" s="227"/>
      <c r="M86" s="227"/>
      <c r="N86" s="227"/>
      <c r="O86" s="227"/>
      <c r="P86" s="227"/>
      <c r="Q86" s="227"/>
      <c r="R86" s="227"/>
      <c r="S86" s="227"/>
      <c r="T86" s="227"/>
      <c r="U86" s="227"/>
      <c r="V86" s="227"/>
      <c r="W86" s="227"/>
      <c r="X86" s="227"/>
    </row>
    <row r="87" spans="1:24" x14ac:dyDescent="0.2">
      <c r="A87" s="215" t="s">
        <v>217</v>
      </c>
      <c r="B87" s="215"/>
      <c r="C87" s="216"/>
      <c r="D87" s="216"/>
      <c r="E87" s="216"/>
      <c r="F87" s="216"/>
      <c r="G87" s="216"/>
      <c r="H87" s="216"/>
      <c r="I87" s="216"/>
      <c r="J87" s="216"/>
      <c r="K87" s="216"/>
      <c r="L87" s="216"/>
      <c r="M87" s="216"/>
      <c r="N87" s="216"/>
      <c r="O87" s="216"/>
      <c r="P87" s="216"/>
      <c r="Q87" s="216"/>
      <c r="R87" s="216"/>
      <c r="S87" s="216"/>
      <c r="T87" s="216"/>
      <c r="U87" s="216"/>
      <c r="V87" s="216"/>
      <c r="W87" s="216"/>
      <c r="X87" s="216"/>
    </row>
    <row r="88" spans="1:24" x14ac:dyDescent="0.2">
      <c r="A88" s="215" t="s">
        <v>218</v>
      </c>
      <c r="B88" s="215"/>
      <c r="C88" s="216"/>
      <c r="D88" s="216"/>
      <c r="E88" s="216"/>
      <c r="F88" s="216"/>
      <c r="G88" s="216"/>
      <c r="H88" s="216"/>
      <c r="I88" s="216"/>
      <c r="J88" s="216"/>
      <c r="K88" s="216"/>
      <c r="L88" s="216"/>
      <c r="M88" s="216"/>
      <c r="N88" s="216"/>
      <c r="O88" s="216"/>
      <c r="P88" s="216"/>
      <c r="Q88" s="216"/>
      <c r="R88" s="216"/>
      <c r="S88" s="216"/>
      <c r="T88" s="216"/>
      <c r="U88" s="216"/>
      <c r="V88" s="216"/>
      <c r="W88" s="216"/>
      <c r="X88" s="216"/>
    </row>
    <row r="90" spans="1:24" x14ac:dyDescent="0.2">
      <c r="A90" s="249" t="s">
        <v>219</v>
      </c>
      <c r="B90" s="249"/>
      <c r="C90" s="250"/>
      <c r="D90" s="250"/>
      <c r="E90" s="250"/>
      <c r="F90" s="250"/>
      <c r="G90" s="250"/>
      <c r="H90" s="250"/>
      <c r="I90" s="250"/>
      <c r="J90" s="250"/>
      <c r="K90" s="250"/>
      <c r="L90" s="250"/>
      <c r="M90" s="250"/>
      <c r="N90" s="250"/>
      <c r="O90" s="250"/>
      <c r="P90" s="250"/>
      <c r="Q90" s="250"/>
      <c r="R90" s="250"/>
      <c r="S90" s="250"/>
      <c r="T90" s="250"/>
      <c r="U90" s="250"/>
      <c r="V90" s="250"/>
      <c r="W90" s="250"/>
      <c r="X90" s="250"/>
    </row>
    <row r="91" spans="1:24" x14ac:dyDescent="0.2">
      <c r="A91" s="40"/>
      <c r="B91" s="40"/>
      <c r="C91" s="41"/>
      <c r="D91" s="41"/>
      <c r="E91" s="41"/>
      <c r="F91" s="41"/>
      <c r="G91" s="41"/>
      <c r="H91" s="41"/>
      <c r="I91" s="41"/>
      <c r="J91" s="41"/>
      <c r="K91" s="41"/>
      <c r="L91" s="41"/>
      <c r="M91" s="41"/>
      <c r="N91" s="41"/>
      <c r="O91" s="41"/>
      <c r="P91" s="41"/>
      <c r="Q91" s="41"/>
      <c r="R91" s="41"/>
      <c r="S91" s="41"/>
      <c r="T91" s="41"/>
      <c r="U91" s="41"/>
      <c r="V91" s="41"/>
      <c r="W91" s="41"/>
      <c r="X91" s="41"/>
    </row>
    <row r="92" spans="1:24" x14ac:dyDescent="0.2">
      <c r="A92" s="215" t="s">
        <v>220</v>
      </c>
      <c r="B92" s="215"/>
      <c r="C92" s="216"/>
      <c r="D92" s="216"/>
      <c r="E92" s="216"/>
      <c r="F92" s="216"/>
      <c r="G92" s="216"/>
      <c r="H92" s="216"/>
      <c r="I92" s="216"/>
      <c r="J92" s="216"/>
      <c r="K92" s="216"/>
      <c r="L92" s="216"/>
      <c r="M92" s="216"/>
      <c r="N92" s="216"/>
      <c r="O92" s="216"/>
      <c r="P92" s="216"/>
      <c r="Q92" s="216"/>
      <c r="R92" s="216"/>
      <c r="S92" s="216"/>
      <c r="T92" s="216"/>
      <c r="U92" s="216"/>
      <c r="V92" s="216"/>
      <c r="W92" s="216"/>
      <c r="X92" s="216"/>
    </row>
    <row r="93" spans="1:24" ht="12.75" customHeight="1" x14ac:dyDescent="0.2">
      <c r="A93" s="226" t="s">
        <v>221</v>
      </c>
      <c r="B93" s="226"/>
      <c r="C93" s="227"/>
      <c r="D93" s="227"/>
      <c r="E93" s="227"/>
      <c r="F93" s="227"/>
      <c r="G93" s="227"/>
      <c r="H93" s="227"/>
      <c r="I93" s="227"/>
      <c r="J93" s="227"/>
      <c r="K93" s="227"/>
      <c r="L93" s="227"/>
      <c r="M93" s="227"/>
      <c r="N93" s="227"/>
      <c r="O93" s="227"/>
      <c r="P93" s="227"/>
      <c r="Q93" s="227"/>
      <c r="R93" s="227"/>
      <c r="S93" s="227"/>
      <c r="T93" s="227"/>
      <c r="U93" s="227"/>
      <c r="V93" s="227"/>
      <c r="W93" s="227"/>
      <c r="X93" s="227"/>
    </row>
    <row r="94" spans="1:24" ht="12.75" customHeight="1" x14ac:dyDescent="0.2">
      <c r="A94" s="215" t="s">
        <v>222</v>
      </c>
      <c r="B94" s="215"/>
      <c r="C94" s="216"/>
      <c r="D94" s="216"/>
      <c r="E94" s="216"/>
      <c r="F94" s="216"/>
      <c r="G94" s="216"/>
      <c r="H94" s="216"/>
      <c r="I94" s="216"/>
      <c r="J94" s="216"/>
      <c r="K94" s="216"/>
      <c r="L94" s="216"/>
      <c r="M94" s="216"/>
      <c r="N94" s="216"/>
      <c r="O94" s="216"/>
      <c r="P94" s="216"/>
      <c r="Q94" s="216"/>
      <c r="R94" s="216"/>
      <c r="S94" s="216"/>
      <c r="T94" s="216"/>
      <c r="U94" s="216"/>
      <c r="V94" s="216"/>
      <c r="W94" s="216"/>
      <c r="X94" s="216"/>
    </row>
    <row r="95" spans="1:24" x14ac:dyDescent="0.2">
      <c r="A95" s="215" t="s">
        <v>223</v>
      </c>
      <c r="B95" s="215"/>
      <c r="C95" s="216"/>
      <c r="D95" s="216"/>
      <c r="E95" s="216"/>
      <c r="F95" s="216"/>
      <c r="G95" s="216"/>
      <c r="H95" s="216"/>
      <c r="I95" s="216"/>
      <c r="J95" s="216"/>
      <c r="K95" s="216"/>
      <c r="L95" s="216"/>
      <c r="M95" s="216"/>
      <c r="N95" s="216"/>
      <c r="O95" s="216"/>
      <c r="P95" s="216"/>
      <c r="Q95" s="216"/>
      <c r="R95" s="216"/>
      <c r="S95" s="216"/>
      <c r="T95" s="216"/>
      <c r="U95" s="216"/>
      <c r="V95" s="216"/>
      <c r="W95" s="216"/>
      <c r="X95" s="216"/>
    </row>
    <row r="96" spans="1:24" ht="12.75" customHeight="1" x14ac:dyDescent="0.2">
      <c r="A96" s="226"/>
      <c r="B96" s="226"/>
      <c r="C96" s="227"/>
      <c r="D96" s="227"/>
      <c r="E96" s="227"/>
      <c r="F96" s="227"/>
      <c r="G96" s="227"/>
      <c r="H96" s="227"/>
      <c r="I96" s="227"/>
      <c r="J96" s="227"/>
      <c r="K96" s="227"/>
      <c r="L96" s="227"/>
      <c r="M96" s="227"/>
      <c r="N96" s="227"/>
      <c r="O96" s="227"/>
      <c r="P96" s="227"/>
      <c r="Q96" s="227"/>
      <c r="R96" s="227"/>
      <c r="S96" s="227"/>
      <c r="T96" s="227"/>
      <c r="U96" s="227"/>
      <c r="V96" s="227"/>
      <c r="W96" s="227"/>
      <c r="X96" s="227"/>
    </row>
    <row r="97" spans="1:24" x14ac:dyDescent="0.2">
      <c r="A97" s="249" t="s">
        <v>224</v>
      </c>
      <c r="B97" s="249"/>
      <c r="C97" s="250"/>
      <c r="D97" s="250"/>
      <c r="E97" s="250"/>
      <c r="F97" s="250"/>
      <c r="G97" s="250"/>
      <c r="H97" s="250"/>
      <c r="I97" s="250"/>
      <c r="J97" s="250"/>
      <c r="K97" s="250"/>
      <c r="L97" s="250"/>
      <c r="M97" s="250"/>
      <c r="N97" s="250"/>
      <c r="O97" s="250"/>
      <c r="P97" s="250"/>
      <c r="Q97" s="250"/>
      <c r="R97" s="250"/>
      <c r="S97" s="250"/>
      <c r="T97" s="250"/>
      <c r="U97" s="250"/>
      <c r="V97" s="250"/>
      <c r="W97" s="250"/>
      <c r="X97" s="250"/>
    </row>
    <row r="98" spans="1:24" ht="12.75" customHeight="1" x14ac:dyDescent="0.2">
      <c r="A98" s="226"/>
      <c r="B98" s="226"/>
      <c r="C98" s="227"/>
      <c r="D98" s="227"/>
      <c r="E98" s="227"/>
      <c r="F98" s="227"/>
      <c r="G98" s="227"/>
      <c r="H98" s="227"/>
      <c r="I98" s="227"/>
      <c r="J98" s="227"/>
      <c r="K98" s="227"/>
      <c r="L98" s="227"/>
      <c r="M98" s="227"/>
      <c r="N98" s="227"/>
      <c r="O98" s="227"/>
      <c r="P98" s="227"/>
      <c r="Q98" s="227"/>
      <c r="R98" s="227"/>
      <c r="S98" s="227"/>
      <c r="T98" s="227"/>
      <c r="U98" s="227"/>
      <c r="V98" s="227"/>
      <c r="W98" s="227"/>
      <c r="X98" s="227"/>
    </row>
    <row r="99" spans="1:24" ht="12.75" customHeight="1" x14ac:dyDescent="0.2">
      <c r="A99" s="215" t="s">
        <v>225</v>
      </c>
      <c r="B99" s="215"/>
      <c r="C99" s="216"/>
      <c r="D99" s="216"/>
      <c r="E99" s="216"/>
      <c r="F99" s="216"/>
      <c r="G99" s="216"/>
      <c r="H99" s="216"/>
      <c r="I99" s="216"/>
      <c r="J99" s="216"/>
      <c r="K99" s="216"/>
      <c r="L99" s="216"/>
      <c r="M99" s="216"/>
      <c r="N99" s="216"/>
      <c r="O99" s="216"/>
      <c r="P99" s="216"/>
      <c r="Q99" s="216"/>
      <c r="R99" s="216"/>
      <c r="S99" s="216"/>
      <c r="T99" s="216"/>
      <c r="U99" s="216"/>
      <c r="V99" s="216"/>
      <c r="W99" s="216"/>
      <c r="X99" s="216"/>
    </row>
    <row r="100" spans="1:24" ht="12.75" customHeight="1" x14ac:dyDescent="0.2">
      <c r="A100" s="215" t="s">
        <v>226</v>
      </c>
      <c r="B100" s="215"/>
      <c r="C100" s="216"/>
      <c r="D100" s="216"/>
      <c r="E100" s="216"/>
      <c r="F100" s="216"/>
      <c r="G100" s="216"/>
      <c r="H100" s="216"/>
      <c r="I100" s="216"/>
      <c r="J100" s="216"/>
      <c r="K100" s="216"/>
      <c r="L100" s="216"/>
      <c r="M100" s="216"/>
      <c r="N100" s="216"/>
      <c r="O100" s="216"/>
      <c r="P100" s="216"/>
      <c r="Q100" s="216"/>
      <c r="R100" s="216"/>
      <c r="S100" s="216"/>
      <c r="T100" s="216"/>
      <c r="U100" s="216"/>
      <c r="V100" s="216"/>
      <c r="W100" s="216"/>
      <c r="X100" s="216"/>
    </row>
    <row r="101" spans="1:24" x14ac:dyDescent="0.2">
      <c r="A101" s="215" t="s">
        <v>227</v>
      </c>
      <c r="B101" s="215"/>
      <c r="C101" s="216"/>
      <c r="D101" s="216"/>
      <c r="E101" s="216"/>
      <c r="F101" s="216"/>
      <c r="G101" s="216"/>
      <c r="H101" s="216"/>
      <c r="I101" s="216"/>
      <c r="J101" s="216"/>
      <c r="K101" s="216"/>
      <c r="L101" s="216"/>
      <c r="M101" s="216"/>
      <c r="N101" s="216"/>
      <c r="O101" s="216"/>
      <c r="P101" s="216"/>
      <c r="Q101" s="216"/>
      <c r="R101" s="216"/>
      <c r="S101" s="216"/>
      <c r="T101" s="216"/>
      <c r="U101" s="216"/>
      <c r="V101" s="216"/>
      <c r="W101" s="216"/>
      <c r="X101" s="216"/>
    </row>
    <row r="102" spans="1:24" ht="12.75" customHeight="1" x14ac:dyDescent="0.2">
      <c r="A102" s="18"/>
      <c r="B102" s="18"/>
      <c r="C102" s="24"/>
      <c r="D102" s="24"/>
      <c r="E102" s="24"/>
      <c r="F102" s="24"/>
      <c r="G102" s="24"/>
      <c r="H102" s="24"/>
      <c r="I102" s="24"/>
      <c r="J102" s="24"/>
      <c r="K102" s="24"/>
      <c r="L102" s="24"/>
      <c r="M102" s="24"/>
      <c r="N102" s="24"/>
      <c r="O102" s="24"/>
      <c r="P102" s="24"/>
      <c r="Q102" s="24"/>
      <c r="R102" s="24"/>
      <c r="S102" s="24"/>
      <c r="T102" s="24"/>
      <c r="U102" s="24"/>
      <c r="V102" s="24"/>
      <c r="W102" s="24"/>
      <c r="X102" s="24"/>
    </row>
    <row r="103" spans="1:24" ht="12.75" customHeight="1" x14ac:dyDescent="0.2">
      <c r="A103" s="18"/>
      <c r="B103" s="18"/>
      <c r="C103" s="24"/>
      <c r="D103" s="24"/>
      <c r="E103" s="24"/>
      <c r="F103" s="24"/>
      <c r="G103" s="24"/>
      <c r="H103" s="24"/>
      <c r="I103" s="24"/>
      <c r="J103" s="24"/>
      <c r="K103" s="24"/>
      <c r="L103" s="24"/>
      <c r="M103" s="24"/>
      <c r="N103" s="24"/>
      <c r="O103" s="24"/>
      <c r="P103" s="24"/>
      <c r="Q103" s="24"/>
      <c r="R103" s="24"/>
      <c r="S103" s="24"/>
      <c r="T103" s="24"/>
      <c r="U103" s="24"/>
      <c r="V103" s="24"/>
      <c r="W103" s="24"/>
      <c r="X103" s="24"/>
    </row>
    <row r="104" spans="1:24" ht="12.75" customHeight="1" x14ac:dyDescent="0.2">
      <c r="A104" s="18"/>
      <c r="B104" s="18"/>
      <c r="C104" s="24"/>
      <c r="D104" s="24"/>
      <c r="E104" s="24"/>
      <c r="F104" s="24"/>
      <c r="G104" s="24"/>
      <c r="H104" s="24"/>
      <c r="I104" s="24"/>
      <c r="J104" s="24"/>
      <c r="K104" s="24"/>
      <c r="L104" s="24"/>
      <c r="M104" s="24"/>
      <c r="N104" s="24"/>
      <c r="O104" s="24"/>
      <c r="P104" s="24"/>
      <c r="Q104" s="24"/>
      <c r="R104" s="24"/>
      <c r="S104" s="24"/>
      <c r="T104" s="24"/>
      <c r="U104" s="24"/>
      <c r="V104" s="24"/>
      <c r="W104" s="24"/>
      <c r="X104" s="24"/>
    </row>
    <row r="105" spans="1:24" ht="12.75" customHeight="1" x14ac:dyDescent="0.2">
      <c r="A105" s="18"/>
      <c r="B105" s="18"/>
      <c r="C105" s="24"/>
      <c r="D105" s="24"/>
      <c r="E105" s="24"/>
      <c r="F105" s="24"/>
      <c r="G105" s="24"/>
      <c r="H105" s="24"/>
      <c r="I105" s="24"/>
      <c r="J105" s="24"/>
      <c r="K105" s="24"/>
      <c r="L105" s="24"/>
      <c r="M105" s="24"/>
      <c r="N105" s="24"/>
      <c r="O105" s="24"/>
      <c r="P105" s="24"/>
      <c r="Q105" s="24"/>
      <c r="R105" s="24"/>
      <c r="S105" s="24"/>
      <c r="T105" s="24"/>
      <c r="U105" s="24"/>
      <c r="V105" s="24"/>
      <c r="W105" s="24"/>
      <c r="X105" s="24"/>
    </row>
    <row r="106" spans="1:24" ht="12.75" customHeight="1" x14ac:dyDescent="0.2"/>
    <row r="107" spans="1:24" x14ac:dyDescent="0.2">
      <c r="A107"/>
      <c r="F107"/>
      <c r="H107" s="10"/>
      <c r="L107" s="1" t="s">
        <v>131</v>
      </c>
      <c r="O107" s="1"/>
      <c r="P107" s="10"/>
      <c r="Q107" s="1"/>
    </row>
    <row r="108" spans="1:24" ht="12.75" customHeight="1" x14ac:dyDescent="0.2">
      <c r="A108"/>
      <c r="F108"/>
      <c r="G108" s="23"/>
      <c r="H108" s="23"/>
      <c r="L108" s="1" t="s">
        <v>132</v>
      </c>
      <c r="P108" s="23"/>
      <c r="S108" s="176">
        <f ca="1">T38</f>
        <v>0.2109</v>
      </c>
    </row>
    <row r="109" spans="1:24" x14ac:dyDescent="0.2">
      <c r="A109"/>
      <c r="F109"/>
      <c r="G109" s="23"/>
      <c r="H109" s="23"/>
      <c r="L109" s="1" t="s">
        <v>133</v>
      </c>
      <c r="P109" s="23"/>
      <c r="S109" s="176" t="str">
        <f ca="1">U38</f>
        <v/>
      </c>
    </row>
    <row r="110" spans="1:24" ht="12.75" customHeight="1" x14ac:dyDescent="0.2">
      <c r="A110"/>
      <c r="F110"/>
      <c r="G110" s="23"/>
      <c r="H110" s="23"/>
      <c r="L110" s="1" t="s">
        <v>134</v>
      </c>
      <c r="P110" s="23"/>
      <c r="S110" s="176" t="str">
        <f ca="1">V38</f>
        <v/>
      </c>
    </row>
    <row r="111" spans="1:24" x14ac:dyDescent="0.2">
      <c r="A111"/>
      <c r="F111"/>
      <c r="G111" s="23"/>
      <c r="H111" s="23"/>
      <c r="L111" s="1" t="s">
        <v>135</v>
      </c>
      <c r="P111" s="23"/>
      <c r="S111" s="176" t="str">
        <f ca="1">W38</f>
        <v/>
      </c>
    </row>
    <row r="112" spans="1:24" ht="12.75" customHeight="1" x14ac:dyDescent="0.2">
      <c r="A112"/>
      <c r="F112"/>
      <c r="G112" s="23"/>
      <c r="H112" s="23"/>
      <c r="L112" s="1" t="s">
        <v>136</v>
      </c>
      <c r="P112" s="23"/>
      <c r="S112" s="176" t="str">
        <f ca="1">X38</f>
        <v/>
      </c>
    </row>
    <row r="113" spans="1:16" x14ac:dyDescent="0.2">
      <c r="A113"/>
      <c r="H113" s="10"/>
      <c r="L113" s="1" t="s">
        <v>66</v>
      </c>
    </row>
    <row r="114" spans="1:16" ht="12.75" customHeight="1" x14ac:dyDescent="0.2">
      <c r="A114"/>
      <c r="H114" s="10"/>
      <c r="L114" s="1" t="s">
        <v>67</v>
      </c>
    </row>
    <row r="115" spans="1:16" x14ac:dyDescent="0.2">
      <c r="A115"/>
      <c r="H115" s="10"/>
      <c r="L115" s="1" t="s">
        <v>68</v>
      </c>
      <c r="P115" t="s">
        <v>112</v>
      </c>
    </row>
    <row r="116" spans="1:16" x14ac:dyDescent="0.2">
      <c r="A116"/>
      <c r="H116" s="10"/>
      <c r="L116" s="1" t="s">
        <v>69</v>
      </c>
      <c r="P116" t="s">
        <v>113</v>
      </c>
    </row>
    <row r="117" spans="1:16" x14ac:dyDescent="0.2">
      <c r="A117"/>
      <c r="L117" s="1" t="s">
        <v>70</v>
      </c>
      <c r="P117" t="s">
        <v>114</v>
      </c>
    </row>
    <row r="118" spans="1:16" x14ac:dyDescent="0.2">
      <c r="A118"/>
      <c r="L118" s="1" t="s">
        <v>71</v>
      </c>
      <c r="P118" t="s">
        <v>94</v>
      </c>
    </row>
    <row r="119" spans="1:16" x14ac:dyDescent="0.2">
      <c r="A119"/>
      <c r="L119" s="1" t="s">
        <v>72</v>
      </c>
      <c r="P119" t="s">
        <v>95</v>
      </c>
    </row>
    <row r="120" spans="1:16" x14ac:dyDescent="0.2">
      <c r="A120"/>
      <c r="L120" s="1" t="s">
        <v>73</v>
      </c>
      <c r="P120" t="s">
        <v>96</v>
      </c>
    </row>
    <row r="121" spans="1:16" x14ac:dyDescent="0.2">
      <c r="A121"/>
      <c r="L121" s="1" t="s">
        <v>74</v>
      </c>
    </row>
    <row r="122" spans="1:16" x14ac:dyDescent="0.2">
      <c r="A122"/>
      <c r="L122" s="1" t="s">
        <v>75</v>
      </c>
      <c r="P122" t="s">
        <v>97</v>
      </c>
    </row>
    <row r="123" spans="1:16" x14ac:dyDescent="0.2">
      <c r="A123"/>
      <c r="L123" s="1" t="s">
        <v>76</v>
      </c>
      <c r="P123" t="s">
        <v>98</v>
      </c>
    </row>
    <row r="124" spans="1:16" x14ac:dyDescent="0.2">
      <c r="A124"/>
      <c r="L124" s="1" t="s">
        <v>77</v>
      </c>
    </row>
    <row r="125" spans="1:16" x14ac:dyDescent="0.2">
      <c r="A125"/>
      <c r="L125" s="1" t="s">
        <v>78</v>
      </c>
    </row>
    <row r="126" spans="1:16" x14ac:dyDescent="0.2">
      <c r="A126"/>
      <c r="L126" s="1" t="s">
        <v>79</v>
      </c>
    </row>
    <row r="127" spans="1:16" x14ac:dyDescent="0.2">
      <c r="A127"/>
      <c r="L127" s="1" t="s">
        <v>80</v>
      </c>
    </row>
    <row r="128" spans="1:16" x14ac:dyDescent="0.2">
      <c r="A128"/>
      <c r="L128" s="1" t="s">
        <v>81</v>
      </c>
    </row>
    <row r="129" spans="1:12" x14ac:dyDescent="0.2">
      <c r="A129"/>
      <c r="L129" s="1" t="s">
        <v>82</v>
      </c>
    </row>
    <row r="130" spans="1:12" x14ac:dyDescent="0.2">
      <c r="A130"/>
      <c r="L130" s="1" t="s">
        <v>83</v>
      </c>
    </row>
    <row r="131" spans="1:12" x14ac:dyDescent="0.2">
      <c r="A131"/>
      <c r="L131" s="1" t="s">
        <v>84</v>
      </c>
    </row>
    <row r="132" spans="1:12" x14ac:dyDescent="0.2">
      <c r="A132"/>
      <c r="L132" s="1" t="s">
        <v>65</v>
      </c>
    </row>
    <row r="133" spans="1:12" x14ac:dyDescent="0.2">
      <c r="A133"/>
      <c r="L133" s="1" t="s">
        <v>85</v>
      </c>
    </row>
    <row r="134" spans="1:12" x14ac:dyDescent="0.2">
      <c r="A134"/>
      <c r="L134" s="1" t="s">
        <v>86</v>
      </c>
    </row>
    <row r="135" spans="1:12" x14ac:dyDescent="0.2">
      <c r="A135"/>
    </row>
    <row r="136" spans="1:12" x14ac:dyDescent="0.2">
      <c r="A136"/>
    </row>
    <row r="137" spans="1:12" x14ac:dyDescent="0.2">
      <c r="A137"/>
    </row>
    <row r="138" spans="1:12" x14ac:dyDescent="0.2">
      <c r="A138"/>
    </row>
    <row r="139" spans="1:12" x14ac:dyDescent="0.2">
      <c r="A139"/>
    </row>
    <row r="140" spans="1:12" x14ac:dyDescent="0.2">
      <c r="A140"/>
    </row>
    <row r="141" spans="1:12" x14ac:dyDescent="0.2">
      <c r="A141"/>
    </row>
    <row r="142" spans="1:12" x14ac:dyDescent="0.2">
      <c r="A142"/>
    </row>
    <row r="143" spans="1:12" x14ac:dyDescent="0.2">
      <c r="A143"/>
    </row>
    <row r="144" spans="1:12" x14ac:dyDescent="0.2">
      <c r="A144"/>
    </row>
    <row r="145" spans="1:1" x14ac:dyDescent="0.2">
      <c r="A145"/>
    </row>
    <row r="146" spans="1:1" x14ac:dyDescent="0.2">
      <c r="A146"/>
    </row>
    <row r="147" spans="1:1" x14ac:dyDescent="0.2">
      <c r="A147"/>
    </row>
    <row r="148" spans="1:1" x14ac:dyDescent="0.2">
      <c r="A148"/>
    </row>
    <row r="149" spans="1:1" x14ac:dyDescent="0.2">
      <c r="A149"/>
    </row>
    <row r="150" spans="1:1" x14ac:dyDescent="0.2">
      <c r="A150"/>
    </row>
    <row r="151" spans="1:1" x14ac:dyDescent="0.2">
      <c r="A151"/>
    </row>
    <row r="152" spans="1:1" x14ac:dyDescent="0.2">
      <c r="A152"/>
    </row>
    <row r="153" spans="1:1" x14ac:dyDescent="0.2">
      <c r="A153"/>
    </row>
    <row r="154" spans="1:1" x14ac:dyDescent="0.2">
      <c r="A154"/>
    </row>
    <row r="155" spans="1:1" x14ac:dyDescent="0.2">
      <c r="A155"/>
    </row>
    <row r="156" spans="1:1" x14ac:dyDescent="0.2">
      <c r="A156"/>
    </row>
    <row r="157" spans="1:1" x14ac:dyDescent="0.2">
      <c r="A157"/>
    </row>
    <row r="158" spans="1:1" x14ac:dyDescent="0.2">
      <c r="A158"/>
    </row>
    <row r="159" spans="1:1" x14ac:dyDescent="0.2">
      <c r="A159"/>
    </row>
    <row r="160" spans="1:1" x14ac:dyDescent="0.2">
      <c r="A160"/>
    </row>
    <row r="161" spans="1:1" x14ac:dyDescent="0.2">
      <c r="A161"/>
    </row>
    <row r="162" spans="1:1" x14ac:dyDescent="0.2">
      <c r="A162"/>
    </row>
    <row r="163" spans="1:1" x14ac:dyDescent="0.2">
      <c r="A163"/>
    </row>
    <row r="164" spans="1:1" x14ac:dyDescent="0.2">
      <c r="A164"/>
    </row>
    <row r="165" spans="1:1" x14ac:dyDescent="0.2">
      <c r="A165"/>
    </row>
    <row r="166" spans="1:1" x14ac:dyDescent="0.2">
      <c r="A166"/>
    </row>
    <row r="167" spans="1:1" x14ac:dyDescent="0.2">
      <c r="A167"/>
    </row>
    <row r="168" spans="1:1" x14ac:dyDescent="0.2">
      <c r="A168"/>
    </row>
    <row r="169" spans="1:1" x14ac:dyDescent="0.2">
      <c r="A169"/>
    </row>
    <row r="170" spans="1:1" x14ac:dyDescent="0.2">
      <c r="A170"/>
    </row>
    <row r="171" spans="1:1" x14ac:dyDescent="0.2">
      <c r="A171"/>
    </row>
    <row r="172" spans="1:1" x14ac:dyDescent="0.2">
      <c r="A172"/>
    </row>
    <row r="173" spans="1:1" x14ac:dyDescent="0.2">
      <c r="A173"/>
    </row>
    <row r="174" spans="1:1" x14ac:dyDescent="0.2">
      <c r="A174"/>
    </row>
    <row r="175" spans="1:1" x14ac:dyDescent="0.2">
      <c r="A175"/>
    </row>
    <row r="176" spans="1:1" x14ac:dyDescent="0.2">
      <c r="A176"/>
    </row>
    <row r="177" spans="1:1" x14ac:dyDescent="0.2">
      <c r="A177"/>
    </row>
    <row r="178" spans="1:1" x14ac:dyDescent="0.2">
      <c r="A178"/>
    </row>
    <row r="179" spans="1:1" x14ac:dyDescent="0.2">
      <c r="A179"/>
    </row>
    <row r="180" spans="1:1" x14ac:dyDescent="0.2">
      <c r="A180"/>
    </row>
    <row r="219" spans="1:24" ht="12.75" customHeight="1" x14ac:dyDescent="0.2"/>
    <row r="220" spans="1:24" ht="12.75" customHeight="1" x14ac:dyDescent="0.2">
      <c r="A220" s="204" t="str">
        <f>A28</f>
        <v>Nº OPERAÇÃO</v>
      </c>
      <c r="B220" s="206"/>
      <c r="C220" s="204" t="str">
        <f>C28</f>
        <v>GESTOR</v>
      </c>
      <c r="D220" s="205"/>
      <c r="E220" s="206"/>
      <c r="F220" s="204" t="str">
        <f>F28</f>
        <v>PROGRAMA</v>
      </c>
      <c r="G220" s="205"/>
      <c r="H220" s="205"/>
      <c r="I220" s="206"/>
      <c r="J220" s="204" t="str">
        <f>J28</f>
        <v>AÇÃO / MODALIDADE</v>
      </c>
      <c r="K220" s="205"/>
      <c r="L220" s="205"/>
      <c r="M220" s="205"/>
      <c r="N220" s="205"/>
      <c r="O220" s="206"/>
      <c r="P220" s="204" t="str">
        <f>P28</f>
        <v>OBJETO</v>
      </c>
      <c r="Q220" s="205"/>
      <c r="R220" s="205"/>
      <c r="S220" s="205"/>
      <c r="T220" s="205"/>
      <c r="U220" s="205"/>
      <c r="V220" s="205"/>
      <c r="W220" s="205"/>
      <c r="X220" s="206"/>
    </row>
    <row r="221" spans="1:24" ht="12.75" customHeight="1" x14ac:dyDescent="0.2">
      <c r="A221" s="201" t="str">
        <f>IF(A29="","",A29)</f>
        <v/>
      </c>
      <c r="B221" s="203"/>
      <c r="C221" s="201" t="str">
        <f>IF(C29="","",C29)</f>
        <v/>
      </c>
      <c r="D221" s="202"/>
      <c r="E221" s="203"/>
      <c r="F221" s="201" t="str">
        <f>IF(F29="","",F29)</f>
        <v/>
      </c>
      <c r="G221" s="202"/>
      <c r="H221" s="202"/>
      <c r="I221" s="203"/>
      <c r="J221" s="201" t="str">
        <f>IF(J29="","",J29)</f>
        <v>OTIMIZAÇÃO DA SAÚDE PÚBLICA</v>
      </c>
      <c r="K221" s="202"/>
      <c r="L221" s="202" t="e">
        <f>IF(#REF!="","",#REF!)</f>
        <v>#REF!</v>
      </c>
      <c r="M221" s="202"/>
      <c r="N221" s="202" t="e">
        <f>IF(#REF!="","",#REF!)</f>
        <v>#REF!</v>
      </c>
      <c r="O221" s="203"/>
      <c r="P221" s="201" t="str">
        <f>IF(P29="","",P29)</f>
        <v>REFORMA DO CENTRO DE ASSITÊNCIA A SAÚDE (CAS)</v>
      </c>
      <c r="Q221" s="202"/>
      <c r="R221" s="202"/>
      <c r="S221" s="202"/>
      <c r="T221" s="202"/>
      <c r="U221" s="202"/>
      <c r="V221" s="202"/>
      <c r="W221" s="202"/>
      <c r="X221" s="203"/>
    </row>
    <row r="222" spans="1:24" ht="6" customHeight="1" x14ac:dyDescent="0.2">
      <c r="A222"/>
      <c r="B222"/>
      <c r="F222"/>
      <c r="G222"/>
      <c r="H222"/>
    </row>
    <row r="223" spans="1:24" x14ac:dyDescent="0.2">
      <c r="A223" s="204" t="str">
        <f>A31</f>
        <v>PROPONENTE / TOMADOR</v>
      </c>
      <c r="B223" s="205"/>
      <c r="C223" s="205"/>
      <c r="D223" s="205"/>
      <c r="E223" s="205"/>
      <c r="F223" s="205"/>
      <c r="G223" s="204" t="str">
        <f>G31</f>
        <v>MUNICÍPIO / UF</v>
      </c>
      <c r="H223" s="205"/>
      <c r="I223" s="205"/>
      <c r="J223" s="206"/>
      <c r="K223" s="204" t="str">
        <f>K31</f>
        <v>LOCALIDADE / ENDEREÇO</v>
      </c>
      <c r="L223" s="205"/>
      <c r="M223" s="205"/>
      <c r="N223" s="205"/>
      <c r="O223" s="205"/>
      <c r="P223" s="206"/>
      <c r="Q223" s="204" t="str">
        <f>Q31</f>
        <v>APELIDO DO EMPREENDIMENTO</v>
      </c>
      <c r="R223" s="205"/>
      <c r="S223" s="205"/>
      <c r="T223" s="205"/>
      <c r="U223" s="205"/>
      <c r="V223" s="205"/>
      <c r="W223" s="205"/>
      <c r="X223" s="206"/>
    </row>
    <row r="224" spans="1:24" ht="12.75" customHeight="1" x14ac:dyDescent="0.2">
      <c r="A224" s="235" t="str">
        <f>IF(A32="","",A32)</f>
        <v>MUNICIPIO</v>
      </c>
      <c r="B224" s="236"/>
      <c r="C224" s="236"/>
      <c r="D224" s="236"/>
      <c r="E224" s="236"/>
      <c r="F224" s="236"/>
      <c r="G224" s="201" t="str">
        <f>IF(G32="","",G32)</f>
        <v>TUCUNDUVA RS</v>
      </c>
      <c r="H224" s="202" t="str">
        <f>IF(I32="","",I32)</f>
        <v/>
      </c>
      <c r="I224" s="202"/>
      <c r="J224" s="203" t="e">
        <f>IF(#REF!="","",#REF!)</f>
        <v>#REF!</v>
      </c>
      <c r="K224" s="201" t="str">
        <f>IF(K32="","",K32)</f>
        <v>RUA SANTA ROSA 520</v>
      </c>
      <c r="L224" s="202"/>
      <c r="M224" s="202"/>
      <c r="N224" s="202"/>
      <c r="O224" s="202"/>
      <c r="P224" s="203"/>
      <c r="Q224" s="201" t="str">
        <f>IF(Q32="","",Q32)</f>
        <v>REFORMA DO CENTRO DE ASSITÊNCIA A SAÚDE (CAS)</v>
      </c>
      <c r="R224" s="202"/>
      <c r="S224" s="202"/>
      <c r="T224" s="202"/>
      <c r="U224" s="202"/>
      <c r="V224" s="202"/>
      <c r="W224" s="202"/>
      <c r="X224" s="203"/>
    </row>
    <row r="225" spans="1:24" ht="6" customHeight="1" x14ac:dyDescent="0.2">
      <c r="A225"/>
      <c r="B225"/>
      <c r="F225"/>
      <c r="G225"/>
      <c r="H225"/>
    </row>
    <row r="226" spans="1:24" x14ac:dyDescent="0.2">
      <c r="A226" s="204" t="str">
        <f>A37</f>
        <v>DATA BASE</v>
      </c>
      <c r="B226" s="206"/>
      <c r="C226" s="78" t="str">
        <f>C37</f>
        <v>DESON.</v>
      </c>
      <c r="D226" s="204" t="str">
        <f>D37</f>
        <v>LOCALIDADE DO SINAPI</v>
      </c>
      <c r="E226" s="205"/>
      <c r="F226" s="206"/>
      <c r="G226" s="204" t="str">
        <f>G37</f>
        <v>DESCRIÇÃO DO LOTE</v>
      </c>
      <c r="H226" s="205"/>
      <c r="I226" s="205"/>
      <c r="J226" s="205"/>
      <c r="K226" s="205"/>
      <c r="L226" s="205"/>
      <c r="M226" s="205"/>
      <c r="N226" s="205"/>
      <c r="O226" s="205"/>
      <c r="P226" s="205"/>
      <c r="Q226" s="205"/>
      <c r="R226" s="205"/>
      <c r="S226" s="206"/>
      <c r="T226" s="79" t="str">
        <f>T37</f>
        <v>BDI 1</v>
      </c>
      <c r="U226" s="79" t="str">
        <f>U37</f>
        <v>BDI 2</v>
      </c>
      <c r="V226" s="79" t="str">
        <f>V37</f>
        <v>BDI 3</v>
      </c>
      <c r="W226" s="79" t="str">
        <f>W37</f>
        <v>BDI 4</v>
      </c>
      <c r="X226" s="79" t="str">
        <f>X37</f>
        <v>BDI 5</v>
      </c>
    </row>
    <row r="227" spans="1:24" ht="12.75" customHeight="1" x14ac:dyDescent="0.2">
      <c r="A227" s="241">
        <f>IF(A38="","",A38)</f>
        <v>45870</v>
      </c>
      <c r="B227" s="242"/>
      <c r="C227" s="115" t="str">
        <f t="shared" ref="C227:X227" si="0">IF(C38="","",C38)</f>
        <v>Não</v>
      </c>
      <c r="D227" s="228" t="str">
        <f t="shared" si="0"/>
        <v>Porto Alegre / RS</v>
      </c>
      <c r="E227" s="232" t="str">
        <f t="shared" si="0"/>
        <v/>
      </c>
      <c r="F227" s="229" t="str">
        <f t="shared" si="0"/>
        <v/>
      </c>
      <c r="G227" s="228" t="str">
        <f t="shared" si="0"/>
        <v>REFORMA DO CENTRO DE ASSISTÊNCIA A SAÚDE (CAS)</v>
      </c>
      <c r="H227" s="232" t="str">
        <f t="shared" si="0"/>
        <v/>
      </c>
      <c r="I227" s="232" t="str">
        <f t="shared" si="0"/>
        <v/>
      </c>
      <c r="J227" s="232" t="str">
        <f t="shared" si="0"/>
        <v/>
      </c>
      <c r="K227" s="232" t="str">
        <f t="shared" si="0"/>
        <v/>
      </c>
      <c r="L227" s="232" t="str">
        <f t="shared" si="0"/>
        <v/>
      </c>
      <c r="M227" s="232" t="str">
        <f t="shared" si="0"/>
        <v/>
      </c>
      <c r="N227" s="232" t="str">
        <f t="shared" si="0"/>
        <v/>
      </c>
      <c r="O227" s="232" t="str">
        <f t="shared" si="0"/>
        <v/>
      </c>
      <c r="P227" s="232" t="str">
        <f t="shared" si="0"/>
        <v/>
      </c>
      <c r="Q227" s="232" t="str">
        <f t="shared" si="0"/>
        <v/>
      </c>
      <c r="R227" s="232" t="str">
        <f t="shared" si="0"/>
        <v/>
      </c>
      <c r="S227" s="229" t="str">
        <f t="shared" si="0"/>
        <v/>
      </c>
      <c r="T227" s="117">
        <f t="shared" ca="1" si="0"/>
        <v>0.2109</v>
      </c>
      <c r="U227" s="81" t="str">
        <f t="shared" ca="1" si="0"/>
        <v/>
      </c>
      <c r="V227" s="81" t="str">
        <f t="shared" ca="1" si="0"/>
        <v/>
      </c>
      <c r="W227" s="81" t="str">
        <f t="shared" ca="1" si="0"/>
        <v/>
      </c>
      <c r="X227" s="81" t="str">
        <f t="shared" ca="1" si="0"/>
        <v/>
      </c>
    </row>
    <row r="228" spans="1:24" ht="6" hidden="1" customHeight="1" x14ac:dyDescent="0.2">
      <c r="A228"/>
      <c r="B228"/>
      <c r="F228"/>
      <c r="G228"/>
      <c r="H228"/>
    </row>
    <row r="229" spans="1:24" ht="12.75" hidden="1" customHeight="1" x14ac:dyDescent="0.2">
      <c r="A229" s="204" t="s">
        <v>87</v>
      </c>
      <c r="B229" s="206"/>
      <c r="C229" s="204" t="s">
        <v>163</v>
      </c>
      <c r="D229" s="205"/>
      <c r="E229" s="205"/>
      <c r="F229" s="205"/>
      <c r="G229" s="205"/>
      <c r="H229" s="204" t="s">
        <v>16</v>
      </c>
      <c r="I229" s="205"/>
      <c r="J229" s="20" t="s">
        <v>91</v>
      </c>
      <c r="K229" s="204" t="s">
        <v>88</v>
      </c>
      <c r="L229" s="205"/>
      <c r="M229" s="206"/>
      <c r="N229" s="20" t="s">
        <v>92</v>
      </c>
      <c r="O229" s="204" t="s">
        <v>93</v>
      </c>
      <c r="P229" s="205"/>
      <c r="Q229" s="205"/>
      <c r="R229" s="205"/>
      <c r="S229" s="205"/>
      <c r="T229" s="206"/>
      <c r="U229" s="237" t="s">
        <v>89</v>
      </c>
      <c r="V229" s="238"/>
      <c r="W229" s="237" t="s">
        <v>90</v>
      </c>
      <c r="X229" s="238"/>
    </row>
    <row r="230" spans="1:24" ht="12.75" hidden="1" customHeight="1" x14ac:dyDescent="0.2">
      <c r="A230" s="228" t="str">
        <f>IF(A43="","",A43)</f>
        <v/>
      </c>
      <c r="B230" s="229"/>
      <c r="C230" s="228" t="str">
        <f>IF(C43="","",C43)</f>
        <v/>
      </c>
      <c r="D230" s="232"/>
      <c r="E230" s="232" t="str">
        <f>IF(E43="","",E43)</f>
        <v/>
      </c>
      <c r="F230" s="232"/>
      <c r="G230" s="232" t="str">
        <f>IF(G43="","",G43)</f>
        <v/>
      </c>
      <c r="H230" s="233" t="str">
        <f>IF(H43="","",H43)</f>
        <v/>
      </c>
      <c r="I230" s="234" t="str">
        <f>IF(I43="","",I43)</f>
        <v/>
      </c>
      <c r="J230" s="116" t="str">
        <f>IF(J43="","",J43)</f>
        <v/>
      </c>
      <c r="K230" s="220" t="str">
        <f>IF(K43="","",K43)</f>
        <v/>
      </c>
      <c r="L230" s="222"/>
      <c r="M230" s="223" t="str">
        <f>IF(M43="","",M43)</f>
        <v/>
      </c>
      <c r="N230" s="118" t="str">
        <f>IF(N43="","",N43)</f>
        <v/>
      </c>
      <c r="O230" s="220" t="str">
        <f>IF(O43="","",O43)</f>
        <v/>
      </c>
      <c r="P230" s="221"/>
      <c r="Q230" s="221" t="str">
        <f>IF(Q43="","",Q43)</f>
        <v/>
      </c>
      <c r="R230" s="222"/>
      <c r="S230" s="222" t="str">
        <f>IF(S43="","",S43)</f>
        <v/>
      </c>
      <c r="T230" s="223"/>
      <c r="U230" s="230" t="str">
        <f>IF(U43="","",U43)</f>
        <v/>
      </c>
      <c r="V230" s="231"/>
      <c r="W230" s="224" t="str">
        <f>IF(W43="","",W43)</f>
        <v/>
      </c>
      <c r="X230" s="225"/>
    </row>
    <row r="232" spans="1:24" ht="6" customHeight="1" x14ac:dyDescent="0.2">
      <c r="A232"/>
      <c r="B232"/>
      <c r="F232"/>
      <c r="G232"/>
      <c r="H232"/>
    </row>
    <row r="233" spans="1:24" x14ac:dyDescent="0.2">
      <c r="A233"/>
      <c r="B233"/>
      <c r="F233"/>
      <c r="G233"/>
      <c r="H233"/>
    </row>
    <row r="234" spans="1:24" x14ac:dyDescent="0.2">
      <c r="A234"/>
      <c r="B234"/>
      <c r="F234"/>
      <c r="G234"/>
      <c r="H234"/>
    </row>
    <row r="235" spans="1:24" x14ac:dyDescent="0.2">
      <c r="A235"/>
      <c r="B235"/>
      <c r="F235"/>
      <c r="G235"/>
      <c r="H235"/>
    </row>
    <row r="236" spans="1:24" ht="12.75" hidden="1" customHeight="1" x14ac:dyDescent="0.2">
      <c r="A236"/>
      <c r="B236"/>
      <c r="F236"/>
      <c r="G236"/>
      <c r="H236"/>
    </row>
    <row r="237" spans="1:24" ht="6" hidden="1" customHeight="1" x14ac:dyDescent="0.2">
      <c r="A237"/>
      <c r="B237"/>
      <c r="F237"/>
      <c r="G237"/>
      <c r="H237"/>
    </row>
    <row r="238" spans="1:24" ht="12.75" hidden="1" customHeight="1" x14ac:dyDescent="0.2">
      <c r="A238"/>
      <c r="B238"/>
      <c r="F238"/>
      <c r="G238"/>
      <c r="H238"/>
    </row>
    <row r="239" spans="1:24" ht="12.75" hidden="1" customHeight="1" x14ac:dyDescent="0.2">
      <c r="A239"/>
      <c r="B239"/>
      <c r="F239"/>
      <c r="G239"/>
      <c r="H239"/>
    </row>
    <row r="240" spans="1:24" ht="6" hidden="1" customHeight="1" x14ac:dyDescent="0.2">
      <c r="A240"/>
      <c r="B240"/>
      <c r="F240"/>
      <c r="G240"/>
      <c r="H240"/>
    </row>
    <row r="241" customFormat="1" ht="12.75" hidden="1" customHeight="1" x14ac:dyDescent="0.2"/>
    <row r="242" customFormat="1" ht="12.75" hidden="1" customHeight="1" x14ac:dyDescent="0.2"/>
    <row r="243" customFormat="1" ht="12.75" hidden="1" customHeight="1" x14ac:dyDescent="0.2"/>
    <row r="244" customFormat="1" ht="12.75" customHeight="1" x14ac:dyDescent="0.2"/>
    <row r="245" customFormat="1" ht="6" customHeight="1" x14ac:dyDescent="0.2"/>
    <row r="246" customFormat="1" ht="12.75" customHeight="1" x14ac:dyDescent="0.2"/>
    <row r="247" customFormat="1" ht="12.75" customHeight="1" x14ac:dyDescent="0.2"/>
    <row r="248" customFormat="1" ht="12.75" customHeight="1" x14ac:dyDescent="0.2"/>
    <row r="249" customFormat="1" ht="12.75" customHeight="1" x14ac:dyDescent="0.2"/>
    <row r="250" customFormat="1" ht="6" customHeight="1" x14ac:dyDescent="0.2"/>
    <row r="251" customFormat="1" x14ac:dyDescent="0.2"/>
    <row r="252" customFormat="1" x14ac:dyDescent="0.2"/>
    <row r="253" customFormat="1" x14ac:dyDescent="0.2"/>
    <row r="254" customFormat="1" x14ac:dyDescent="0.2"/>
    <row r="255" customFormat="1" x14ac:dyDescent="0.2"/>
    <row r="256" customFormat="1" x14ac:dyDescent="0.2"/>
    <row r="257" customFormat="1" x14ac:dyDescent="0.2"/>
  </sheetData>
  <sheetProtection algorithmName="SHA-512" hashValue="d2P9TpC+zHbUYq7f88MKIjMeKItxdkyjMtRR170SIT9X6uQmMNBb5wSTQvUbfs+jZkxNVswPcjrxMspk+yZB+w==" saltValue="QxKh3KJ6mdSasLUhzu6dnw==" spinCount="100000" sheet="1" objects="1" scenarios="1"/>
  <mergeCells count="136">
    <mergeCell ref="G38:S38"/>
    <mergeCell ref="A86:X86"/>
    <mergeCell ref="D38:F38"/>
    <mergeCell ref="C42:G42"/>
    <mergeCell ref="A68:X68"/>
    <mergeCell ref="A78:X78"/>
    <mergeCell ref="A71:X71"/>
    <mergeCell ref="A72:X72"/>
    <mergeCell ref="A16:X16"/>
    <mergeCell ref="A18:X18"/>
    <mergeCell ref="A22:I22"/>
    <mergeCell ref="A76:X76"/>
    <mergeCell ref="A84:X84"/>
    <mergeCell ref="A77:X77"/>
    <mergeCell ref="A79:X79"/>
    <mergeCell ref="A82:X82"/>
    <mergeCell ref="J220:O220"/>
    <mergeCell ref="A99:X99"/>
    <mergeCell ref="A98:X98"/>
    <mergeCell ref="A97:X97"/>
    <mergeCell ref="A26:X26"/>
    <mergeCell ref="A28:B28"/>
    <mergeCell ref="A29:B29"/>
    <mergeCell ref="A69:X69"/>
    <mergeCell ref="A60:X60"/>
    <mergeCell ref="A62:X62"/>
    <mergeCell ref="A101:X101"/>
    <mergeCell ref="A95:X95"/>
    <mergeCell ref="A96:X96"/>
    <mergeCell ref="A38:B38"/>
    <mergeCell ref="U42:V42"/>
    <mergeCell ref="A70:X70"/>
    <mergeCell ref="A40:X40"/>
    <mergeCell ref="A100:X100"/>
    <mergeCell ref="A74:X74"/>
    <mergeCell ref="A81:X81"/>
    <mergeCell ref="A90:X90"/>
    <mergeCell ref="A93:X93"/>
    <mergeCell ref="A94:X94"/>
    <mergeCell ref="A92:X92"/>
    <mergeCell ref="B1:X2"/>
    <mergeCell ref="H56:K56"/>
    <mergeCell ref="W42:X42"/>
    <mergeCell ref="A37:B37"/>
    <mergeCell ref="A42:B42"/>
    <mergeCell ref="W43:X43"/>
    <mergeCell ref="O43:T43"/>
    <mergeCell ref="C43:G43"/>
    <mergeCell ref="K42:M42"/>
    <mergeCell ref="U43:V43"/>
    <mergeCell ref="A35:X35"/>
    <mergeCell ref="G37:S37"/>
    <mergeCell ref="D37:F37"/>
    <mergeCell ref="A4:X4"/>
    <mergeCell ref="A6:X6"/>
    <mergeCell ref="A8:X8"/>
    <mergeCell ref="A24:X24"/>
    <mergeCell ref="A14:X14"/>
    <mergeCell ref="A10:X10"/>
    <mergeCell ref="A12:X12"/>
    <mergeCell ref="H42:I42"/>
    <mergeCell ref="B56:E56"/>
    <mergeCell ref="O42:T42"/>
    <mergeCell ref="A43:B43"/>
    <mergeCell ref="A224:F224"/>
    <mergeCell ref="G224:J224"/>
    <mergeCell ref="G223:J223"/>
    <mergeCell ref="C220:E220"/>
    <mergeCell ref="A87:X87"/>
    <mergeCell ref="W229:X229"/>
    <mergeCell ref="U229:V229"/>
    <mergeCell ref="H43:I43"/>
    <mergeCell ref="A227:B227"/>
    <mergeCell ref="G226:S226"/>
    <mergeCell ref="A226:B226"/>
    <mergeCell ref="A220:B220"/>
    <mergeCell ref="D227:F227"/>
    <mergeCell ref="A48:C48"/>
    <mergeCell ref="H57:K57"/>
    <mergeCell ref="B54:E54"/>
    <mergeCell ref="A65:X65"/>
    <mergeCell ref="H55:K55"/>
    <mergeCell ref="A45:X45"/>
    <mergeCell ref="A63:X63"/>
    <mergeCell ref="A50:X50"/>
    <mergeCell ref="B55:E55"/>
    <mergeCell ref="B57:E57"/>
    <mergeCell ref="H54:K54"/>
    <mergeCell ref="O230:T230"/>
    <mergeCell ref="H229:I229"/>
    <mergeCell ref="K229:M229"/>
    <mergeCell ref="O229:T229"/>
    <mergeCell ref="W230:X230"/>
    <mergeCell ref="Q224:X224"/>
    <mergeCell ref="K223:P223"/>
    <mergeCell ref="A80:X80"/>
    <mergeCell ref="A83:X83"/>
    <mergeCell ref="A230:B230"/>
    <mergeCell ref="U230:V230"/>
    <mergeCell ref="K230:M230"/>
    <mergeCell ref="J221:O221"/>
    <mergeCell ref="G227:S227"/>
    <mergeCell ref="A229:B229"/>
    <mergeCell ref="C229:G229"/>
    <mergeCell ref="C230:G230"/>
    <mergeCell ref="H230:I230"/>
    <mergeCell ref="K224:P224"/>
    <mergeCell ref="Q223:X223"/>
    <mergeCell ref="D226:F226"/>
    <mergeCell ref="A85:X85"/>
    <mergeCell ref="A221:B221"/>
    <mergeCell ref="A223:F223"/>
    <mergeCell ref="C221:E221"/>
    <mergeCell ref="F220:I220"/>
    <mergeCell ref="F221:I221"/>
    <mergeCell ref="P220:X220"/>
    <mergeCell ref="P221:X221"/>
    <mergeCell ref="J28:O28"/>
    <mergeCell ref="G32:J32"/>
    <mergeCell ref="K31:P31"/>
    <mergeCell ref="K32:P32"/>
    <mergeCell ref="P28:X28"/>
    <mergeCell ref="Q31:X31"/>
    <mergeCell ref="Q32:X32"/>
    <mergeCell ref="A31:F31"/>
    <mergeCell ref="C28:E28"/>
    <mergeCell ref="C29:E29"/>
    <mergeCell ref="F28:I28"/>
    <mergeCell ref="F29:I29"/>
    <mergeCell ref="A32:F32"/>
    <mergeCell ref="G31:J31"/>
    <mergeCell ref="P29:X29"/>
    <mergeCell ref="J29:O29"/>
    <mergeCell ref="A67:X67"/>
    <mergeCell ref="A88:X88"/>
    <mergeCell ref="K43:M43"/>
  </mergeCells>
  <phoneticPr fontId="26" type="noConversion"/>
  <conditionalFormatting sqref="B54:E55 B56 B57:E57">
    <cfRule type="expression" dxfId="142" priority="42" stopIfTrue="1">
      <formula>$B54&lt;&gt;""</formula>
    </cfRule>
  </conditionalFormatting>
  <conditionalFormatting sqref="A48 H54:K54 H55:H56 H57:K57 A29:C29 J29 F29 A32 P29 G32 K32">
    <cfRule type="expression" dxfId="141" priority="48" stopIfTrue="1">
      <formula>A29&lt;&gt;""</formula>
    </cfRule>
  </conditionalFormatting>
  <conditionalFormatting sqref="G53:K54 G55:H56 G57:K57">
    <cfRule type="expression" dxfId="140" priority="43" stopIfTrue="1">
      <formula>$K$52&lt;&gt;"SIM"</formula>
    </cfRule>
  </conditionalFormatting>
  <conditionalFormatting sqref="A40:X43">
    <cfRule type="expression" dxfId="139" priority="56" stopIfTrue="1">
      <formula>OR(TipoOrçamento="BASE",TipoOrçamento="REPROGRAMADONPL")</formula>
    </cfRule>
    <cfRule type="expression" dxfId="138" priority="57" stopIfTrue="1">
      <formula>A40&lt;&gt;""</formula>
    </cfRule>
  </conditionalFormatting>
  <conditionalFormatting sqref="A35:X38">
    <cfRule type="expression" dxfId="137" priority="58" stopIfTrue="1">
      <formula>OR(TipoOrçamento="LICITADO",TipoOrçamento="REPROGRAMADOAC")</formula>
    </cfRule>
    <cfRule type="expression" dxfId="136" priority="59" stopIfTrue="1">
      <formula>A35&lt;&gt;""</formula>
    </cfRule>
  </conditionalFormatting>
  <conditionalFormatting sqref="Q32">
    <cfRule type="expression" dxfId="135" priority="1" stopIfTrue="1">
      <formula>Q32&lt;&gt;""</formula>
    </cfRule>
  </conditionalFormatting>
  <dataValidations count="7">
    <dataValidation type="list" allowBlank="1" showInputMessage="1" showErrorMessage="1" sqref="C227 J43 C38" xr:uid="{00000000-0002-0000-0000-000000000000}">
      <formula1>"Sim,Não"</formula1>
    </dataValidation>
    <dataValidation type="list" allowBlank="1" showInputMessage="1" showErrorMessage="1" sqref="K52" xr:uid="{00000000-0002-0000-0000-000001000000}">
      <formula1>"SIM,NÃO"</formula1>
    </dataValidation>
    <dataValidation type="list" allowBlank="1" showInputMessage="1" showErrorMessage="1" sqref="D38:F38" xr:uid="{00000000-0002-0000-0000-000002000000}">
      <formula1>Dados.Lista.Localidade</formula1>
    </dataValidation>
    <dataValidation type="list" allowBlank="1" showInputMessage="1" showErrorMessage="1" sqref="K43:M43" xr:uid="{00000000-0002-0000-0000-000003000000}">
      <formula1>Dados.Lista.RegimeExecução</formula1>
    </dataValidation>
    <dataValidation type="list" allowBlank="1" showInputMessage="1" showErrorMessage="1" sqref="N43" xr:uid="{00000000-0002-0000-0000-000004000000}">
      <formula1>Dados.Lista.Acompanhamento</formula1>
    </dataValidation>
    <dataValidation type="date" operator="greaterThan" allowBlank="1" showInputMessage="1" showErrorMessage="1" errorTitle="Erro de valor" error="Digite somente datas." sqref="A38:B38 H43:I43 A48:C48" xr:uid="{00000000-0002-0000-0000-000005000000}">
      <formula1>36526</formula1>
    </dataValidation>
    <dataValidation allowBlank="1" showInputMessage="1" showErrorMessage="1" promptTitle="Nº OPERAÇÃO:" prompt="nº do Contrato de Repasse ou Termo de Compromisso, firmado com a CAIXA._x000a_Formato 0.000.000-00/0000." sqref="A29:B29" xr:uid="{00000000-0002-0000-0000-000006000000}"/>
  </dataValidations>
  <pageMargins left="0.78740157480314998" right="0.78740157480314998" top="0.78740157480314998" bottom="0.78740157480314998" header="5.7086614173228396" footer="0.59055118110236204"/>
  <pageSetup paperSize="9" scale="44" orientation="landscape" horizontalDpi="4294967295" verticalDpi="4294967295" r:id="rId1"/>
  <headerFooter alignWithMargins="0">
    <oddHeader>&amp;L_</oddHeader>
    <oddFooter>&amp;R&amp;P&amp;L27.476 v008   micro</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4202" r:id="rId4" name="OptionPLQ-ON">
              <controlPr defaultSize="0" print="0" autoFill="0" autoLine="0" autoPict="0" macro="[0]!ShowPLQ" altText="Parcela 1">
                <anchor moveWithCells="1">
                  <from>
                    <xdr:col>0</xdr:col>
                    <xdr:colOff>381000</xdr:colOff>
                    <xdr:row>18</xdr:row>
                    <xdr:rowOff>85725</xdr:rowOff>
                  </from>
                  <to>
                    <xdr:col>5</xdr:col>
                    <xdr:colOff>228600</xdr:colOff>
                    <xdr:row>20</xdr:row>
                    <xdr:rowOff>47625</xdr:rowOff>
                  </to>
                </anchor>
              </controlPr>
            </control>
          </mc:Choice>
        </mc:AlternateContent>
        <mc:AlternateContent xmlns:mc="http://schemas.openxmlformats.org/markup-compatibility/2006">
          <mc:Choice Requires="x14">
            <control shapeId="34203" r:id="rId5" name="OptionPLQ-OFF">
              <controlPr defaultSize="0" print="0" autoFill="0" autoLine="0" autoPict="0" macro="[0]!HidePLQ" altText="Parcela 1">
                <anchor moveWithCells="1">
                  <from>
                    <xdr:col>5</xdr:col>
                    <xdr:colOff>228600</xdr:colOff>
                    <xdr:row>18</xdr:row>
                    <xdr:rowOff>85725</xdr:rowOff>
                  </from>
                  <to>
                    <xdr:col>11</xdr:col>
                    <xdr:colOff>142875</xdr:colOff>
                    <xdr:row>20</xdr:row>
                    <xdr:rowOff>47625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4">
    <tabColor rgb="FFFFFF00"/>
    <pageSetUpPr fitToPage="1"/>
  </sheetPr>
  <dimension ref="A1:AE60"/>
  <sheetViews>
    <sheetView showGridLines="0" topLeftCell="I1" zoomScaleNormal="100" zoomScaleSheetLayoutView="100" zoomScalePageLayoutView="70" workbookViewId="0">
      <selection activeCell="T43" sqref="T43"/>
    </sheetView>
  </sheetViews>
  <sheetFormatPr defaultColWidth="0" defaultRowHeight="12.75" zeroHeight="1" x14ac:dyDescent="0.2"/>
  <cols>
    <col min="1" max="1" width="30.28515625" style="42" hidden="1" customWidth="1"/>
    <col min="2" max="3" width="9.140625" style="42" hidden="1" customWidth="1"/>
    <col min="4" max="4" width="23.5703125" style="42" hidden="1" customWidth="1"/>
    <col min="5" max="8" width="9.140625" style="42" hidden="1" customWidth="1"/>
    <col min="9" max="14" width="10.7109375" style="42" customWidth="1"/>
    <col min="15" max="15" width="12.85546875" style="42" customWidth="1"/>
    <col min="16" max="18" width="10.7109375" style="42" customWidth="1"/>
    <col min="19" max="19" width="3.7109375" style="42" customWidth="1"/>
    <col min="20" max="20" width="29.5703125" style="42" customWidth="1"/>
    <col min="21" max="21" width="13.7109375" style="42" customWidth="1"/>
    <col min="22" max="16384" width="9.140625" style="42" hidden="1"/>
  </cols>
  <sheetData>
    <row r="1" spans="1:29" ht="15" customHeight="1" x14ac:dyDescent="0.25">
      <c r="E1" s="43" t="s">
        <v>25</v>
      </c>
      <c r="F1" s="43" t="s">
        <v>26</v>
      </c>
      <c r="G1" s="43" t="s">
        <v>27</v>
      </c>
      <c r="N1" s="46" t="str">
        <f ca="1">"Quadro de Composição do BDI "&amp;MID(CELL("nome.arquivo",N1),5+FIND("BDI (",CELL("nome.arquivo",N1)),1)</f>
        <v>Quadro de Composição do BDI 1</v>
      </c>
      <c r="Q1"/>
      <c r="R1"/>
    </row>
    <row r="2" spans="1:29" x14ac:dyDescent="0.2">
      <c r="A2" s="42" t="s">
        <v>28</v>
      </c>
      <c r="B2" s="44" t="s">
        <v>29</v>
      </c>
      <c r="C2" s="42" t="str">
        <f t="shared" ref="C2:C49" si="0">CONCATENATE(A2,"-",B2)</f>
        <v>Construção e Reforma de Edifícios-AC</v>
      </c>
      <c r="E2" s="45">
        <v>0.03</v>
      </c>
      <c r="F2" s="45">
        <v>0.04</v>
      </c>
      <c r="G2" s="45">
        <v>5.5E-2</v>
      </c>
      <c r="Q2"/>
      <c r="R2"/>
    </row>
    <row r="3" spans="1:29" x14ac:dyDescent="0.2">
      <c r="A3" s="42" t="str">
        <f>A2</f>
        <v>Construção e Reforma de Edifícios</v>
      </c>
      <c r="B3" s="44" t="s">
        <v>30</v>
      </c>
      <c r="C3" s="42" t="str">
        <f t="shared" si="0"/>
        <v>Construção e Reforma de Edifícios-SG</v>
      </c>
      <c r="E3" s="45">
        <v>8.0000000000000002E-3</v>
      </c>
      <c r="F3" s="45">
        <v>8.0000000000000002E-3</v>
      </c>
      <c r="G3" s="45">
        <v>0.01</v>
      </c>
    </row>
    <row r="4" spans="1:29" x14ac:dyDescent="0.2">
      <c r="A4" s="42" t="str">
        <f>A3</f>
        <v>Construção e Reforma de Edifícios</v>
      </c>
      <c r="B4" s="44" t="s">
        <v>31</v>
      </c>
      <c r="C4" s="42" t="str">
        <f t="shared" si="0"/>
        <v>Construção e Reforma de Edifícios-R</v>
      </c>
      <c r="E4" s="45">
        <v>9.7000000000000003E-3</v>
      </c>
      <c r="F4" s="45">
        <v>1.2699999999999999E-2</v>
      </c>
      <c r="G4" s="45">
        <v>1.2699999999999999E-2</v>
      </c>
      <c r="I4" s="204" t="s">
        <v>150</v>
      </c>
      <c r="J4" s="206"/>
      <c r="K4" s="204" t="s">
        <v>173</v>
      </c>
      <c r="L4" s="205"/>
      <c r="M4" s="205"/>
      <c r="N4" s="205"/>
      <c r="O4" s="205"/>
      <c r="P4" s="205"/>
      <c r="Q4" s="205"/>
      <c r="R4" s="206"/>
    </row>
    <row r="5" spans="1:29" ht="12.75" customHeight="1" x14ac:dyDescent="0.3">
      <c r="A5" s="42" t="str">
        <f>A4</f>
        <v>Construção e Reforma de Edifícios</v>
      </c>
      <c r="B5" s="44" t="s">
        <v>32</v>
      </c>
      <c r="C5" s="42" t="str">
        <f t="shared" si="0"/>
        <v>Construção e Reforma de Edifícios-DF</v>
      </c>
      <c r="E5" s="45">
        <v>5.8999999999999999E-3</v>
      </c>
      <c r="F5" s="45">
        <v>1.23E-2</v>
      </c>
      <c r="G5" s="45">
        <v>1.3899999999999999E-2</v>
      </c>
      <c r="I5" s="289">
        <f>DADOS!A29</f>
        <v>0</v>
      </c>
      <c r="J5" s="290"/>
      <c r="K5" s="291" t="str">
        <f>DADOS!A32</f>
        <v>MUNICIPIO</v>
      </c>
      <c r="L5" s="292"/>
      <c r="M5" s="292"/>
      <c r="N5" s="292"/>
      <c r="O5" s="292"/>
      <c r="P5" s="292"/>
      <c r="Q5" s="292"/>
      <c r="R5" s="290"/>
      <c r="S5" s="47"/>
    </row>
    <row r="6" spans="1:29" ht="6" customHeight="1" x14ac:dyDescent="0.2">
      <c r="A6" s="42" t="str">
        <f>A5</f>
        <v>Construção e Reforma de Edifícios</v>
      </c>
      <c r="B6" s="44" t="s">
        <v>164</v>
      </c>
      <c r="C6" s="42" t="str">
        <f t="shared" si="0"/>
        <v>Construção e Reforma de Edifícios-L</v>
      </c>
      <c r="E6" s="45">
        <v>6.1600000000000002E-2</v>
      </c>
      <c r="F6" s="45">
        <v>7.400000000000001E-2</v>
      </c>
      <c r="G6" s="45">
        <v>8.9600000000000013E-2</v>
      </c>
      <c r="I6" s="48"/>
      <c r="J6" s="48"/>
      <c r="K6" s="48"/>
      <c r="L6" s="48"/>
      <c r="M6" s="48"/>
      <c r="N6" s="48"/>
      <c r="O6" s="48"/>
      <c r="P6" s="48"/>
      <c r="Q6" s="48"/>
      <c r="R6" s="48"/>
    </row>
    <row r="7" spans="1:29" ht="13.5" customHeight="1" x14ac:dyDescent="0.2">
      <c r="A7" s="42" t="str">
        <f>A6</f>
        <v>Construção e Reforma de Edifícios</v>
      </c>
      <c r="B7" s="49" t="s">
        <v>33</v>
      </c>
      <c r="C7" s="42" t="str">
        <f t="shared" si="0"/>
        <v>Construção e Reforma de Edifícios-BDI PAD</v>
      </c>
      <c r="E7" s="45">
        <v>0.2034</v>
      </c>
      <c r="F7" s="45">
        <v>0.22120000000000001</v>
      </c>
      <c r="G7" s="45">
        <v>0.25</v>
      </c>
      <c r="I7" s="204" t="s">
        <v>0</v>
      </c>
      <c r="J7" s="205"/>
      <c r="K7" s="205"/>
      <c r="L7" s="205"/>
      <c r="M7" s="205"/>
      <c r="N7" s="205"/>
      <c r="O7" s="205"/>
      <c r="P7" s="205"/>
      <c r="Q7" s="205"/>
      <c r="R7" s="206"/>
    </row>
    <row r="8" spans="1:29" ht="24.75" customHeight="1" x14ac:dyDescent="0.2">
      <c r="A8" s="42" t="s">
        <v>34</v>
      </c>
      <c r="B8" s="44" t="s">
        <v>29</v>
      </c>
      <c r="C8" s="42" t="str">
        <f t="shared" si="0"/>
        <v>Construção de Praças Urbanas, Rodovias, Ferrovias e recapeamento e pavimentação de vias urbanas-AC</v>
      </c>
      <c r="E8" s="45">
        <v>3.7999999999999999E-2</v>
      </c>
      <c r="F8" s="45">
        <v>4.0099999999999997E-2</v>
      </c>
      <c r="G8" s="45">
        <v>4.6699999999999998E-2</v>
      </c>
      <c r="I8" s="293" t="str">
        <f>DADOS!P29</f>
        <v>REFORMA DO CENTRO DE ASSITÊNCIA A SAÚDE (CAS)</v>
      </c>
      <c r="J8" s="293"/>
      <c r="K8" s="293"/>
      <c r="L8" s="293"/>
      <c r="M8" s="293"/>
      <c r="N8" s="293"/>
      <c r="O8" s="293"/>
      <c r="P8" s="293"/>
      <c r="Q8" s="293"/>
      <c r="R8" s="293"/>
    </row>
    <row r="9" spans="1:29" ht="6" customHeight="1" x14ac:dyDescent="0.2">
      <c r="A9" s="42" t="s">
        <v>34</v>
      </c>
      <c r="B9" s="44" t="s">
        <v>30</v>
      </c>
      <c r="C9" s="42" t="str">
        <f t="shared" si="0"/>
        <v>Construção de Praças Urbanas, Rodovias, Ferrovias e recapeamento e pavimentação de vias urbanas-SG</v>
      </c>
      <c r="E9" s="45">
        <v>3.2000000000000002E-3</v>
      </c>
      <c r="F9" s="45">
        <v>4.0000000000000001E-3</v>
      </c>
      <c r="G9" s="45">
        <v>7.4000000000000003E-3</v>
      </c>
      <c r="I9" s="48"/>
      <c r="J9" s="48"/>
      <c r="K9" s="48"/>
      <c r="L9" s="48"/>
      <c r="M9" s="48"/>
      <c r="N9" s="48"/>
      <c r="O9" s="48"/>
      <c r="P9" s="48"/>
      <c r="Q9" s="48"/>
      <c r="R9" s="48"/>
    </row>
    <row r="10" spans="1:29" x14ac:dyDescent="0.2">
      <c r="A10" s="42" t="s">
        <v>34</v>
      </c>
      <c r="B10" s="44" t="s">
        <v>31</v>
      </c>
      <c r="C10" s="42" t="str">
        <f t="shared" si="0"/>
        <v>Construção de Praças Urbanas, Rodovias, Ferrovias e recapeamento e pavimentação de vias urbanas-R</v>
      </c>
      <c r="E10" s="45">
        <v>5.0000000000000001E-3</v>
      </c>
      <c r="F10" s="45">
        <v>5.6000000000000008E-3</v>
      </c>
      <c r="G10" s="45">
        <v>9.7000000000000003E-3</v>
      </c>
      <c r="I10" s="204" t="s">
        <v>35</v>
      </c>
      <c r="J10" s="205"/>
      <c r="K10" s="205"/>
      <c r="L10" s="205"/>
      <c r="M10" s="205"/>
      <c r="N10" s="205"/>
      <c r="O10" s="205"/>
      <c r="P10" s="205"/>
      <c r="Q10" s="204" t="s">
        <v>13</v>
      </c>
      <c r="R10" s="206"/>
    </row>
    <row r="11" spans="1:29" x14ac:dyDescent="0.2">
      <c r="A11" s="42" t="s">
        <v>34</v>
      </c>
      <c r="B11" s="44" t="s">
        <v>32</v>
      </c>
      <c r="C11" s="42" t="str">
        <f t="shared" si="0"/>
        <v>Construção de Praças Urbanas, Rodovias, Ferrovias e recapeamento e pavimentação de vias urbanas-DF</v>
      </c>
      <c r="E11" s="45">
        <v>1.0200000000000001E-2</v>
      </c>
      <c r="F11" s="45">
        <v>1.11E-2</v>
      </c>
      <c r="G11" s="45">
        <v>1.21E-2</v>
      </c>
      <c r="I11" s="284" t="s">
        <v>28</v>
      </c>
      <c r="J11" s="285"/>
      <c r="K11" s="285"/>
      <c r="L11" s="285"/>
      <c r="M11" s="285"/>
      <c r="N11" s="285"/>
      <c r="O11" s="285"/>
      <c r="P11" s="286"/>
      <c r="Q11" s="287" t="str">
        <f>DADOS!$C$38</f>
        <v>Não</v>
      </c>
      <c r="R11" s="288"/>
    </row>
    <row r="12" spans="1:29" x14ac:dyDescent="0.2">
      <c r="A12" s="42" t="s">
        <v>34</v>
      </c>
      <c r="B12" s="44" t="s">
        <v>164</v>
      </c>
      <c r="C12" s="42" t="str">
        <f t="shared" si="0"/>
        <v>Construção de Praças Urbanas, Rodovias, Ferrovias e recapeamento e pavimentação de vias urbanas-L</v>
      </c>
      <c r="E12" s="45">
        <v>6.6400000000000001E-2</v>
      </c>
      <c r="F12" s="45">
        <v>7.2999999999999995E-2</v>
      </c>
      <c r="G12" s="45">
        <v>8.6899999999999991E-2</v>
      </c>
    </row>
    <row r="13" spans="1:29" ht="15" customHeight="1" x14ac:dyDescent="0.2">
      <c r="A13" s="42" t="s">
        <v>34</v>
      </c>
      <c r="B13" s="49" t="s">
        <v>33</v>
      </c>
      <c r="C13" s="42" t="str">
        <f t="shared" si="0"/>
        <v>Construção de Praças Urbanas, Rodovias, Ferrovias e recapeamento e pavimentação de vias urbanas-BDI PAD</v>
      </c>
      <c r="E13" s="45">
        <v>0.19600000000000001</v>
      </c>
      <c r="F13" s="45">
        <v>0.2097</v>
      </c>
      <c r="G13" s="45">
        <v>0.24230000000000002</v>
      </c>
      <c r="I13" s="282" t="s">
        <v>36</v>
      </c>
      <c r="J13" s="282"/>
      <c r="K13" s="282"/>
      <c r="L13" s="282"/>
      <c r="M13" s="282"/>
      <c r="N13" s="282"/>
      <c r="O13" s="282"/>
      <c r="P13" s="282"/>
      <c r="Q13" s="279">
        <v>1</v>
      </c>
      <c r="R13" s="279"/>
    </row>
    <row r="14" spans="1:29" ht="15" customHeight="1" x14ac:dyDescent="0.2">
      <c r="A14" s="42" t="s">
        <v>37</v>
      </c>
      <c r="B14" s="44" t="s">
        <v>29</v>
      </c>
      <c r="C14" s="42" t="str">
        <f t="shared" si="0"/>
        <v>Construção de Redes de Abastecimento de Água, Coleta de Esgoto-AC</v>
      </c>
      <c r="E14" s="45">
        <v>3.4300000000000004E-2</v>
      </c>
      <c r="F14" s="45">
        <v>4.9299999999999997E-2</v>
      </c>
      <c r="G14" s="45">
        <v>6.7099999999999993E-2</v>
      </c>
      <c r="I14" s="280" t="s">
        <v>38</v>
      </c>
      <c r="J14" s="280"/>
      <c r="K14" s="280"/>
      <c r="L14" s="280"/>
      <c r="M14" s="280"/>
      <c r="N14" s="280"/>
      <c r="O14" s="280"/>
      <c r="P14" s="280"/>
      <c r="Q14" s="279">
        <v>0.02</v>
      </c>
      <c r="R14" s="279"/>
    </row>
    <row r="15" spans="1:29" x14ac:dyDescent="0.2">
      <c r="A15" s="42" t="str">
        <f>A14</f>
        <v>Construção de Redes de Abastecimento de Água, Coleta de Esgoto</v>
      </c>
      <c r="B15" s="44" t="s">
        <v>30</v>
      </c>
      <c r="C15" s="42" t="str">
        <f t="shared" si="0"/>
        <v>Construção de Redes de Abastecimento de Água, Coleta de Esgoto-SG</v>
      </c>
      <c r="E15" s="45">
        <v>2.8000000000000004E-3</v>
      </c>
      <c r="F15" s="45">
        <v>4.8999999999999998E-3</v>
      </c>
      <c r="G15" s="45">
        <v>7.4999999999999997E-3</v>
      </c>
    </row>
    <row r="16" spans="1:29" ht="12.75" customHeight="1" x14ac:dyDescent="0.2">
      <c r="B16" s="44"/>
      <c r="E16" s="45"/>
      <c r="F16" s="45"/>
      <c r="G16" s="45"/>
      <c r="I16" s="281" t="s">
        <v>39</v>
      </c>
      <c r="J16" s="281"/>
      <c r="K16" s="281"/>
      <c r="L16" s="281"/>
      <c r="M16" s="281" t="s">
        <v>40</v>
      </c>
      <c r="N16" s="283" t="s">
        <v>41</v>
      </c>
      <c r="O16" s="283" t="s">
        <v>42</v>
      </c>
      <c r="P16" s="281" t="s">
        <v>43</v>
      </c>
      <c r="Q16" s="281" t="s">
        <v>44</v>
      </c>
      <c r="R16" s="298" t="s">
        <v>45</v>
      </c>
      <c r="T16" s="294" t="str">
        <f>IF(V27,"Para BDI fora do intervalo estatístico, deve ser apresentado Relatório Técnico Circunstanciado justificando a adoção do percentual de cada parcela do BDI.","")</f>
        <v/>
      </c>
      <c r="U16" s="294"/>
      <c r="V16" s="93"/>
      <c r="W16" s="93"/>
      <c r="X16" s="93"/>
      <c r="Y16" s="93"/>
      <c r="Z16" s="93"/>
      <c r="AA16" s="93"/>
      <c r="AB16" s="93"/>
      <c r="AC16" s="93"/>
    </row>
    <row r="17" spans="1:31" ht="15.75" customHeight="1" x14ac:dyDescent="0.2">
      <c r="A17" s="42" t="str">
        <f>A15</f>
        <v>Construção de Redes de Abastecimento de Água, Coleta de Esgoto</v>
      </c>
      <c r="B17" s="44" t="s">
        <v>31</v>
      </c>
      <c r="C17" s="42" t="str">
        <f t="shared" si="0"/>
        <v>Construção de Redes de Abastecimento de Água, Coleta de Esgoto-R</v>
      </c>
      <c r="E17" s="45">
        <v>0.01</v>
      </c>
      <c r="F17" s="45">
        <v>1.3899999999999999E-2</v>
      </c>
      <c r="G17" s="45">
        <v>1.7399999999999999E-2</v>
      </c>
      <c r="I17" s="281"/>
      <c r="J17" s="281"/>
      <c r="K17" s="281"/>
      <c r="L17" s="281"/>
      <c r="M17" s="281"/>
      <c r="N17" s="283"/>
      <c r="O17" s="283"/>
      <c r="P17" s="281"/>
      <c r="Q17" s="281"/>
      <c r="R17" s="298"/>
      <c r="T17" s="294"/>
      <c r="U17" s="294"/>
      <c r="V17" s="93"/>
      <c r="W17" s="93"/>
      <c r="X17" s="93"/>
      <c r="Y17" s="93"/>
      <c r="Z17" s="93"/>
      <c r="AA17" s="93"/>
      <c r="AB17" s="93"/>
      <c r="AC17" s="93"/>
    </row>
    <row r="18" spans="1:31" ht="26.25" customHeight="1" x14ac:dyDescent="0.2">
      <c r="A18" s="42" t="str">
        <f>A17</f>
        <v>Construção de Redes de Abastecimento de Água, Coleta de Esgoto</v>
      </c>
      <c r="B18" s="44" t="s">
        <v>32</v>
      </c>
      <c r="C18" s="42" t="str">
        <f t="shared" si="0"/>
        <v>Construção de Redes de Abastecimento de Água, Coleta de Esgoto-DF</v>
      </c>
      <c r="E18" s="45">
        <v>9.3999999999999986E-3</v>
      </c>
      <c r="F18" s="45">
        <v>9.8999999999999991E-3</v>
      </c>
      <c r="G18" s="45">
        <v>1.1699999999999999E-2</v>
      </c>
      <c r="I18" s="296" t="str">
        <f>IF($I$11=$A$59,"Encargos Sociais incidentes sobre a mão de obra","Administração Central")</f>
        <v>Administração Central</v>
      </c>
      <c r="J18" s="296"/>
      <c r="K18" s="296"/>
      <c r="L18" s="296"/>
      <c r="M18" s="50" t="str">
        <f>IF($I$11=$A$59,"K1","AC")</f>
        <v>AC</v>
      </c>
      <c r="N18" s="51">
        <v>3.7999999999999999E-2</v>
      </c>
      <c r="O18" s="52" t="s">
        <v>46</v>
      </c>
      <c r="P18" s="53">
        <f>VLOOKUP(CONCATENATE(I$11,"-",M18),$C$2:$G$49,3,FALSE)</f>
        <v>0.03</v>
      </c>
      <c r="Q18" s="53">
        <f>VLOOKUP(CONCATENATE(I$11,"-",M18),$C$2:$G$49,4,FALSE)</f>
        <v>0.04</v>
      </c>
      <c r="R18" s="53">
        <f>VLOOKUP(CONCATENATE(I$11,"-",M18),$C$2:$G$49,5,FALSE)</f>
        <v>5.5E-2</v>
      </c>
      <c r="T18" s="294"/>
      <c r="U18" s="294"/>
      <c r="V18" s="93"/>
      <c r="W18" s="93"/>
      <c r="X18" s="93"/>
      <c r="Y18" s="93"/>
      <c r="Z18" s="93"/>
      <c r="AA18" s="93"/>
      <c r="AB18" s="93"/>
      <c r="AC18" s="93"/>
    </row>
    <row r="19" spans="1:31" ht="26.25" customHeight="1" x14ac:dyDescent="0.2">
      <c r="A19" s="42" t="str">
        <f>A18</f>
        <v>Construção de Redes de Abastecimento de Água, Coleta de Esgoto</v>
      </c>
      <c r="B19" s="44" t="s">
        <v>164</v>
      </c>
      <c r="C19" s="42" t="str">
        <f t="shared" si="0"/>
        <v>Construção de Redes de Abastecimento de Água, Coleta de Esgoto-L</v>
      </c>
      <c r="E19" s="45">
        <v>6.7400000000000002E-2</v>
      </c>
      <c r="F19" s="45">
        <v>8.0399999999999985E-2</v>
      </c>
      <c r="G19" s="45">
        <v>9.4E-2</v>
      </c>
      <c r="I19" s="296" t="str">
        <f>IF($I$11=$A$59,"Administração Central da empresa ou consultoria - overhead","Seguro e Garantia")</f>
        <v>Seguro e Garantia</v>
      </c>
      <c r="J19" s="296"/>
      <c r="K19" s="296"/>
      <c r="L19" s="296"/>
      <c r="M19" s="50" t="str">
        <f>IF($I$11=$A$59,"K2","SG")</f>
        <v>SG</v>
      </c>
      <c r="N19" s="51">
        <v>8.0000000000000002E-3</v>
      </c>
      <c r="O19" s="52" t="s">
        <v>46</v>
      </c>
      <c r="P19" s="53">
        <f>VLOOKUP(CONCATENATE(I$11,"-",M19),$C$2:$G$49,3,FALSE)</f>
        <v>8.0000000000000002E-3</v>
      </c>
      <c r="Q19" s="53">
        <f>VLOOKUP(CONCATENATE(I$11,"-",M19),$C$2:$G$49,4,FALSE)</f>
        <v>8.0000000000000002E-3</v>
      </c>
      <c r="R19" s="53">
        <f>VLOOKUP(CONCATENATE(I$11,"-",M19),$C$2:$G$49,5,FALSE)</f>
        <v>0.01</v>
      </c>
      <c r="T19" s="294"/>
      <c r="U19" s="294"/>
      <c r="V19" s="93"/>
      <c r="W19" s="93"/>
      <c r="X19" s="93"/>
      <c r="Y19" s="93"/>
      <c r="Z19" s="93"/>
      <c r="AA19" s="93"/>
      <c r="AB19" s="93"/>
      <c r="AC19" s="93"/>
    </row>
    <row r="20" spans="1:31" ht="26.25" customHeight="1" x14ac:dyDescent="0.2">
      <c r="A20" s="42" t="str">
        <f>A19</f>
        <v>Construção de Redes de Abastecimento de Água, Coleta de Esgoto</v>
      </c>
      <c r="B20" s="49" t="s">
        <v>33</v>
      </c>
      <c r="C20" s="42" t="str">
        <f t="shared" si="0"/>
        <v>Construção de Redes de Abastecimento de Água, Coleta de Esgoto-BDI PAD</v>
      </c>
      <c r="E20" s="45">
        <v>0.20760000000000001</v>
      </c>
      <c r="F20" s="45">
        <v>0.24179999999999999</v>
      </c>
      <c r="G20" s="45">
        <v>0.26440000000000002</v>
      </c>
      <c r="I20" s="296" t="str">
        <f>IF($I$11=$A$59,"","Risco")</f>
        <v>Risco</v>
      </c>
      <c r="J20" s="296"/>
      <c r="K20" s="296"/>
      <c r="L20" s="296"/>
      <c r="M20" s="50" t="str">
        <f>IF($I$11=$A$59,"","R")</f>
        <v>R</v>
      </c>
      <c r="N20" s="51">
        <v>0.01</v>
      </c>
      <c r="O20" s="52" t="s">
        <v>46</v>
      </c>
      <c r="P20" s="53">
        <f>VLOOKUP(CONCATENATE(I$11,"-",M20),$C$2:$G$49,3,FALSE)</f>
        <v>9.7000000000000003E-3</v>
      </c>
      <c r="Q20" s="53">
        <f>VLOOKUP(CONCATENATE(I$11,"-",M20),$C$2:$G$49,4,FALSE)</f>
        <v>1.2699999999999999E-2</v>
      </c>
      <c r="R20" s="53">
        <f>VLOOKUP(CONCATENATE(I$11,"-",M20),$C$2:$G$49,5,FALSE)</f>
        <v>1.2699999999999999E-2</v>
      </c>
      <c r="T20" s="294"/>
      <c r="U20" s="294"/>
      <c r="V20" s="93"/>
      <c r="W20" s="93"/>
      <c r="X20" s="93"/>
      <c r="Y20" s="93"/>
      <c r="Z20" s="93"/>
      <c r="AA20" s="93"/>
      <c r="AB20" s="93"/>
      <c r="AC20" s="93"/>
    </row>
    <row r="21" spans="1:31" ht="26.25" customHeight="1" x14ac:dyDescent="0.2">
      <c r="A21" s="42" t="s">
        <v>47</v>
      </c>
      <c r="B21" s="44" t="s">
        <v>29</v>
      </c>
      <c r="C21" s="42" t="str">
        <f t="shared" si="0"/>
        <v>Construção e Manutenção de Estações e Redes de Distribuição de Energia Elétrica-AC</v>
      </c>
      <c r="E21" s="45">
        <v>5.2900000000000003E-2</v>
      </c>
      <c r="F21" s="45">
        <v>5.9200000000000003E-2</v>
      </c>
      <c r="G21" s="45">
        <v>7.9299999999999995E-2</v>
      </c>
      <c r="I21" s="296" t="str">
        <f>IF($I$11=$A$59,"","Despesas Financeiras")</f>
        <v>Despesas Financeiras</v>
      </c>
      <c r="J21" s="296"/>
      <c r="K21" s="296"/>
      <c r="L21" s="296"/>
      <c r="M21" s="50" t="str">
        <f>IF($I$11=$A$59,"","DF")</f>
        <v>DF</v>
      </c>
      <c r="N21" s="51">
        <v>1.11E-2</v>
      </c>
      <c r="O21" s="52" t="s">
        <v>46</v>
      </c>
      <c r="P21" s="53">
        <f>VLOOKUP(CONCATENATE(I$11,"-",M21),$C$2:$G$49,3,FALSE)</f>
        <v>5.8999999999999999E-3</v>
      </c>
      <c r="Q21" s="53">
        <f>VLOOKUP(CONCATENATE(I$11,"-",M21),$C$2:$G$49,4,FALSE)</f>
        <v>1.23E-2</v>
      </c>
      <c r="R21" s="53">
        <f>VLOOKUP(CONCATENATE(I$11,"-",M21),$C$2:$G$49,5,FALSE)</f>
        <v>1.3899999999999999E-2</v>
      </c>
      <c r="T21" s="294"/>
      <c r="U21" s="294"/>
    </row>
    <row r="22" spans="1:31" ht="26.25" customHeight="1" x14ac:dyDescent="0.2">
      <c r="A22" s="42" t="str">
        <f>A21</f>
        <v>Construção e Manutenção de Estações e Redes de Distribuição de Energia Elétrica</v>
      </c>
      <c r="B22" s="44" t="s">
        <v>30</v>
      </c>
      <c r="C22" s="42" t="str">
        <f t="shared" si="0"/>
        <v>Construção e Manutenção de Estações e Redes de Distribuição de Energia Elétrica-SG</v>
      </c>
      <c r="E22" s="45">
        <v>2.5000000000000001E-3</v>
      </c>
      <c r="F22" s="45">
        <v>5.1000000000000004E-3</v>
      </c>
      <c r="G22" s="45">
        <v>5.6000000000000008E-3</v>
      </c>
      <c r="I22" s="296" t="str">
        <f>IF($I$11=$A$59,"Margem bruta da empresa de consultoria","Lucro")</f>
        <v>Lucro</v>
      </c>
      <c r="J22" s="296"/>
      <c r="K22" s="296"/>
      <c r="L22" s="296"/>
      <c r="M22" s="50" t="str">
        <f>IF($I$11=$A$59,"K3","L")</f>
        <v>L</v>
      </c>
      <c r="N22" s="51">
        <v>7.0000000000000007E-2</v>
      </c>
      <c r="O22" s="52" t="s">
        <v>46</v>
      </c>
      <c r="P22" s="53">
        <f>VLOOKUP(CONCATENATE(I$11,"-",M22),$C$2:$G$49,3,FALSE)</f>
        <v>6.1600000000000002E-2</v>
      </c>
      <c r="Q22" s="53">
        <f>VLOOKUP(CONCATENATE(I$11,"-",M22),$C$2:$G$49,4,FALSE)</f>
        <v>7.400000000000001E-2</v>
      </c>
      <c r="R22" s="53">
        <f>VLOOKUP(CONCATENATE(I$11,"-",M22),$C$2:$G$49,5,FALSE)</f>
        <v>8.9600000000000013E-2</v>
      </c>
      <c r="T22" s="294"/>
      <c r="U22" s="294"/>
    </row>
    <row r="23" spans="1:31" ht="26.25" customHeight="1" x14ac:dyDescent="0.2">
      <c r="A23" s="42" t="str">
        <f>A22</f>
        <v>Construção e Manutenção de Estações e Redes de Distribuição de Energia Elétrica</v>
      </c>
      <c r="B23" s="44" t="s">
        <v>31</v>
      </c>
      <c r="C23" s="42" t="str">
        <f t="shared" si="0"/>
        <v>Construção e Manutenção de Estações e Redes de Distribuição de Energia Elétrica-R</v>
      </c>
      <c r="E23" s="45">
        <v>0.01</v>
      </c>
      <c r="F23" s="45">
        <v>1.4800000000000001E-2</v>
      </c>
      <c r="G23" s="45">
        <v>1.9699999999999999E-2</v>
      </c>
      <c r="I23" s="297" t="s">
        <v>48</v>
      </c>
      <c r="J23" s="297"/>
      <c r="K23" s="297"/>
      <c r="L23" s="297"/>
      <c r="M23" s="50" t="s">
        <v>49</v>
      </c>
      <c r="N23" s="51">
        <v>3.6499999999999998E-2</v>
      </c>
      <c r="O23" s="52" t="s">
        <v>46</v>
      </c>
      <c r="P23" s="53">
        <v>3.6499999999999998E-2</v>
      </c>
      <c r="Q23" s="53">
        <v>3.6499999999999998E-2</v>
      </c>
      <c r="R23" s="53">
        <v>3.6499999999999998E-2</v>
      </c>
      <c r="T23" s="294"/>
      <c r="U23" s="294"/>
    </row>
    <row r="24" spans="1:31" ht="26.25" customHeight="1" x14ac:dyDescent="0.2">
      <c r="A24" s="42" t="str">
        <f>A23</f>
        <v>Construção e Manutenção de Estações e Redes de Distribuição de Energia Elétrica</v>
      </c>
      <c r="B24" s="44" t="s">
        <v>32</v>
      </c>
      <c r="C24" s="42" t="str">
        <f t="shared" si="0"/>
        <v>Construção e Manutenção de Estações e Redes de Distribuição de Energia Elétrica-DF</v>
      </c>
      <c r="E24" s="45">
        <v>1.01E-2</v>
      </c>
      <c r="F24" s="45">
        <v>1.0700000000000001E-2</v>
      </c>
      <c r="G24" s="45">
        <v>1.11E-2</v>
      </c>
      <c r="I24" s="296" t="s">
        <v>50</v>
      </c>
      <c r="J24" s="296"/>
      <c r="K24" s="296"/>
      <c r="L24" s="296"/>
      <c r="M24" s="50" t="s">
        <v>51</v>
      </c>
      <c r="N24" s="53">
        <f>IF($I$11&lt;&gt;$A$58,Q14*Q13,0)</f>
        <v>0.02</v>
      </c>
      <c r="O24" s="52" t="s">
        <v>46</v>
      </c>
      <c r="P24" s="53">
        <v>0</v>
      </c>
      <c r="Q24" s="53">
        <v>2.5000000000000001E-2</v>
      </c>
      <c r="R24" s="53">
        <v>0.05</v>
      </c>
      <c r="T24" s="294"/>
      <c r="U24" s="294"/>
    </row>
    <row r="25" spans="1:31" ht="26.25" customHeight="1" x14ac:dyDescent="0.2">
      <c r="A25" s="42" t="str">
        <f>A24</f>
        <v>Construção e Manutenção de Estações e Redes de Distribuição de Energia Elétrica</v>
      </c>
      <c r="B25" s="44" t="s">
        <v>164</v>
      </c>
      <c r="C25" s="42" t="str">
        <f t="shared" si="0"/>
        <v>Construção e Manutenção de Estações e Redes de Distribuição de Energia Elétrica-L</v>
      </c>
      <c r="E25" s="45">
        <v>0.08</v>
      </c>
      <c r="F25" s="45">
        <v>8.3100000000000007E-2</v>
      </c>
      <c r="G25" s="45">
        <v>9.5100000000000004E-2</v>
      </c>
      <c r="I25" s="296" t="s">
        <v>116</v>
      </c>
      <c r="J25" s="296"/>
      <c r="K25" s="296"/>
      <c r="L25" s="296"/>
      <c r="M25" s="50" t="s">
        <v>52</v>
      </c>
      <c r="N25" s="53">
        <f>IF(AND($I$11&lt;&gt;$A$58,Q11="Sim"),4.5%,0%)</f>
        <v>0</v>
      </c>
      <c r="O25" s="52" t="str">
        <f>IF(AND(N25&gt;=P25, N25&lt;=R25), "OK", "Não OK")</f>
        <v>OK</v>
      </c>
      <c r="P25" s="54">
        <v>0</v>
      </c>
      <c r="Q25" s="54">
        <v>4.4999999999999998E-2</v>
      </c>
      <c r="R25" s="54">
        <v>4.4999999999999998E-2</v>
      </c>
    </row>
    <row r="26" spans="1:31" ht="30.75" customHeight="1" x14ac:dyDescent="0.25">
      <c r="A26" s="42" t="str">
        <f>A25</f>
        <v>Construção e Manutenção de Estações e Redes de Distribuição de Energia Elétrica</v>
      </c>
      <c r="B26" s="49" t="s">
        <v>33</v>
      </c>
      <c r="C26" s="42" t="str">
        <f t="shared" si="0"/>
        <v>Construção e Manutenção de Estações e Redes de Distribuição de Energia Elétrica-BDI PAD</v>
      </c>
      <c r="E26" s="45">
        <v>0.24</v>
      </c>
      <c r="F26" s="45">
        <v>0.25840000000000002</v>
      </c>
      <c r="G26" s="45">
        <v>0.27860000000000001</v>
      </c>
      <c r="I26" s="296" t="s">
        <v>53</v>
      </c>
      <c r="J26" s="296"/>
      <c r="K26" s="296"/>
      <c r="L26" s="296"/>
      <c r="M26" s="55" t="s">
        <v>33</v>
      </c>
      <c r="N26" s="53">
        <f>IF($I$11=$A$58,0,ROUND((((1+N18+N19+N20)*(1+N21)*(1+N22)/(1-(N23+N24)))-1),4))</f>
        <v>0.2109</v>
      </c>
      <c r="O26" s="91" t="str">
        <f>IF(OR($I$11=$A$59,$I$11=$A$58,AND(N26&gt;=P26, N26&lt;=R26)), "OK", "FORA DO INTERVALO")</f>
        <v>OK</v>
      </c>
      <c r="P26" s="53">
        <f>IF($I$11=$A$58,0,VLOOKUP(CONCATENATE($I$11,"-",$M26),$C$2:$G$49,3,FALSE))</f>
        <v>0.2034</v>
      </c>
      <c r="Q26" s="53">
        <f>IF($I$11=$A$58,0,VLOOKUP(CONCATENATE($I$11,"-",$M26),$C$2:$G$49,4,FALSE))</f>
        <v>0.22120000000000001</v>
      </c>
      <c r="R26" s="53">
        <f>IF($I$11=$A$58,0,VLOOKUP(CONCATENATE($I$11,"-",$M26),$C$2:$G$49,5,FALSE))</f>
        <v>0.25</v>
      </c>
      <c r="T26" s="92"/>
      <c r="V26" s="93"/>
      <c r="W26" s="93"/>
      <c r="X26" s="93"/>
      <c r="Y26" s="93"/>
      <c r="Z26" s="93"/>
      <c r="AA26" s="93"/>
      <c r="AB26" s="93"/>
      <c r="AC26" s="93"/>
      <c r="AD26" s="93"/>
      <c r="AE26" s="93"/>
    </row>
    <row r="27" spans="1:31" ht="30" customHeight="1" x14ac:dyDescent="0.25">
      <c r="A27" s="42" t="s">
        <v>54</v>
      </c>
      <c r="B27" s="44" t="s">
        <v>29</v>
      </c>
      <c r="C27" s="42" t="str">
        <f t="shared" si="0"/>
        <v>Obras Portuárias, Marítimas e Fluviais-AC</v>
      </c>
      <c r="E27" s="45">
        <v>0.04</v>
      </c>
      <c r="F27" s="45">
        <v>5.5199999999999999E-2</v>
      </c>
      <c r="G27" s="45">
        <v>7.85E-2</v>
      </c>
      <c r="I27" s="307" t="s">
        <v>55</v>
      </c>
      <c r="J27" s="307"/>
      <c r="K27" s="307"/>
      <c r="L27" s="307"/>
      <c r="M27" s="56" t="s">
        <v>56</v>
      </c>
      <c r="N27" s="57">
        <f>IF($I$11=$A$58,0,ROUND((((1+N18+N19+N20)*(1+N21)*(1+N22)/(1-(N23+N24+N25)))-1),4))</f>
        <v>0.2109</v>
      </c>
      <c r="O27" s="95" t="str">
        <f>IF(Q11&lt;&gt;"Sim","",O26)</f>
        <v/>
      </c>
      <c r="P27" s="308"/>
      <c r="Q27" s="308"/>
      <c r="R27" s="308"/>
      <c r="T27" s="92"/>
      <c r="V27" s="96" t="b">
        <f>AND(COUNTA(N18:N23)=6,O26&lt;&gt;"ok",NOT(V29))</f>
        <v>0</v>
      </c>
      <c r="W27" s="42" t="s">
        <v>118</v>
      </c>
    </row>
    <row r="28" spans="1:31" ht="7.5" customHeight="1" x14ac:dyDescent="0.2">
      <c r="A28" s="42" t="str">
        <f>A27</f>
        <v>Obras Portuárias, Marítimas e Fluviais</v>
      </c>
      <c r="B28" s="44" t="s">
        <v>30</v>
      </c>
      <c r="C28" s="42" t="str">
        <f t="shared" si="0"/>
        <v>Obras Portuárias, Marítimas e Fluviais-SG</v>
      </c>
      <c r="E28" s="45">
        <v>8.1000000000000013E-3</v>
      </c>
      <c r="F28" s="45">
        <v>1.2199999999999999E-2</v>
      </c>
      <c r="G28" s="45">
        <v>1.9900000000000001E-2</v>
      </c>
      <c r="V28" s="96"/>
    </row>
    <row r="29" spans="1:31" ht="21.75" customHeight="1" x14ac:dyDescent="0.2">
      <c r="A29" s="42" t="str">
        <f>A28</f>
        <v>Obras Portuárias, Marítimas e Fluviais</v>
      </c>
      <c r="B29" s="44" t="s">
        <v>31</v>
      </c>
      <c r="C29" s="42" t="str">
        <f t="shared" si="0"/>
        <v>Obras Portuárias, Marítimas e Fluviais-R</v>
      </c>
      <c r="E29" s="45">
        <v>1.46E-2</v>
      </c>
      <c r="F29" s="45">
        <v>2.3199999999999998E-2</v>
      </c>
      <c r="G29" s="45">
        <v>3.1600000000000003E-2</v>
      </c>
      <c r="I29" s="94" t="str">
        <f>IF(V29,"X","")</f>
        <v/>
      </c>
      <c r="J29" s="306" t="s">
        <v>117</v>
      </c>
      <c r="K29" s="306"/>
      <c r="L29" s="306"/>
      <c r="M29" s="306"/>
      <c r="N29" s="306"/>
      <c r="O29" s="306"/>
      <c r="P29" s="306"/>
      <c r="Q29" s="306"/>
      <c r="R29" s="306"/>
      <c r="V29" s="96" t="b">
        <v>0</v>
      </c>
      <c r="W29" s="42" t="s">
        <v>119</v>
      </c>
    </row>
    <row r="30" spans="1:31" ht="7.5" customHeight="1" x14ac:dyDescent="0.2">
      <c r="B30" s="44"/>
      <c r="E30" s="45"/>
      <c r="F30" s="45"/>
      <c r="G30" s="45"/>
      <c r="V30" s="96"/>
    </row>
    <row r="31" spans="1:31" ht="18.75" customHeight="1" x14ac:dyDescent="0.2">
      <c r="B31" s="44"/>
      <c r="E31" s="45"/>
      <c r="F31" s="45"/>
      <c r="G31" s="45"/>
      <c r="I31" s="309" t="s">
        <v>61</v>
      </c>
      <c r="J31" s="309"/>
      <c r="K31" s="309"/>
      <c r="L31" s="309"/>
      <c r="M31" s="309"/>
      <c r="N31" s="309"/>
      <c r="O31" s="309"/>
      <c r="P31" s="309"/>
      <c r="Q31" s="309"/>
      <c r="R31" s="309"/>
    </row>
    <row r="32" spans="1:31" ht="30" customHeight="1" x14ac:dyDescent="0.25">
      <c r="A32" s="42" t="str">
        <f>A29</f>
        <v>Obras Portuárias, Marítimas e Fluviais</v>
      </c>
      <c r="B32" s="44" t="s">
        <v>32</v>
      </c>
      <c r="C32" s="42" t="str">
        <f t="shared" si="0"/>
        <v>Obras Portuárias, Marítimas e Fluviais-DF</v>
      </c>
      <c r="E32" s="45">
        <v>9.3999999999999986E-3</v>
      </c>
      <c r="F32" s="45">
        <v>1.0200000000000001E-2</v>
      </c>
      <c r="G32" s="45">
        <v>1.3300000000000001E-2</v>
      </c>
      <c r="I32" s="85"/>
      <c r="J32" s="85"/>
      <c r="K32" s="85"/>
      <c r="L32" s="304" t="str">
        <f>IF(Q11="Sim","BDI.DES =","BDI.PAD =")</f>
        <v>BDI.PAD =</v>
      </c>
      <c r="M32" s="302" t="str">
        <f>IF($I$11=$A$59,"(1+K1+K2)*(1+K3)","(1+AC + S + R + G)*(1 + DF)*(1+L)")</f>
        <v>(1+AC + S + R + G)*(1 + DF)*(1+L)</v>
      </c>
      <c r="N32" s="302"/>
      <c r="O32" s="302"/>
      <c r="P32" s="300" t="s">
        <v>108</v>
      </c>
      <c r="Q32" s="85"/>
      <c r="R32" s="85"/>
    </row>
    <row r="33" spans="1:18" ht="27" customHeight="1" x14ac:dyDescent="0.2">
      <c r="A33" s="42" t="str">
        <f>A32</f>
        <v>Obras Portuárias, Marítimas e Fluviais</v>
      </c>
      <c r="B33" s="44" t="s">
        <v>164</v>
      </c>
      <c r="C33" s="42" t="str">
        <f t="shared" si="0"/>
        <v>Obras Portuárias, Marítimas e Fluviais-L</v>
      </c>
      <c r="E33" s="45">
        <v>7.1399999999999991E-2</v>
      </c>
      <c r="F33" s="45">
        <v>8.4000000000000005E-2</v>
      </c>
      <c r="G33" s="45">
        <v>0.1043</v>
      </c>
      <c r="I33" s="85"/>
      <c r="J33" s="85"/>
      <c r="K33" s="85"/>
      <c r="L33" s="304"/>
      <c r="M33" s="303" t="str">
        <f>IF(Q11="Sim","(1-CP-ISS-CRPB)","(1-CP-ISS)")</f>
        <v>(1-CP-ISS)</v>
      </c>
      <c r="N33" s="303"/>
      <c r="O33" s="303"/>
      <c r="P33" s="301"/>
      <c r="Q33" s="85"/>
      <c r="R33" s="85"/>
    </row>
    <row r="34" spans="1:18" ht="7.5" customHeight="1" x14ac:dyDescent="0.2">
      <c r="A34" s="42" t="str">
        <f>A33</f>
        <v>Obras Portuárias, Marítimas e Fluviais</v>
      </c>
      <c r="B34" s="49" t="s">
        <v>33</v>
      </c>
      <c r="C34" s="42" t="str">
        <f t="shared" si="0"/>
        <v>Obras Portuárias, Marítimas e Fluviais-BDI PAD</v>
      </c>
      <c r="E34" s="45">
        <v>0.22800000000000001</v>
      </c>
      <c r="F34" s="45">
        <v>0.27479999999999999</v>
      </c>
      <c r="G34" s="45">
        <v>0.3095</v>
      </c>
      <c r="I34" s="61"/>
      <c r="J34" s="61"/>
      <c r="K34" s="61"/>
      <c r="L34" s="61"/>
      <c r="M34" s="61"/>
      <c r="N34" s="61"/>
      <c r="O34" s="61"/>
      <c r="P34" s="61"/>
      <c r="Q34" s="61"/>
      <c r="R34" s="61"/>
    </row>
    <row r="35" spans="1:18" ht="45" customHeight="1" x14ac:dyDescent="0.2">
      <c r="B35" s="49"/>
      <c r="E35" s="45"/>
      <c r="F35" s="45"/>
      <c r="G35" s="45"/>
      <c r="I35" s="299"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e Reforma de Edifícios, é de 100%, com a respectiva alíquota de 2%.</v>
      </c>
      <c r="J35" s="299"/>
      <c r="K35" s="299"/>
      <c r="L35" s="299"/>
      <c r="M35" s="299"/>
      <c r="N35" s="299"/>
      <c r="O35" s="299"/>
      <c r="P35" s="299"/>
      <c r="Q35" s="299"/>
      <c r="R35" s="299"/>
    </row>
    <row r="36" spans="1:18" ht="11.25" customHeight="1" x14ac:dyDescent="0.2">
      <c r="B36" s="49"/>
      <c r="E36" s="45"/>
      <c r="F36" s="45"/>
      <c r="G36" s="45"/>
    </row>
    <row r="37" spans="1:18" ht="52.5" customHeight="1" x14ac:dyDescent="0.2">
      <c r="B37" s="49"/>
      <c r="E37" s="45"/>
      <c r="F37" s="45"/>
      <c r="G37" s="45"/>
      <c r="I37" s="299"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299"/>
      <c r="K37" s="299"/>
      <c r="L37" s="299"/>
      <c r="M37" s="299"/>
      <c r="N37" s="299"/>
      <c r="O37" s="299"/>
      <c r="P37" s="299"/>
      <c r="Q37" s="299"/>
      <c r="R37" s="299"/>
    </row>
    <row r="38" spans="1:18" ht="18" customHeight="1" x14ac:dyDescent="0.2">
      <c r="A38" s="42" t="s">
        <v>137</v>
      </c>
      <c r="B38" s="44" t="s">
        <v>29</v>
      </c>
      <c r="C38" s="42" t="str">
        <f t="shared" si="0"/>
        <v>Fornecimento de Materiais e Equipamentos (aquisição indireta - em conjunto com licitação de obras)-AC</v>
      </c>
      <c r="E38" s="45">
        <v>1.4999999999999999E-2</v>
      </c>
      <c r="F38" s="45">
        <v>3.4500000000000003E-2</v>
      </c>
      <c r="G38" s="45">
        <v>4.4900000000000002E-2</v>
      </c>
    </row>
    <row r="39" spans="1:18" x14ac:dyDescent="0.2">
      <c r="A39" s="42" t="str">
        <f>A38</f>
        <v>Fornecimento de Materiais e Equipamentos (aquisição indireta - em conjunto com licitação de obras)</v>
      </c>
      <c r="B39" s="44" t="s">
        <v>30</v>
      </c>
      <c r="C39" s="42" t="str">
        <f t="shared" si="0"/>
        <v>Fornecimento de Materiais e Equipamentos (aquisição indireta - em conjunto com licitação de obras)-SG</v>
      </c>
      <c r="E39" s="45">
        <v>3.0000000000000001E-3</v>
      </c>
      <c r="F39" s="45">
        <v>4.7999999999999996E-3</v>
      </c>
      <c r="G39" s="45">
        <v>8.199999999999999E-3</v>
      </c>
      <c r="I39" s="42" t="s">
        <v>21</v>
      </c>
    </row>
    <row r="40" spans="1:18" ht="42.75" customHeight="1" x14ac:dyDescent="0.2">
      <c r="A40" s="42" t="str">
        <f>A39</f>
        <v>Fornecimento de Materiais e Equipamentos (aquisição indireta - em conjunto com licitação de obras)</v>
      </c>
      <c r="B40" s="44" t="s">
        <v>31</v>
      </c>
      <c r="C40" s="42" t="str">
        <f t="shared" si="0"/>
        <v>Fornecimento de Materiais e Equipamentos (aquisição indireta - em conjunto com licitação de obras)-R</v>
      </c>
      <c r="E40" s="45">
        <v>5.6000000000000008E-3</v>
      </c>
      <c r="F40" s="45">
        <v>8.5000000000000006E-3</v>
      </c>
      <c r="G40" s="45">
        <v>8.8999999999999999E-3</v>
      </c>
      <c r="I40" s="311"/>
      <c r="J40" s="312"/>
      <c r="K40" s="312"/>
      <c r="L40" s="312"/>
      <c r="M40" s="312"/>
      <c r="N40" s="312"/>
      <c r="O40" s="312"/>
      <c r="P40" s="312"/>
      <c r="Q40" s="312"/>
      <c r="R40" s="313"/>
    </row>
    <row r="41" spans="1:18" ht="16.5" customHeight="1" x14ac:dyDescent="0.2">
      <c r="A41" s="42" t="str">
        <f>A40</f>
        <v>Fornecimento de Materiais e Equipamentos (aquisição indireta - em conjunto com licitação de obras)</v>
      </c>
      <c r="B41" s="44" t="s">
        <v>32</v>
      </c>
      <c r="C41" s="42" t="str">
        <f t="shared" si="0"/>
        <v>Fornecimento de Materiais e Equipamentos (aquisição indireta - em conjunto com licitação de obras)-DF</v>
      </c>
      <c r="E41" s="45">
        <v>8.5000000000000006E-3</v>
      </c>
      <c r="F41" s="45">
        <v>8.5000000000000006E-3</v>
      </c>
      <c r="G41" s="45">
        <v>1.11E-2</v>
      </c>
    </row>
    <row r="42" spans="1:18" x14ac:dyDescent="0.2">
      <c r="A42" s="42" t="str">
        <f>A41</f>
        <v>Fornecimento de Materiais e Equipamentos (aquisição indireta - em conjunto com licitação de obras)</v>
      </c>
      <c r="B42" s="44" t="s">
        <v>164</v>
      </c>
      <c r="C42" s="42" t="str">
        <f t="shared" si="0"/>
        <v>Fornecimento de Materiais e Equipamentos (aquisição indireta - em conjunto com licitação de obras)-L</v>
      </c>
      <c r="E42" s="45">
        <v>3.5000000000000003E-2</v>
      </c>
      <c r="F42" s="45">
        <v>5.1100000000000007E-2</v>
      </c>
      <c r="G42" s="45">
        <v>6.2199999999999998E-2</v>
      </c>
      <c r="I42" s="295" t="str">
        <f>PO!K107</f>
        <v>TUCUNDUVA RS</v>
      </c>
      <c r="J42" s="295"/>
      <c r="K42" s="295"/>
      <c r="L42" s="295"/>
      <c r="O42" s="310">
        <f ca="1">PO!K110</f>
        <v>46149</v>
      </c>
      <c r="P42" s="310"/>
      <c r="Q42" s="310"/>
      <c r="R42" s="310"/>
    </row>
    <row r="43" spans="1:18" ht="15" customHeight="1" x14ac:dyDescent="0.2">
      <c r="A43" s="42" t="str">
        <f>A42</f>
        <v>Fornecimento de Materiais e Equipamentos (aquisição indireta - em conjunto com licitação de obras)</v>
      </c>
      <c r="B43" s="49" t="s">
        <v>33</v>
      </c>
      <c r="C43" s="42" t="str">
        <f t="shared" si="0"/>
        <v>Fornecimento de Materiais e Equipamentos (aquisição indireta - em conjunto com licitação de obras)-BDI PAD</v>
      </c>
      <c r="E43" s="45">
        <v>0.111</v>
      </c>
      <c r="F43" s="45">
        <v>0.14019999999999999</v>
      </c>
      <c r="G43" s="45">
        <v>0.16800000000000001</v>
      </c>
      <c r="I43" s="278" t="s">
        <v>120</v>
      </c>
      <c r="J43" s="278"/>
      <c r="K43" s="278"/>
      <c r="L43" s="278"/>
      <c r="N43" s="58"/>
      <c r="O43" s="122" t="s">
        <v>121</v>
      </c>
      <c r="P43" s="123"/>
      <c r="Q43" s="123"/>
      <c r="R43" s="123"/>
    </row>
    <row r="44" spans="1:18" x14ac:dyDescent="0.2">
      <c r="A44" s="42" t="s">
        <v>59</v>
      </c>
      <c r="B44" s="44" t="s">
        <v>104</v>
      </c>
      <c r="C44" s="42" t="str">
        <f t="shared" si="0"/>
        <v>Estudos e Projetos, Planos e Gerenciamento e outros correlatos-K1</v>
      </c>
      <c r="E44" s="45" t="s">
        <v>46</v>
      </c>
      <c r="F44" s="45" t="s">
        <v>46</v>
      </c>
      <c r="G44" s="45" t="s">
        <v>46</v>
      </c>
    </row>
    <row r="45" spans="1:18" ht="30" customHeight="1" x14ac:dyDescent="0.2">
      <c r="A45" s="42" t="str">
        <f>A44</f>
        <v>Estudos e Projetos, Planos e Gerenciamento e outros correlatos</v>
      </c>
      <c r="B45" s="44" t="s">
        <v>105</v>
      </c>
      <c r="C45" s="42" t="str">
        <f t="shared" si="0"/>
        <v>Estudos e Projetos, Planos e Gerenciamento e outros correlatos-K2</v>
      </c>
      <c r="E45" s="45" t="s">
        <v>46</v>
      </c>
      <c r="F45" s="45">
        <v>0.2</v>
      </c>
      <c r="G45" s="45" t="s">
        <v>46</v>
      </c>
      <c r="I45" s="277"/>
      <c r="J45" s="277"/>
      <c r="K45" s="277"/>
      <c r="L45" s="277"/>
      <c r="M45" s="59"/>
      <c r="N45" s="59"/>
      <c r="O45" s="277"/>
      <c r="P45" s="277"/>
      <c r="Q45" s="277"/>
      <c r="R45" s="277"/>
    </row>
    <row r="46" spans="1:18" x14ac:dyDescent="0.2">
      <c r="A46" s="42" t="str">
        <f>A45</f>
        <v>Estudos e Projetos, Planos e Gerenciamento e outros correlatos</v>
      </c>
      <c r="B46" s="44" t="s">
        <v>106</v>
      </c>
      <c r="C46" s="42" t="str">
        <f t="shared" si="0"/>
        <v>Estudos e Projetos, Planos e Gerenciamento e outros correlatos-</v>
      </c>
      <c r="E46" s="45" t="s">
        <v>46</v>
      </c>
      <c r="F46" s="45" t="s">
        <v>46</v>
      </c>
      <c r="G46" s="45" t="s">
        <v>46</v>
      </c>
      <c r="I46" s="314" t="s">
        <v>57</v>
      </c>
      <c r="J46" s="314"/>
      <c r="K46" s="314"/>
      <c r="L46" s="314"/>
      <c r="O46" s="314" t="s">
        <v>58</v>
      </c>
      <c r="P46" s="314"/>
      <c r="Q46" s="314"/>
      <c r="R46" s="314"/>
    </row>
    <row r="47" spans="1:18" ht="14.25" x14ac:dyDescent="0.2">
      <c r="A47" s="42" t="str">
        <f>A46</f>
        <v>Estudos e Projetos, Planos e Gerenciamento e outros correlatos</v>
      </c>
      <c r="B47" s="44" t="s">
        <v>106</v>
      </c>
      <c r="C47" s="42" t="str">
        <f t="shared" si="0"/>
        <v>Estudos e Projetos, Planos e Gerenciamento e outros correlatos-</v>
      </c>
      <c r="E47" s="45" t="s">
        <v>46</v>
      </c>
      <c r="F47" s="45" t="s">
        <v>46</v>
      </c>
      <c r="G47" s="45" t="s">
        <v>46</v>
      </c>
      <c r="I47" s="21" t="s">
        <v>140</v>
      </c>
      <c r="J47" s="305" t="str">
        <f>DADOS!B54</f>
        <v>CRISTIAN SCHENDEL</v>
      </c>
      <c r="K47" s="305"/>
      <c r="L47" s="305"/>
      <c r="M47" s="59"/>
      <c r="N47" s="59"/>
      <c r="O47" s="21" t="s">
        <v>140</v>
      </c>
      <c r="P47" s="276" t="s">
        <v>309</v>
      </c>
      <c r="Q47" s="276"/>
      <c r="R47" s="276"/>
    </row>
    <row r="48" spans="1:18" ht="14.25" x14ac:dyDescent="0.2">
      <c r="A48" s="42" t="str">
        <f>A47</f>
        <v>Estudos e Projetos, Planos e Gerenciamento e outros correlatos</v>
      </c>
      <c r="B48" s="44" t="s">
        <v>107</v>
      </c>
      <c r="C48" s="42" t="str">
        <f t="shared" si="0"/>
        <v>Estudos e Projetos, Planos e Gerenciamento e outros correlatos-K3</v>
      </c>
      <c r="E48" s="45" t="s">
        <v>46</v>
      </c>
      <c r="F48" s="45">
        <v>0.12</v>
      </c>
      <c r="G48" s="45" t="s">
        <v>46</v>
      </c>
      <c r="I48" s="21" t="s">
        <v>17</v>
      </c>
      <c r="J48" s="305" t="str">
        <f>DADOS!B55</f>
        <v>ENG CIVIL</v>
      </c>
      <c r="K48" s="305"/>
      <c r="L48" s="305"/>
      <c r="M48" s="59"/>
      <c r="N48" s="59"/>
      <c r="O48" s="21" t="s">
        <v>60</v>
      </c>
      <c r="P48" s="276" t="s">
        <v>310</v>
      </c>
      <c r="Q48" s="276"/>
      <c r="R48" s="276"/>
    </row>
    <row r="49" spans="1:18" ht="14.25" x14ac:dyDescent="0.2">
      <c r="A49" s="42" t="str">
        <f>A48</f>
        <v>Estudos e Projetos, Planos e Gerenciamento e outros correlatos</v>
      </c>
      <c r="B49" s="49" t="s">
        <v>33</v>
      </c>
      <c r="C49" s="42" t="str">
        <f t="shared" si="0"/>
        <v>Estudos e Projetos, Planos e Gerenciamento e outros correlatos-BDI PAD</v>
      </c>
      <c r="E49" s="45" t="s">
        <v>46</v>
      </c>
      <c r="F49" s="45" t="s">
        <v>46</v>
      </c>
      <c r="G49" s="45" t="s">
        <v>46</v>
      </c>
      <c r="I49" s="21" t="str">
        <f>DADOS!A56</f>
        <v>CREA/CAU:</v>
      </c>
      <c r="J49" s="305" t="str">
        <f>DADOS!B56</f>
        <v>195387RS</v>
      </c>
      <c r="K49" s="305"/>
      <c r="L49" s="305"/>
      <c r="M49" s="59"/>
      <c r="N49" s="59"/>
      <c r="O49" s="59"/>
      <c r="P49" s="59"/>
      <c r="Q49" s="59"/>
      <c r="R49" s="59"/>
    </row>
    <row r="50" spans="1:18" x14ac:dyDescent="0.2">
      <c r="I50" s="21" t="str">
        <f>DADOS!A57</f>
        <v>ART/RRT:</v>
      </c>
      <c r="J50" s="305">
        <f>DADOS!B57</f>
        <v>0</v>
      </c>
      <c r="K50" s="305"/>
      <c r="L50" s="305"/>
    </row>
    <row r="51" spans="1:18" x14ac:dyDescent="0.2"/>
    <row r="52" spans="1:18" hidden="1" x14ac:dyDescent="0.2">
      <c r="A52" s="42" t="s">
        <v>28</v>
      </c>
    </row>
    <row r="53" spans="1:18" hidden="1" x14ac:dyDescent="0.2">
      <c r="A53" s="42" t="s">
        <v>34</v>
      </c>
    </row>
    <row r="54" spans="1:18" hidden="1" x14ac:dyDescent="0.2">
      <c r="A54" s="42" t="s">
        <v>37</v>
      </c>
    </row>
    <row r="55" spans="1:18" hidden="1" x14ac:dyDescent="0.2">
      <c r="A55" s="42" t="s">
        <v>47</v>
      </c>
    </row>
    <row r="56" spans="1:18" hidden="1" x14ac:dyDescent="0.2">
      <c r="A56" s="42" t="s">
        <v>54</v>
      </c>
    </row>
    <row r="57" spans="1:18" hidden="1" x14ac:dyDescent="0.2">
      <c r="A57" s="42" t="s">
        <v>137</v>
      </c>
    </row>
    <row r="58" spans="1:18" hidden="1" x14ac:dyDescent="0.2">
      <c r="A58" s="42" t="s">
        <v>138</v>
      </c>
    </row>
    <row r="59" spans="1:18" hidden="1" x14ac:dyDescent="0.2">
      <c r="A59" s="42" t="s">
        <v>59</v>
      </c>
    </row>
    <row r="60" spans="1:18" ht="14.25" hidden="1" x14ac:dyDescent="0.2">
      <c r="A60" s="60"/>
      <c r="B60" s="59"/>
      <c r="C60" s="59"/>
      <c r="D60" s="59"/>
      <c r="E60" s="59"/>
      <c r="F60" s="59"/>
      <c r="G60" s="59"/>
    </row>
  </sheetData>
  <sheetProtection algorithmName="SHA-512" hashValue="2LqhIQRdrav8zabscfC1wVJZ7YwC0A02FLbJi76AdWtm28y969+vxtFcQsQnzjXXou+mm0box83/iEQvO8VWiw==" saltValue="XkAVFghE2P/k+5r+eRJdZg==" spinCount="100000" sheet="1" objects="1" scenarios="1"/>
  <mergeCells count="55">
    <mergeCell ref="J50:L50"/>
    <mergeCell ref="J29:R29"/>
    <mergeCell ref="I26:L26"/>
    <mergeCell ref="I27:L27"/>
    <mergeCell ref="P27:R27"/>
    <mergeCell ref="O45:R45"/>
    <mergeCell ref="I31:R31"/>
    <mergeCell ref="I35:R35"/>
    <mergeCell ref="O42:R42"/>
    <mergeCell ref="J49:L49"/>
    <mergeCell ref="I40:R40"/>
    <mergeCell ref="I46:L46"/>
    <mergeCell ref="O46:R46"/>
    <mergeCell ref="J47:L47"/>
    <mergeCell ref="P47:R47"/>
    <mergeCell ref="J48:L48"/>
    <mergeCell ref="T16:U24"/>
    <mergeCell ref="I42:L42"/>
    <mergeCell ref="I18:L18"/>
    <mergeCell ref="I19:L19"/>
    <mergeCell ref="I20:L20"/>
    <mergeCell ref="I21:L21"/>
    <mergeCell ref="I22:L22"/>
    <mergeCell ref="I23:L23"/>
    <mergeCell ref="I24:L24"/>
    <mergeCell ref="I25:L25"/>
    <mergeCell ref="R16:R17"/>
    <mergeCell ref="I37:R37"/>
    <mergeCell ref="P32:P33"/>
    <mergeCell ref="M32:O32"/>
    <mergeCell ref="M33:O33"/>
    <mergeCell ref="L32:L33"/>
    <mergeCell ref="I11:P11"/>
    <mergeCell ref="Q11:R11"/>
    <mergeCell ref="I4:J4"/>
    <mergeCell ref="K4:R4"/>
    <mergeCell ref="I5:J5"/>
    <mergeCell ref="K5:R5"/>
    <mergeCell ref="I7:R7"/>
    <mergeCell ref="I8:R8"/>
    <mergeCell ref="I10:P10"/>
    <mergeCell ref="Q10:R10"/>
    <mergeCell ref="P48:R48"/>
    <mergeCell ref="I45:L45"/>
    <mergeCell ref="I43:L43"/>
    <mergeCell ref="Q13:R13"/>
    <mergeCell ref="I14:P14"/>
    <mergeCell ref="Q14:R14"/>
    <mergeCell ref="M16:M17"/>
    <mergeCell ref="I13:P13"/>
    <mergeCell ref="P16:P17"/>
    <mergeCell ref="Q16:Q17"/>
    <mergeCell ref="N16:N17"/>
    <mergeCell ref="I16:L17"/>
    <mergeCell ref="O16:O17"/>
  </mergeCells>
  <phoneticPr fontId="44" type="noConversion"/>
  <conditionalFormatting sqref="O42">
    <cfRule type="expression" dxfId="134" priority="6" stopIfTrue="1">
      <formula>$O$42=""</formula>
    </cfRule>
  </conditionalFormatting>
  <conditionalFormatting sqref="O18:O27">
    <cfRule type="expression" dxfId="133" priority="11" stopIfTrue="1">
      <formula>AND(O18&lt;&gt;"OK",O18&lt;&gt;"-",O18&lt;&gt;"")</formula>
    </cfRule>
    <cfRule type="cellIs" dxfId="132" priority="12" stopIfTrue="1" operator="equal">
      <formula>"OK"</formula>
    </cfRule>
  </conditionalFormatting>
  <conditionalFormatting sqref="I26:N26">
    <cfRule type="expression" dxfId="131" priority="10" stopIfTrue="1">
      <formula>$Q$11="Não"</formula>
    </cfRule>
  </conditionalFormatting>
  <conditionalFormatting sqref="I27:N27">
    <cfRule type="expression" dxfId="130" priority="9" stopIfTrue="1">
      <formula>$Q$11="sim"</formula>
    </cfRule>
  </conditionalFormatting>
  <conditionalFormatting sqref="P27:R27">
    <cfRule type="expression" dxfId="129" priority="8" stopIfTrue="1">
      <formula>$Q$11="sim"</formula>
    </cfRule>
  </conditionalFormatting>
  <conditionalFormatting sqref="P47:R48">
    <cfRule type="expression" dxfId="128" priority="7" stopIfTrue="1">
      <formula>P47=""</formula>
    </cfRule>
  </conditionalFormatting>
  <conditionalFormatting sqref="I29:R29">
    <cfRule type="expression" dxfId="127" priority="3" stopIfTrue="1">
      <formula>AND(NOT($V$27),NOT($V$29))</formula>
    </cfRule>
  </conditionalFormatting>
  <conditionalFormatting sqref="P18:R26">
    <cfRule type="expression" dxfId="126" priority="2" stopIfTrue="1">
      <formula>$I$11=$A$58</formula>
    </cfRule>
  </conditionalFormatting>
  <dataValidations count="6">
    <dataValidation type="list" allowBlank="1" showInputMessage="1" showErrorMessage="1" sqref="I11:P11" xr:uid="{00000000-0002-0000-0100-000000000000}">
      <formula1>$A$52:$A$59</formula1>
    </dataValidation>
    <dataValidation operator="greaterThanOrEqual" allowBlank="1" showInputMessage="1" showErrorMessage="1" errorTitle="Erro de valores" error="Digite um valor igual a 0% ou 2%." sqref="N25" xr:uid="{00000000-0002-0000-0100-000001000000}"/>
    <dataValidation type="decimal" allowBlank="1" showInputMessage="1" showErrorMessage="1" errorTitle="Erro de valores" error="Digite um valor maior do que 0." sqref="N24" xr:uid="{00000000-0002-0000-0100-000002000000}">
      <formula1>0</formula1>
      <formula2>1</formula2>
    </dataValidation>
    <dataValidation type="decimal" allowBlank="1" showInputMessage="1" showErrorMessage="1" errorTitle="Valor não permitido" error="Digite um percentual entre 0% e 100%." promptTitle="Valores admissíveis:" prompt="Insira valores entre 0 e 100%." sqref="Q13:R13" xr:uid="{00000000-0002-0000-0100-000003000000}">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xr:uid="{00000000-0002-0000-0100-000004000000}">
      <formula1>0</formula1>
    </dataValidation>
    <dataValidation type="decimal" allowBlank="1" showInputMessage="1" showErrorMessage="1" errorTitle="Erro de valores" error="Digite um valor entre 0% e 100%" sqref="N18:N23" xr:uid="{00000000-0002-0000-0100-000005000000}">
      <formula1>0</formula1>
      <formula2>1</formula2>
    </dataValidation>
  </dataValidations>
  <pageMargins left="0.78740157480314998" right="0.78740157480314998" top="0.78740157480314998" bottom="0.78740157480314998" header="0.59055118110236204" footer="0.59055118110236204"/>
  <pageSetup paperSize="9" scale="78" orientation="portrait" r:id="rId1"/>
  <headerFooter alignWithMargins="0">
    <oddHeader>&amp;C&amp;14I</oddHeader>
    <oddFooter>&amp;R&amp;P&amp;L27.476 v008   micro</oddFooter>
  </headerFooter>
  <ignoredErrors>
    <ignoredError sqref="V27" unlockedFormula="1"/>
    <ignoredError sqref="P32"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1">
    <tabColor rgb="FFFFFF00"/>
    <pageSetUpPr fitToPage="1"/>
  </sheetPr>
  <dimension ref="A1:AA111"/>
  <sheetViews>
    <sheetView showGridLines="0" tabSelected="1" topLeftCell="J1" zoomScale="70" zoomScaleNormal="70" zoomScaleSheetLayoutView="100" workbookViewId="0">
      <pane ySplit="12" topLeftCell="A13" activePane="bottomLeft" state="frozen"/>
      <selection pane="bottomLeft" activeCell="N78" sqref="N78"/>
    </sheetView>
  </sheetViews>
  <sheetFormatPr defaultRowHeight="12.75" x14ac:dyDescent="0.2"/>
  <cols>
    <col min="1" max="2" width="6.7109375" hidden="1" customWidth="1"/>
    <col min="3" max="7" width="5.7109375" hidden="1" customWidth="1"/>
    <col min="8" max="9" width="6.7109375" hidden="1" customWidth="1"/>
    <col min="10" max="10" width="8.7109375" customWidth="1"/>
    <col min="11" max="11" width="12.7109375" customWidth="1"/>
    <col min="12" max="13" width="15.7109375" customWidth="1"/>
    <col min="14" max="14" width="80.7109375" customWidth="1"/>
    <col min="15" max="15" width="10.7109375" customWidth="1"/>
    <col min="16" max="17" width="15.7109375" customWidth="1"/>
    <col min="18" max="18" width="10.7109375" customWidth="1"/>
    <col min="19" max="21" width="15.7109375" customWidth="1"/>
    <col min="22" max="22" width="9.140625" hidden="1" customWidth="1"/>
    <col min="23" max="23" width="15.7109375" hidden="1" customWidth="1"/>
    <col min="24" max="24" width="20.7109375" hidden="1" customWidth="1"/>
    <col min="25" max="25" width="15.7109375" customWidth="1"/>
  </cols>
  <sheetData>
    <row r="1" spans="1:27" ht="12.95" customHeight="1" x14ac:dyDescent="0.2">
      <c r="A1" s="1"/>
      <c r="B1" s="1"/>
      <c r="E1" s="1"/>
      <c r="F1" s="1"/>
      <c r="G1" s="1"/>
      <c r="H1" s="1"/>
      <c r="I1" s="1"/>
      <c r="J1" s="67"/>
      <c r="K1" s="1"/>
      <c r="L1" s="1"/>
      <c r="M1" s="1"/>
      <c r="N1" s="84" t="s">
        <v>167</v>
      </c>
      <c r="O1" s="1"/>
      <c r="P1" s="68"/>
      <c r="Q1" s="1"/>
      <c r="R1" s="1"/>
      <c r="S1" s="1"/>
      <c r="T1" s="65" t="s">
        <v>165</v>
      </c>
      <c r="U1" s="1"/>
      <c r="V1" s="1"/>
      <c r="W1" s="1"/>
      <c r="X1" s="1"/>
      <c r="Y1" s="1"/>
      <c r="Z1" s="1"/>
      <c r="AA1" s="1"/>
    </row>
    <row r="2" spans="1:27" ht="12.75" customHeight="1" x14ac:dyDescent="0.2">
      <c r="A2" s="1"/>
      <c r="B2" s="1" t="s">
        <v>157</v>
      </c>
      <c r="C2" s="1" t="s">
        <v>99</v>
      </c>
      <c r="D2" s="1" t="s">
        <v>100</v>
      </c>
      <c r="E2" s="1" t="s">
        <v>101</v>
      </c>
      <c r="F2" s="1" t="s">
        <v>102</v>
      </c>
      <c r="G2" s="1" t="s">
        <v>103</v>
      </c>
      <c r="H2" s="1"/>
      <c r="I2" s="1"/>
      <c r="J2" s="1"/>
      <c r="K2" s="1"/>
      <c r="L2" s="1"/>
      <c r="M2" s="1"/>
      <c r="N2" s="87" t="str">
        <f>CHOOSE(1+LOG(1+2*(TipoOrçamento="BASE")+4*(TipoOrçamento="LICITADO")+8*(TipoOrçamento="REPROGRAMADOAC")+16*(TipoOrçamento="REPROGRAMADONPL"),2),"nada","Orçamento Base para Licitação","Orçamento Licitado","Orçamento Licitado Reprogramado","Orçamento Base para Licitação - Reprogramado")</f>
        <v>Orçamento Base para Licitação</v>
      </c>
      <c r="O2" s="1"/>
      <c r="P2" s="1"/>
      <c r="Q2" s="1"/>
      <c r="R2" s="1"/>
      <c r="S2" s="1"/>
      <c r="T2" s="66" t="s">
        <v>166</v>
      </c>
      <c r="U2" s="1"/>
      <c r="V2" s="1"/>
      <c r="W2" s="315" t="s">
        <v>181</v>
      </c>
      <c r="X2" s="315"/>
      <c r="Y2" s="1"/>
      <c r="Z2" s="1"/>
      <c r="AA2" s="1"/>
    </row>
    <row r="3" spans="1:27" ht="12.75" customHeight="1" x14ac:dyDescent="0.2">
      <c r="A3" s="1"/>
      <c r="B3" s="1"/>
      <c r="F3" s="2"/>
      <c r="G3" s="1"/>
      <c r="H3" s="1"/>
      <c r="I3" s="1"/>
      <c r="J3" s="1"/>
      <c r="K3" s="1"/>
      <c r="L3" s="1"/>
      <c r="M3" s="1"/>
      <c r="N3" s="16"/>
      <c r="O3" s="1"/>
      <c r="P3" s="1"/>
      <c r="Q3" s="1"/>
      <c r="R3" s="1"/>
      <c r="S3" s="1"/>
      <c r="T3" s="1"/>
      <c r="U3" s="1"/>
      <c r="V3" s="1"/>
      <c r="W3" s="179" t="s">
        <v>148</v>
      </c>
      <c r="X3" s="182" t="b">
        <v>1</v>
      </c>
      <c r="Y3" s="1"/>
      <c r="Z3" s="1"/>
      <c r="AA3" s="1"/>
    </row>
    <row r="4" spans="1:27" ht="24.95" customHeight="1" x14ac:dyDescent="0.2">
      <c r="A4" s="1" t="s">
        <v>126</v>
      </c>
      <c r="B4" s="1"/>
      <c r="F4" s="2"/>
      <c r="G4" s="1"/>
      <c r="H4" s="1"/>
      <c r="I4" s="1"/>
      <c r="J4" s="1"/>
      <c r="K4" s="1"/>
      <c r="L4" s="1"/>
      <c r="M4" s="1"/>
      <c r="N4" s="1"/>
      <c r="O4" s="1"/>
      <c r="P4" s="1"/>
      <c r="Q4" s="1"/>
      <c r="R4" s="1"/>
      <c r="S4" s="1"/>
      <c r="T4" s="1"/>
      <c r="U4" s="130" t="s">
        <v>188</v>
      </c>
      <c r="W4" s="179" t="s">
        <v>182</v>
      </c>
      <c r="X4" s="182" t="b">
        <v>1</v>
      </c>
      <c r="Y4" s="1"/>
      <c r="Z4" s="1"/>
      <c r="AA4" s="1"/>
    </row>
    <row r="5" spans="1:27" ht="24.95" customHeight="1" x14ac:dyDescent="0.2">
      <c r="A5" s="4">
        <f>MAX($A$12:$A$96)</f>
        <v>2</v>
      </c>
      <c r="B5" s="1"/>
      <c r="F5" s="2"/>
      <c r="G5" s="1"/>
      <c r="H5" s="1"/>
      <c r="I5" s="1"/>
      <c r="J5" s="1"/>
      <c r="K5" s="1"/>
      <c r="L5" s="1"/>
      <c r="M5" s="1"/>
      <c r="N5" s="1"/>
      <c r="O5" s="1"/>
      <c r="P5" s="1"/>
      <c r="Q5" s="1"/>
      <c r="R5" s="1"/>
      <c r="S5" s="1"/>
      <c r="T5" s="1"/>
      <c r="U5" s="101" t="str">
        <f ca="1">IF(COUNTIF($U$12:OFFSET($U$96,-1,0),"DESCRIÇÃO")+COUNTIF($U$12:OFFSET($U$96,-1,0),"UNIDADE")+COUNTIF($U$12:OFFSET($U$96,-1,0),"SEM VALOR")&gt;0,"NÃO OK","OK")</f>
        <v>OK</v>
      </c>
      <c r="V5" s="180" t="s">
        <v>106</v>
      </c>
      <c r="W5" s="179" t="s">
        <v>183</v>
      </c>
      <c r="X5" s="182" t="b">
        <v>1</v>
      </c>
      <c r="Y5" s="1"/>
      <c r="Z5" s="1"/>
      <c r="AA5" s="1"/>
    </row>
    <row r="6" spans="1:27" ht="24.95" customHeight="1" x14ac:dyDescent="0.2">
      <c r="A6" s="1"/>
      <c r="B6" s="1"/>
      <c r="F6" s="2"/>
      <c r="G6" s="1"/>
      <c r="H6" s="1"/>
      <c r="I6" s="1"/>
      <c r="J6" s="1"/>
      <c r="K6" s="1"/>
      <c r="L6" s="1"/>
      <c r="M6" s="1"/>
      <c r="N6" s="1"/>
      <c r="O6" s="1"/>
      <c r="P6" s="1"/>
      <c r="Q6" s="1"/>
      <c r="R6" s="1"/>
      <c r="S6" s="1"/>
      <c r="T6" s="1"/>
      <c r="U6" s="1"/>
      <c r="V6" s="1"/>
      <c r="W6" s="179" t="s">
        <v>184</v>
      </c>
      <c r="X6" s="182" t="b">
        <v>1</v>
      </c>
      <c r="Y6" s="1"/>
      <c r="Z6" s="1"/>
      <c r="AA6" s="1"/>
    </row>
    <row r="7" spans="1:27" ht="24.95" customHeight="1" x14ac:dyDescent="0.2">
      <c r="A7" s="1"/>
      <c r="B7" s="1"/>
      <c r="C7" s="1"/>
      <c r="E7" s="2"/>
      <c r="F7" s="2"/>
      <c r="G7" s="1"/>
      <c r="H7" s="1"/>
      <c r="I7" s="1"/>
      <c r="J7" s="1"/>
      <c r="K7" s="1"/>
      <c r="L7" s="1"/>
      <c r="M7" s="1"/>
      <c r="N7" s="1"/>
      <c r="O7" s="1"/>
      <c r="P7" s="1"/>
      <c r="Q7" s="1"/>
      <c r="R7" s="1"/>
      <c r="S7" s="1"/>
      <c r="T7" s="1"/>
      <c r="U7" s="1"/>
      <c r="V7" s="1"/>
      <c r="W7" s="179" t="s">
        <v>185</v>
      </c>
      <c r="X7" s="182" t="b">
        <v>1</v>
      </c>
      <c r="Y7" s="1"/>
      <c r="Z7" s="1"/>
      <c r="AA7" s="1"/>
    </row>
    <row r="8" spans="1:27" ht="30" customHeight="1" x14ac:dyDescent="0.2">
      <c r="A8" s="1"/>
      <c r="B8" s="1"/>
      <c r="C8" s="1"/>
      <c r="D8" s="1"/>
      <c r="E8" s="2"/>
      <c r="F8" s="2"/>
      <c r="G8" s="1"/>
      <c r="H8" s="1"/>
      <c r="I8" s="1"/>
      <c r="J8" s="1"/>
      <c r="K8" s="1"/>
      <c r="L8" s="1"/>
      <c r="M8" s="1"/>
      <c r="N8" s="1"/>
      <c r="O8" s="1"/>
      <c r="P8" s="1"/>
      <c r="Q8" s="1"/>
      <c r="R8" s="1"/>
      <c r="S8" s="1"/>
      <c r="T8" s="1"/>
      <c r="U8" s="1"/>
      <c r="V8" s="1"/>
      <c r="W8" s="1"/>
      <c r="X8" s="1"/>
      <c r="Y8" s="1"/>
      <c r="Z8" s="1"/>
      <c r="AA8" s="1"/>
    </row>
    <row r="9" spans="1:27" ht="12.75" hidden="1" customHeight="1" x14ac:dyDescent="0.2">
      <c r="A9" s="1"/>
      <c r="B9" s="1"/>
      <c r="C9" s="1"/>
      <c r="D9" s="1"/>
      <c r="E9" s="2"/>
      <c r="F9" s="2"/>
      <c r="G9" s="1"/>
      <c r="H9" s="1"/>
      <c r="I9" s="1"/>
      <c r="J9" s="1"/>
      <c r="K9" s="1"/>
      <c r="L9" s="1"/>
      <c r="M9" s="1"/>
      <c r="N9" s="1"/>
      <c r="O9" s="1"/>
      <c r="P9" s="192" t="str">
        <f ca="1">OFFSET(PLQ!$E$12,ROW($P9)-ROW(P$12),0)</f>
        <v>-</v>
      </c>
      <c r="Q9" s="1"/>
      <c r="R9" s="1"/>
      <c r="S9" s="1"/>
      <c r="T9" s="1"/>
      <c r="U9" s="1"/>
      <c r="V9" s="1"/>
      <c r="W9" s="1"/>
      <c r="X9" s="1"/>
      <c r="Y9" s="1"/>
      <c r="Z9" s="1"/>
      <c r="AA9" s="1"/>
    </row>
    <row r="10" spans="1:27" ht="30" customHeight="1" x14ac:dyDescent="0.2">
      <c r="A10" s="62" t="s">
        <v>3</v>
      </c>
      <c r="B10" s="62" t="s">
        <v>123</v>
      </c>
      <c r="C10" s="62" t="s">
        <v>152</v>
      </c>
      <c r="D10" s="62" t="s">
        <v>153</v>
      </c>
      <c r="E10" s="62" t="s">
        <v>154</v>
      </c>
      <c r="F10" s="62" t="s">
        <v>155</v>
      </c>
      <c r="G10" s="62" t="s">
        <v>156</v>
      </c>
      <c r="H10" s="62" t="s">
        <v>124</v>
      </c>
      <c r="I10" s="62" t="s">
        <v>125</v>
      </c>
      <c r="J10" s="62" t="s">
        <v>3</v>
      </c>
      <c r="K10" s="62" t="s">
        <v>147</v>
      </c>
      <c r="L10" s="62" t="s">
        <v>146</v>
      </c>
      <c r="M10" s="62" t="s">
        <v>4</v>
      </c>
      <c r="N10" s="62" t="s">
        <v>142</v>
      </c>
      <c r="O10" s="63" t="s">
        <v>149</v>
      </c>
      <c r="P10" s="62" t="s">
        <v>148</v>
      </c>
      <c r="Q10" s="62" t="str">
        <f>IF(OR(TipoOrçamento="LICITADO",TipoOrçamento="REPROGRAMADOAC"),"Preço Unitário (R$)","Custo Unitário (R$)")</f>
        <v>Custo Unitário (R$)</v>
      </c>
      <c r="R10" s="62" t="s">
        <v>5</v>
      </c>
      <c r="S10" s="62" t="s">
        <v>151</v>
      </c>
      <c r="T10" s="62" t="s">
        <v>6</v>
      </c>
      <c r="U10" s="62" t="s">
        <v>159</v>
      </c>
      <c r="V10" s="100" t="s">
        <v>161</v>
      </c>
      <c r="W10" s="100" t="s">
        <v>122</v>
      </c>
      <c r="X10" s="100" t="s">
        <v>130</v>
      </c>
      <c r="Y10" s="99" t="str">
        <f>IF(TipoOrçamento="LICITADO","Preço Unitário Edital (R$)","Custo Unitário Referência (R$)")</f>
        <v>Custo Unitário Referência (R$)</v>
      </c>
      <c r="Z10" s="125" t="str">
        <f>IF(TipoOrçamento="LICITADO","Valor BDI Edital","Valor BDI")</f>
        <v>Valor BDI</v>
      </c>
      <c r="AA10" s="1"/>
    </row>
    <row r="11" spans="1:27" hidden="1" x14ac:dyDescent="0.2">
      <c r="A11" t="str">
        <f>CHOOSE(1+LOG(1+2*(J11="Meta")+4*(J11="Nível 2")+8*(J11="Nível 3")+16*(J11="Nível 4")+32*(J11="Serviço"),2),0,1,2,3,4,"S")</f>
        <v>S</v>
      </c>
      <c r="B11">
        <f>IF(OR(A11="S",A11=0),0,IF(ISERROR(I11),H11,SMALL(H11:I11,1)))</f>
        <v>0</v>
      </c>
      <c r="C11" t="str">
        <f ca="1">IF($A11=1,OFFSET(C11,-1,0)+1,OFFSET(C11,-1,0))</f>
        <v>n1</v>
      </c>
      <c r="D11" t="str">
        <f ca="1">IF($A11=1,0,IF($A11=2,OFFSET(D11,-1,0)+1,OFFSET(D11,-1,0)))</f>
        <v>n2</v>
      </c>
      <c r="E11" t="str">
        <f ca="1">IF(AND($A11&lt;=2,$A11&lt;&gt;0),0,IF($A11=3,OFFSET(E11,-1,0)+1,OFFSET(E11,-1,0)))</f>
        <v>n3</v>
      </c>
      <c r="F11" t="str">
        <f ca="1">IF(AND($A11&lt;=3,$A11&lt;&gt;0),0,IF($A11=4,OFFSET(F11,-1,0)+1,OFFSET(F11,-1,0)))</f>
        <v>n4</v>
      </c>
      <c r="G11" t="e">
        <f ca="1">IF(AND($A11&lt;=4,$A11&lt;&gt;0),0,IF($A11="S",OFFSET(G11,-1,0)+1,OFFSET(G11,-1,0)))</f>
        <v>#VALUE!</v>
      </c>
      <c r="H11">
        <f ca="1">IF(OR($A11="S",$A11=0),0,MATCH(0,OFFSET($B11,1,$A11,ROW($A$96)-ROW($A11)),0))</f>
        <v>0</v>
      </c>
      <c r="I11">
        <f ca="1">IF(OR($A11="S",$A11=0),0,MATCH(OFFSET($B11,0,$A11)+1,OFFSET($B11,1,$A11,ROW($A$96)-ROW($A11)),0))</f>
        <v>0</v>
      </c>
      <c r="J11" s="102" t="s">
        <v>103</v>
      </c>
      <c r="K11" s="138" t="e">
        <f ca="1">IF($A11=0,"-",CONCATENATE(C11&amp;".",IF(AND($A$5&gt;=2,$A11&gt;=2),D11&amp;".",""),IF(AND($A$5&gt;=3,$A11&gt;=3),E11&amp;".",""),IF(AND($A$5&gt;=4,$A11&gt;=4),F11&amp;".",""),IF($A11="S",G11&amp;".","")))</f>
        <v>#VALUE!</v>
      </c>
      <c r="L11" s="177"/>
      <c r="M11" s="177"/>
      <c r="N11" s="199" t="str">
        <f ca="1">IF($A11="S",Referencia.Descricao,"(digite a descrição aqui)")</f>
        <v/>
      </c>
      <c r="O11" s="198" t="str">
        <f ca="1">Referencia.Unidade</f>
        <v/>
      </c>
      <c r="P11" s="193">
        <f ca="1">OFFSET(PLQ!$E$12,ROW($P11)-ROW(P$12),0)</f>
        <v>0</v>
      </c>
      <c r="Q11" s="197"/>
      <c r="R11" s="200" t="s">
        <v>7</v>
      </c>
      <c r="S11" s="103">
        <f ca="1">IF($A11="S",IF($Q$10="Preço Unitário (R$)",PO.CustoUnitario,ROUND(PO.CustoUnitario*(1+$Z11),15-13*$X$6)),0)</f>
        <v>0</v>
      </c>
      <c r="T11" s="83">
        <f ca="1">IF($A11="S",VTOTAL1,IF($A11=0,0,ROUND(SomaAgrup,15-13*$X$7)))</f>
        <v>0</v>
      </c>
      <c r="U11" s="9" t="str">
        <f ca="1">IF($J11="","",IF($N11="","DESCRIÇÃO",IF(AND($J11="Serviço",$O11=""),"UNIDADE",IF($T11&lt;=0,"SEM VALOR",IF(AND($Y11&lt;&gt;"",$Q11&gt;$Y11),"ACIMA REF.","")))))</f>
        <v>DESCRIÇÃO</v>
      </c>
      <c r="V11" s="1" t="str">
        <f ca="1">IF(OR($A11=0,$A11="S",$A11&gt;CFF!$A$9),"",MAX(V$12:OFFSET(V11,-1,0))+1)</f>
        <v/>
      </c>
      <c r="W11" s="4" t="b">
        <f>IF(AND($J11="Serviço",$M11&lt;&gt;""),IF($L11="",$M11,CONCATENATE($L11,"-",$M11)))</f>
        <v>0</v>
      </c>
      <c r="X11" s="1" t="str">
        <f ca="1">IF(AND(Fonte&lt;&gt;"",Código&lt;&gt;""),MATCH(Fonte&amp;" "&amp;IF(Fonte="sinapi",SUBSTITUTE(SUBSTITUTE(Código,"/00","/"),"/0","/"),Código),INDIRECT("'[Referência "&amp;_xlnm.Database&amp;".xls]Banco'!$a:$a"),0),"X")</f>
        <v>X</v>
      </c>
      <c r="Y11" s="103">
        <f ca="1">IF(Import.Desoneracao="sim",Referencia.Desonerado,Referencia.NaoDesonerado)</f>
        <v>0</v>
      </c>
      <c r="Z11" s="113">
        <f ca="1">ROUND(IF(ISNUMBER(R11),R11,IF(LEFT(R11,3)="BDI",HLOOKUP(R11,DADOS!$T$37:$X$38,2,FALSE),0)),15-11*$X$5)</f>
        <v>0.2109</v>
      </c>
      <c r="AA11" s="1"/>
    </row>
    <row r="12" spans="1:27" x14ac:dyDescent="0.2">
      <c r="A12">
        <v>0</v>
      </c>
      <c r="B12">
        <f ca="1">COUNTA(OFFSET(B12,1,0):B$96)</f>
        <v>83</v>
      </c>
      <c r="J12" s="64" t="str">
        <f>IF(OR(TipoOrçamento="LICITADO",TipoOrçamento="REPROGRAMADOAC"),"CTEF","LOTE")</f>
        <v>LOTE</v>
      </c>
      <c r="K12" s="139">
        <v>0</v>
      </c>
      <c r="L12" s="6"/>
      <c r="M12" s="6"/>
      <c r="N12" s="73" t="str">
        <f>IF(TipoOrçamento="LICITADO",DADOS!O43,DADOS!G38)</f>
        <v>REFORMA DO CENTRO DE ASSISTÊNCIA A SAÚDE (CAS)</v>
      </c>
      <c r="O12" s="6"/>
      <c r="P12" s="7"/>
      <c r="Q12" s="7"/>
      <c r="R12" s="8"/>
      <c r="S12" s="7"/>
      <c r="T12" s="82">
        <f ca="1">SUMIF(OFFSET($J12,1,0,ROW(T96)-ROW(T12)-1),"Serviço",OFFSET(T12,1,0,ROW(T96)-ROW(T12)-1))</f>
        <v>347736.7699999999</v>
      </c>
      <c r="U12" s="9" t="str">
        <f>IF($N12=0,"DESCRIÇÃO","")</f>
        <v/>
      </c>
      <c r="V12" s="1">
        <v>0</v>
      </c>
      <c r="W12" s="1"/>
      <c r="X12" s="1"/>
      <c r="Y12" s="7"/>
      <c r="Z12" s="114"/>
      <c r="AA12" s="1"/>
    </row>
    <row r="13" spans="1:27" x14ac:dyDescent="0.2">
      <c r="A13">
        <f t="shared" ref="A13:A21" si="0">CHOOSE(1+LOG(1+2*(J13="Meta")+4*(J13="Nível 2")+8*(J13="Nível 3")+16*(J13="Nível 4")+32*(J13="Serviço"),2),0,1,2,3,4,"S")</f>
        <v>1</v>
      </c>
      <c r="B13">
        <f t="shared" ref="B13:B21" ca="1" si="1">IF(OR(A13="S",A13=0),0,IF(ISERROR(I13),H13,SMALL(H13:I13,1)))</f>
        <v>62</v>
      </c>
      <c r="C13">
        <f t="shared" ref="C13:C21" ca="1" si="2">IF($A13=1,OFFSET(C13,-1,0)+1,OFFSET(C13,-1,0))</f>
        <v>1</v>
      </c>
      <c r="D13">
        <f t="shared" ref="D13:D21" ca="1" si="3">IF($A13=1,0,IF($A13=2,OFFSET(D13,-1,0)+1,OFFSET(D13,-1,0)))</f>
        <v>0</v>
      </c>
      <c r="E13">
        <f t="shared" ref="E13:E21" ca="1" si="4">IF(AND($A13&lt;=2,$A13&lt;&gt;0),0,IF($A13=3,OFFSET(E13,-1,0)+1,OFFSET(E13,-1,0)))</f>
        <v>0</v>
      </c>
      <c r="F13">
        <f t="shared" ref="F13:F21" ca="1" si="5">IF(AND($A13&lt;=3,$A13&lt;&gt;0),0,IF($A13=4,OFFSET(F13,-1,0)+1,OFFSET(F13,-1,0)))</f>
        <v>0</v>
      </c>
      <c r="G13">
        <f t="shared" ref="G13:G21" ca="1" si="6">IF(AND($A13&lt;=4,$A13&lt;&gt;0),0,IF($A13="S",OFFSET(G13,-1,0)+1,OFFSET(G13,-1,0)))</f>
        <v>0</v>
      </c>
      <c r="H13">
        <f t="shared" ref="H13:H44" ca="1" si="7">IF(OR($A13="S",$A13=0),0,MATCH(0,OFFSET($B13,1,$A13,ROW($A$96)-ROW($A13)),0))</f>
        <v>83</v>
      </c>
      <c r="I13">
        <f t="shared" ref="I13:I44" ca="1" si="8">IF(OR($A13="S",$A13=0),0,MATCH(OFFSET($B13,0,$A13)+1,OFFSET($B13,1,$A13,ROW($A$96)-ROW($A13)),0))</f>
        <v>62</v>
      </c>
      <c r="J13" s="140" t="s">
        <v>99</v>
      </c>
      <c r="K13" s="138" t="str">
        <f t="shared" ref="K13:K21" ca="1" si="9">IF($A13=0,"-",CONCATENATE(C13&amp;".",IF(AND($A$5&gt;=2,$A13&gt;=2),D13&amp;".",""),IF(AND($A$5&gt;=3,$A13&gt;=3),E13&amp;".",""),IF(AND($A$5&gt;=4,$A13&gt;=4),F13&amp;".",""),IF($A13="S",G13&amp;".","")))</f>
        <v>1.</v>
      </c>
      <c r="L13" s="177"/>
      <c r="M13" s="177"/>
      <c r="N13" s="199" t="s">
        <v>278</v>
      </c>
      <c r="O13" s="198" t="s">
        <v>106</v>
      </c>
      <c r="P13" s="193">
        <f ca="1">OFFSET(PLQ!$E$12,ROW($P13)-ROW(P$12),0)</f>
        <v>0</v>
      </c>
      <c r="Q13" s="197"/>
      <c r="R13" s="200" t="s">
        <v>7</v>
      </c>
      <c r="S13" s="103">
        <f t="shared" ref="S13:S21" si="10">IF($A13="S",IF($Q$10="Preço Unitário (R$)",PO.CustoUnitario,ROUND(PO.CustoUnitario*(1+$Z13),15-13*$X$6)),0)</f>
        <v>0</v>
      </c>
      <c r="T13" s="83">
        <f t="shared" ref="T13:T21" ca="1" si="11">IF($A13="S",VTOTAL1,IF($A13=0,0,ROUND(SomaAgrup,15-13*$X$7)))</f>
        <v>234136.46</v>
      </c>
      <c r="U13" s="9" t="str">
        <f t="shared" ref="U13:U21" ca="1" si="12">IF($J13="","",IF($N13="","DESCRIÇÃO",IF(AND($J13="Serviço",$O13=""),"UNIDADE",IF($T13&lt;=0,"SEM VALOR",IF(AND($Y13&lt;&gt;"",$Q13&gt;$Y13),"ACIMA REF.","")))))</f>
        <v/>
      </c>
      <c r="V13" s="1">
        <f ca="1">IF(OR($A13=0,$A13="S",$A13&gt;CFF!$A$9),"",MAX(V$12:OFFSET(V13,-1,0))+1)</f>
        <v>1</v>
      </c>
      <c r="W13" s="4" t="b">
        <f t="shared" ref="W13:W21" si="13">IF(AND($J13="Serviço",$M13&lt;&gt;""),IF($L13="",$M13,CONCATENATE($L13,"-",$M13)))</f>
        <v>0</v>
      </c>
      <c r="X13" s="1" t="str">
        <f t="shared" ref="X13:X21" ca="1" si="14">IF(AND(Fonte&lt;&gt;"",Código&lt;&gt;""),MATCH(Fonte&amp;" "&amp;IF(Fonte="sinapi",SUBSTITUTE(SUBSTITUTE(Código,"/00","/"),"/0","/"),Código),INDIRECT("'[Referência "&amp;_xlnm.Database&amp;".xls]Banco'!$a:$a"),0),"X")</f>
        <v>X</v>
      </c>
      <c r="Y13" s="103">
        <f ca="1">IF(Import.Desoneracao="sim",Referencia.Desonerado,Referencia.NaoDesonerado)</f>
        <v>0</v>
      </c>
      <c r="Z13" s="113">
        <f ca="1">ROUND(IF(ISNUMBER(R13),R13,IF(LEFT(R13,3)="BDI",HLOOKUP(R13,DADOS!$T$37:$X$38,2,FALSE),0)),15-11*$X$5)</f>
        <v>0.2109</v>
      </c>
      <c r="AA13" s="1"/>
    </row>
    <row r="14" spans="1:27" x14ac:dyDescent="0.2">
      <c r="A14">
        <f>CHOOSE(1+LOG(1+2*(J14="Meta")+4*(J14="Nível 2")+8*(J14="Nível 3")+16*(J14="Nível 4")+32*(J14="Serviço"),2),0,1,2,3,4,"S")</f>
        <v>2</v>
      </c>
      <c r="B14">
        <f ca="1">IF(OR(A14="S",A14=0),0,IF(ISERROR(I14),H14,SMALL(H14:I14,1)))</f>
        <v>3</v>
      </c>
      <c r="C14">
        <f ca="1">IF($A14=1,OFFSET(C14,-1,0)+1,OFFSET(C14,-1,0))</f>
        <v>1</v>
      </c>
      <c r="D14">
        <f ca="1">IF($A14=1,0,IF($A14=2,OFFSET(D14,-1,0)+1,OFFSET(D14,-1,0)))</f>
        <v>1</v>
      </c>
      <c r="E14">
        <f ca="1">IF(AND($A14&lt;=2,$A14&lt;&gt;0),0,IF($A14=3,OFFSET(E14,-1,0)+1,OFFSET(E14,-1,0)))</f>
        <v>0</v>
      </c>
      <c r="F14">
        <f ca="1">IF(AND($A14&lt;=3,$A14&lt;&gt;0),0,IF($A14=4,OFFSET(F14,-1,0)+1,OFFSET(F14,-1,0)))</f>
        <v>0</v>
      </c>
      <c r="G14">
        <f ca="1">IF(AND($A14&lt;=4,$A14&lt;&gt;0),0,IF($A14="S",OFFSET(G14,-1,0)+1,OFFSET(G14,-1,0)))</f>
        <v>0</v>
      </c>
      <c r="H14">
        <f t="shared" ca="1" si="7"/>
        <v>61</v>
      </c>
      <c r="I14">
        <f t="shared" ca="1" si="8"/>
        <v>3</v>
      </c>
      <c r="J14" s="102" t="s">
        <v>100</v>
      </c>
      <c r="K14" s="138" t="str">
        <f ca="1">IF($A14=0,"-",CONCATENATE(C14&amp;".",IF(AND($A$5&gt;=2,$A14&gt;=2),D14&amp;".",""),IF(AND($A$5&gt;=3,$A14&gt;=3),E14&amp;".",""),IF(AND($A$5&gt;=4,$A14&gt;=4),F14&amp;".",""),IF($A14="S",G14&amp;".","")))</f>
        <v>1.1.</v>
      </c>
      <c r="L14" s="177"/>
      <c r="M14" s="177"/>
      <c r="N14" s="199" t="s">
        <v>277</v>
      </c>
      <c r="O14" s="198" t="str">
        <f ca="1">Referencia.Unidade</f>
        <v/>
      </c>
      <c r="P14" s="193">
        <f ca="1">OFFSET(PLQ!$E$12,ROW($P14)-ROW(P$12),0)</f>
        <v>0</v>
      </c>
      <c r="Q14" s="197"/>
      <c r="R14" s="200" t="s">
        <v>7</v>
      </c>
      <c r="S14" s="103">
        <f>IF($A14="S",IF($Q$10="Preço Unitário (R$)",PO.CustoUnitario,ROUND(PO.CustoUnitario*(1+$Z14),15-13*$X$6)),0)</f>
        <v>0</v>
      </c>
      <c r="T14" s="83">
        <f ca="1">IF($A14="S",VTOTAL1,IF($A14=0,0,ROUND(SomaAgrup,15-13*$X$7)))</f>
        <v>3309.26</v>
      </c>
      <c r="U14" s="9" t="str">
        <f ca="1">IF($J14="","",IF($N14="","DESCRIÇÃO",IF(AND($J14="Serviço",$O14=""),"UNIDADE",IF($T14&lt;=0,"SEM VALOR",IF(AND($Y14&lt;&gt;"",$Q14&gt;$Y14),"ACIMA REF.","")))))</f>
        <v/>
      </c>
      <c r="V14" s="1">
        <f ca="1">IF(OR($A14=0,$A14="S",$A14&gt;CFF!$A$9),"",MAX(V$12:OFFSET(V14,-1,0))+1)</f>
        <v>2</v>
      </c>
      <c r="W14" s="4" t="b">
        <f>IF(AND($J14="Serviço",$M14&lt;&gt;""),IF($L14="",$M14,CONCATENATE($L14,"-",$M14)))</f>
        <v>0</v>
      </c>
      <c r="X14" s="1" t="str">
        <f ca="1">IF(AND(Fonte&lt;&gt;"",Código&lt;&gt;""),MATCH(Fonte&amp;" "&amp;IF(Fonte="sinapi",SUBSTITUTE(SUBSTITUTE(Código,"/00","/"),"/0","/"),Código),INDIRECT("'[Referência "&amp;_xlnm.Database&amp;".xls]Banco'!$a:$a"),0),"X")</f>
        <v>X</v>
      </c>
      <c r="Y14" s="103">
        <f ca="1">IF(Import.Desoneracao="sim",Referencia.Desonerado,Referencia.NaoDesonerado)</f>
        <v>0</v>
      </c>
      <c r="Z14" s="113">
        <f ca="1">ROUND(IF(ISNUMBER(R14),R14,IF(LEFT(R14,3)="BDI",HLOOKUP(R14,DADOS!$T$37:$X$38,2,FALSE),0)),15-11*$X$5)</f>
        <v>0.2109</v>
      </c>
      <c r="AA14" s="1"/>
    </row>
    <row r="15" spans="1:27" x14ac:dyDescent="0.2">
      <c r="A15" t="str">
        <f>CHOOSE(1+LOG(1+2*(J15="Meta")+4*(J15="Nível 2")+8*(J15="Nível 3")+16*(J15="Nível 4")+32*(J15="Serviço"),2),0,1,2,3,4,"S")</f>
        <v>S</v>
      </c>
      <c r="B15">
        <f>IF(OR(A15="S",A15=0),0,IF(ISERROR(I15),H15,SMALL(H15:I15,1)))</f>
        <v>0</v>
      </c>
      <c r="C15">
        <f ca="1">IF($A15=1,OFFSET(C15,-1,0)+1,OFFSET(C15,-1,0))</f>
        <v>1</v>
      </c>
      <c r="D15">
        <f ca="1">IF($A15=1,0,IF($A15=2,OFFSET(D15,-1,0)+1,OFFSET(D15,-1,0)))</f>
        <v>1</v>
      </c>
      <c r="E15">
        <f ca="1">IF(AND($A15&lt;=2,$A15&lt;&gt;0),0,IF($A15=3,OFFSET(E15,-1,0)+1,OFFSET(E15,-1,0)))</f>
        <v>0</v>
      </c>
      <c r="F15">
        <f ca="1">IF(AND($A15&lt;=3,$A15&lt;&gt;0),0,IF($A15=4,OFFSET(F15,-1,0)+1,OFFSET(F15,-1,0)))</f>
        <v>0</v>
      </c>
      <c r="G15">
        <f ca="1">IF(AND($A15&lt;=4,$A15&lt;&gt;0),0,IF($A15="S",OFFSET(G15,-1,0)+1,OFFSET(G15,-1,0)))</f>
        <v>1</v>
      </c>
      <c r="H15">
        <f t="shared" ca="1" si="7"/>
        <v>0</v>
      </c>
      <c r="I15">
        <f t="shared" ca="1" si="8"/>
        <v>0</v>
      </c>
      <c r="J15" s="102" t="s">
        <v>103</v>
      </c>
      <c r="K15" s="138" t="str">
        <f ca="1">IF($A15=0,"-",CONCATENATE(C15&amp;".",IF(AND($A$5&gt;=2,$A15&gt;=2),D15&amp;".",""),IF(AND($A$5&gt;=3,$A15&gt;=3),E15&amp;".",""),IF(AND($A$5&gt;=4,$A15&gt;=4),F15&amp;".",""),IF($A15="S",G15&amp;".","")))</f>
        <v>1.1.1.</v>
      </c>
      <c r="L15" s="177" t="s">
        <v>230</v>
      </c>
      <c r="M15" s="177" t="s">
        <v>279</v>
      </c>
      <c r="N15" s="199" t="str">
        <f ca="1">IF($A15="S",Referencia.Descricao,"(digite a descrição aqui)")</f>
        <v>LIMPEZA DE SUPERFÍCIE COM JATO DE ALTA PRESSÃO. AF_04/2019</v>
      </c>
      <c r="O15" s="198" t="str">
        <f ca="1">Referencia.Unidade</f>
        <v>M2</v>
      </c>
      <c r="P15" s="193">
        <f ca="1">OFFSET(PLQ!$E$12,ROW($P15)-ROW(P$12),0)</f>
        <v>628.51</v>
      </c>
      <c r="Q15" s="197">
        <f t="shared" ref="Q15:Q21" ca="1" si="15">Y15</f>
        <v>2.23</v>
      </c>
      <c r="R15" s="200" t="s">
        <v>7</v>
      </c>
      <c r="S15" s="103">
        <f ca="1">IF($A15="S",IF($Q$10="Preço Unitário (R$)",PO.CustoUnitario,ROUND(PO.CustoUnitario*(1+$Z15),15-13*$X$6)),0)</f>
        <v>2.7</v>
      </c>
      <c r="T15" s="83">
        <f ca="1">IF($A15="S",VTOTAL1,IF($A15=0,0,ROUND(SomaAgrup,15-13*$X$7)))</f>
        <v>1696.98</v>
      </c>
      <c r="U15" s="9" t="str">
        <f ca="1">IF($J15="","",IF($N15="","DESCRIÇÃO",IF(AND($J15="Serviço",$O15=""),"UNIDADE",IF($T15&lt;=0,"SEM VALOR",IF(AND($Y15&lt;&gt;"",$Q15&gt;$Y15),"ACIMA REF.","")))))</f>
        <v/>
      </c>
      <c r="V15" s="1" t="str">
        <f ca="1">IF(OR($A15=0,$A15="S",$A15&gt;CFF!$A$9),"",MAX(V$12:OFFSET(V15,-1,0))+1)</f>
        <v/>
      </c>
      <c r="W15" s="4" t="str">
        <f>IF(AND($J15="Serviço",$M15&lt;&gt;""),IF($L15="",$M15,CONCATENATE($L15,"-",$M15)))</f>
        <v>SINAPI-99814</v>
      </c>
      <c r="X15" s="1">
        <f ca="1">IF(AND(Fonte&lt;&gt;"",Código&lt;&gt;""),MATCH(Fonte&amp;" "&amp;IF(Fonte="sinapi",SUBSTITUTE(SUBSTITUTE(Código,"/00","/"),"/0","/"),Código),INDIRECT("'[Referência "&amp;_xlnm.Database&amp;".xls]Banco'!$a:$a"),0),"X")</f>
        <v>12802</v>
      </c>
      <c r="Y15" s="103">
        <f ca="1">IF(Import.Desoneracao="sim",Referencia.Desonerado,Referencia.NaoDesonerado)</f>
        <v>2.23</v>
      </c>
      <c r="Z15" s="113">
        <f ca="1">ROUND(IF(ISNUMBER(R15),R15,IF(LEFT(R15,3)="BDI",HLOOKUP(R15,DADOS!$T$37:$X$38,2,FALSE),0)),15-11*$X$5)</f>
        <v>0.2109</v>
      </c>
      <c r="AA15" s="1"/>
    </row>
    <row r="16" spans="1:27" ht="25.5" x14ac:dyDescent="0.2">
      <c r="A16" t="str">
        <f>CHOOSE(1+LOG(1+2*(J16="Meta")+4*(J16="Nível 2")+8*(J16="Nível 3")+16*(J16="Nível 4")+32*(J16="Serviço"),2),0,1,2,3,4,"S")</f>
        <v>S</v>
      </c>
      <c r="B16">
        <f>IF(OR(A16="S",A16=0),0,IF(ISERROR(I16),H16,SMALL(H16:I16,1)))</f>
        <v>0</v>
      </c>
      <c r="C16">
        <f ca="1">IF($A16=1,OFFSET(C16,-1,0)+1,OFFSET(C16,-1,0))</f>
        <v>1</v>
      </c>
      <c r="D16">
        <f ca="1">IF($A16=1,0,IF($A16=2,OFFSET(D16,-1,0)+1,OFFSET(D16,-1,0)))</f>
        <v>1</v>
      </c>
      <c r="E16">
        <f ca="1">IF(AND($A16&lt;=2,$A16&lt;&gt;0),0,IF($A16=3,OFFSET(E16,-1,0)+1,OFFSET(E16,-1,0)))</f>
        <v>0</v>
      </c>
      <c r="F16">
        <f ca="1">IF(AND($A16&lt;=3,$A16&lt;&gt;0),0,IF($A16=4,OFFSET(F16,-1,0)+1,OFFSET(F16,-1,0)))</f>
        <v>0</v>
      </c>
      <c r="G16">
        <f ca="1">IF(AND($A16&lt;=4,$A16&lt;&gt;0),0,IF($A16="S",OFFSET(G16,-1,0)+1,OFFSET(G16,-1,0)))</f>
        <v>2</v>
      </c>
      <c r="H16">
        <f t="shared" ca="1" si="7"/>
        <v>0</v>
      </c>
      <c r="I16">
        <f t="shared" ca="1" si="8"/>
        <v>0</v>
      </c>
      <c r="J16" s="102" t="s">
        <v>103</v>
      </c>
      <c r="K16" s="138" t="str">
        <f ca="1">IF($A16=0,"-",CONCATENATE(C16&amp;".",IF(AND($A$5&gt;=2,$A16&gt;=2),D16&amp;".",""),IF(AND($A$5&gt;=3,$A16&gt;=3),E16&amp;".",""),IF(AND($A$5&gt;=4,$A16&gt;=4),F16&amp;".",""),IF($A16="S",G16&amp;".","")))</f>
        <v>1.1.2.</v>
      </c>
      <c r="L16" s="177" t="s">
        <v>230</v>
      </c>
      <c r="M16" s="177" t="s">
        <v>311</v>
      </c>
      <c r="N16" s="199" t="str">
        <f ca="1">IF($A16="S",Referencia.Descricao,"(digite a descrição aqui)")</f>
        <v>FORNECIMENTO E INSTALAÇÃO DE PLACA DE OBRA COM CHAPA GALVANIZADA E ESTRUTURA DE MADEIRA. AF_03/2022_PS</v>
      </c>
      <c r="O16" s="198" t="str">
        <f ca="1">Referencia.Unidade</f>
        <v>M2</v>
      </c>
      <c r="P16" s="193">
        <f ca="1">OFFSET(PLQ!$E$12,ROW($P16)-ROW(P$12),0)</f>
        <v>2.88</v>
      </c>
      <c r="Q16" s="197">
        <f t="shared" ca="1" si="15"/>
        <v>462.32</v>
      </c>
      <c r="R16" s="200" t="s">
        <v>7</v>
      </c>
      <c r="S16" s="103">
        <f ca="1">IF($A16="S",IF($Q$10="Preço Unitário (R$)",PO.CustoUnitario,ROUND(PO.CustoUnitario*(1+$Z16),15-13*$X$6)),0)</f>
        <v>559.82000000000005</v>
      </c>
      <c r="T16" s="83">
        <f ca="1">IF($A16="S",VTOTAL1,IF($A16=0,0,ROUND(SomaAgrup,15-13*$X$7)))</f>
        <v>1612.28</v>
      </c>
      <c r="U16" s="9" t="str">
        <f ca="1">IF($J16="","",IF($N16="","DESCRIÇÃO",IF(AND($J16="Serviço",$O16=""),"UNIDADE",IF($T16&lt;=0,"SEM VALOR",IF(AND($Y16&lt;&gt;"",$Q16&gt;$Y16),"ACIMA REF.","")))))</f>
        <v/>
      </c>
      <c r="V16" s="1" t="str">
        <f ca="1">IF(OR($A16=0,$A16="S",$A16&gt;CFF!$A$9),"",MAX(V$12:OFFSET(V16,-1,0))+1)</f>
        <v/>
      </c>
      <c r="W16" s="4" t="str">
        <f>IF(AND($J16="Serviço",$M16&lt;&gt;""),IF($L16="",$M16,CONCATENATE($L16,"-",$M16)))</f>
        <v>SINAPI-103689</v>
      </c>
      <c r="X16" s="1">
        <f ca="1">IF(AND(Fonte&lt;&gt;"",Código&lt;&gt;""),MATCH(Fonte&amp;" "&amp;IF(Fonte="sinapi",SUBSTITUTE(SUBSTITUTE(Código,"/00","/"),"/0","/"),Código),INDIRECT("'[Referência "&amp;_xlnm.Database&amp;".xls]Banco'!$a:$a"),0),"X")</f>
        <v>14888</v>
      </c>
      <c r="Y16" s="103">
        <f ca="1">IF(Import.Desoneracao="sim",Referencia.Desonerado,Referencia.NaoDesonerado)</f>
        <v>462.32</v>
      </c>
      <c r="Z16" s="113">
        <f ca="1">ROUND(IF(ISNUMBER(R16),R16,IF(LEFT(R16,3)="BDI",HLOOKUP(R16,DADOS!$T$37:$X$38,2,FALSE),0)),15-11*$X$5)</f>
        <v>0.2109</v>
      </c>
      <c r="AA16" s="1"/>
    </row>
    <row r="17" spans="1:27" x14ac:dyDescent="0.2">
      <c r="A17">
        <f t="shared" si="0"/>
        <v>2</v>
      </c>
      <c r="B17">
        <f t="shared" ca="1" si="1"/>
        <v>5</v>
      </c>
      <c r="C17">
        <f t="shared" ca="1" si="2"/>
        <v>1</v>
      </c>
      <c r="D17">
        <f t="shared" ca="1" si="3"/>
        <v>2</v>
      </c>
      <c r="E17">
        <f t="shared" ca="1" si="4"/>
        <v>0</v>
      </c>
      <c r="F17">
        <f t="shared" ca="1" si="5"/>
        <v>0</v>
      </c>
      <c r="G17">
        <f t="shared" ca="1" si="6"/>
        <v>0</v>
      </c>
      <c r="H17">
        <f t="shared" ca="1" si="7"/>
        <v>58</v>
      </c>
      <c r="I17">
        <f t="shared" ca="1" si="8"/>
        <v>5</v>
      </c>
      <c r="J17" s="102" t="s">
        <v>100</v>
      </c>
      <c r="K17" s="138" t="str">
        <f t="shared" ca="1" si="9"/>
        <v>1.2.</v>
      </c>
      <c r="L17" s="177"/>
      <c r="M17" s="177"/>
      <c r="N17" s="199" t="str">
        <f>IF($A17="S",Referencia.Descricao,"REFORMA FACHADAS")</f>
        <v>REFORMA FACHADAS</v>
      </c>
      <c r="O17" s="198" t="str">
        <f ca="1">Referencia.Unidade</f>
        <v/>
      </c>
      <c r="P17" s="193">
        <f ca="1">OFFSET(PLQ!$E$12,ROW($P17)-ROW(P$12),0)</f>
        <v>0</v>
      </c>
      <c r="Q17" s="197">
        <f t="shared" ca="1" si="15"/>
        <v>0</v>
      </c>
      <c r="R17" s="200" t="s">
        <v>7</v>
      </c>
      <c r="S17" s="103">
        <f t="shared" si="10"/>
        <v>0</v>
      </c>
      <c r="T17" s="83">
        <f t="shared" ca="1" si="11"/>
        <v>29052.44</v>
      </c>
      <c r="U17" s="9" t="str">
        <f t="shared" ca="1" si="12"/>
        <v/>
      </c>
      <c r="V17" s="1">
        <f ca="1">IF(OR($A17=0,$A17="S",$A17&gt;CFF!$A$9),"",MAX(V$12:OFFSET(V17,-1,0))+1)</f>
        <v>3</v>
      </c>
      <c r="W17" s="4" t="b">
        <f t="shared" si="13"/>
        <v>0</v>
      </c>
      <c r="X17" s="1" t="str">
        <f t="shared" ca="1" si="14"/>
        <v>X</v>
      </c>
      <c r="Y17" s="103">
        <f ca="1">IF(Import.Desoneracao="sim",Referencia.Desonerado,Referencia.NaoDesonerado)</f>
        <v>0</v>
      </c>
      <c r="Z17" s="113">
        <f ca="1">ROUND(IF(ISNUMBER(R17),R17,IF(LEFT(R17,3)="BDI",HLOOKUP(R17,DADOS!$T$37:$X$38,2,FALSE),0)),15-11*$X$5)</f>
        <v>0.2109</v>
      </c>
      <c r="AA17" s="1"/>
    </row>
    <row r="18" spans="1:27" ht="38.25" x14ac:dyDescent="0.2">
      <c r="A18" t="str">
        <f t="shared" si="0"/>
        <v>S</v>
      </c>
      <c r="B18">
        <f t="shared" si="1"/>
        <v>0</v>
      </c>
      <c r="C18">
        <f t="shared" ca="1" si="2"/>
        <v>1</v>
      </c>
      <c r="D18">
        <f t="shared" ca="1" si="3"/>
        <v>2</v>
      </c>
      <c r="E18">
        <f t="shared" ca="1" si="4"/>
        <v>0</v>
      </c>
      <c r="F18">
        <f t="shared" ca="1" si="5"/>
        <v>0</v>
      </c>
      <c r="G18">
        <f t="shared" ca="1" si="6"/>
        <v>1</v>
      </c>
      <c r="H18">
        <f t="shared" ca="1" si="7"/>
        <v>0</v>
      </c>
      <c r="I18">
        <f t="shared" ca="1" si="8"/>
        <v>0</v>
      </c>
      <c r="J18" s="102" t="s">
        <v>103</v>
      </c>
      <c r="K18" s="138" t="str">
        <f t="shared" ca="1" si="9"/>
        <v>1.2.1.</v>
      </c>
      <c r="L18" s="177" t="s">
        <v>230</v>
      </c>
      <c r="M18" s="177" t="s">
        <v>243</v>
      </c>
      <c r="N18" s="199" t="str">
        <f ca="1">IF($A18="S",Referencia.Descricao,"PINTURA DA QUADRA ESPORTIVA")</f>
        <v>CHAPISCO APLICADO EM ALVENARIA (COM PRESENÇA DE VÃOS) E ESTRUTURAS DE CONCRETO DE FACHADA, COM COLHER DE PEDREIRO. ARGAMASSA TRAÇO 1:3 COM PREPARO EM BETONEIRA 400L. AF_10/2022</v>
      </c>
      <c r="O18" s="198" t="str">
        <f ca="1">Referencia.Unidade</f>
        <v>M2</v>
      </c>
      <c r="P18" s="193">
        <f ca="1">OFFSET(PLQ!$E$12,ROW($P18)-ROW(P$12),0)</f>
        <v>260.20999999999998</v>
      </c>
      <c r="Q18" s="197">
        <f t="shared" ca="1" si="15"/>
        <v>8.86</v>
      </c>
      <c r="R18" s="200" t="s">
        <v>7</v>
      </c>
      <c r="S18" s="103">
        <f t="shared" ca="1" si="10"/>
        <v>10.73</v>
      </c>
      <c r="T18" s="83">
        <f t="shared" ca="1" si="11"/>
        <v>2792.05</v>
      </c>
      <c r="U18" s="9" t="str">
        <f t="shared" ca="1" si="12"/>
        <v/>
      </c>
      <c r="V18" s="1" t="str">
        <f ca="1">IF(OR($A18=0,$A18="S",$A18&gt;CFF!$A$9),"",MAX(V$12:OFFSET(V18,-1,0))+1)</f>
        <v/>
      </c>
      <c r="W18" s="4" t="str">
        <f t="shared" si="13"/>
        <v>SINAPI-87905</v>
      </c>
      <c r="X18" s="1">
        <f t="shared" ca="1" si="14"/>
        <v>7282</v>
      </c>
      <c r="Y18" s="103">
        <f ca="1">IF(Import.Desoneracao="sim",Referencia.Desonerado,Referencia.NaoDesonerado)</f>
        <v>8.86</v>
      </c>
      <c r="Z18" s="113">
        <f ca="1">ROUND(IF(ISNUMBER(R18),R18,IF(LEFT(R18,3)="BDI",HLOOKUP(R18,DADOS!$T$37:$X$38,2,FALSE),0)),15-11*$X$5)</f>
        <v>0.2109</v>
      </c>
      <c r="AA18" s="1"/>
    </row>
    <row r="19" spans="1:27" ht="38.25" x14ac:dyDescent="0.2">
      <c r="A19" t="str">
        <f t="shared" si="0"/>
        <v>S</v>
      </c>
      <c r="B19">
        <f t="shared" si="1"/>
        <v>0</v>
      </c>
      <c r="C19">
        <f t="shared" ca="1" si="2"/>
        <v>1</v>
      </c>
      <c r="D19">
        <f t="shared" ca="1" si="3"/>
        <v>2</v>
      </c>
      <c r="E19">
        <f t="shared" ca="1" si="4"/>
        <v>0</v>
      </c>
      <c r="F19">
        <f t="shared" ca="1" si="5"/>
        <v>0</v>
      </c>
      <c r="G19">
        <f t="shared" ca="1" si="6"/>
        <v>2</v>
      </c>
      <c r="H19">
        <f t="shared" ca="1" si="7"/>
        <v>0</v>
      </c>
      <c r="I19">
        <f t="shared" ca="1" si="8"/>
        <v>0</v>
      </c>
      <c r="J19" s="102" t="s">
        <v>103</v>
      </c>
      <c r="K19" s="138" t="str">
        <f t="shared" ca="1" si="9"/>
        <v>1.2.2.</v>
      </c>
      <c r="L19" s="177" t="s">
        <v>230</v>
      </c>
      <c r="M19" s="177" t="s">
        <v>244</v>
      </c>
      <c r="N19" s="199" t="str">
        <f ca="1">IF($A19="S",Referencia.Descricao,"(digite a descrição aqui)")</f>
        <v>EMBOÇO OU MASSA ÚNICA EM ARGAMASSA TRAÇO 1:2:8, PREPARO MANUAL, APLICADA MANUALMENTE EM PANOS DE FACHADA COM PRESENÇA DE VÃOS, ESPESSURA DE 25 MM. AF_08/2022</v>
      </c>
      <c r="O19" s="198" t="str">
        <f ca="1">Referencia.Unidade</f>
        <v>M2</v>
      </c>
      <c r="P19" s="193">
        <f ca="1">OFFSET(PLQ!$E$12,ROW($P19)-ROW(P$12),0)</f>
        <v>260.20999999999998</v>
      </c>
      <c r="Q19" s="197">
        <f t="shared" ca="1" si="15"/>
        <v>62.1</v>
      </c>
      <c r="R19" s="200" t="s">
        <v>7</v>
      </c>
      <c r="S19" s="103">
        <f t="shared" ca="1" si="10"/>
        <v>75.2</v>
      </c>
      <c r="T19" s="83">
        <f t="shared" ca="1" si="11"/>
        <v>19567.79</v>
      </c>
      <c r="U19" s="9" t="str">
        <f t="shared" ca="1" si="12"/>
        <v/>
      </c>
      <c r="V19" s="1" t="str">
        <f ca="1">IF(OR($A19=0,$A19="S",$A19&gt;CFF!$A$9),"",MAX(V$12:OFFSET(V19,-1,0))+1)</f>
        <v/>
      </c>
      <c r="W19" s="4" t="str">
        <f t="shared" si="13"/>
        <v>SINAPI-87777</v>
      </c>
      <c r="X19" s="1">
        <f t="shared" ca="1" si="14"/>
        <v>13354</v>
      </c>
      <c r="Y19" s="103">
        <f ca="1">IF(Import.Desoneracao="sim",Referencia.Desonerado,Referencia.NaoDesonerado)</f>
        <v>62.1</v>
      </c>
      <c r="Z19" s="113">
        <f ca="1">ROUND(IF(ISNUMBER(R19),R19,IF(LEFT(R19,3)="BDI",HLOOKUP(R19,DADOS!$T$37:$X$38,2,FALSE),0)),15-11*$X$5)</f>
        <v>0.2109</v>
      </c>
      <c r="AA19" s="1"/>
    </row>
    <row r="20" spans="1:27" ht="25.5" x14ac:dyDescent="0.2">
      <c r="A20" t="str">
        <f t="shared" si="0"/>
        <v>S</v>
      </c>
      <c r="B20">
        <f t="shared" si="1"/>
        <v>0</v>
      </c>
      <c r="C20">
        <f t="shared" ca="1" si="2"/>
        <v>1</v>
      </c>
      <c r="D20">
        <f t="shared" ca="1" si="3"/>
        <v>2</v>
      </c>
      <c r="E20">
        <f t="shared" ca="1" si="4"/>
        <v>0</v>
      </c>
      <c r="F20">
        <f t="shared" ca="1" si="5"/>
        <v>0</v>
      </c>
      <c r="G20">
        <f t="shared" ca="1" si="6"/>
        <v>3</v>
      </c>
      <c r="H20">
        <f t="shared" ca="1" si="7"/>
        <v>0</v>
      </c>
      <c r="I20">
        <f t="shared" ca="1" si="8"/>
        <v>0</v>
      </c>
      <c r="J20" s="102" t="s">
        <v>103</v>
      </c>
      <c r="K20" s="138" t="str">
        <f t="shared" ca="1" si="9"/>
        <v>1.2.3.</v>
      </c>
      <c r="L20" s="177" t="s">
        <v>230</v>
      </c>
      <c r="M20" s="177" t="s">
        <v>245</v>
      </c>
      <c r="N20" s="199" t="str">
        <f ca="1">IF($A20="S",Referencia.Descricao,"(digite a descrição aqui)")</f>
        <v>APLICAÇÃO MANUAL DE FUNDO SELADOR ACRÍLICO EM PAREDES EXTERNAS DE CASAS. AF_03/2024</v>
      </c>
      <c r="O20" s="198" t="str">
        <f ca="1">Referencia.Unidade</f>
        <v>M2</v>
      </c>
      <c r="P20" s="193">
        <f ca="1">OFFSET(PLQ!$E$12,ROW($P20)-ROW(P$12),0)</f>
        <v>260.20999999999998</v>
      </c>
      <c r="Q20" s="197">
        <f t="shared" ca="1" si="15"/>
        <v>4.3</v>
      </c>
      <c r="R20" s="200" t="s">
        <v>7</v>
      </c>
      <c r="S20" s="103">
        <f t="shared" ca="1" si="10"/>
        <v>5.21</v>
      </c>
      <c r="T20" s="83">
        <f t="shared" ca="1" si="11"/>
        <v>1355.69</v>
      </c>
      <c r="U20" s="9" t="str">
        <f t="shared" ca="1" si="12"/>
        <v/>
      </c>
      <c r="V20" s="1" t="str">
        <f ca="1">IF(OR($A20=0,$A20="S",$A20&gt;CFF!$A$9),"",MAX(V$12:OFFSET(V20,-1,0))+1)</f>
        <v/>
      </c>
      <c r="W20" s="4" t="str">
        <f t="shared" si="13"/>
        <v>SINAPI-88415</v>
      </c>
      <c r="X20" s="1">
        <f t="shared" ca="1" si="14"/>
        <v>13853</v>
      </c>
      <c r="Y20" s="103">
        <f ca="1">IF(Import.Desoneracao="sim",Referencia.Desonerado,Referencia.NaoDesonerado)</f>
        <v>4.3</v>
      </c>
      <c r="Z20" s="113">
        <f ca="1">ROUND(IF(ISNUMBER(R20),R20,IF(LEFT(R20,3)="BDI",HLOOKUP(R20,DADOS!$T$37:$X$38,2,FALSE),0)),15-11*$X$5)</f>
        <v>0.2109</v>
      </c>
      <c r="AA20" s="1"/>
    </row>
    <row r="21" spans="1:27" ht="25.5" x14ac:dyDescent="0.2">
      <c r="A21" t="str">
        <f t="shared" si="0"/>
        <v>S</v>
      </c>
      <c r="B21">
        <f t="shared" si="1"/>
        <v>0</v>
      </c>
      <c r="C21">
        <f t="shared" ca="1" si="2"/>
        <v>1</v>
      </c>
      <c r="D21">
        <f t="shared" ca="1" si="3"/>
        <v>2</v>
      </c>
      <c r="E21">
        <f t="shared" ca="1" si="4"/>
        <v>0</v>
      </c>
      <c r="F21">
        <f t="shared" ca="1" si="5"/>
        <v>0</v>
      </c>
      <c r="G21">
        <f t="shared" ca="1" si="6"/>
        <v>4</v>
      </c>
      <c r="H21">
        <f t="shared" ca="1" si="7"/>
        <v>0</v>
      </c>
      <c r="I21">
        <f t="shared" ca="1" si="8"/>
        <v>0</v>
      </c>
      <c r="J21" s="102" t="s">
        <v>103</v>
      </c>
      <c r="K21" s="138" t="str">
        <f t="shared" ca="1" si="9"/>
        <v>1.2.4.</v>
      </c>
      <c r="L21" s="177" t="s">
        <v>230</v>
      </c>
      <c r="M21" s="177" t="s">
        <v>246</v>
      </c>
      <c r="N21" s="199" t="str">
        <f ca="1">IF($A21="S",Referencia.Descricao,"(digite a descrição aqui)")</f>
        <v>APLICAÇÃO MANUAL DE TINTA LÁTEX ACRÍLICA EM PAREDE EXTERNAS DE CASAS, DUAS DEMÃOS. AF_03/2024</v>
      </c>
      <c r="O21" s="198" t="str">
        <f ca="1">Referencia.Unidade</f>
        <v>M2</v>
      </c>
      <c r="P21" s="193">
        <f ca="1">OFFSET(PLQ!$E$12,ROW($P21)-ROW(P$12),0)</f>
        <v>260.20999999999998</v>
      </c>
      <c r="Q21" s="197">
        <f t="shared" ca="1" si="15"/>
        <v>16.940000000000001</v>
      </c>
      <c r="R21" s="200" t="s">
        <v>7</v>
      </c>
      <c r="S21" s="103">
        <f t="shared" ca="1" si="10"/>
        <v>20.51</v>
      </c>
      <c r="T21" s="83">
        <f t="shared" ca="1" si="11"/>
        <v>5336.91</v>
      </c>
      <c r="U21" s="9" t="str">
        <f t="shared" ca="1" si="12"/>
        <v/>
      </c>
      <c r="V21" s="1" t="str">
        <f ca="1">IF(OR($A21=0,$A21="S",$A21&gt;CFF!$A$9),"",MAX(V$12:OFFSET(V21,-1,0))+1)</f>
        <v/>
      </c>
      <c r="W21" s="4" t="str">
        <f t="shared" si="13"/>
        <v>SINAPI-95626</v>
      </c>
      <c r="X21" s="1">
        <f t="shared" ca="1" si="14"/>
        <v>13879</v>
      </c>
      <c r="Y21" s="103">
        <f ca="1">IF(Import.Desoneracao="sim",Referencia.Desonerado,Referencia.NaoDesonerado)</f>
        <v>16.940000000000001</v>
      </c>
      <c r="Z21" s="113">
        <f ca="1">ROUND(IF(ISNUMBER(R21),R21,IF(LEFT(R21,3)="BDI",HLOOKUP(R21,DADOS!$T$37:$X$38,2,FALSE),0)),15-11*$X$5)</f>
        <v>0.2109</v>
      </c>
      <c r="AA21" s="1"/>
    </row>
    <row r="22" spans="1:27" x14ac:dyDescent="0.2">
      <c r="A22">
        <f t="shared" ref="A22:A58" si="16">CHOOSE(1+LOG(1+2*(J22="Meta")+4*(J22="Nível 2")+8*(J22="Nível 3")+16*(J22="Nível 4")+32*(J22="Serviço"),2),0,1,2,3,4,"S")</f>
        <v>2</v>
      </c>
      <c r="B22">
        <f t="shared" ref="B22:B58" ca="1" si="17">IF(OR(A22="S",A22=0),0,IF(ISERROR(I22),H22,SMALL(H22:I22,1)))</f>
        <v>11</v>
      </c>
      <c r="C22">
        <f t="shared" ref="C22:C58" ca="1" si="18">IF($A22=1,OFFSET(C22,-1,0)+1,OFFSET(C22,-1,0))</f>
        <v>1</v>
      </c>
      <c r="D22">
        <f t="shared" ref="D22:D58" ca="1" si="19">IF($A22=1,0,IF($A22=2,OFFSET(D22,-1,0)+1,OFFSET(D22,-1,0)))</f>
        <v>3</v>
      </c>
      <c r="E22">
        <f t="shared" ref="E22:E58" ca="1" si="20">IF(AND($A22&lt;=2,$A22&lt;&gt;0),0,IF($A22=3,OFFSET(E22,-1,0)+1,OFFSET(E22,-1,0)))</f>
        <v>0</v>
      </c>
      <c r="F22">
        <f t="shared" ref="F22:F58" ca="1" si="21">IF(AND($A22&lt;=3,$A22&lt;&gt;0),0,IF($A22=4,OFFSET(F22,-1,0)+1,OFFSET(F22,-1,0)))</f>
        <v>0</v>
      </c>
      <c r="G22">
        <f t="shared" ref="G22:G58" ca="1" si="22">IF(AND($A22&lt;=4,$A22&lt;&gt;0),0,IF($A22="S",OFFSET(G22,-1,0)+1,OFFSET(G22,-1,0)))</f>
        <v>0</v>
      </c>
      <c r="H22">
        <f t="shared" ca="1" si="7"/>
        <v>53</v>
      </c>
      <c r="I22">
        <f t="shared" ca="1" si="8"/>
        <v>11</v>
      </c>
      <c r="J22" s="102" t="s">
        <v>100</v>
      </c>
      <c r="K22" s="138" t="str">
        <f t="shared" ref="K22:K58" ca="1" si="23">IF($A22=0,"-",CONCATENATE(C22&amp;".",IF(AND($A$5&gt;=2,$A22&gt;=2),D22&amp;".",""),IF(AND($A$5&gt;=3,$A22&gt;=3),E22&amp;".",""),IF(AND($A$5&gt;=4,$A22&gt;=4),F22&amp;".",""),IF($A22="S",G22&amp;".","")))</f>
        <v>1.3.</v>
      </c>
      <c r="L22" s="177" t="s">
        <v>230</v>
      </c>
      <c r="M22" s="177"/>
      <c r="N22" s="199" t="s">
        <v>247</v>
      </c>
      <c r="O22" s="198" t="str">
        <f ca="1">Referencia.Unidade</f>
        <v/>
      </c>
      <c r="P22" s="193">
        <f ca="1">OFFSET(PLQ!$E$12,ROW($P22)-ROW(P$12),0)</f>
        <v>0</v>
      </c>
      <c r="Q22" s="197"/>
      <c r="R22" s="200" t="s">
        <v>7</v>
      </c>
      <c r="S22" s="103">
        <f t="shared" ref="S22:S58" si="24">IF($A22="S",IF($Q$10="Preço Unitário (R$)",PO.CustoUnitario,ROUND(PO.CustoUnitario*(1+$Z22),15-13*$X$6)),0)</f>
        <v>0</v>
      </c>
      <c r="T22" s="83">
        <f t="shared" ref="T22:T58" ca="1" si="25">IF($A22="S",VTOTAL1,IF($A22=0,0,ROUND(SomaAgrup,15-13*$X$7)))</f>
        <v>64480.38</v>
      </c>
      <c r="U22" s="9" t="str">
        <f t="shared" ref="U22:U58" ca="1" si="26">IF($J22="","",IF($N22="","DESCRIÇÃO",IF(AND($J22="Serviço",$O22=""),"UNIDADE",IF($T22&lt;=0,"SEM VALOR",IF(AND($Y22&lt;&gt;"",$Q22&gt;$Y22),"ACIMA REF.","")))))</f>
        <v/>
      </c>
      <c r="V22" s="1">
        <f ca="1">IF(OR($A22=0,$A22="S",$A22&gt;CFF!$A$9),"",MAX(V$12:OFFSET(V22,-1,0))+1)</f>
        <v>4</v>
      </c>
      <c r="W22" s="4" t="b">
        <f t="shared" ref="W22:W58" si="27">IF(AND($J22="Serviço",$M22&lt;&gt;""),IF($L22="",$M22,CONCATENATE($L22,"-",$M22)))</f>
        <v>0</v>
      </c>
      <c r="X22" s="1" t="str">
        <f t="shared" ref="X22:X58" ca="1" si="28">IF(AND(Fonte&lt;&gt;"",Código&lt;&gt;""),MATCH(Fonte&amp;" "&amp;IF(Fonte="sinapi",SUBSTITUTE(SUBSTITUTE(Código,"/00","/"),"/0","/"),Código),INDIRECT("'[Referência "&amp;_xlnm.Database&amp;".xls]Banco'!$a:$a"),0),"X")</f>
        <v>X</v>
      </c>
      <c r="Y22" s="103">
        <f ca="1">IF(Import.Desoneracao="sim",Referencia.Desonerado,Referencia.NaoDesonerado)</f>
        <v>0</v>
      </c>
      <c r="Z22" s="113">
        <f ca="1">ROUND(IF(ISNUMBER(R22),R22,IF(LEFT(R22,3)="BDI",HLOOKUP(R22,DADOS!$T$37:$X$38,2,FALSE),0)),15-11*$X$5)</f>
        <v>0.2109</v>
      </c>
      <c r="AA22" s="1"/>
    </row>
    <row r="23" spans="1:27" ht="38.25" x14ac:dyDescent="0.2">
      <c r="A23" t="str">
        <f t="shared" si="16"/>
        <v>S</v>
      </c>
      <c r="B23">
        <f t="shared" si="17"/>
        <v>0</v>
      </c>
      <c r="C23">
        <f t="shared" ca="1" si="18"/>
        <v>1</v>
      </c>
      <c r="D23">
        <f t="shared" ca="1" si="19"/>
        <v>3</v>
      </c>
      <c r="E23">
        <f t="shared" ca="1" si="20"/>
        <v>0</v>
      </c>
      <c r="F23">
        <f t="shared" ca="1" si="21"/>
        <v>0</v>
      </c>
      <c r="G23">
        <f t="shared" ca="1" si="22"/>
        <v>1</v>
      </c>
      <c r="H23">
        <f t="shared" ca="1" si="7"/>
        <v>0</v>
      </c>
      <c r="I23">
        <f t="shared" ca="1" si="8"/>
        <v>0</v>
      </c>
      <c r="J23" s="102" t="s">
        <v>103</v>
      </c>
      <c r="K23" s="138" t="str">
        <f t="shared" ca="1" si="23"/>
        <v>1.3.1.</v>
      </c>
      <c r="L23" s="177" t="s">
        <v>237</v>
      </c>
      <c r="M23" s="177" t="s">
        <v>239</v>
      </c>
      <c r="N23" s="199" t="str">
        <f ca="1">IF($A23="S",Referencia.Descricao,"(digite a descrição aqui)")</f>
        <v>COLOCAÇÃO DE FORRO DE PVC EM PLACAS 618 X 1243 X 10mm, PARA AMBIENTES COMERCIAIS, COR BRANCA, INCLUSIVE ESTRUTURA BIDERECIONAL DE FIXAÇÃO (SEM FORNECIMENTO DO FORRO) REF. (SINAPI 96486)</v>
      </c>
      <c r="O23" s="198" t="str">
        <f ca="1">Referencia.Unidade</f>
        <v>M2</v>
      </c>
      <c r="P23" s="193">
        <f ca="1">OFFSET(PLQ!$E$12,ROW($P23)-ROW(P$12),0)</f>
        <v>76.790000000000006</v>
      </c>
      <c r="Q23" s="197">
        <f t="shared" ref="Q23:Q35" ca="1" si="29">Y23</f>
        <v>44.899999999999991</v>
      </c>
      <c r="R23" s="200" t="s">
        <v>7</v>
      </c>
      <c r="S23" s="103">
        <f t="shared" ca="1" si="24"/>
        <v>54.37</v>
      </c>
      <c r="T23" s="83">
        <f t="shared" ca="1" si="25"/>
        <v>4175.07</v>
      </c>
      <c r="U23" s="9" t="str">
        <f t="shared" ca="1" si="26"/>
        <v/>
      </c>
      <c r="V23" s="1" t="str">
        <f ca="1">IF(OR($A23=0,$A23="S",$A23&gt;CFF!$A$9),"",MAX(V$12:OFFSET(V23,-1,0))+1)</f>
        <v/>
      </c>
      <c r="W23" s="4" t="str">
        <f t="shared" si="27"/>
        <v>COMPOSIÇÃO-01</v>
      </c>
      <c r="X23" s="1">
        <f t="shared" ca="1" si="28"/>
        <v>7</v>
      </c>
      <c r="Y23" s="103">
        <f ca="1">IF(Import.Desoneracao="sim",Referencia.Desonerado,Referencia.NaoDesonerado)</f>
        <v>44.899999999999991</v>
      </c>
      <c r="Z23" s="113">
        <f ca="1">ROUND(IF(ISNUMBER(R23),R23,IF(LEFT(R23,3)="BDI",HLOOKUP(R23,DADOS!$T$37:$X$38,2,FALSE),0)),15-11*$X$5)</f>
        <v>0.2109</v>
      </c>
      <c r="AA23" s="1"/>
    </row>
    <row r="24" spans="1:27" ht="25.5" x14ac:dyDescent="0.2">
      <c r="A24" t="str">
        <f t="shared" si="16"/>
        <v>S</v>
      </c>
      <c r="B24">
        <f t="shared" si="17"/>
        <v>0</v>
      </c>
      <c r="C24">
        <f t="shared" ca="1" si="18"/>
        <v>1</v>
      </c>
      <c r="D24">
        <f t="shared" ca="1" si="19"/>
        <v>3</v>
      </c>
      <c r="E24">
        <f t="shared" ca="1" si="20"/>
        <v>0</v>
      </c>
      <c r="F24">
        <f t="shared" ca="1" si="21"/>
        <v>0</v>
      </c>
      <c r="G24">
        <f t="shared" ca="1" si="22"/>
        <v>2</v>
      </c>
      <c r="H24">
        <f t="shared" ca="1" si="7"/>
        <v>0</v>
      </c>
      <c r="I24">
        <f t="shared" ca="1" si="8"/>
        <v>0</v>
      </c>
      <c r="J24" s="102" t="s">
        <v>103</v>
      </c>
      <c r="K24" s="138" t="str">
        <f t="shared" ca="1" si="23"/>
        <v>1.3.2.</v>
      </c>
      <c r="L24" s="177" t="s">
        <v>230</v>
      </c>
      <c r="M24" s="177" t="s">
        <v>312</v>
      </c>
      <c r="N24" s="199" t="str">
        <f ca="1">IF($A24="S",Referencia.Descricao,"(digite a descrição aqui)")</f>
        <v>FORRO EM RÉGUAS DE PVC, LISO, PARA AMBIENTES COMERCIAIS, INCLUSIVE ESTRUTURA BIDIRECIONAL DE FIXAÇÃO. AF_08/2023_PS</v>
      </c>
      <c r="O24" s="198" t="str">
        <f ca="1">Referencia.Unidade</f>
        <v>M2</v>
      </c>
      <c r="P24" s="193">
        <f ca="1">OFFSET(PLQ!$E$12,ROW($P24)-ROW(P$12),0)</f>
        <v>274.14</v>
      </c>
      <c r="Q24" s="197">
        <f t="shared" ca="1" si="29"/>
        <v>95.01</v>
      </c>
      <c r="R24" s="200" t="s">
        <v>7</v>
      </c>
      <c r="S24" s="103">
        <f t="shared" ca="1" si="24"/>
        <v>115.05</v>
      </c>
      <c r="T24" s="83">
        <f t="shared" ca="1" si="25"/>
        <v>31539.81</v>
      </c>
      <c r="U24" s="9" t="str">
        <f t="shared" ca="1" si="26"/>
        <v/>
      </c>
      <c r="V24" s="1" t="str">
        <f ca="1">IF(OR($A24=0,$A24="S",$A24&gt;CFF!$A$9),"",MAX(V$12:OFFSET(V24,-1,0))+1)</f>
        <v/>
      </c>
      <c r="W24" s="4" t="str">
        <f t="shared" si="27"/>
        <v>SINAPI-96486</v>
      </c>
      <c r="X24" s="1">
        <f t="shared" ca="1" si="28"/>
        <v>9938</v>
      </c>
      <c r="Y24" s="103">
        <f ca="1">IF(Import.Desoneracao="sim",Referencia.Desonerado,Referencia.NaoDesonerado)</f>
        <v>95.01</v>
      </c>
      <c r="Z24" s="113">
        <f ca="1">ROUND(IF(ISNUMBER(R24),R24,IF(LEFT(R24,3)="BDI",HLOOKUP(R24,DADOS!$T$37:$X$38,2,FALSE),0)),15-11*$X$5)</f>
        <v>0.2109</v>
      </c>
      <c r="AA24" s="1"/>
    </row>
    <row r="25" spans="1:27" ht="25.5" x14ac:dyDescent="0.2">
      <c r="A25" t="str">
        <f>CHOOSE(1+LOG(1+2*(J25="Meta")+4*(J25="Nível 2")+8*(J25="Nível 3")+16*(J25="Nível 4")+32*(J25="Serviço"),2),0,1,2,3,4,"S")</f>
        <v>S</v>
      </c>
      <c r="B25">
        <f>IF(OR(A25="S",A25=0),0,IF(ISERROR(I25),H25,SMALL(H25:I25,1)))</f>
        <v>0</v>
      </c>
      <c r="C25">
        <f ca="1">IF($A25=1,OFFSET(C25,-1,0)+1,OFFSET(C25,-1,0))</f>
        <v>1</v>
      </c>
      <c r="D25">
        <f ca="1">IF($A25=1,0,IF($A25=2,OFFSET(D25,-1,0)+1,OFFSET(D25,-1,0)))</f>
        <v>3</v>
      </c>
      <c r="E25">
        <f ca="1">IF(AND($A25&lt;=2,$A25&lt;&gt;0),0,IF($A25=3,OFFSET(E25,-1,0)+1,OFFSET(E25,-1,0)))</f>
        <v>0</v>
      </c>
      <c r="F25">
        <f ca="1">IF(AND($A25&lt;=3,$A25&lt;&gt;0),0,IF($A25=4,OFFSET(F25,-1,0)+1,OFFSET(F25,-1,0)))</f>
        <v>0</v>
      </c>
      <c r="G25">
        <f ca="1">IF(AND($A25&lt;=4,$A25&lt;&gt;0),0,IF($A25="S",OFFSET(G25,-1,0)+1,OFFSET(G25,-1,0)))</f>
        <v>3</v>
      </c>
      <c r="H25">
        <f t="shared" ca="1" si="7"/>
        <v>0</v>
      </c>
      <c r="I25">
        <f t="shared" ca="1" si="8"/>
        <v>0</v>
      </c>
      <c r="J25" s="102" t="s">
        <v>103</v>
      </c>
      <c r="K25" s="138" t="str">
        <f ca="1">IF($A25=0,"-",CONCATENATE(C25&amp;".",IF(AND($A$5&gt;=2,$A25&gt;=2),D25&amp;".",""),IF(AND($A$5&gt;=3,$A25&gt;=3),E25&amp;".",""),IF(AND($A$5&gt;=4,$A25&gt;=4),F25&amp;".",""),IF($A25="S",G25&amp;".","")))</f>
        <v>1.3.3.</v>
      </c>
      <c r="L25" s="177" t="s">
        <v>230</v>
      </c>
      <c r="M25" s="177" t="s">
        <v>249</v>
      </c>
      <c r="N25" s="199" t="str">
        <f ca="1">IF($A25="S",Referencia.Descricao,"(digite a descrição aqui)")</f>
        <v>FORRO EM RÉGUAS DE PVC, FRISADO, PARA AMBIENTES COMERCIAIS, INCLUSIVE ESTRUTURA BIDIRECIONAL DE FIXAÇÃO. AF_08/2023_PS</v>
      </c>
      <c r="O25" s="198" t="str">
        <f ca="1">Referencia.Unidade</f>
        <v>M2</v>
      </c>
      <c r="P25" s="193">
        <f ca="1">OFFSET(PLQ!$E$12,ROW($P25)-ROW(P$12),0)</f>
        <v>34</v>
      </c>
      <c r="Q25" s="197">
        <f t="shared" ca="1" si="29"/>
        <v>80.930000000000007</v>
      </c>
      <c r="R25" s="200" t="s">
        <v>7</v>
      </c>
      <c r="S25" s="103">
        <f ca="1">IF($A25="S",IF($Q$10="Preço Unitário (R$)",PO.CustoUnitario,ROUND(PO.CustoUnitario*(1+$Z25),15-13*$X$6)),0)</f>
        <v>98</v>
      </c>
      <c r="T25" s="83">
        <f ca="1">IF($A25="S",VTOTAL1,IF($A25=0,0,ROUND(SomaAgrup,15-13*$X$7)))</f>
        <v>3332</v>
      </c>
      <c r="U25" s="9" t="str">
        <f ca="1">IF($J25="","",IF($N25="","DESCRIÇÃO",IF(AND($J25="Serviço",$O25=""),"UNIDADE",IF($T25&lt;=0,"SEM VALOR",IF(AND($Y25&lt;&gt;"",$Q25&gt;$Y25),"ACIMA REF.","")))))</f>
        <v/>
      </c>
      <c r="V25" s="1" t="str">
        <f ca="1">IF(OR($A25=0,$A25="S",$A25&gt;CFF!$A$9),"",MAX(V$12:OFFSET(V25,-1,0))+1)</f>
        <v/>
      </c>
      <c r="W25" s="4" t="str">
        <f>IF(AND($J25="Serviço",$M25&lt;&gt;""),IF($L25="",$M25,CONCATENATE($L25,"-",$M25)))</f>
        <v>SINAPI-96116</v>
      </c>
      <c r="X25" s="1">
        <f ca="1">IF(AND(Fonte&lt;&gt;"",Código&lt;&gt;""),MATCH(Fonte&amp;" "&amp;IF(Fonte="sinapi",SUBSTITUTE(SUBSTITUTE(Código,"/00","/"),"/0","/"),Código),INDIRECT("'[Referência "&amp;_xlnm.Database&amp;".xls]Banco'!$a:$a"),0),"X")</f>
        <v>9936</v>
      </c>
      <c r="Y25" s="103">
        <f ca="1">IF(Import.Desoneracao="sim",Referencia.Desonerado,Referencia.NaoDesonerado)</f>
        <v>80.930000000000007</v>
      </c>
      <c r="Z25" s="113">
        <f ca="1">ROUND(IF(ISNUMBER(R25),R25,IF(LEFT(R25,3)="BDI",HLOOKUP(R25,DADOS!$T$37:$X$38,2,FALSE),0)),15-11*$X$5)</f>
        <v>0.2109</v>
      </c>
      <c r="AA25" s="1"/>
    </row>
    <row r="26" spans="1:27" ht="38.25" x14ac:dyDescent="0.2">
      <c r="A26" t="str">
        <f>CHOOSE(1+LOG(1+2*(J26="Meta")+4*(J26="Nível 2")+8*(J26="Nível 3")+16*(J26="Nível 4")+32*(J26="Serviço"),2),0,1,2,3,4,"S")</f>
        <v>S</v>
      </c>
      <c r="B26">
        <f>IF(OR(A26="S",A26=0),0,IF(ISERROR(I26),H26,SMALL(H26:I26,1)))</f>
        <v>0</v>
      </c>
      <c r="C26">
        <f ca="1">IF($A26=1,OFFSET(C26,-1,0)+1,OFFSET(C26,-1,0))</f>
        <v>1</v>
      </c>
      <c r="D26">
        <f ca="1">IF($A26=1,0,IF($A26=2,OFFSET(D26,-1,0)+1,OFFSET(D26,-1,0)))</f>
        <v>3</v>
      </c>
      <c r="E26">
        <f ca="1">IF(AND($A26&lt;=2,$A26&lt;&gt;0),0,IF($A26=3,OFFSET(E26,-1,0)+1,OFFSET(E26,-1,0)))</f>
        <v>0</v>
      </c>
      <c r="F26">
        <f ca="1">IF(AND($A26&lt;=3,$A26&lt;&gt;0),0,IF($A26=4,OFFSET(F26,-1,0)+1,OFFSET(F26,-1,0)))</f>
        <v>0</v>
      </c>
      <c r="G26">
        <f ca="1">IF(AND($A26&lt;=4,$A26&lt;&gt;0),0,IF($A26="S",OFFSET(G26,-1,0)+1,OFFSET(G26,-1,0)))</f>
        <v>4</v>
      </c>
      <c r="H26">
        <f t="shared" ca="1" si="7"/>
        <v>0</v>
      </c>
      <c r="I26">
        <f t="shared" ca="1" si="8"/>
        <v>0</v>
      </c>
      <c r="J26" s="102" t="s">
        <v>103</v>
      </c>
      <c r="K26" s="138" t="str">
        <f ca="1">IF($A26=0,"-",CONCATENATE(C26&amp;".",IF(AND($A$5&gt;=2,$A26&gt;=2),D26&amp;".",""),IF(AND($A$5&gt;=3,$A26&gt;=3),E26&amp;".",""),IF(AND($A$5&gt;=4,$A26&gt;=4),F26&amp;".",""),IF($A26="S",G26&amp;".","")))</f>
        <v>1.3.4.</v>
      </c>
      <c r="L26" s="177" t="s">
        <v>237</v>
      </c>
      <c r="M26" s="177" t="s">
        <v>318</v>
      </c>
      <c r="N26" s="199" t="str">
        <f ca="1">IF($A26="S",Referencia.Descricao,"(digite a descrição aqui)")</f>
        <v>INSTALAÇÃO DE TESOURA (INTEIRA OU MEIA), BIAPOIADA, PARA VÃOS MAIORES OU IGUAIS A 6,0 M E MENORES QUE 8,0 M, INCLUSO IÇAMENTO. AF_07/2019 (SEM FORNECIMENTO DA TESOURA)</v>
      </c>
      <c r="O26" s="198" t="str">
        <f ca="1">Referencia.Unidade</f>
        <v>UNIDADE</v>
      </c>
      <c r="P26" s="193">
        <f ca="1">OFFSET(PLQ!$E$12,ROW($P26)-ROW(P$12),0)</f>
        <v>10</v>
      </c>
      <c r="Q26" s="197">
        <f ca="1">Y26</f>
        <v>297.75000000000006</v>
      </c>
      <c r="R26" s="200" t="s">
        <v>7</v>
      </c>
      <c r="S26" s="103">
        <f ca="1">IF($A26="S",IF($Q$10="Preço Unitário (R$)",PO.CustoUnitario,ROUND(PO.CustoUnitario*(1+$Z26),15-13*$X$6)),0)</f>
        <v>360.55</v>
      </c>
      <c r="T26" s="83">
        <f ca="1">IF($A26="S",VTOTAL1,IF($A26=0,0,ROUND(SomaAgrup,15-13*$X$7)))</f>
        <v>3605.5</v>
      </c>
      <c r="U26" s="9" t="str">
        <f ca="1">IF($J26="","",IF($N26="","DESCRIÇÃO",IF(AND($J26="Serviço",$O26=""),"UNIDADE",IF($T26&lt;=0,"SEM VALOR",IF(AND($Y26&lt;&gt;"",$Q26&gt;$Y26),"ACIMA REF.","")))))</f>
        <v/>
      </c>
      <c r="V26" s="1" t="str">
        <f ca="1">IF(OR($A26=0,$A26="S",$A26&gt;CFF!$A$9),"",MAX(V$12:OFFSET(V26,-1,0))+1)</f>
        <v/>
      </c>
      <c r="W26" s="4" t="str">
        <f>IF(AND($J26="Serviço",$M26&lt;&gt;""),IF($L26="",$M26,CONCATENATE($L26,"-",$M26)))</f>
        <v>COMPOSIÇÃO-16</v>
      </c>
      <c r="X26" s="1">
        <f ca="1">IF(AND(Fonte&lt;&gt;"",Código&lt;&gt;""),MATCH(Fonte&amp;" "&amp;IF(Fonte="sinapi",SUBSTITUTE(SUBSTITUTE(Código,"/00","/"),"/0","/"),Código),INDIRECT("'[Referência "&amp;_xlnm.Database&amp;".xls]Banco'!$a:$a"),0),"X")</f>
        <v>21</v>
      </c>
      <c r="Y26" s="103">
        <f ca="1">IF(Import.Desoneracao="sim",Referencia.Desonerado,Referencia.NaoDesonerado)</f>
        <v>297.75000000000006</v>
      </c>
      <c r="Z26" s="113">
        <f ca="1">ROUND(IF(ISNUMBER(R26),R26,IF(LEFT(R26,3)="BDI",HLOOKUP(R26,DADOS!$T$37:$X$38,2,FALSE),0)),15-11*$X$5)</f>
        <v>0.2109</v>
      </c>
      <c r="AA26" s="1"/>
    </row>
    <row r="27" spans="1:27" ht="38.25" x14ac:dyDescent="0.2">
      <c r="A27" t="str">
        <f t="shared" si="16"/>
        <v>S</v>
      </c>
      <c r="B27">
        <f t="shared" si="17"/>
        <v>0</v>
      </c>
      <c r="C27">
        <f t="shared" ca="1" si="18"/>
        <v>1</v>
      </c>
      <c r="D27">
        <f t="shared" ca="1" si="19"/>
        <v>3</v>
      </c>
      <c r="E27">
        <f t="shared" ca="1" si="20"/>
        <v>0</v>
      </c>
      <c r="F27">
        <f t="shared" ca="1" si="21"/>
        <v>0</v>
      </c>
      <c r="G27">
        <f t="shared" ca="1" si="22"/>
        <v>5</v>
      </c>
      <c r="H27">
        <f t="shared" ca="1" si="7"/>
        <v>0</v>
      </c>
      <c r="I27">
        <f t="shared" ca="1" si="8"/>
        <v>0</v>
      </c>
      <c r="J27" s="102" t="s">
        <v>103</v>
      </c>
      <c r="K27" s="138" t="str">
        <f t="shared" ca="1" si="23"/>
        <v>1.3.5.</v>
      </c>
      <c r="L27" s="177" t="s">
        <v>230</v>
      </c>
      <c r="M27" s="177" t="s">
        <v>270</v>
      </c>
      <c r="N27" s="199" t="str">
        <f ca="1">IF($A27="S",Referencia.Descricao,"(digite a descrição aqui)")</f>
        <v>TRAMA DE MADEIRA COMPOSTA POR TERÇAS PARA TELHADOS DE ATÉ 2 ÁGUAS PARA TELHA ONDULADA DE FIBROCIMENTO, METÁLICA, PLÁSTICA OU TERMOACÚSTICA, INCLUSO TRANSPORTE VERTICAL. AF_07/2019</v>
      </c>
      <c r="O27" s="198" t="str">
        <f ca="1">Referencia.Unidade</f>
        <v>M2</v>
      </c>
      <c r="P27" s="193">
        <f ca="1">OFFSET(PLQ!$E$12,ROW($P27)-ROW(P$12),0)</f>
        <v>111.27</v>
      </c>
      <c r="Q27" s="197">
        <f t="shared" ca="1" si="29"/>
        <v>22.68</v>
      </c>
      <c r="R27" s="200" t="s">
        <v>7</v>
      </c>
      <c r="S27" s="103">
        <f t="shared" ca="1" si="24"/>
        <v>27.46</v>
      </c>
      <c r="T27" s="83">
        <f t="shared" ca="1" si="25"/>
        <v>3055.47</v>
      </c>
      <c r="U27" s="9" t="str">
        <f t="shared" ca="1" si="26"/>
        <v/>
      </c>
      <c r="V27" s="1" t="str">
        <f ca="1">IF(OR($A27=0,$A27="S",$A27&gt;CFF!$A$9),"",MAX(V$12:OFFSET(V27,-1,0))+1)</f>
        <v/>
      </c>
      <c r="W27" s="4" t="str">
        <f t="shared" si="27"/>
        <v>SINAPI-92543</v>
      </c>
      <c r="X27" s="1">
        <f t="shared" ca="1" si="28"/>
        <v>9746</v>
      </c>
      <c r="Y27" s="103">
        <f ca="1">IF(Import.Desoneracao="sim",Referencia.Desonerado,Referencia.NaoDesonerado)</f>
        <v>22.68</v>
      </c>
      <c r="Z27" s="113">
        <f ca="1">ROUND(IF(ISNUMBER(R27),R27,IF(LEFT(R27,3)="BDI",HLOOKUP(R27,DADOS!$T$37:$X$38,2,FALSE),0)),15-11*$X$5)</f>
        <v>0.2109</v>
      </c>
      <c r="AA27" s="1"/>
    </row>
    <row r="28" spans="1:27" ht="25.5" x14ac:dyDescent="0.2">
      <c r="A28" t="str">
        <f t="shared" si="16"/>
        <v>S</v>
      </c>
      <c r="B28">
        <f t="shared" si="17"/>
        <v>0</v>
      </c>
      <c r="C28">
        <f t="shared" ca="1" si="18"/>
        <v>1</v>
      </c>
      <c r="D28">
        <f t="shared" ca="1" si="19"/>
        <v>3</v>
      </c>
      <c r="E28">
        <f t="shared" ca="1" si="20"/>
        <v>0</v>
      </c>
      <c r="F28">
        <f t="shared" ca="1" si="21"/>
        <v>0</v>
      </c>
      <c r="G28">
        <f t="shared" ca="1" si="22"/>
        <v>6</v>
      </c>
      <c r="H28">
        <f t="shared" ca="1" si="7"/>
        <v>0</v>
      </c>
      <c r="I28">
        <f t="shared" ca="1" si="8"/>
        <v>0</v>
      </c>
      <c r="J28" s="102" t="s">
        <v>103</v>
      </c>
      <c r="K28" s="138" t="str">
        <f t="shared" ca="1" si="23"/>
        <v>1.3.6.</v>
      </c>
      <c r="L28" s="177" t="s">
        <v>230</v>
      </c>
      <c r="M28" s="177" t="s">
        <v>297</v>
      </c>
      <c r="N28" s="199" t="str">
        <f ca="1">IF($A28="S",Referencia.Descricao,"(digite a descrição aqui)")</f>
        <v>TELHAMENTO COM TELHA DE AÇO/ALUMÍNIO E = 0,5 MM, COM ATÉ 2 ÁGUAS, INCLUSO IÇAMENTO. AF_07/2019</v>
      </c>
      <c r="O28" s="198" t="str">
        <f ca="1">Referencia.Unidade</f>
        <v>M2</v>
      </c>
      <c r="P28" s="193">
        <f ca="1">OFFSET(PLQ!$E$12,ROW($P28)-ROW(P$12),0)</f>
        <v>111.27</v>
      </c>
      <c r="Q28" s="197">
        <f t="shared" ca="1" si="29"/>
        <v>61.07</v>
      </c>
      <c r="R28" s="200" t="s">
        <v>7</v>
      </c>
      <c r="S28" s="103">
        <f t="shared" ca="1" si="24"/>
        <v>73.95</v>
      </c>
      <c r="T28" s="83">
        <f t="shared" ca="1" si="25"/>
        <v>8228.42</v>
      </c>
      <c r="U28" s="9" t="str">
        <f t="shared" ca="1" si="26"/>
        <v/>
      </c>
      <c r="V28" s="1" t="str">
        <f ca="1">IF(OR($A28=0,$A28="S",$A28&gt;CFF!$A$9),"",MAX(V$12:OFFSET(V28,-1,0))+1)</f>
        <v/>
      </c>
      <c r="W28" s="4" t="str">
        <f t="shared" si="27"/>
        <v>SINAPI-94213</v>
      </c>
      <c r="X28" s="1">
        <f t="shared" ca="1" si="28"/>
        <v>15077</v>
      </c>
      <c r="Y28" s="103">
        <f ca="1">IF(Import.Desoneracao="sim",Referencia.Desonerado,Referencia.NaoDesonerado)</f>
        <v>61.07</v>
      </c>
      <c r="Z28" s="113">
        <f ca="1">ROUND(IF(ISNUMBER(R28),R28,IF(LEFT(R28,3)="BDI",HLOOKUP(R28,DADOS!$T$37:$X$38,2,FALSE),0)),15-11*$X$5)</f>
        <v>0.2109</v>
      </c>
      <c r="AA28" s="1"/>
    </row>
    <row r="29" spans="1:27" ht="25.5" x14ac:dyDescent="0.2">
      <c r="A29" t="str">
        <f t="shared" si="16"/>
        <v>S</v>
      </c>
      <c r="B29">
        <f t="shared" si="17"/>
        <v>0</v>
      </c>
      <c r="C29">
        <f t="shared" ca="1" si="18"/>
        <v>1</v>
      </c>
      <c r="D29">
        <f t="shared" ca="1" si="19"/>
        <v>3</v>
      </c>
      <c r="E29">
        <f t="shared" ca="1" si="20"/>
        <v>0</v>
      </c>
      <c r="F29">
        <f t="shared" ca="1" si="21"/>
        <v>0</v>
      </c>
      <c r="G29">
        <f t="shared" ca="1" si="22"/>
        <v>7</v>
      </c>
      <c r="H29">
        <f t="shared" ca="1" si="7"/>
        <v>0</v>
      </c>
      <c r="I29">
        <f t="shared" ca="1" si="8"/>
        <v>0</v>
      </c>
      <c r="J29" s="102" t="s">
        <v>103</v>
      </c>
      <c r="K29" s="138" t="str">
        <f t="shared" ca="1" si="23"/>
        <v>1.3.7.</v>
      </c>
      <c r="L29" s="177" t="s">
        <v>230</v>
      </c>
      <c r="M29" s="177" t="s">
        <v>273</v>
      </c>
      <c r="N29" s="199" t="str">
        <f ca="1">IF($A29="S",Referencia.Descricao,"(digite a descrição aqui)")</f>
        <v>RUFO EXTERNO/INTERNO EM CHAPA DE AÇO GALVANIZADO NÚMERO 26, CORTE DE 33 CM, INCLUSO IÇAMENTO. AF_07/2019</v>
      </c>
      <c r="O29" s="198" t="str">
        <f ca="1">Referencia.Unidade</f>
        <v>M</v>
      </c>
      <c r="P29" s="193">
        <f ca="1">OFFSET(PLQ!$E$12,ROW($P29)-ROW(P$12),0)</f>
        <v>13.17</v>
      </c>
      <c r="Q29" s="197">
        <f t="shared" ca="1" si="29"/>
        <v>67.62</v>
      </c>
      <c r="R29" s="200" t="s">
        <v>7</v>
      </c>
      <c r="S29" s="103">
        <f t="shared" ca="1" si="24"/>
        <v>81.88</v>
      </c>
      <c r="T29" s="83">
        <f t="shared" ca="1" si="25"/>
        <v>1078.3599999999999</v>
      </c>
      <c r="U29" s="9" t="str">
        <f t="shared" ca="1" si="26"/>
        <v/>
      </c>
      <c r="V29" s="1" t="str">
        <f ca="1">IF(OR($A29=0,$A29="S",$A29&gt;CFF!$A$9),"",MAX(V$12:OFFSET(V29,-1,0))+1)</f>
        <v/>
      </c>
      <c r="W29" s="4" t="str">
        <f t="shared" si="27"/>
        <v>SINAPI-100327</v>
      </c>
      <c r="X29" s="1">
        <f t="shared" ca="1" si="28"/>
        <v>15063</v>
      </c>
      <c r="Y29" s="103">
        <f ca="1">IF(Import.Desoneracao="sim",Referencia.Desonerado,Referencia.NaoDesonerado)</f>
        <v>67.62</v>
      </c>
      <c r="Z29" s="113">
        <f ca="1">ROUND(IF(ISNUMBER(R29),R29,IF(LEFT(R29,3)="BDI",HLOOKUP(R29,DADOS!$T$37:$X$38,2,FALSE),0)),15-11*$X$5)</f>
        <v>0.2109</v>
      </c>
      <c r="AA29" s="1"/>
    </row>
    <row r="30" spans="1:27" ht="25.5" x14ac:dyDescent="0.2">
      <c r="A30" t="str">
        <f>CHOOSE(1+LOG(1+2*(J30="Meta")+4*(J30="Nível 2")+8*(J30="Nível 3")+16*(J30="Nível 4")+32*(J30="Serviço"),2),0,1,2,3,4,"S")</f>
        <v>S</v>
      </c>
      <c r="B30">
        <f>IF(OR(A30="S",A30=0),0,IF(ISERROR(I30),H30,SMALL(H30:I30,1)))</f>
        <v>0</v>
      </c>
      <c r="C30">
        <f ca="1">IF($A30=1,OFFSET(C30,-1,0)+1,OFFSET(C30,-1,0))</f>
        <v>1</v>
      </c>
      <c r="D30">
        <f ca="1">IF($A30=1,0,IF($A30=2,OFFSET(D30,-1,0)+1,OFFSET(D30,-1,0)))</f>
        <v>3</v>
      </c>
      <c r="E30">
        <f ca="1">IF(AND($A30&lt;=2,$A30&lt;&gt;0),0,IF($A30=3,OFFSET(E30,-1,0)+1,OFFSET(E30,-1,0)))</f>
        <v>0</v>
      </c>
      <c r="F30">
        <f ca="1">IF(AND($A30&lt;=3,$A30&lt;&gt;0),0,IF($A30=4,OFFSET(F30,-1,0)+1,OFFSET(F30,-1,0)))</f>
        <v>0</v>
      </c>
      <c r="G30">
        <f ca="1">IF(AND($A30&lt;=4,$A30&lt;&gt;0),0,IF($A30="S",OFFSET(G30,-1,0)+1,OFFSET(G30,-1,0)))</f>
        <v>8</v>
      </c>
      <c r="H30">
        <f t="shared" ca="1" si="7"/>
        <v>0</v>
      </c>
      <c r="I30">
        <f t="shared" ca="1" si="8"/>
        <v>0</v>
      </c>
      <c r="J30" s="102" t="s">
        <v>103</v>
      </c>
      <c r="K30" s="138" t="str">
        <f ca="1">IF($A30=0,"-",CONCATENATE(C30&amp;".",IF(AND($A$5&gt;=2,$A30&gt;=2),D30&amp;".",""),IF(AND($A$5&gt;=3,$A30&gt;=3),E30&amp;".",""),IF(AND($A$5&gt;=4,$A30&gt;=4),F30&amp;".",""),IF($A30="S",G30&amp;".","")))</f>
        <v>1.3.8.</v>
      </c>
      <c r="L30" s="177" t="s">
        <v>230</v>
      </c>
      <c r="M30" s="177" t="s">
        <v>273</v>
      </c>
      <c r="N30" s="199" t="str">
        <f ca="1">IF($A30="S",Referencia.Descricao,"(digite a descrição aqui)")</f>
        <v>RUFO EXTERNO/INTERNO EM CHAPA DE AÇO GALVANIZADO NÚMERO 26, CORTE DE 33 CM, INCLUSO IÇAMENTO. AF_07/2019</v>
      </c>
      <c r="O30" s="198" t="str">
        <f ca="1">Referencia.Unidade</f>
        <v>M</v>
      </c>
      <c r="P30" s="193">
        <f ca="1">OFFSET(PLQ!$E$12,ROW($P30)-ROW(P$12),0)</f>
        <v>28.68</v>
      </c>
      <c r="Q30" s="197">
        <f t="shared" ca="1" si="29"/>
        <v>67.62</v>
      </c>
      <c r="R30" s="200" t="s">
        <v>7</v>
      </c>
      <c r="S30" s="103">
        <f ca="1">IF($A30="S",IF($Q$10="Preço Unitário (R$)",PO.CustoUnitario,ROUND(PO.CustoUnitario*(1+$Z30),15-13*$X$6)),0)</f>
        <v>81.88</v>
      </c>
      <c r="T30" s="83">
        <f ca="1">IF($A30="S",VTOTAL1,IF($A30=0,0,ROUND(SomaAgrup,15-13*$X$7)))</f>
        <v>2348.3200000000002</v>
      </c>
      <c r="U30" s="9" t="str">
        <f ca="1">IF($J30="","",IF($N30="","DESCRIÇÃO",IF(AND($J30="Serviço",$O30=""),"UNIDADE",IF($T30&lt;=0,"SEM VALOR",IF(AND($Y30&lt;&gt;"",$Q30&gt;$Y30),"ACIMA REF.","")))))</f>
        <v/>
      </c>
      <c r="V30" s="1" t="str">
        <f ca="1">IF(OR($A30=0,$A30="S",$A30&gt;CFF!$A$9),"",MAX(V$12:OFFSET(V30,-1,0))+1)</f>
        <v/>
      </c>
      <c r="W30" s="4" t="str">
        <f>IF(AND($J30="Serviço",$M30&lt;&gt;""),IF($L30="",$M30,CONCATENATE($L30,"-",$M30)))</f>
        <v>SINAPI-100327</v>
      </c>
      <c r="X30" s="1">
        <f ca="1">IF(AND(Fonte&lt;&gt;"",Código&lt;&gt;""),MATCH(Fonte&amp;" "&amp;IF(Fonte="sinapi",SUBSTITUTE(SUBSTITUTE(Código,"/00","/"),"/0","/"),Código),INDIRECT("'[Referência "&amp;_xlnm.Database&amp;".xls]Banco'!$a:$a"),0),"X")</f>
        <v>15063</v>
      </c>
      <c r="Y30" s="103">
        <f ca="1">IF(Import.Desoneracao="sim",Referencia.Desonerado,Referencia.NaoDesonerado)</f>
        <v>67.62</v>
      </c>
      <c r="Z30" s="113">
        <f ca="1">ROUND(IF(ISNUMBER(R30),R30,IF(LEFT(R30,3)="BDI",HLOOKUP(R30,DADOS!$T$37:$X$38,2,FALSE),0)),15-11*$X$5)</f>
        <v>0.2109</v>
      </c>
      <c r="AA30" s="1"/>
    </row>
    <row r="31" spans="1:27" ht="25.5" x14ac:dyDescent="0.2">
      <c r="A31" t="str">
        <f t="shared" si="16"/>
        <v>S</v>
      </c>
      <c r="B31">
        <f t="shared" si="17"/>
        <v>0</v>
      </c>
      <c r="C31">
        <f t="shared" ca="1" si="18"/>
        <v>1</v>
      </c>
      <c r="D31">
        <f t="shared" ca="1" si="19"/>
        <v>3</v>
      </c>
      <c r="E31">
        <f t="shared" ca="1" si="20"/>
        <v>0</v>
      </c>
      <c r="F31">
        <f t="shared" ca="1" si="21"/>
        <v>0</v>
      </c>
      <c r="G31">
        <f t="shared" ca="1" si="22"/>
        <v>9</v>
      </c>
      <c r="H31">
        <f t="shared" ca="1" si="7"/>
        <v>0</v>
      </c>
      <c r="I31">
        <f t="shared" ca="1" si="8"/>
        <v>0</v>
      </c>
      <c r="J31" s="102" t="s">
        <v>103</v>
      </c>
      <c r="K31" s="138" t="str">
        <f t="shared" ca="1" si="23"/>
        <v>1.3.9.</v>
      </c>
      <c r="L31" s="177" t="s">
        <v>230</v>
      </c>
      <c r="M31" s="177" t="s">
        <v>271</v>
      </c>
      <c r="N31" s="199" t="str">
        <f ca="1">IF($A31="S",Referencia.Descricao,"(digite a descrição aqui)")</f>
        <v>CALHA EM CHAPA DE AÇO GALVANIZADO NÚMERO 24, DESENVOLVIMENTO DE 50 CM, INCLUSO TRANSPORTE VERTICAL. AF_07/2019</v>
      </c>
      <c r="O31" s="198" t="str">
        <f ca="1">Referencia.Unidade</f>
        <v>M</v>
      </c>
      <c r="P31" s="193">
        <f ca="1">OFFSET(PLQ!$E$12,ROW($P31)-ROW(P$12),0)</f>
        <v>55.42</v>
      </c>
      <c r="Q31" s="197">
        <f t="shared" ca="1" si="29"/>
        <v>100.71</v>
      </c>
      <c r="R31" s="200" t="s">
        <v>7</v>
      </c>
      <c r="S31" s="103">
        <f t="shared" ca="1" si="24"/>
        <v>121.95</v>
      </c>
      <c r="T31" s="83">
        <f t="shared" ca="1" si="25"/>
        <v>6758.47</v>
      </c>
      <c r="U31" s="9" t="str">
        <f t="shared" ca="1" si="26"/>
        <v/>
      </c>
      <c r="V31" s="1" t="str">
        <f ca="1">IF(OR($A31=0,$A31="S",$A31&gt;CFF!$A$9),"",MAX(V$12:OFFSET(V31,-1,0))+1)</f>
        <v/>
      </c>
      <c r="W31" s="4" t="str">
        <f t="shared" si="27"/>
        <v>SINAPI-94228</v>
      </c>
      <c r="X31" s="1">
        <f t="shared" ca="1" si="28"/>
        <v>15046</v>
      </c>
      <c r="Y31" s="103">
        <f ca="1">IF(Import.Desoneracao="sim",Referencia.Desonerado,Referencia.NaoDesonerado)</f>
        <v>100.71</v>
      </c>
      <c r="Z31" s="113">
        <f ca="1">ROUND(IF(ISNUMBER(R31),R31,IF(LEFT(R31,3)="BDI",HLOOKUP(R31,DADOS!$T$37:$X$38,2,FALSE),0)),15-11*$X$5)</f>
        <v>0.2109</v>
      </c>
      <c r="AA31" s="1"/>
    </row>
    <row r="32" spans="1:27" ht="25.5" x14ac:dyDescent="0.2">
      <c r="A32" t="str">
        <f>CHOOSE(1+LOG(1+2*(J32="Meta")+4*(J32="Nível 2")+8*(J32="Nível 3")+16*(J32="Nível 4")+32*(J32="Serviço"),2),0,1,2,3,4,"S")</f>
        <v>S</v>
      </c>
      <c r="B32">
        <f>IF(OR(A32="S",A32=0),0,IF(ISERROR(I32),H32,SMALL(H32:I32,1)))</f>
        <v>0</v>
      </c>
      <c r="C32">
        <f ca="1">IF($A32=1,OFFSET(C32,-1,0)+1,OFFSET(C32,-1,0))</f>
        <v>1</v>
      </c>
      <c r="D32">
        <f ca="1">IF($A32=1,0,IF($A32=2,OFFSET(D32,-1,0)+1,OFFSET(D32,-1,0)))</f>
        <v>3</v>
      </c>
      <c r="E32">
        <f ca="1">IF(AND($A32&lt;=2,$A32&lt;&gt;0),0,IF($A32=3,OFFSET(E32,-1,0)+1,OFFSET(E32,-1,0)))</f>
        <v>0</v>
      </c>
      <c r="F32">
        <f ca="1">IF(AND($A32&lt;=3,$A32&lt;&gt;0),0,IF($A32=4,OFFSET(F32,-1,0)+1,OFFSET(F32,-1,0)))</f>
        <v>0</v>
      </c>
      <c r="G32">
        <f ca="1">IF(AND($A32&lt;=4,$A32&lt;&gt;0),0,IF($A32="S",OFFSET(G32,-1,0)+1,OFFSET(G32,-1,0)))</f>
        <v>10</v>
      </c>
      <c r="H32">
        <f t="shared" ca="1" si="7"/>
        <v>0</v>
      </c>
      <c r="I32">
        <f t="shared" ca="1" si="8"/>
        <v>0</v>
      </c>
      <c r="J32" s="102" t="s">
        <v>103</v>
      </c>
      <c r="K32" s="138" t="str">
        <f ca="1">IF($A32=0,"-",CONCATENATE(C32&amp;".",IF(AND($A$5&gt;=2,$A32&gt;=2),D32&amp;".",""),IF(AND($A$5&gt;=3,$A32&gt;=3),E32&amp;".",""),IF(AND($A$5&gt;=4,$A32&gt;=4),F32&amp;".",""),IF($A32="S",G32&amp;".","")))</f>
        <v>1.3.10.</v>
      </c>
      <c r="L32" s="177" t="s">
        <v>230</v>
      </c>
      <c r="M32" s="177" t="s">
        <v>272</v>
      </c>
      <c r="N32" s="199" t="str">
        <f ca="1">IF($A32="S",Referencia.Descricao,"(digite a descrição aqui)")</f>
        <v>TUBO PVC, SÉRIE R, ÁGUA PLUVIAL, DN 100 MM, FORNECIDO E INSTALADO EM CONDUTORES VERTICAIS DE ÁGUAS PLUVIAIS. AF_06/2022</v>
      </c>
      <c r="O32" s="198" t="str">
        <f ca="1">Referencia.Unidade</f>
        <v>M</v>
      </c>
      <c r="P32" s="193">
        <f ca="1">OFFSET(PLQ!$E$12,ROW($P32)-ROW(P$12),0)</f>
        <v>8.16</v>
      </c>
      <c r="Q32" s="197">
        <f ca="1">Y32</f>
        <v>36.33</v>
      </c>
      <c r="R32" s="200" t="s">
        <v>7</v>
      </c>
      <c r="S32" s="103">
        <f ca="1">IF($A32="S",IF($Q$10="Preço Unitário (R$)",PO.CustoUnitario,ROUND(PO.CustoUnitario*(1+$Z32),15-13*$X$6)),0)</f>
        <v>43.99</v>
      </c>
      <c r="T32" s="83">
        <f ca="1">IF($A32="S",VTOTAL1,IF($A32=0,0,ROUND(SomaAgrup,15-13*$X$7)))</f>
        <v>358.96</v>
      </c>
      <c r="U32" s="9" t="str">
        <f ca="1">IF($J32="","",IF($N32="","DESCRIÇÃO",IF(AND($J32="Serviço",$O32=""),"UNIDADE",IF($T32&lt;=0,"SEM VALOR",IF(AND($Y32&lt;&gt;"",$Q32&gt;$Y32),"ACIMA REF.","")))))</f>
        <v/>
      </c>
      <c r="V32" s="1" t="str">
        <f ca="1">IF(OR($A32=0,$A32="S",$A32&gt;CFF!$A$9),"",MAX(V$12:OFFSET(V32,-1,0))+1)</f>
        <v/>
      </c>
      <c r="W32" s="4" t="str">
        <f>IF(AND($J32="Serviço",$M32&lt;&gt;""),IF($L32="",$M32,CONCATENATE($L32,"-",$M32)))</f>
        <v>SINAPI-89578</v>
      </c>
      <c r="X32" s="1">
        <f ca="1">IF(AND(Fonte&lt;&gt;"",Código&lt;&gt;""),MATCH(Fonte&amp;" "&amp;IF(Fonte="sinapi",SUBSTITUTE(SUBSTITUTE(Código,"/00","/"),"/0","/"),Código),INDIRECT("'[Referência "&amp;_xlnm.Database&amp;".xls]Banco'!$a:$a"),0),"X")</f>
        <v>11899</v>
      </c>
      <c r="Y32" s="103">
        <f ca="1">IF(Import.Desoneracao="sim",Referencia.Desonerado,Referencia.NaoDesonerado)</f>
        <v>36.33</v>
      </c>
      <c r="Z32" s="113">
        <f ca="1">ROUND(IF(ISNUMBER(R32),R32,IF(LEFT(R32,3)="BDI",HLOOKUP(R32,DADOS!$T$37:$X$38,2,FALSE),0)),15-11*$X$5)</f>
        <v>0.2109</v>
      </c>
      <c r="AA32" s="1"/>
    </row>
    <row r="33" spans="1:27" x14ac:dyDescent="0.2">
      <c r="A33">
        <f t="shared" si="16"/>
        <v>2</v>
      </c>
      <c r="B33">
        <f t="shared" ca="1" si="17"/>
        <v>7</v>
      </c>
      <c r="C33">
        <f t="shared" ca="1" si="18"/>
        <v>1</v>
      </c>
      <c r="D33">
        <f t="shared" ca="1" si="19"/>
        <v>4</v>
      </c>
      <c r="E33">
        <f t="shared" ca="1" si="20"/>
        <v>0</v>
      </c>
      <c r="F33">
        <f t="shared" ca="1" si="21"/>
        <v>0</v>
      </c>
      <c r="G33">
        <f t="shared" ca="1" si="22"/>
        <v>0</v>
      </c>
      <c r="H33">
        <f t="shared" ca="1" si="7"/>
        <v>42</v>
      </c>
      <c r="I33">
        <f t="shared" ca="1" si="8"/>
        <v>7</v>
      </c>
      <c r="J33" s="102" t="s">
        <v>100</v>
      </c>
      <c r="K33" s="138" t="str">
        <f t="shared" ca="1" si="23"/>
        <v>1.4.</v>
      </c>
      <c r="L33" s="177"/>
      <c r="M33" s="177"/>
      <c r="N33" s="199" t="s">
        <v>248</v>
      </c>
      <c r="O33" s="198" t="str">
        <f ca="1">Referencia.Unidade</f>
        <v/>
      </c>
      <c r="P33" s="193">
        <f ca="1">OFFSET(PLQ!$E$12,ROW($P33)-ROW(P$12),0)</f>
        <v>0</v>
      </c>
      <c r="Q33" s="197">
        <f t="shared" ca="1" si="29"/>
        <v>0</v>
      </c>
      <c r="R33" s="200" t="s">
        <v>7</v>
      </c>
      <c r="S33" s="103">
        <f t="shared" si="24"/>
        <v>0</v>
      </c>
      <c r="T33" s="83">
        <f t="shared" ca="1" si="25"/>
        <v>51783.040000000001</v>
      </c>
      <c r="U33" s="9" t="str">
        <f t="shared" ca="1" si="26"/>
        <v/>
      </c>
      <c r="V33" s="1">
        <f ca="1">IF(OR($A33=0,$A33="S",$A33&gt;CFF!$A$9),"",MAX(V$12:OFFSET(V33,-1,0))+1)</f>
        <v>5</v>
      </c>
      <c r="W33" s="4" t="b">
        <f t="shared" si="27"/>
        <v>0</v>
      </c>
      <c r="X33" s="1" t="str">
        <f t="shared" ca="1" si="28"/>
        <v>X</v>
      </c>
      <c r="Y33" s="103">
        <f ca="1">IF(Import.Desoneracao="sim",Referencia.Desonerado,Referencia.NaoDesonerado)</f>
        <v>0</v>
      </c>
      <c r="Z33" s="113">
        <f ca="1">ROUND(IF(ISNUMBER(R33),R33,IF(LEFT(R33,3)="BDI",HLOOKUP(R33,DADOS!$T$37:$X$38,2,FALSE),0)),15-11*$X$5)</f>
        <v>0.2109</v>
      </c>
      <c r="AA33" s="1"/>
    </row>
    <row r="34" spans="1:27" ht="38.25" x14ac:dyDescent="0.2">
      <c r="A34" t="str">
        <f>CHOOSE(1+LOG(1+2*(J34="Meta")+4*(J34="Nível 2")+8*(J34="Nível 3")+16*(J34="Nível 4")+32*(J34="Serviço"),2),0,1,2,3,4,"S")</f>
        <v>S</v>
      </c>
      <c r="B34">
        <f>IF(OR(A34="S",A34=0),0,IF(ISERROR(I34),H34,SMALL(H34:I34,1)))</f>
        <v>0</v>
      </c>
      <c r="C34">
        <f ca="1">IF($A34=1,OFFSET(C34,-1,0)+1,OFFSET(C34,-1,0))</f>
        <v>1</v>
      </c>
      <c r="D34">
        <f ca="1">IF($A34=1,0,IF($A34=2,OFFSET(D34,-1,0)+1,OFFSET(D34,-1,0)))</f>
        <v>4</v>
      </c>
      <c r="E34">
        <f ca="1">IF(AND($A34&lt;=2,$A34&lt;&gt;0),0,IF($A34=3,OFFSET(E34,-1,0)+1,OFFSET(E34,-1,0)))</f>
        <v>0</v>
      </c>
      <c r="F34">
        <f ca="1">IF(AND($A34&lt;=3,$A34&lt;&gt;0),0,IF($A34=4,OFFSET(F34,-1,0)+1,OFFSET(F34,-1,0)))</f>
        <v>0</v>
      </c>
      <c r="G34">
        <f ca="1">IF(AND($A34&lt;=4,$A34&lt;&gt;0),0,IF($A34="S",OFFSET(G34,-1,0)+1,OFFSET(G34,-1,0)))</f>
        <v>1</v>
      </c>
      <c r="H34">
        <f t="shared" ca="1" si="7"/>
        <v>0</v>
      </c>
      <c r="I34">
        <f t="shared" ca="1" si="8"/>
        <v>0</v>
      </c>
      <c r="J34" s="102" t="s">
        <v>103</v>
      </c>
      <c r="K34" s="138" t="str">
        <f ca="1">IF($A34=0,"-",CONCATENATE(C34&amp;".",IF(AND($A$5&gt;=2,$A34&gt;=2),D34&amp;".",""),IF(AND($A$5&gt;=3,$A34&gt;=3),E34&amp;".",""),IF(AND($A$5&gt;=4,$A34&gt;=4),F34&amp;".",""),IF($A34="S",G34&amp;".","")))</f>
        <v>1.4.1.</v>
      </c>
      <c r="L34" s="177" t="s">
        <v>230</v>
      </c>
      <c r="M34" s="177" t="s">
        <v>243</v>
      </c>
      <c r="N34" s="199" t="str">
        <f ca="1">IF($A34="S",Referencia.Descricao,"(digite a descrição aqui)")</f>
        <v>CHAPISCO APLICADO EM ALVENARIA (COM PRESENÇA DE VÃOS) E ESTRUTURAS DE CONCRETO DE FACHADA, COM COLHER DE PEDREIRO. ARGAMASSA TRAÇO 1:3 COM PREPARO EM BETONEIRA 400L. AF_10/2022</v>
      </c>
      <c r="O34" s="198" t="str">
        <f ca="1">Referencia.Unidade</f>
        <v>M2</v>
      </c>
      <c r="P34" s="193">
        <f ca="1">OFFSET(PLQ!$E$12,ROW($P34)-ROW(P$12),0)</f>
        <v>285.88</v>
      </c>
      <c r="Q34" s="197">
        <f ca="1">Y34</f>
        <v>8.86</v>
      </c>
      <c r="R34" s="200" t="s">
        <v>7</v>
      </c>
      <c r="S34" s="103">
        <f ca="1">IF($A34="S",IF($Q$10="Preço Unitário (R$)",PO.CustoUnitario,ROUND(PO.CustoUnitario*(1+$Z34),15-13*$X$6)),0)</f>
        <v>10.73</v>
      </c>
      <c r="T34" s="83">
        <f ca="1">IF($A34="S",VTOTAL1,IF($A34=0,0,ROUND(SomaAgrup,15-13*$X$7)))</f>
        <v>3067.49</v>
      </c>
      <c r="U34" s="9" t="str">
        <f ca="1">IF($J34="","",IF($N34="","DESCRIÇÃO",IF(AND($J34="Serviço",$O34=""),"UNIDADE",IF($T34&lt;=0,"SEM VALOR",IF(AND($Y34&lt;&gt;"",$Q34&gt;$Y34),"ACIMA REF.","")))))</f>
        <v/>
      </c>
      <c r="V34" s="1" t="str">
        <f ca="1">IF(OR($A34=0,$A34="S",$A34&gt;CFF!$A$9),"",MAX(V$12:OFFSET(V34,-1,0))+1)</f>
        <v/>
      </c>
      <c r="W34" s="4" t="str">
        <f>IF(AND($J34="Serviço",$M34&lt;&gt;""),IF($L34="",$M34,CONCATENATE($L34,"-",$M34)))</f>
        <v>SINAPI-87905</v>
      </c>
      <c r="X34" s="1">
        <f ca="1">IF(AND(Fonte&lt;&gt;"",Código&lt;&gt;""),MATCH(Fonte&amp;" "&amp;IF(Fonte="sinapi",SUBSTITUTE(SUBSTITUTE(Código,"/00","/"),"/0","/"),Código),INDIRECT("'[Referência "&amp;_xlnm.Database&amp;".xls]Banco'!$a:$a"),0),"X")</f>
        <v>7282</v>
      </c>
      <c r="Y34" s="103">
        <f ca="1">IF(Import.Desoneracao="sim",Referencia.Desonerado,Referencia.NaoDesonerado)</f>
        <v>8.86</v>
      </c>
      <c r="Z34" s="113">
        <f ca="1">ROUND(IF(ISNUMBER(R34),R34,IF(LEFT(R34,3)="BDI",HLOOKUP(R34,DADOS!$T$37:$X$38,2,FALSE),0)),15-11*$X$5)</f>
        <v>0.2109</v>
      </c>
      <c r="AA34" s="1"/>
    </row>
    <row r="35" spans="1:27" ht="38.25" x14ac:dyDescent="0.2">
      <c r="A35" t="str">
        <f t="shared" si="16"/>
        <v>S</v>
      </c>
      <c r="B35">
        <f t="shared" si="17"/>
        <v>0</v>
      </c>
      <c r="C35">
        <f t="shared" ca="1" si="18"/>
        <v>1</v>
      </c>
      <c r="D35">
        <f t="shared" ca="1" si="19"/>
        <v>4</v>
      </c>
      <c r="E35">
        <f t="shared" ca="1" si="20"/>
        <v>0</v>
      </c>
      <c r="F35">
        <f t="shared" ca="1" si="21"/>
        <v>0</v>
      </c>
      <c r="G35">
        <f t="shared" ca="1" si="22"/>
        <v>2</v>
      </c>
      <c r="H35">
        <f t="shared" ca="1" si="7"/>
        <v>0</v>
      </c>
      <c r="I35">
        <f t="shared" ca="1" si="8"/>
        <v>0</v>
      </c>
      <c r="J35" s="102" t="s">
        <v>103</v>
      </c>
      <c r="K35" s="138" t="str">
        <f t="shared" ca="1" si="23"/>
        <v>1.4.2.</v>
      </c>
      <c r="L35" s="177" t="s">
        <v>230</v>
      </c>
      <c r="M35" s="177" t="s">
        <v>251</v>
      </c>
      <c r="N35" s="199" t="str">
        <f ca="1">IF($A35="S",Referencia.Descricao,"(digite a descrição aqui)")</f>
        <v>MASSA ÚNICA, EM ARGAMASSA TRAÇO 1:2:8, PREPARO MECÂNICO, APLICADA MANUALMENTE EM PAREDES INTERNAS DE AMBIENTES COM ÁREA ENTRE 5M² E 10M², E = 17,5MM, COM TALISCAS. AF_03/2024</v>
      </c>
      <c r="O35" s="198" t="str">
        <f ca="1">Referencia.Unidade</f>
        <v>M2</v>
      </c>
      <c r="P35" s="193">
        <f ca="1">OFFSET(PLQ!$E$12,ROW($P35)-ROW(P$12),0)</f>
        <v>285.88</v>
      </c>
      <c r="Q35" s="197">
        <f t="shared" ca="1" si="29"/>
        <v>39.299999999999997</v>
      </c>
      <c r="R35" s="200" t="s">
        <v>7</v>
      </c>
      <c r="S35" s="103">
        <f t="shared" ca="1" si="24"/>
        <v>47.59</v>
      </c>
      <c r="T35" s="83">
        <f t="shared" ca="1" si="25"/>
        <v>13605.03</v>
      </c>
      <c r="U35" s="9" t="str">
        <f t="shared" ca="1" si="26"/>
        <v/>
      </c>
      <c r="V35" s="1" t="str">
        <f ca="1">IF(OR($A35=0,$A35="S",$A35&gt;CFF!$A$9),"",MAX(V$12:OFFSET(V35,-1,0))+1)</f>
        <v/>
      </c>
      <c r="W35" s="4" t="str">
        <f t="shared" si="27"/>
        <v>SINAPI-87529</v>
      </c>
      <c r="X35" s="1">
        <f t="shared" ca="1" si="28"/>
        <v>13470</v>
      </c>
      <c r="Y35" s="103">
        <f ca="1">IF(Import.Desoneracao="sim",Referencia.Desonerado,Referencia.NaoDesonerado)</f>
        <v>39.299999999999997</v>
      </c>
      <c r="Z35" s="113">
        <f ca="1">ROUND(IF(ISNUMBER(R35),R35,IF(LEFT(R35,3)="BDI",HLOOKUP(R35,DADOS!$T$37:$X$38,2,FALSE),0)),15-11*$X$5)</f>
        <v>0.2109</v>
      </c>
      <c r="AA35" s="1"/>
    </row>
    <row r="36" spans="1:27" ht="25.5" x14ac:dyDescent="0.2">
      <c r="A36" t="str">
        <f t="shared" ref="A36:A39" si="30">CHOOSE(1+LOG(1+2*(J36="Meta")+4*(J36="Nível 2")+8*(J36="Nível 3")+16*(J36="Nível 4")+32*(J36="Serviço"),2),0,1,2,3,4,"S")</f>
        <v>S</v>
      </c>
      <c r="B36">
        <f t="shared" ref="B36:B39" si="31">IF(OR(A36="S",A36=0),0,IF(ISERROR(I36),H36,SMALL(H36:I36,1)))</f>
        <v>0</v>
      </c>
      <c r="C36">
        <f t="shared" ref="C36:C39" ca="1" si="32">IF($A36=1,OFFSET(C36,-1,0)+1,OFFSET(C36,-1,0))</f>
        <v>1</v>
      </c>
      <c r="D36">
        <f t="shared" ref="D36:D39" ca="1" si="33">IF($A36=1,0,IF($A36=2,OFFSET(D36,-1,0)+1,OFFSET(D36,-1,0)))</f>
        <v>4</v>
      </c>
      <c r="E36">
        <f t="shared" ref="E36:E39" ca="1" si="34">IF(AND($A36&lt;=2,$A36&lt;&gt;0),0,IF($A36=3,OFFSET(E36,-1,0)+1,OFFSET(E36,-1,0)))</f>
        <v>0</v>
      </c>
      <c r="F36">
        <f t="shared" ref="F36:F39" ca="1" si="35">IF(AND($A36&lt;=3,$A36&lt;&gt;0),0,IF($A36=4,OFFSET(F36,-1,0)+1,OFFSET(F36,-1,0)))</f>
        <v>0</v>
      </c>
      <c r="G36">
        <f t="shared" ref="G36:G39" ca="1" si="36">IF(AND($A36&lt;=4,$A36&lt;&gt;0),0,IF($A36="S",OFFSET(G36,-1,0)+1,OFFSET(G36,-1,0)))</f>
        <v>3</v>
      </c>
      <c r="H36">
        <f t="shared" ca="1" si="7"/>
        <v>0</v>
      </c>
      <c r="I36">
        <f t="shared" ca="1" si="8"/>
        <v>0</v>
      </c>
      <c r="J36" s="102" t="s">
        <v>103</v>
      </c>
      <c r="K36" s="138" t="str">
        <f t="shared" ref="K36:K39" ca="1" si="37">IF($A36=0,"-",CONCATENATE(C36&amp;".",IF(AND($A$5&gt;=2,$A36&gt;=2),D36&amp;".",""),IF(AND($A$5&gt;=3,$A36&gt;=3),E36&amp;".",""),IF(AND($A$5&gt;=4,$A36&gt;=4),F36&amp;".",""),IF($A36="S",G36&amp;".","")))</f>
        <v>1.4.3.</v>
      </c>
      <c r="L36" s="177" t="s">
        <v>230</v>
      </c>
      <c r="M36" s="177" t="s">
        <v>252</v>
      </c>
      <c r="N36" s="199" t="str">
        <f ca="1">IF($A36="S",Referencia.Descricao,"(digite a descrição aqui)")</f>
        <v>FUNDO SELADOR ACRÍLICO, APLICAÇÃO MANUAL EM PAREDE, UMA DEMÃO. AF_04/2023</v>
      </c>
      <c r="O36" s="198" t="str">
        <f ca="1">Referencia.Unidade</f>
        <v>M2</v>
      </c>
      <c r="P36" s="193">
        <f ca="1">OFFSET(PLQ!$E$12,ROW($P36)-ROW(P$12),0)</f>
        <v>457.78</v>
      </c>
      <c r="Q36" s="197">
        <f t="shared" ref="Q36:Q39" ca="1" si="38">Y36</f>
        <v>3.9</v>
      </c>
      <c r="R36" s="200" t="s">
        <v>7</v>
      </c>
      <c r="S36" s="103">
        <f t="shared" ref="S36:S39" ca="1" si="39">IF($A36="S",IF($Q$10="Preço Unitário (R$)",PO.CustoUnitario,ROUND(PO.CustoUnitario*(1+$Z36),15-13*$X$6)),0)</f>
        <v>4.72</v>
      </c>
      <c r="T36" s="83">
        <f t="shared" ref="T36:T39" ca="1" si="40">IF($A36="S",VTOTAL1,IF($A36=0,0,ROUND(SomaAgrup,15-13*$X$7)))</f>
        <v>2160.7199999999998</v>
      </c>
      <c r="U36" s="9" t="str">
        <f t="shared" ref="U36:U39" ca="1" si="41">IF($J36="","",IF($N36="","DESCRIÇÃO",IF(AND($J36="Serviço",$O36=""),"UNIDADE",IF($T36&lt;=0,"SEM VALOR",IF(AND($Y36&lt;&gt;"",$Q36&gt;$Y36),"ACIMA REF.","")))))</f>
        <v/>
      </c>
      <c r="V36" s="1" t="str">
        <f ca="1">IF(OR($A36=0,$A36="S",$A36&gt;CFF!$A$9),"",MAX(V$12:OFFSET(V36,-1,0))+1)</f>
        <v/>
      </c>
      <c r="W36" s="4" t="str">
        <f t="shared" ref="W36:W39" si="42">IF(AND($J36="Serviço",$M36&lt;&gt;""),IF($L36="",$M36,CONCATENATE($L36,"-",$M36)))</f>
        <v>SINAPI-88485</v>
      </c>
      <c r="X36" s="1">
        <f t="shared" ref="X36:X39" ca="1" si="43">IF(AND(Fonte&lt;&gt;"",Código&lt;&gt;""),MATCH(Fonte&amp;" "&amp;IF(Fonte="sinapi",SUBSTITUTE(SUBSTITUTE(Código,"/00","/"),"/0","/"),Código),INDIRECT("'[Referência "&amp;_xlnm.Database&amp;".xls]Banco'!$a:$a"),0),"X")</f>
        <v>13890</v>
      </c>
      <c r="Y36" s="103">
        <f ca="1">IF(Import.Desoneracao="sim",Referencia.Desonerado,Referencia.NaoDesonerado)</f>
        <v>3.9</v>
      </c>
      <c r="Z36" s="113">
        <f ca="1">ROUND(IF(ISNUMBER(R36),R36,IF(LEFT(R36,3)="BDI",HLOOKUP(R36,DADOS!$T$37:$X$38,2,FALSE),0)),15-11*$X$5)</f>
        <v>0.2109</v>
      </c>
      <c r="AA36" s="1"/>
    </row>
    <row r="37" spans="1:27" ht="25.5" x14ac:dyDescent="0.2">
      <c r="A37" t="str">
        <f t="shared" si="30"/>
        <v>S</v>
      </c>
      <c r="B37">
        <f t="shared" si="31"/>
        <v>0</v>
      </c>
      <c r="C37">
        <f t="shared" ca="1" si="32"/>
        <v>1</v>
      </c>
      <c r="D37">
        <f t="shared" ca="1" si="33"/>
        <v>4</v>
      </c>
      <c r="E37">
        <f t="shared" ca="1" si="34"/>
        <v>0</v>
      </c>
      <c r="F37">
        <f t="shared" ca="1" si="35"/>
        <v>0</v>
      </c>
      <c r="G37">
        <f t="shared" ca="1" si="36"/>
        <v>4</v>
      </c>
      <c r="H37">
        <f t="shared" ca="1" si="7"/>
        <v>0</v>
      </c>
      <c r="I37">
        <f t="shared" ca="1" si="8"/>
        <v>0</v>
      </c>
      <c r="J37" s="102" t="s">
        <v>103</v>
      </c>
      <c r="K37" s="138" t="str">
        <f t="shared" ca="1" si="37"/>
        <v>1.4.4.</v>
      </c>
      <c r="L37" s="177" t="s">
        <v>230</v>
      </c>
      <c r="M37" s="177" t="s">
        <v>238</v>
      </c>
      <c r="N37" s="199" t="str">
        <f ca="1">IF($A37="S",Referencia.Descricao,"(digite a descrição aqui)")</f>
        <v>PINTURA LÁTEX ACRÍLICA PREMIUM, APLICAÇÃO MANUAL EM PAREDES, DUAS DEMÃOS. AF_04/2023</v>
      </c>
      <c r="O37" s="198" t="str">
        <f ca="1">Referencia.Unidade</f>
        <v>M2</v>
      </c>
      <c r="P37" s="193">
        <f ca="1">OFFSET(PLQ!$E$12,ROW($P37)-ROW(P$12),0)</f>
        <v>457.78</v>
      </c>
      <c r="Q37" s="197">
        <f t="shared" ca="1" si="38"/>
        <v>14.05</v>
      </c>
      <c r="R37" s="200" t="s">
        <v>7</v>
      </c>
      <c r="S37" s="103">
        <f t="shared" ca="1" si="39"/>
        <v>17.010000000000002</v>
      </c>
      <c r="T37" s="83">
        <f t="shared" ca="1" si="40"/>
        <v>7786.84</v>
      </c>
      <c r="U37" s="9" t="str">
        <f t="shared" ca="1" si="41"/>
        <v/>
      </c>
      <c r="V37" s="1" t="str">
        <f ca="1">IF(OR($A37=0,$A37="S",$A37&gt;CFF!$A$9),"",MAX(V$12:OFFSET(V37,-1,0))+1)</f>
        <v/>
      </c>
      <c r="W37" s="4" t="str">
        <f t="shared" si="42"/>
        <v>SINAPI-88489</v>
      </c>
      <c r="X37" s="1">
        <f t="shared" ca="1" si="43"/>
        <v>13898</v>
      </c>
      <c r="Y37" s="103">
        <f ca="1">IF(Import.Desoneracao="sim",Referencia.Desonerado,Referencia.NaoDesonerado)</f>
        <v>14.05</v>
      </c>
      <c r="Z37" s="113">
        <f ca="1">ROUND(IF(ISNUMBER(R37),R37,IF(LEFT(R37,3)="BDI",HLOOKUP(R37,DADOS!$T$37:$X$38,2,FALSE),0)),15-11*$X$5)</f>
        <v>0.2109</v>
      </c>
      <c r="AA37" s="1"/>
    </row>
    <row r="38" spans="1:27" ht="25.5" x14ac:dyDescent="0.2">
      <c r="A38" t="str">
        <f t="shared" si="30"/>
        <v>S</v>
      </c>
      <c r="B38">
        <f t="shared" si="31"/>
        <v>0</v>
      </c>
      <c r="C38">
        <f t="shared" ca="1" si="32"/>
        <v>1</v>
      </c>
      <c r="D38">
        <f t="shared" ca="1" si="33"/>
        <v>4</v>
      </c>
      <c r="E38">
        <f t="shared" ca="1" si="34"/>
        <v>0</v>
      </c>
      <c r="F38">
        <f t="shared" ca="1" si="35"/>
        <v>0</v>
      </c>
      <c r="G38">
        <f t="shared" ca="1" si="36"/>
        <v>5</v>
      </c>
      <c r="H38">
        <f t="shared" ca="1" si="7"/>
        <v>0</v>
      </c>
      <c r="I38">
        <f t="shared" ca="1" si="8"/>
        <v>0</v>
      </c>
      <c r="J38" s="102" t="s">
        <v>103</v>
      </c>
      <c r="K38" s="138" t="str">
        <f t="shared" ca="1" si="37"/>
        <v>1.4.5.</v>
      </c>
      <c r="L38" s="177" t="s">
        <v>237</v>
      </c>
      <c r="M38" s="177" t="s">
        <v>253</v>
      </c>
      <c r="N38" s="199" t="str">
        <f ca="1">IF($A38="S",Referencia.Descricao,"(digite a descrição aqui)")</f>
        <v>PINTURA COM TINTA EPÓXI PARA PAREDE, COR BRANCA, DUAS DEMÃOS, INCLUSO FUNDO PREPARADOR</v>
      </c>
      <c r="O38" s="198" t="str">
        <f ca="1">Referencia.Unidade</f>
        <v>M2</v>
      </c>
      <c r="P38" s="193">
        <f ca="1">OFFSET(PLQ!$E$12,ROW($P38)-ROW(P$12),0)</f>
        <v>189.56</v>
      </c>
      <c r="Q38" s="197">
        <f t="shared" ca="1" si="38"/>
        <v>109.53</v>
      </c>
      <c r="R38" s="200" t="s">
        <v>7</v>
      </c>
      <c r="S38" s="103">
        <f t="shared" ca="1" si="39"/>
        <v>132.63</v>
      </c>
      <c r="T38" s="83">
        <f t="shared" ca="1" si="40"/>
        <v>25141.34</v>
      </c>
      <c r="U38" s="9" t="str">
        <f t="shared" ca="1" si="41"/>
        <v/>
      </c>
      <c r="V38" s="1" t="str">
        <f ca="1">IF(OR($A38=0,$A38="S",$A38&gt;CFF!$A$9),"",MAX(V$12:OFFSET(V38,-1,0))+1)</f>
        <v/>
      </c>
      <c r="W38" s="4" t="str">
        <f t="shared" si="42"/>
        <v>COMPOSIÇÃO-02</v>
      </c>
      <c r="X38" s="1">
        <f t="shared" ca="1" si="43"/>
        <v>8</v>
      </c>
      <c r="Y38" s="103">
        <f ca="1">IF(Import.Desoneracao="sim",Referencia.Desonerado,Referencia.NaoDesonerado)</f>
        <v>109.53</v>
      </c>
      <c r="Z38" s="113">
        <f ca="1">ROUND(IF(ISNUMBER(R38),R38,IF(LEFT(R38,3)="BDI",HLOOKUP(R38,DADOS!$T$37:$X$38,2,FALSE),0)),15-11*$X$5)</f>
        <v>0.2109</v>
      </c>
      <c r="AA38" s="1"/>
    </row>
    <row r="39" spans="1:27" ht="25.5" x14ac:dyDescent="0.2">
      <c r="A39" t="str">
        <f t="shared" si="30"/>
        <v>S</v>
      </c>
      <c r="B39">
        <f t="shared" si="31"/>
        <v>0</v>
      </c>
      <c r="C39">
        <f t="shared" ca="1" si="32"/>
        <v>1</v>
      </c>
      <c r="D39">
        <f t="shared" ca="1" si="33"/>
        <v>4</v>
      </c>
      <c r="E39">
        <f t="shared" ca="1" si="34"/>
        <v>0</v>
      </c>
      <c r="F39">
        <f t="shared" ca="1" si="35"/>
        <v>0</v>
      </c>
      <c r="G39">
        <f t="shared" ca="1" si="36"/>
        <v>6</v>
      </c>
      <c r="H39">
        <f t="shared" ca="1" si="7"/>
        <v>0</v>
      </c>
      <c r="I39">
        <f t="shared" ca="1" si="8"/>
        <v>0</v>
      </c>
      <c r="J39" s="102" t="s">
        <v>103</v>
      </c>
      <c r="K39" s="138" t="str">
        <f t="shared" ca="1" si="37"/>
        <v>1.4.6.</v>
      </c>
      <c r="L39" s="177" t="s">
        <v>230</v>
      </c>
      <c r="M39" s="177" t="s">
        <v>276</v>
      </c>
      <c r="N39" s="199" t="str">
        <f ca="1">IF($A39="S",Referencia.Descricao,"(digite a descrição aqui)")</f>
        <v>DEMOLIÇÃO DE ALVENARIA DE BLOCO FURADO, DE FORMA MANUAL, SEM REAPROVEITAMENTO. AF_09/2023</v>
      </c>
      <c r="O39" s="198" t="str">
        <f ca="1">Referencia.Unidade</f>
        <v>M3</v>
      </c>
      <c r="P39" s="193">
        <f ca="1">OFFSET(PLQ!$E$12,ROW($P39)-ROW(P$12),0)</f>
        <v>0.28000000000000003</v>
      </c>
      <c r="Q39" s="197">
        <f t="shared" ca="1" si="38"/>
        <v>63.77</v>
      </c>
      <c r="R39" s="200" t="s">
        <v>7</v>
      </c>
      <c r="S39" s="103">
        <f t="shared" ca="1" si="39"/>
        <v>77.22</v>
      </c>
      <c r="T39" s="83">
        <f t="shared" ca="1" si="40"/>
        <v>21.62</v>
      </c>
      <c r="U39" s="9" t="str">
        <f t="shared" ca="1" si="41"/>
        <v/>
      </c>
      <c r="V39" s="1" t="str">
        <f ca="1">IF(OR($A39=0,$A39="S",$A39&gt;CFF!$A$9),"",MAX(V$12:OFFSET(V39,-1,0))+1)</f>
        <v/>
      </c>
      <c r="W39" s="4" t="str">
        <f t="shared" si="42"/>
        <v>SINAPI-97622</v>
      </c>
      <c r="X39" s="1">
        <f t="shared" ca="1" si="43"/>
        <v>7866</v>
      </c>
      <c r="Y39" s="103">
        <f ca="1">IF(Import.Desoneracao="sim",Referencia.Desonerado,Referencia.NaoDesonerado)</f>
        <v>63.77</v>
      </c>
      <c r="Z39" s="113">
        <f ca="1">ROUND(IF(ISNUMBER(R39),R39,IF(LEFT(R39,3)="BDI",HLOOKUP(R39,DADOS!$T$37:$X$38,2,FALSE),0)),15-11*$X$5)</f>
        <v>0.2109</v>
      </c>
      <c r="AA39" s="1"/>
    </row>
    <row r="40" spans="1:27" x14ac:dyDescent="0.2">
      <c r="A40">
        <f t="shared" si="16"/>
        <v>2</v>
      </c>
      <c r="B40">
        <f t="shared" ca="1" si="17"/>
        <v>2</v>
      </c>
      <c r="C40">
        <f t="shared" ca="1" si="18"/>
        <v>1</v>
      </c>
      <c r="D40">
        <f t="shared" ca="1" si="19"/>
        <v>5</v>
      </c>
      <c r="E40">
        <f t="shared" ca="1" si="20"/>
        <v>0</v>
      </c>
      <c r="F40">
        <f t="shared" ca="1" si="21"/>
        <v>0</v>
      </c>
      <c r="G40">
        <f t="shared" ca="1" si="22"/>
        <v>0</v>
      </c>
      <c r="H40">
        <f t="shared" ca="1" si="7"/>
        <v>35</v>
      </c>
      <c r="I40">
        <f t="shared" ca="1" si="8"/>
        <v>2</v>
      </c>
      <c r="J40" s="102" t="s">
        <v>100</v>
      </c>
      <c r="K40" s="138" t="str">
        <f t="shared" ca="1" si="23"/>
        <v>1.5.</v>
      </c>
      <c r="L40" s="177"/>
      <c r="M40" s="177"/>
      <c r="N40" s="199" t="s">
        <v>250</v>
      </c>
      <c r="O40" s="198" t="str">
        <f ca="1">Referencia.Unidade</f>
        <v/>
      </c>
      <c r="P40" s="193">
        <f ca="1">OFFSET(PLQ!$E$12,ROW($P40)-ROW(P$12),0)</f>
        <v>0</v>
      </c>
      <c r="Q40" s="197"/>
      <c r="R40" s="200" t="s">
        <v>7</v>
      </c>
      <c r="S40" s="103">
        <f t="shared" si="24"/>
        <v>0</v>
      </c>
      <c r="T40" s="83">
        <f t="shared" ca="1" si="25"/>
        <v>28276.44</v>
      </c>
      <c r="U40" s="9" t="str">
        <f t="shared" ca="1" si="26"/>
        <v/>
      </c>
      <c r="V40" s="1">
        <f ca="1">IF(OR($A40=0,$A40="S",$A40&gt;CFF!$A$9),"",MAX(V$12:OFFSET(V40,-1,0))+1)</f>
        <v>6</v>
      </c>
      <c r="W40" s="4" t="b">
        <f t="shared" si="27"/>
        <v>0</v>
      </c>
      <c r="X40" s="1" t="str">
        <f t="shared" ca="1" si="28"/>
        <v>X</v>
      </c>
      <c r="Y40" s="103">
        <f ca="1">IF(Import.Desoneracao="sim",Referencia.Desonerado,Referencia.NaoDesonerado)</f>
        <v>0</v>
      </c>
      <c r="Z40" s="113">
        <f ca="1">ROUND(IF(ISNUMBER(R40),R40,IF(LEFT(R40,3)="BDI",HLOOKUP(R40,DADOS!$T$37:$X$38,2,FALSE),0)),15-11*$X$5)</f>
        <v>0.2109</v>
      </c>
      <c r="AA40" s="1"/>
    </row>
    <row r="41" spans="1:27" ht="38.25" x14ac:dyDescent="0.2">
      <c r="A41" t="str">
        <f t="shared" si="16"/>
        <v>S</v>
      </c>
      <c r="B41">
        <f t="shared" si="17"/>
        <v>0</v>
      </c>
      <c r="C41">
        <f t="shared" ca="1" si="18"/>
        <v>1</v>
      </c>
      <c r="D41">
        <f t="shared" ca="1" si="19"/>
        <v>5</v>
      </c>
      <c r="E41">
        <f t="shared" ca="1" si="20"/>
        <v>0</v>
      </c>
      <c r="F41">
        <f t="shared" ca="1" si="21"/>
        <v>0</v>
      </c>
      <c r="G41">
        <f t="shared" ca="1" si="22"/>
        <v>1</v>
      </c>
      <c r="H41">
        <f t="shared" ca="1" si="7"/>
        <v>0</v>
      </c>
      <c r="I41">
        <f t="shared" ca="1" si="8"/>
        <v>0</v>
      </c>
      <c r="J41" s="102" t="s">
        <v>103</v>
      </c>
      <c r="K41" s="138" t="str">
        <f t="shared" ca="1" si="23"/>
        <v>1.5.1.</v>
      </c>
      <c r="L41" s="177" t="s">
        <v>230</v>
      </c>
      <c r="M41" s="177" t="s">
        <v>313</v>
      </c>
      <c r="N41" s="199" t="str">
        <f ca="1">IF($A41="S",Referencia.Descricao,"(digite a descrição aqui)")</f>
        <v>REVESTIMENTO CERÂMICO PARA PISO COM PLACAS TIPO ESMALTADA DE DIMENSÕES 60X60 CM APLICADA EM AMBIENTES DE ÁREA MAIOR QUE 10 M2. AF_02/2023_PE</v>
      </c>
      <c r="O41" s="198" t="str">
        <f ca="1">Referencia.Unidade</f>
        <v>M2</v>
      </c>
      <c r="P41" s="193">
        <f ca="1">OFFSET(PLQ!$E$12,ROW($P41)-ROW(P$12),0)</f>
        <v>346.78</v>
      </c>
      <c r="Q41" s="197">
        <f ca="1">Y41</f>
        <v>67.34</v>
      </c>
      <c r="R41" s="200" t="s">
        <v>7</v>
      </c>
      <c r="S41" s="103">
        <f t="shared" ca="1" si="24"/>
        <v>81.540000000000006</v>
      </c>
      <c r="T41" s="83">
        <f t="shared" ca="1" si="25"/>
        <v>28276.44</v>
      </c>
      <c r="U41" s="9" t="str">
        <f t="shared" ca="1" si="26"/>
        <v/>
      </c>
      <c r="V41" s="1" t="str">
        <f ca="1">IF(OR($A41=0,$A41="S",$A41&gt;CFF!$A$9),"",MAX(V$12:OFFSET(V41,-1,0))+1)</f>
        <v/>
      </c>
      <c r="W41" s="4" t="str">
        <f t="shared" si="27"/>
        <v>SINAPI-87257</v>
      </c>
      <c r="X41" s="1">
        <f t="shared" ca="1" si="28"/>
        <v>14848</v>
      </c>
      <c r="Y41" s="103">
        <f ca="1">IF(Import.Desoneracao="sim",Referencia.Desonerado,Referencia.NaoDesonerado)</f>
        <v>67.34</v>
      </c>
      <c r="Z41" s="113">
        <f ca="1">ROUND(IF(ISNUMBER(R41),R41,IF(LEFT(R41,3)="BDI",HLOOKUP(R41,DADOS!$T$37:$X$38,2,FALSE),0)),15-11*$X$5)</f>
        <v>0.2109</v>
      </c>
      <c r="AA41" s="1"/>
    </row>
    <row r="42" spans="1:27" x14ac:dyDescent="0.2">
      <c r="A42">
        <f t="shared" si="16"/>
        <v>2</v>
      </c>
      <c r="B42">
        <f t="shared" ca="1" si="17"/>
        <v>3</v>
      </c>
      <c r="C42">
        <f t="shared" ca="1" si="18"/>
        <v>1</v>
      </c>
      <c r="D42">
        <f t="shared" ca="1" si="19"/>
        <v>6</v>
      </c>
      <c r="E42">
        <f t="shared" ca="1" si="20"/>
        <v>0</v>
      </c>
      <c r="F42">
        <f t="shared" ca="1" si="21"/>
        <v>0</v>
      </c>
      <c r="G42">
        <f t="shared" ca="1" si="22"/>
        <v>0</v>
      </c>
      <c r="H42">
        <f t="shared" ca="1" si="7"/>
        <v>33</v>
      </c>
      <c r="I42">
        <f t="shared" ca="1" si="8"/>
        <v>3</v>
      </c>
      <c r="J42" s="102" t="s">
        <v>100</v>
      </c>
      <c r="K42" s="138" t="str">
        <f t="shared" ca="1" si="23"/>
        <v>1.6.</v>
      </c>
      <c r="L42" s="177"/>
      <c r="M42" s="177"/>
      <c r="N42" s="199" t="s">
        <v>275</v>
      </c>
      <c r="O42" s="198" t="str">
        <f ca="1">Referencia.Unidade</f>
        <v/>
      </c>
      <c r="P42" s="193">
        <f ca="1">OFFSET(PLQ!$E$12,ROW($P42)-ROW(P$12),0)</f>
        <v>0</v>
      </c>
      <c r="Q42" s="197"/>
      <c r="R42" s="200" t="s">
        <v>7</v>
      </c>
      <c r="S42" s="103">
        <f t="shared" si="24"/>
        <v>0</v>
      </c>
      <c r="T42" s="83">
        <f t="shared" ca="1" si="25"/>
        <v>9744.39</v>
      </c>
      <c r="U42" s="9" t="str">
        <f t="shared" ca="1" si="26"/>
        <v/>
      </c>
      <c r="V42" s="1">
        <f ca="1">IF(OR($A42=0,$A42="S",$A42&gt;CFF!$A$9),"",MAX(V$12:OFFSET(V42,-1,0))+1)</f>
        <v>7</v>
      </c>
      <c r="W42" s="4" t="b">
        <f t="shared" si="27"/>
        <v>0</v>
      </c>
      <c r="X42" s="1" t="str">
        <f t="shared" ca="1" si="28"/>
        <v>X</v>
      </c>
      <c r="Y42" s="103">
        <f ca="1">IF(Import.Desoneracao="sim",Referencia.Desonerado,Referencia.NaoDesonerado)</f>
        <v>0</v>
      </c>
      <c r="Z42" s="113">
        <f ca="1">ROUND(IF(ISNUMBER(R42),R42,IF(LEFT(R42,3)="BDI",HLOOKUP(R42,DADOS!$T$37:$X$38,2,FALSE),0)),15-11*$X$5)</f>
        <v>0.2109</v>
      </c>
      <c r="AA42" s="1"/>
    </row>
    <row r="43" spans="1:27" ht="38.25" x14ac:dyDescent="0.2">
      <c r="A43" t="str">
        <f t="shared" si="16"/>
        <v>S</v>
      </c>
      <c r="B43">
        <f t="shared" si="17"/>
        <v>0</v>
      </c>
      <c r="C43">
        <f t="shared" ca="1" si="18"/>
        <v>1</v>
      </c>
      <c r="D43">
        <f t="shared" ca="1" si="19"/>
        <v>6</v>
      </c>
      <c r="E43">
        <f t="shared" ca="1" si="20"/>
        <v>0</v>
      </c>
      <c r="F43">
        <f t="shared" ca="1" si="21"/>
        <v>0</v>
      </c>
      <c r="G43">
        <f t="shared" ca="1" si="22"/>
        <v>1</v>
      </c>
      <c r="H43">
        <f t="shared" ca="1" si="7"/>
        <v>0</v>
      </c>
      <c r="I43">
        <f t="shared" ca="1" si="8"/>
        <v>0</v>
      </c>
      <c r="J43" s="102" t="s">
        <v>103</v>
      </c>
      <c r="K43" s="138" t="str">
        <f t="shared" ca="1" si="23"/>
        <v>1.6.1.</v>
      </c>
      <c r="L43" s="177" t="s">
        <v>237</v>
      </c>
      <c r="M43" s="177" t="s">
        <v>314</v>
      </c>
      <c r="N43" s="199" t="str">
        <f ca="1">IF($A43="S",Referencia.Descricao,"(digite a descrição aqui)")</f>
        <v>COLOCAÇÃO DE REVESTIMENTO CERÂMICO PARA PAREDES INTERNAS,  APLICADAS NA ALTURA INTEIRA DAS PAREDES. AF_02/2023_PE (SEM FORNECIMENTO DO REVESTIMENTO) REF. (SINAPI 87273)</v>
      </c>
      <c r="O43" s="198" t="str">
        <f ca="1">Referencia.Unidade</f>
        <v>M2</v>
      </c>
      <c r="P43" s="193">
        <f ca="1">OFFSET(PLQ!$E$12,ROW($P43)-ROW(P$12),0)</f>
        <v>125.88</v>
      </c>
      <c r="Q43" s="197">
        <f ca="1">Y43</f>
        <v>34.369999999999997</v>
      </c>
      <c r="R43" s="200" t="s">
        <v>7</v>
      </c>
      <c r="S43" s="103">
        <f t="shared" ca="1" si="24"/>
        <v>41.62</v>
      </c>
      <c r="T43" s="83">
        <f t="shared" ca="1" si="25"/>
        <v>5239.13</v>
      </c>
      <c r="U43" s="9" t="str">
        <f t="shared" ca="1" si="26"/>
        <v/>
      </c>
      <c r="V43" s="1" t="str">
        <f ca="1">IF(OR($A43=0,$A43="S",$A43&gt;CFF!$A$9),"",MAX(V$12:OFFSET(V43,-1,0))+1)</f>
        <v/>
      </c>
      <c r="W43" s="4" t="str">
        <f t="shared" si="27"/>
        <v>COMPOSIÇÃO-03</v>
      </c>
      <c r="X43" s="1">
        <f t="shared" ca="1" si="28"/>
        <v>9</v>
      </c>
      <c r="Y43" s="103">
        <f ca="1">IF(Import.Desoneracao="sim",Referencia.Desonerado,Referencia.NaoDesonerado)</f>
        <v>34.369999999999997</v>
      </c>
      <c r="Z43" s="113">
        <f ca="1">ROUND(IF(ISNUMBER(R43),R43,IF(LEFT(R43,3)="BDI",HLOOKUP(R43,DADOS!$T$37:$X$38,2,FALSE),0)),15-11*$X$5)</f>
        <v>0.2109</v>
      </c>
      <c r="AA43" s="1"/>
    </row>
    <row r="44" spans="1:27" ht="25.5" x14ac:dyDescent="0.2">
      <c r="A44" t="str">
        <f t="shared" si="16"/>
        <v>S</v>
      </c>
      <c r="B44">
        <f t="shared" si="17"/>
        <v>0</v>
      </c>
      <c r="C44">
        <f t="shared" ca="1" si="18"/>
        <v>1</v>
      </c>
      <c r="D44">
        <f t="shared" ca="1" si="19"/>
        <v>6</v>
      </c>
      <c r="E44">
        <f t="shared" ca="1" si="20"/>
        <v>0</v>
      </c>
      <c r="F44">
        <f t="shared" ca="1" si="21"/>
        <v>0</v>
      </c>
      <c r="G44">
        <f t="shared" ca="1" si="22"/>
        <v>2</v>
      </c>
      <c r="H44">
        <f t="shared" ca="1" si="7"/>
        <v>0</v>
      </c>
      <c r="I44">
        <f t="shared" ca="1" si="8"/>
        <v>0</v>
      </c>
      <c r="J44" s="102" t="s">
        <v>103</v>
      </c>
      <c r="K44" s="138" t="str">
        <f t="shared" ca="1" si="23"/>
        <v>1.6.2.</v>
      </c>
      <c r="L44" s="177" t="s">
        <v>230</v>
      </c>
      <c r="M44" s="177" t="s">
        <v>260</v>
      </c>
      <c r="N44" s="199" t="str">
        <f ca="1">IF($A44="S",Referencia.Descricao,"(digite a descrição aqui)")</f>
        <v>RODAPÉ CERÂMICO DE 7CM DE ALTURA COM PLACAS TIPO ESMALTADA DE DIMENSÕES 60X60CM. AF_02/2023</v>
      </c>
      <c r="O44" s="198" t="str">
        <f ca="1">Referencia.Unidade</f>
        <v>M</v>
      </c>
      <c r="P44" s="193">
        <f ca="1">OFFSET(PLQ!$E$12,ROW($P44)-ROW(P$12),0)</f>
        <v>295.04000000000002</v>
      </c>
      <c r="Q44" s="197">
        <f ca="1">Y44</f>
        <v>12.61</v>
      </c>
      <c r="R44" s="200" t="s">
        <v>7</v>
      </c>
      <c r="S44" s="103">
        <f t="shared" ca="1" si="24"/>
        <v>15.27</v>
      </c>
      <c r="T44" s="83">
        <f t="shared" ca="1" si="25"/>
        <v>4505.26</v>
      </c>
      <c r="U44" s="9" t="str">
        <f t="shared" ca="1" si="26"/>
        <v/>
      </c>
      <c r="V44" s="1" t="str">
        <f ca="1">IF(OR($A44=0,$A44="S",$A44&gt;CFF!$A$9),"",MAX(V$12:OFFSET(V44,-1,0))+1)</f>
        <v/>
      </c>
      <c r="W44" s="4" t="str">
        <f t="shared" si="27"/>
        <v>SINAPI-88650</v>
      </c>
      <c r="X44" s="1">
        <f t="shared" ca="1" si="28"/>
        <v>14861</v>
      </c>
      <c r="Y44" s="103">
        <f ca="1">IF(Import.Desoneracao="sim",Referencia.Desonerado,Referencia.NaoDesonerado)</f>
        <v>12.61</v>
      </c>
      <c r="Z44" s="113">
        <f ca="1">ROUND(IF(ISNUMBER(R44),R44,IF(LEFT(R44,3)="BDI",HLOOKUP(R44,DADOS!$T$37:$X$38,2,FALSE),0)),15-11*$X$5)</f>
        <v>0.2109</v>
      </c>
      <c r="AA44" s="1"/>
    </row>
    <row r="45" spans="1:27" x14ac:dyDescent="0.2">
      <c r="A45">
        <f t="shared" si="16"/>
        <v>2</v>
      </c>
      <c r="B45">
        <f t="shared" ca="1" si="17"/>
        <v>7</v>
      </c>
      <c r="C45">
        <f t="shared" ca="1" si="18"/>
        <v>1</v>
      </c>
      <c r="D45">
        <f t="shared" ca="1" si="19"/>
        <v>7</v>
      </c>
      <c r="E45">
        <f t="shared" ca="1" si="20"/>
        <v>0</v>
      </c>
      <c r="F45">
        <f t="shared" ca="1" si="21"/>
        <v>0</v>
      </c>
      <c r="G45">
        <f t="shared" ca="1" si="22"/>
        <v>0</v>
      </c>
      <c r="H45">
        <f t="shared" ref="H45:H81" ca="1" si="44">IF(OR($A45="S",$A45=0),0,MATCH(0,OFFSET($B45,1,$A45,ROW($A$96)-ROW($A45)),0))</f>
        <v>30</v>
      </c>
      <c r="I45">
        <f t="shared" ref="I45:I81" ca="1" si="45">IF(OR($A45="S",$A45=0),0,MATCH(OFFSET($B45,0,$A45)+1,OFFSET($B45,1,$A45,ROW($A$96)-ROW($A45)),0))</f>
        <v>7</v>
      </c>
      <c r="J45" s="102" t="s">
        <v>100</v>
      </c>
      <c r="K45" s="138" t="str">
        <f t="shared" ca="1" si="23"/>
        <v>1.7.</v>
      </c>
      <c r="L45" s="177"/>
      <c r="M45" s="177"/>
      <c r="N45" s="199" t="s">
        <v>293</v>
      </c>
      <c r="O45" s="198" t="str">
        <f ca="1">Referencia.Unidade</f>
        <v/>
      </c>
      <c r="P45" s="193">
        <f ca="1">OFFSET(PLQ!$E$12,ROW($P45)-ROW(P$12),0)</f>
        <v>0</v>
      </c>
      <c r="Q45" s="197"/>
      <c r="R45" s="200" t="s">
        <v>7</v>
      </c>
      <c r="S45" s="103">
        <f t="shared" si="24"/>
        <v>0</v>
      </c>
      <c r="T45" s="83">
        <f t="shared" ca="1" si="25"/>
        <v>10587.25</v>
      </c>
      <c r="U45" s="9" t="str">
        <f t="shared" ca="1" si="26"/>
        <v/>
      </c>
      <c r="V45" s="1">
        <f ca="1">IF(OR($A45=0,$A45="S",$A45&gt;CFF!$A$9),"",MAX(V$12:OFFSET(V45,-1,0))+1)</f>
        <v>8</v>
      </c>
      <c r="W45" s="4" t="b">
        <f t="shared" si="27"/>
        <v>0</v>
      </c>
      <c r="X45" s="1" t="str">
        <f t="shared" ca="1" si="28"/>
        <v>X</v>
      </c>
      <c r="Y45" s="103">
        <f ca="1">IF(Import.Desoneracao="sim",Referencia.Desonerado,Referencia.NaoDesonerado)</f>
        <v>0</v>
      </c>
      <c r="Z45" s="113">
        <f ca="1">ROUND(IF(ISNUMBER(R45),R45,IF(LEFT(R45,3)="BDI",HLOOKUP(R45,DADOS!$T$37:$X$38,2,FALSE),0)),15-11*$X$5)</f>
        <v>0.2109</v>
      </c>
      <c r="AA45" s="1"/>
    </row>
    <row r="46" spans="1:27" x14ac:dyDescent="0.2">
      <c r="A46" t="str">
        <f t="shared" si="16"/>
        <v>S</v>
      </c>
      <c r="B46">
        <f t="shared" si="17"/>
        <v>0</v>
      </c>
      <c r="C46">
        <f t="shared" ca="1" si="18"/>
        <v>1</v>
      </c>
      <c r="D46">
        <f t="shared" ca="1" si="19"/>
        <v>7</v>
      </c>
      <c r="E46">
        <f t="shared" ca="1" si="20"/>
        <v>0</v>
      </c>
      <c r="F46">
        <f t="shared" ca="1" si="21"/>
        <v>0</v>
      </c>
      <c r="G46">
        <f t="shared" ca="1" si="22"/>
        <v>1</v>
      </c>
      <c r="H46">
        <f t="shared" ca="1" si="44"/>
        <v>0</v>
      </c>
      <c r="I46">
        <f t="shared" ca="1" si="45"/>
        <v>0</v>
      </c>
      <c r="J46" s="102" t="s">
        <v>103</v>
      </c>
      <c r="K46" s="138" t="str">
        <f t="shared" ca="1" si="23"/>
        <v>1.7.1.</v>
      </c>
      <c r="L46" s="177" t="s">
        <v>237</v>
      </c>
      <c r="M46" s="177" t="s">
        <v>315</v>
      </c>
      <c r="N46" s="199" t="str">
        <f ca="1">IF($A46="S",Referencia.Descricao,"(digite a descrição aqui)")</f>
        <v>CAIXA DE PASSAGEM ENTERRADA PARA ESGOTO 60X60X60</v>
      </c>
      <c r="O46" s="198" t="str">
        <f ca="1">Referencia.Unidade</f>
        <v>UNIDADE</v>
      </c>
      <c r="P46" s="193">
        <f ca="1">OFFSET(PLQ!$E$12,ROW($P46)-ROW(P$12),0)</f>
        <v>4</v>
      </c>
      <c r="Q46" s="197">
        <f t="shared" ref="Q46:Q51" ca="1" si="46">Y46</f>
        <v>532.54000000000008</v>
      </c>
      <c r="R46" s="200" t="s">
        <v>7</v>
      </c>
      <c r="S46" s="103">
        <f t="shared" ca="1" si="24"/>
        <v>644.85</v>
      </c>
      <c r="T46" s="83">
        <f t="shared" ca="1" si="25"/>
        <v>2579.4</v>
      </c>
      <c r="U46" s="9" t="str">
        <f ca="1">IF($J46="","",IF($N46="","DESCRIÇÃO",IF(AND($J46="Serviço",$O46=""),"UNIDADE",IF($T46&lt;=0,"SEM VALOR",IF(AND($Y46&lt;&gt;"",$Q46&gt;$Y46),"ACIMA REF.","")))))</f>
        <v/>
      </c>
      <c r="V46" s="1" t="str">
        <f ca="1">IF(OR($A46=0,$A46="S",$A46&gt;CFF!$A$9),"",MAX(V$12:OFFSET(V46,-1,0))+1)</f>
        <v/>
      </c>
      <c r="W46" s="4" t="str">
        <f t="shared" si="27"/>
        <v>COMPOSIÇÃO-04</v>
      </c>
      <c r="X46" s="1">
        <f t="shared" ca="1" si="28"/>
        <v>10</v>
      </c>
      <c r="Y46" s="103">
        <f ca="1">IF(Import.Desoneracao="sim",Referencia.Desonerado,Referencia.NaoDesonerado)</f>
        <v>532.54000000000008</v>
      </c>
      <c r="Z46" s="113">
        <f ca="1">ROUND(IF(ISNUMBER(R46),R46,IF(LEFT(R46,3)="BDI",HLOOKUP(R46,DADOS!$T$37:$X$38,2,FALSE),0)),15-11*$X$5)</f>
        <v>0.2109</v>
      </c>
      <c r="AA46" s="1"/>
    </row>
    <row r="47" spans="1:27" ht="38.25" x14ac:dyDescent="0.2">
      <c r="A47" t="str">
        <f>CHOOSE(1+LOG(1+2*(J47="Meta")+4*(J47="Nível 2")+8*(J47="Nível 3")+16*(J47="Nível 4")+32*(J47="Serviço"),2),0,1,2,3,4,"S")</f>
        <v>S</v>
      </c>
      <c r="B47">
        <f>IF(OR(A47="S",A47=0),0,IF(ISERROR(I47),H47,SMALL(H47:I47,1)))</f>
        <v>0</v>
      </c>
      <c r="C47">
        <f ca="1">IF($A47=1,OFFSET(C47,-1,0)+1,OFFSET(C47,-1,0))</f>
        <v>1</v>
      </c>
      <c r="D47">
        <f ca="1">IF($A47=1,0,IF($A47=2,OFFSET(D47,-1,0)+1,OFFSET(D47,-1,0)))</f>
        <v>7</v>
      </c>
      <c r="E47">
        <f ca="1">IF(AND($A47&lt;=2,$A47&lt;&gt;0),0,IF($A47=3,OFFSET(E47,-1,0)+1,OFFSET(E47,-1,0)))</f>
        <v>0</v>
      </c>
      <c r="F47">
        <f ca="1">IF(AND($A47&lt;=3,$A47&lt;&gt;0),0,IF($A47=4,OFFSET(F47,-1,0)+1,OFFSET(F47,-1,0)))</f>
        <v>0</v>
      </c>
      <c r="G47">
        <f ca="1">IF(AND($A47&lt;=4,$A47&lt;&gt;0),0,IF($A47="S",OFFSET(G47,-1,0)+1,OFFSET(G47,-1,0)))</f>
        <v>2</v>
      </c>
      <c r="H47">
        <f t="shared" ca="1" si="44"/>
        <v>0</v>
      </c>
      <c r="I47">
        <f t="shared" ca="1" si="45"/>
        <v>0</v>
      </c>
      <c r="J47" s="102" t="s">
        <v>103</v>
      </c>
      <c r="K47" s="138" t="str">
        <f ca="1">IF($A47=0,"-",CONCATENATE(C47&amp;".",IF(AND($A$5&gt;=2,$A47&gt;=2),D47&amp;".",""),IF(AND($A$5&gt;=3,$A47&gt;=3),E47&amp;".",""),IF(AND($A$5&gt;=4,$A47&gt;=4),F47&amp;".",""),IF($A47="S",G47&amp;".","")))</f>
        <v>1.7.2.</v>
      </c>
      <c r="L47" s="177" t="s">
        <v>230</v>
      </c>
      <c r="M47" s="177" t="s">
        <v>294</v>
      </c>
      <c r="N47" s="199" t="str">
        <f ca="1">IF($A47="S",Referencia.Descricao,"(digite a descrição aqui)")</f>
        <v>TUBO PVC, SERIE NORMAL, ESGOTO PREDIAL, DN 100 MM, FORNECIDO E INSTALADO EM RAMAL DE DESCARGA OU RAMAL DE ESGOTO SANITÁRIO. AF_08/2022</v>
      </c>
      <c r="O47" s="198" t="str">
        <f ca="1">Referencia.Unidade</f>
        <v>M</v>
      </c>
      <c r="P47" s="193">
        <f ca="1">OFFSET(PLQ!$E$12,ROW($P47)-ROW(P$12),0)</f>
        <v>40</v>
      </c>
      <c r="Q47" s="197">
        <f t="shared" ca="1" si="46"/>
        <v>41.42</v>
      </c>
      <c r="R47" s="200" t="s">
        <v>7</v>
      </c>
      <c r="S47" s="103">
        <f ca="1">IF($A47="S",IF($Q$10="Preço Unitário (R$)",PO.CustoUnitario,ROUND(PO.CustoUnitario*(1+$Z47),15-13*$X$6)),0)</f>
        <v>50.16</v>
      </c>
      <c r="T47" s="83">
        <f ca="1">IF($A47="S",VTOTAL1,IF($A47=0,0,ROUND(SomaAgrup,15-13*$X$7)))</f>
        <v>2006.4</v>
      </c>
      <c r="U47" s="9" t="str">
        <f ca="1">IF($J47="","",IF($N47="","DESCRIÇÃO",IF(AND($J47="Serviço",$O47=""),"UNIDADE",IF($T47&lt;=0,"SEM VALOR",IF(AND($Y47&lt;&gt;"",$Q47&gt;$Y47),"ACIMA REF.","")))))</f>
        <v/>
      </c>
      <c r="V47" s="1" t="str">
        <f ca="1">IF(OR($A47=0,$A47="S",$A47&gt;CFF!$A$9),"",MAX(V$12:OFFSET(V47,-1,0))+1)</f>
        <v/>
      </c>
      <c r="W47" s="4" t="str">
        <f>IF(AND($J47="Serviço",$M47&lt;&gt;""),IF($L47="",$M47,CONCATENATE($L47,"-",$M47)))</f>
        <v>SINAPI-89714</v>
      </c>
      <c r="X47" s="1">
        <f ca="1">IF(AND(Fonte&lt;&gt;"",Código&lt;&gt;""),MATCH(Fonte&amp;" "&amp;IF(Fonte="sinapi",SUBSTITUTE(SUBSTITUTE(Código,"/00","/"),"/0","/"),Código),INDIRECT("'[Referência "&amp;_xlnm.Database&amp;".xls]Banco'!$a:$a"),0),"X")</f>
        <v>11457</v>
      </c>
      <c r="Y47" s="103">
        <f ca="1">IF(Import.Desoneracao="sim",Referencia.Desonerado,Referencia.NaoDesonerado)</f>
        <v>41.42</v>
      </c>
      <c r="Z47" s="113">
        <f ca="1">ROUND(IF(ISNUMBER(R47),R47,IF(LEFT(R47,3)="BDI",HLOOKUP(R47,DADOS!$T$37:$X$38,2,FALSE),0)),15-11*$X$5)</f>
        <v>0.2109</v>
      </c>
      <c r="AA47" s="1"/>
    </row>
    <row r="48" spans="1:27" ht="38.25" x14ac:dyDescent="0.2">
      <c r="A48" t="str">
        <f t="shared" si="16"/>
        <v>S</v>
      </c>
      <c r="B48">
        <f t="shared" si="17"/>
        <v>0</v>
      </c>
      <c r="C48">
        <f t="shared" ca="1" si="18"/>
        <v>1</v>
      </c>
      <c r="D48">
        <f t="shared" ca="1" si="19"/>
        <v>7</v>
      </c>
      <c r="E48">
        <f t="shared" ca="1" si="20"/>
        <v>0</v>
      </c>
      <c r="F48">
        <f t="shared" ca="1" si="21"/>
        <v>0</v>
      </c>
      <c r="G48">
        <f t="shared" ca="1" si="22"/>
        <v>3</v>
      </c>
      <c r="H48">
        <f t="shared" ca="1" si="44"/>
        <v>0</v>
      </c>
      <c r="I48">
        <f t="shared" ca="1" si="45"/>
        <v>0</v>
      </c>
      <c r="J48" s="102" t="s">
        <v>103</v>
      </c>
      <c r="K48" s="138" t="str">
        <f t="shared" ca="1" si="23"/>
        <v>1.7.3.</v>
      </c>
      <c r="L48" s="177" t="s">
        <v>230</v>
      </c>
      <c r="M48" s="177" t="s">
        <v>261</v>
      </c>
      <c r="N48" s="199" t="str">
        <f ca="1">IF($A48="S",Referencia.Descricao,"(digite a descrição aqui)")</f>
        <v>VASO SANITÁRIO SIFONADO COM CAIXA ACOPLADA LOUÇA BRANCA - PADRÃO MÉDIO, INCLUSO ENGATE FLEXÍVEL EM METAL CROMADO, 1/2 X 40CM - FORNECIMENTO E INSTALAÇÃO. AF_01/2020</v>
      </c>
      <c r="O48" s="198" t="str">
        <f ca="1">Referencia.Unidade</f>
        <v>UN</v>
      </c>
      <c r="P48" s="193">
        <f ca="1">OFFSET(PLQ!$E$12,ROW($P48)-ROW(P$12),0)</f>
        <v>3</v>
      </c>
      <c r="Q48" s="197">
        <f t="shared" ca="1" si="46"/>
        <v>619.14</v>
      </c>
      <c r="R48" s="200" t="s">
        <v>7</v>
      </c>
      <c r="S48" s="103">
        <f t="shared" ca="1" si="24"/>
        <v>749.72</v>
      </c>
      <c r="T48" s="83">
        <f t="shared" ca="1" si="25"/>
        <v>2249.16</v>
      </c>
      <c r="U48" s="9" t="str">
        <f t="shared" ca="1" si="26"/>
        <v/>
      </c>
      <c r="V48" s="1" t="str">
        <f ca="1">IF(OR($A48=0,$A48="S",$A48&gt;CFF!$A$9),"",MAX(V$12:OFFSET(V48,-1,0))+1)</f>
        <v/>
      </c>
      <c r="W48" s="4" t="str">
        <f t="shared" si="27"/>
        <v>SINAPI-86932</v>
      </c>
      <c r="X48" s="1">
        <f t="shared" ca="1" si="28"/>
        <v>13289</v>
      </c>
      <c r="Y48" s="103">
        <f ca="1">IF(Import.Desoneracao="sim",Referencia.Desonerado,Referencia.NaoDesonerado)</f>
        <v>619.14</v>
      </c>
      <c r="Z48" s="113">
        <f ca="1">ROUND(IF(ISNUMBER(R48),R48,IF(LEFT(R48,3)="BDI",HLOOKUP(R48,DADOS!$T$37:$X$38,2,FALSE),0)),15-11*$X$5)</f>
        <v>0.2109</v>
      </c>
      <c r="AA48" s="1"/>
    </row>
    <row r="49" spans="1:27" ht="38.25" x14ac:dyDescent="0.2">
      <c r="A49" t="str">
        <f t="shared" si="16"/>
        <v>S</v>
      </c>
      <c r="B49">
        <f t="shared" si="17"/>
        <v>0</v>
      </c>
      <c r="C49">
        <f t="shared" ca="1" si="18"/>
        <v>1</v>
      </c>
      <c r="D49">
        <f t="shared" ca="1" si="19"/>
        <v>7</v>
      </c>
      <c r="E49">
        <f t="shared" ca="1" si="20"/>
        <v>0</v>
      </c>
      <c r="F49">
        <f t="shared" ca="1" si="21"/>
        <v>0</v>
      </c>
      <c r="G49">
        <f t="shared" ca="1" si="22"/>
        <v>4</v>
      </c>
      <c r="H49">
        <f t="shared" ca="1" si="44"/>
        <v>0</v>
      </c>
      <c r="I49">
        <f t="shared" ca="1" si="45"/>
        <v>0</v>
      </c>
      <c r="J49" s="102" t="s">
        <v>103</v>
      </c>
      <c r="K49" s="138" t="str">
        <f t="shared" ca="1" si="23"/>
        <v>1.7.4.</v>
      </c>
      <c r="L49" s="177" t="s">
        <v>230</v>
      </c>
      <c r="M49" s="177" t="s">
        <v>262</v>
      </c>
      <c r="N49" s="199" t="str">
        <f ca="1">IF($A49="S",Referencia.Descricao,"(digite a descrição aqui)")</f>
        <v>VASO SANITARIO SIFONADO CONVENCIONAL PARA PCD SEM FURO FRONTAL COM LOUÇA BRANCA SEM ASSENTO, INCLUSO CONJUNTO DE LIGAÇÃO PARA BACIA SANITÁRIA AJUSTÁVEL - FORNECIMENTO E INSTALAÇÃO. AF_01/2020</v>
      </c>
      <c r="O49" s="198" t="str">
        <f ca="1">Referencia.Unidade</f>
        <v>UN</v>
      </c>
      <c r="P49" s="193">
        <f ca="1">OFFSET(PLQ!$E$12,ROW($P49)-ROW(P$12),0)</f>
        <v>1</v>
      </c>
      <c r="Q49" s="197">
        <f t="shared" ca="1" si="46"/>
        <v>866.35</v>
      </c>
      <c r="R49" s="200" t="s">
        <v>7</v>
      </c>
      <c r="S49" s="103">
        <f t="shared" ca="1" si="24"/>
        <v>1049.06</v>
      </c>
      <c r="T49" s="83">
        <f t="shared" ca="1" si="25"/>
        <v>1049.06</v>
      </c>
      <c r="U49" s="9" t="str">
        <f t="shared" ca="1" si="26"/>
        <v/>
      </c>
      <c r="V49" s="1" t="str">
        <f ca="1">IF(OR($A49=0,$A49="S",$A49&gt;CFF!$A$9),"",MAX(V$12:OFFSET(V49,-1,0))+1)</f>
        <v/>
      </c>
      <c r="W49" s="4" t="str">
        <f t="shared" si="27"/>
        <v>SINAPI-95472</v>
      </c>
      <c r="X49" s="1">
        <f t="shared" ca="1" si="28"/>
        <v>13286</v>
      </c>
      <c r="Y49" s="103">
        <f ca="1">IF(Import.Desoneracao="sim",Referencia.Desonerado,Referencia.NaoDesonerado)</f>
        <v>866.35</v>
      </c>
      <c r="Z49" s="113">
        <f ca="1">ROUND(IF(ISNUMBER(R49),R49,IF(LEFT(R49,3)="BDI",HLOOKUP(R49,DADOS!$T$37:$X$38,2,FALSE),0)),15-11*$X$5)</f>
        <v>0.2109</v>
      </c>
      <c r="AA49" s="1"/>
    </row>
    <row r="50" spans="1:27" ht="25.5" x14ac:dyDescent="0.2">
      <c r="A50" t="str">
        <f>CHOOSE(1+LOG(1+2*(J50="Meta")+4*(J50="Nível 2")+8*(J50="Nível 3")+16*(J50="Nível 4")+32*(J50="Serviço"),2),0,1,2,3,4,"S")</f>
        <v>S</v>
      </c>
      <c r="B50">
        <f>IF(OR(A50="S",A50=0),0,IF(ISERROR(I50),H50,SMALL(H50:I50,1)))</f>
        <v>0</v>
      </c>
      <c r="C50">
        <f ca="1">IF($A50=1,OFFSET(C50,-1,0)+1,OFFSET(C50,-1,0))</f>
        <v>1</v>
      </c>
      <c r="D50">
        <f ca="1">IF($A50=1,0,IF($A50=2,OFFSET(D50,-1,0)+1,OFFSET(D50,-1,0)))</f>
        <v>7</v>
      </c>
      <c r="E50">
        <f ca="1">IF(AND($A50&lt;=2,$A50&lt;&gt;0),0,IF($A50=3,OFFSET(E50,-1,0)+1,OFFSET(E50,-1,0)))</f>
        <v>0</v>
      </c>
      <c r="F50">
        <f ca="1">IF(AND($A50&lt;=3,$A50&lt;&gt;0),0,IF($A50=4,OFFSET(F50,-1,0)+1,OFFSET(F50,-1,0)))</f>
        <v>0</v>
      </c>
      <c r="G50">
        <f ca="1">IF(AND($A50&lt;=4,$A50&lt;&gt;0),0,IF($A50="S",OFFSET(G50,-1,0)+1,OFFSET(G50,-1,0)))</f>
        <v>5</v>
      </c>
      <c r="H50">
        <f t="shared" ca="1" si="44"/>
        <v>0</v>
      </c>
      <c r="I50">
        <f t="shared" ca="1" si="45"/>
        <v>0</v>
      </c>
      <c r="J50" s="102" t="s">
        <v>103</v>
      </c>
      <c r="K50" s="138" t="str">
        <f ca="1">IF($A50=0,"-",CONCATENATE(C50&amp;".",IF(AND($A$5&gt;=2,$A50&gt;=2),D50&amp;".",""),IF(AND($A$5&gt;=3,$A50&gt;=3),E50&amp;".",""),IF(AND($A$5&gt;=4,$A50&gt;=4),F50&amp;".",""),IF($A50="S",G50&amp;".","")))</f>
        <v>1.7.5.</v>
      </c>
      <c r="L50" s="177" t="s">
        <v>230</v>
      </c>
      <c r="M50" s="177" t="s">
        <v>263</v>
      </c>
      <c r="N50" s="199" t="str">
        <f ca="1">IF($A50="S",Referencia.Descricao,"(digite a descrição aqui)")</f>
        <v>BARRA DE APOIO RETA, EM ACO INOX POLIDO, COMPRIMENTO 90 CM, FIXADA NA PAREDE - FORNECIMENTO E INSTALAÇÃO. AF_01/2020</v>
      </c>
      <c r="O50" s="198" t="str">
        <f ca="1">Referencia.Unidade</f>
        <v>UN</v>
      </c>
      <c r="P50" s="193">
        <f ca="1">OFFSET(PLQ!$E$12,ROW($P50)-ROW(P$12),0)</f>
        <v>2</v>
      </c>
      <c r="Q50" s="197">
        <f t="shared" ca="1" si="46"/>
        <v>470.98</v>
      </c>
      <c r="R50" s="200" t="s">
        <v>7</v>
      </c>
      <c r="S50" s="103">
        <f ca="1">IF($A50="S",IF($Q$10="Preço Unitário (R$)",PO.CustoUnitario,ROUND(PO.CustoUnitario*(1+$Z50),15-13*$X$6)),0)</f>
        <v>570.30999999999995</v>
      </c>
      <c r="T50" s="83">
        <f ca="1">IF($A50="S",VTOTAL1,IF($A50=0,0,ROUND(SomaAgrup,15-13*$X$7)))</f>
        <v>1140.6199999999999</v>
      </c>
      <c r="U50" s="9" t="str">
        <f ca="1">IF($J50="","",IF($N50="","DESCRIÇÃO",IF(AND($J50="Serviço",$O50=""),"UNIDADE",IF($T50&lt;=0,"SEM VALOR",IF(AND($Y50&lt;&gt;"",$Q50&gt;$Y50),"ACIMA REF.","")))))</f>
        <v/>
      </c>
      <c r="V50" s="1" t="str">
        <f ca="1">IF(OR($A50=0,$A50="S",$A50&gt;CFF!$A$9),"",MAX(V$12:OFFSET(V50,-1,0))+1)</f>
        <v/>
      </c>
      <c r="W50" s="4" t="str">
        <f>IF(AND($J50="Serviço",$M50&lt;&gt;""),IF($L50="",$M50,CONCATENATE($L50,"-",$M50)))</f>
        <v>SINAPI-100869</v>
      </c>
      <c r="X50" s="1">
        <f ca="1">IF(AND(Fonte&lt;&gt;"",Código&lt;&gt;""),MATCH(Fonte&amp;" "&amp;IF(Fonte="sinapi",SUBSTITUTE(SUBSTITUTE(Código,"/00","/"),"/0","/"),Código),INDIRECT("'[Referência "&amp;_xlnm.Database&amp;".xls]Banco'!$a:$a"),0),"X")</f>
        <v>13217</v>
      </c>
      <c r="Y50" s="103">
        <f ca="1">IF(Import.Desoneracao="sim",Referencia.Desonerado,Referencia.NaoDesonerado)</f>
        <v>470.98</v>
      </c>
      <c r="Z50" s="113">
        <f ca="1">ROUND(IF(ISNUMBER(R50),R50,IF(LEFT(R50,3)="BDI",HLOOKUP(R50,DADOS!$T$37:$X$38,2,FALSE),0)),15-11*$X$5)</f>
        <v>0.2109</v>
      </c>
      <c r="AA50" s="1"/>
    </row>
    <row r="51" spans="1:27" ht="25.5" x14ac:dyDescent="0.2">
      <c r="A51" t="str">
        <f>CHOOSE(1+LOG(1+2*(J51="Meta")+4*(J51="Nível 2")+8*(J51="Nível 3")+16*(J51="Nível 4")+32*(J51="Serviço"),2),0,1,2,3,4,"S")</f>
        <v>S</v>
      </c>
      <c r="B51">
        <f>IF(OR(A51="S",A51=0),0,IF(ISERROR(I51),H51,SMALL(H51:I51,1)))</f>
        <v>0</v>
      </c>
      <c r="C51">
        <f ca="1">IF($A51=1,OFFSET(C51,-1,0)+1,OFFSET(C51,-1,0))</f>
        <v>1</v>
      </c>
      <c r="D51">
        <f ca="1">IF($A51=1,0,IF($A51=2,OFFSET(D51,-1,0)+1,OFFSET(D51,-1,0)))</f>
        <v>7</v>
      </c>
      <c r="E51">
        <f ca="1">IF(AND($A51&lt;=2,$A51&lt;&gt;0),0,IF($A51=3,OFFSET(E51,-1,0)+1,OFFSET(E51,-1,0)))</f>
        <v>0</v>
      </c>
      <c r="F51">
        <f ca="1">IF(AND($A51&lt;=3,$A51&lt;&gt;0),0,IF($A51=4,OFFSET(F51,-1,0)+1,OFFSET(F51,-1,0)))</f>
        <v>0</v>
      </c>
      <c r="G51">
        <f ca="1">IF(AND($A51&lt;=4,$A51&lt;&gt;0),0,IF($A51="S",OFFSET(G51,-1,0)+1,OFFSET(G51,-1,0)))</f>
        <v>6</v>
      </c>
      <c r="H51">
        <f t="shared" ca="1" si="44"/>
        <v>0</v>
      </c>
      <c r="I51">
        <f t="shared" ca="1" si="45"/>
        <v>0</v>
      </c>
      <c r="J51" s="102" t="s">
        <v>103</v>
      </c>
      <c r="K51" s="138" t="str">
        <f ca="1">IF($A51=0,"-",CONCATENATE(C51&amp;".",IF(AND($A$5&gt;=2,$A51&gt;=2),D51&amp;".",""),IF(AND($A$5&gt;=3,$A51&gt;=3),E51&amp;".",""),IF(AND($A$5&gt;=4,$A51&gt;=4),F51&amp;".",""),IF($A51="S",G51&amp;".","")))</f>
        <v>1.7.6.</v>
      </c>
      <c r="L51" s="177" t="s">
        <v>237</v>
      </c>
      <c r="M51" s="177" t="s">
        <v>316</v>
      </c>
      <c r="N51" s="199" t="str">
        <f ca="1">IF($A51="S",Referencia.Descricao,"(digite a descrição aqui)")</f>
        <v>INSTALAÇÃO DE LAVATÓRIO EM LOUÇA BRANCA COM COLUNA, SIFÃO, VÁLVULA, ENGATE E TORNEIRA (SEM FORNECIMENTO DOS MATERIAIS)</v>
      </c>
      <c r="O51" s="198" t="str">
        <f ca="1">Referencia.Unidade</f>
        <v>UN</v>
      </c>
      <c r="P51" s="193">
        <f ca="1">OFFSET(PLQ!$E$12,ROW($P51)-ROW(P$12),0)</f>
        <v>7</v>
      </c>
      <c r="Q51" s="197">
        <f t="shared" ca="1" si="46"/>
        <v>184.35000000000002</v>
      </c>
      <c r="R51" s="200" t="s">
        <v>7</v>
      </c>
      <c r="S51" s="103">
        <f ca="1">IF($A51="S",IF($Q$10="Preço Unitário (R$)",PO.CustoUnitario,ROUND(PO.CustoUnitario*(1+$Z51),15-13*$X$6)),0)</f>
        <v>223.23</v>
      </c>
      <c r="T51" s="83">
        <f ca="1">IF($A51="S",VTOTAL1,IF($A51=0,0,ROUND(SomaAgrup,15-13*$X$7)))</f>
        <v>1562.61</v>
      </c>
      <c r="U51" s="9" t="str">
        <f ca="1">IF($J51="","",IF($N51="","DESCRIÇÃO",IF(AND($J51="Serviço",$O51=""),"UNIDADE",IF($T51&lt;=0,"SEM VALOR",IF(AND($Y51&lt;&gt;"",$Q51&gt;$Y51),"ACIMA REF.","")))))</f>
        <v/>
      </c>
      <c r="V51" s="1" t="str">
        <f ca="1">IF(OR($A51=0,$A51="S",$A51&gt;CFF!$A$9),"",MAX(V$12:OFFSET(V51,-1,0))+1)</f>
        <v/>
      </c>
      <c r="W51" s="4" t="str">
        <f>IF(AND($J51="Serviço",$M51&lt;&gt;""),IF($L51="",$M51,CONCATENATE($L51,"-",$M51)))</f>
        <v>COMPOSIÇÃO-05</v>
      </c>
      <c r="X51" s="1">
        <f ca="1">IF(AND(Fonte&lt;&gt;"",Código&lt;&gt;""),MATCH(Fonte&amp;" "&amp;IF(Fonte="sinapi",SUBSTITUTE(SUBSTITUTE(Código,"/00","/"),"/0","/"),Código),INDIRECT("'[Referência "&amp;_xlnm.Database&amp;".xls]Banco'!$a:$a"),0),"X")</f>
        <v>11</v>
      </c>
      <c r="Y51" s="103">
        <f ca="1">IF(Import.Desoneracao="sim",Referencia.Desonerado,Referencia.NaoDesonerado)</f>
        <v>184.35000000000002</v>
      </c>
      <c r="Z51" s="113">
        <f ca="1">ROUND(IF(ISNUMBER(R51),R51,IF(LEFT(R51,3)="BDI",HLOOKUP(R51,DADOS!$T$37:$X$38,2,FALSE),0)),15-11*$X$5)</f>
        <v>0.2109</v>
      </c>
      <c r="AA51" s="1"/>
    </row>
    <row r="52" spans="1:27" x14ac:dyDescent="0.2">
      <c r="A52">
        <f t="shared" si="16"/>
        <v>2</v>
      </c>
      <c r="B52">
        <f t="shared" ca="1" si="17"/>
        <v>10</v>
      </c>
      <c r="C52">
        <f t="shared" ca="1" si="18"/>
        <v>1</v>
      </c>
      <c r="D52">
        <f t="shared" ca="1" si="19"/>
        <v>8</v>
      </c>
      <c r="E52">
        <f t="shared" ca="1" si="20"/>
        <v>0</v>
      </c>
      <c r="F52">
        <f t="shared" ca="1" si="21"/>
        <v>0</v>
      </c>
      <c r="G52">
        <f t="shared" ca="1" si="22"/>
        <v>0</v>
      </c>
      <c r="H52">
        <f t="shared" ca="1" si="44"/>
        <v>23</v>
      </c>
      <c r="I52">
        <f t="shared" ca="1" si="45"/>
        <v>10</v>
      </c>
      <c r="J52" s="102" t="s">
        <v>100</v>
      </c>
      <c r="K52" s="138" t="str">
        <f t="shared" ca="1" si="23"/>
        <v>1.8.</v>
      </c>
      <c r="L52" s="177"/>
      <c r="M52" s="177"/>
      <c r="N52" s="199" t="s">
        <v>264</v>
      </c>
      <c r="O52" s="198" t="str">
        <f ca="1">Referencia.Unidade</f>
        <v/>
      </c>
      <c r="P52" s="193">
        <f ca="1">OFFSET(PLQ!$E$12,ROW($P52)-ROW(P$12),0)</f>
        <v>0</v>
      </c>
      <c r="Q52" s="197"/>
      <c r="R52" s="200" t="s">
        <v>7</v>
      </c>
      <c r="S52" s="103">
        <f t="shared" si="24"/>
        <v>0</v>
      </c>
      <c r="T52" s="83">
        <f t="shared" ca="1" si="25"/>
        <v>17317.75</v>
      </c>
      <c r="U52" s="9" t="str">
        <f t="shared" ca="1" si="26"/>
        <v/>
      </c>
      <c r="V52" s="1">
        <f ca="1">IF(OR($A52=0,$A52="S",$A52&gt;CFF!$A$9),"",MAX(V$12:OFFSET(V52,-1,0))+1)</f>
        <v>9</v>
      </c>
      <c r="W52" s="4" t="b">
        <f t="shared" si="27"/>
        <v>0</v>
      </c>
      <c r="X52" s="1" t="str">
        <f t="shared" ca="1" si="28"/>
        <v>X</v>
      </c>
      <c r="Y52" s="103">
        <f ca="1">IF(Import.Desoneracao="sim",Referencia.Desonerado,Referencia.NaoDesonerado)</f>
        <v>0</v>
      </c>
      <c r="Z52" s="113">
        <f ca="1">ROUND(IF(ISNUMBER(R52),R52,IF(LEFT(R52,3)="BDI",HLOOKUP(R52,DADOS!$T$37:$X$38,2,FALSE),0)),15-11*$X$5)</f>
        <v>0.2109</v>
      </c>
      <c r="AA52" s="1"/>
    </row>
    <row r="53" spans="1:27" ht="25.5" x14ac:dyDescent="0.2">
      <c r="A53" t="str">
        <f t="shared" si="16"/>
        <v>S</v>
      </c>
      <c r="B53">
        <f t="shared" si="17"/>
        <v>0</v>
      </c>
      <c r="C53">
        <f t="shared" ca="1" si="18"/>
        <v>1</v>
      </c>
      <c r="D53">
        <f t="shared" ca="1" si="19"/>
        <v>8</v>
      </c>
      <c r="E53">
        <f t="shared" ca="1" si="20"/>
        <v>0</v>
      </c>
      <c r="F53">
        <f t="shared" ca="1" si="21"/>
        <v>0</v>
      </c>
      <c r="G53">
        <f t="shared" ca="1" si="22"/>
        <v>1</v>
      </c>
      <c r="H53">
        <f t="shared" ca="1" si="44"/>
        <v>0</v>
      </c>
      <c r="I53">
        <f t="shared" ca="1" si="45"/>
        <v>0</v>
      </c>
      <c r="J53" s="102" t="s">
        <v>103</v>
      </c>
      <c r="K53" s="138" t="str">
        <f t="shared" ca="1" si="23"/>
        <v>1.8.1.</v>
      </c>
      <c r="L53" s="177" t="s">
        <v>237</v>
      </c>
      <c r="M53" s="177" t="s">
        <v>317</v>
      </c>
      <c r="N53" s="199" t="str">
        <f ca="1">IF($A53="S",Referencia.Descricao,"(digite a descrição aqui)")</f>
        <v>MONTAGEM DE PORTA DE MADEIRA 90X210, COM BATENTE, ALIZARES E FERRAGENS (SEM FORNECIMENTO DOS MATERIAIS) AF_08.2022</v>
      </c>
      <c r="O53" s="198" t="str">
        <f ca="1">Referencia.Unidade</f>
        <v>UN</v>
      </c>
      <c r="P53" s="193">
        <f ca="1">OFFSET(PLQ!$E$12,ROW($P53)-ROW(P$12),0)</f>
        <v>17</v>
      </c>
      <c r="Q53" s="197">
        <f t="shared" ref="Q53:Q59" ca="1" si="47">Y53</f>
        <v>237.35000000000002</v>
      </c>
      <c r="R53" s="200" t="s">
        <v>7</v>
      </c>
      <c r="S53" s="103">
        <f t="shared" ca="1" si="24"/>
        <v>287.41000000000003</v>
      </c>
      <c r="T53" s="83">
        <f t="shared" ca="1" si="25"/>
        <v>4885.97</v>
      </c>
      <c r="U53" s="9" t="str">
        <f t="shared" ca="1" si="26"/>
        <v/>
      </c>
      <c r="V53" s="1" t="str">
        <f ca="1">IF(OR($A53=0,$A53="S",$A53&gt;CFF!$A$9),"",MAX(V$12:OFFSET(V53,-1,0))+1)</f>
        <v/>
      </c>
      <c r="W53" s="4" t="str">
        <f t="shared" si="27"/>
        <v>COMPOSIÇÃO-06</v>
      </c>
      <c r="X53" s="1">
        <f t="shared" ca="1" si="28"/>
        <v>12</v>
      </c>
      <c r="Y53" s="103">
        <f ca="1">IF(Import.Desoneracao="sim",Referencia.Desonerado,Referencia.NaoDesonerado)</f>
        <v>237.35000000000002</v>
      </c>
      <c r="Z53" s="113">
        <f ca="1">ROUND(IF(ISNUMBER(R53),R53,IF(LEFT(R53,3)="BDI",HLOOKUP(R53,DADOS!$T$37:$X$38,2,FALSE),0)),15-11*$X$5)</f>
        <v>0.2109</v>
      </c>
      <c r="AA53" s="1"/>
    </row>
    <row r="54" spans="1:27" ht="25.5" x14ac:dyDescent="0.2">
      <c r="A54" t="str">
        <f t="shared" si="16"/>
        <v>S</v>
      </c>
      <c r="B54">
        <f t="shared" si="17"/>
        <v>0</v>
      </c>
      <c r="C54">
        <f t="shared" ca="1" si="18"/>
        <v>1</v>
      </c>
      <c r="D54">
        <f t="shared" ca="1" si="19"/>
        <v>8</v>
      </c>
      <c r="E54">
        <f t="shared" ca="1" si="20"/>
        <v>0</v>
      </c>
      <c r="F54">
        <f t="shared" ca="1" si="21"/>
        <v>0</v>
      </c>
      <c r="G54">
        <f t="shared" ca="1" si="22"/>
        <v>2</v>
      </c>
      <c r="H54">
        <f t="shared" ca="1" si="44"/>
        <v>0</v>
      </c>
      <c r="I54">
        <f t="shared" ca="1" si="45"/>
        <v>0</v>
      </c>
      <c r="J54" s="102" t="s">
        <v>103</v>
      </c>
      <c r="K54" s="138" t="str">
        <f t="shared" ca="1" si="23"/>
        <v>1.8.2.</v>
      </c>
      <c r="L54" s="177" t="s">
        <v>237</v>
      </c>
      <c r="M54" s="177" t="s">
        <v>266</v>
      </c>
      <c r="N54" s="199" t="str">
        <f ca="1">IF($A54="S",Referencia.Descricao,"(digite a descrição aqui)")</f>
        <v>MONTAGEM DE PORTA DE MADEIRA 70X210, COM BATENTE, ALIZARES E FERRAGENS (SEM FORNECIMENTO DOS MATERIAIS) AF_08.2022</v>
      </c>
      <c r="O54" s="198" t="str">
        <f ca="1">Referencia.Unidade</f>
        <v>UN</v>
      </c>
      <c r="P54" s="193">
        <f ca="1">OFFSET(PLQ!$E$12,ROW($P54)-ROW(P$12),0)</f>
        <v>3</v>
      </c>
      <c r="Q54" s="197">
        <f t="shared" ca="1" si="47"/>
        <v>225.76000000000002</v>
      </c>
      <c r="R54" s="200" t="s">
        <v>7</v>
      </c>
      <c r="S54" s="103">
        <f t="shared" ca="1" si="24"/>
        <v>273.37</v>
      </c>
      <c r="T54" s="83">
        <f t="shared" ca="1" si="25"/>
        <v>820.11</v>
      </c>
      <c r="U54" s="9" t="str">
        <f t="shared" ca="1" si="26"/>
        <v/>
      </c>
      <c r="V54" s="1" t="str">
        <f ca="1">IF(OR($A54=0,$A54="S",$A54&gt;CFF!$A$9),"",MAX(V$12:OFFSET(V54,-1,0))+1)</f>
        <v/>
      </c>
      <c r="W54" s="4" t="str">
        <f t="shared" si="27"/>
        <v>COMPOSIÇÃO-07</v>
      </c>
      <c r="X54" s="1">
        <f t="shared" ca="1" si="28"/>
        <v>13</v>
      </c>
      <c r="Y54" s="103">
        <f ca="1">IF(Import.Desoneracao="sim",Referencia.Desonerado,Referencia.NaoDesonerado)</f>
        <v>225.76000000000002</v>
      </c>
      <c r="Z54" s="113">
        <f ca="1">ROUND(IF(ISNUMBER(R54),R54,IF(LEFT(R54,3)="BDI",HLOOKUP(R54,DADOS!$T$37:$X$38,2,FALSE),0)),15-11*$X$5)</f>
        <v>0.2109</v>
      </c>
      <c r="AA54" s="1"/>
    </row>
    <row r="55" spans="1:27" ht="25.5" x14ac:dyDescent="0.2">
      <c r="A55" t="str">
        <f t="shared" si="16"/>
        <v>S</v>
      </c>
      <c r="B55">
        <f t="shared" si="17"/>
        <v>0</v>
      </c>
      <c r="C55">
        <f t="shared" ca="1" si="18"/>
        <v>1</v>
      </c>
      <c r="D55">
        <f t="shared" ca="1" si="19"/>
        <v>8</v>
      </c>
      <c r="E55">
        <f t="shared" ca="1" si="20"/>
        <v>0</v>
      </c>
      <c r="F55">
        <f t="shared" ca="1" si="21"/>
        <v>0</v>
      </c>
      <c r="G55">
        <f t="shared" ca="1" si="22"/>
        <v>3</v>
      </c>
      <c r="H55">
        <f t="shared" ca="1" si="44"/>
        <v>0</v>
      </c>
      <c r="I55">
        <f t="shared" ca="1" si="45"/>
        <v>0</v>
      </c>
      <c r="J55" s="102" t="s">
        <v>103</v>
      </c>
      <c r="K55" s="138" t="str">
        <f t="shared" ca="1" si="23"/>
        <v>1.8.3.</v>
      </c>
      <c r="L55" s="177" t="s">
        <v>230</v>
      </c>
      <c r="M55" s="177" t="s">
        <v>265</v>
      </c>
      <c r="N55" s="199" t="str">
        <f ca="1">IF($A55="S",Referencia.Descricao,"(digite a descrição aqui)")</f>
        <v>PINTURA TINTA DE ACABAMENTO (PIGMENTADA) ESMALTE SINTÉTICO BRILHANTE EM MADEIRA, 3 DEMÃOS. AF_01/2021</v>
      </c>
      <c r="O55" s="198" t="str">
        <f ca="1">Referencia.Unidade</f>
        <v>M2</v>
      </c>
      <c r="P55" s="193">
        <f ca="1">OFFSET(PLQ!$E$12,ROW($P55)-ROW(P$12),0)</f>
        <v>73.08</v>
      </c>
      <c r="Q55" s="197">
        <f t="shared" ca="1" si="47"/>
        <v>26.57</v>
      </c>
      <c r="R55" s="200" t="s">
        <v>7</v>
      </c>
      <c r="S55" s="103">
        <f t="shared" ca="1" si="24"/>
        <v>32.17</v>
      </c>
      <c r="T55" s="83">
        <f t="shared" ca="1" si="25"/>
        <v>2350.98</v>
      </c>
      <c r="U55" s="9" t="str">
        <f t="shared" ca="1" si="26"/>
        <v/>
      </c>
      <c r="V55" s="1" t="str">
        <f ca="1">IF(OR($A55=0,$A55="S",$A55&gt;CFF!$A$9),"",MAX(V$12:OFFSET(V55,-1,0))+1)</f>
        <v/>
      </c>
      <c r="W55" s="4" t="str">
        <f t="shared" si="27"/>
        <v>SINAPI-102230</v>
      </c>
      <c r="X55" s="1">
        <f t="shared" ca="1" si="28"/>
        <v>13927</v>
      </c>
      <c r="Y55" s="103">
        <f ca="1">IF(Import.Desoneracao="sim",Referencia.Desonerado,Referencia.NaoDesonerado)</f>
        <v>26.57</v>
      </c>
      <c r="Z55" s="113">
        <f ca="1">ROUND(IF(ISNUMBER(R55),R55,IF(LEFT(R55,3)="BDI",HLOOKUP(R55,DADOS!$T$37:$X$38,2,FALSE),0)),15-11*$X$5)</f>
        <v>0.2109</v>
      </c>
      <c r="AA55" s="1"/>
    </row>
    <row r="56" spans="1:27" ht="25.5" x14ac:dyDescent="0.2">
      <c r="A56" t="str">
        <f t="shared" si="16"/>
        <v>S</v>
      </c>
      <c r="B56">
        <f t="shared" si="17"/>
        <v>0</v>
      </c>
      <c r="C56">
        <f t="shared" ca="1" si="18"/>
        <v>1</v>
      </c>
      <c r="D56">
        <f t="shared" ca="1" si="19"/>
        <v>8</v>
      </c>
      <c r="E56">
        <f t="shared" ca="1" si="20"/>
        <v>0</v>
      </c>
      <c r="F56">
        <f t="shared" ca="1" si="21"/>
        <v>0</v>
      </c>
      <c r="G56">
        <f t="shared" ca="1" si="22"/>
        <v>4</v>
      </c>
      <c r="H56">
        <f t="shared" ca="1" si="44"/>
        <v>0</v>
      </c>
      <c r="I56">
        <f t="shared" ca="1" si="45"/>
        <v>0</v>
      </c>
      <c r="J56" s="102" t="s">
        <v>103</v>
      </c>
      <c r="K56" s="138" t="str">
        <f t="shared" ca="1" si="23"/>
        <v>1.8.4.</v>
      </c>
      <c r="L56" s="177" t="s">
        <v>237</v>
      </c>
      <c r="M56" s="177" t="s">
        <v>267</v>
      </c>
      <c r="N56" s="199" t="str">
        <f ca="1">IF($A56="S",Referencia.Descricao,"(digite a descrição aqui)")</f>
        <v>PORTA PIVOTANTE DE VIDRO TEMPERADO, 150X210 CM, ESPESSURA 10 MM, INCLUSIVE ACESSÓRIOS. AF_01/2021</v>
      </c>
      <c r="O56" s="198" t="str">
        <f ca="1">Referencia.Unidade</f>
        <v>UN</v>
      </c>
      <c r="P56" s="193">
        <f ca="1">OFFSET(PLQ!$E$12,ROW($P56)-ROW(P$12),0)</f>
        <v>1</v>
      </c>
      <c r="Q56" s="197">
        <f ca="1">Y56</f>
        <v>1333.3399999999997</v>
      </c>
      <c r="R56" s="200" t="s">
        <v>7</v>
      </c>
      <c r="S56" s="103">
        <f t="shared" ca="1" si="24"/>
        <v>1614.54</v>
      </c>
      <c r="T56" s="83">
        <f t="shared" ca="1" si="25"/>
        <v>1614.54</v>
      </c>
      <c r="U56" s="9" t="str">
        <f ca="1">IF($J56="","",IF($N56="","DESCRIÇÃO",IF(AND($J56="Serviço",$O56=""),"UNIDADE",IF($T56&lt;=0,"SEM VALOR",IF(AND($Y56&lt;&gt;"",$Q56&gt;$Y56),"ACIMA REF.","")))))</f>
        <v/>
      </c>
      <c r="V56" s="1" t="str">
        <f ca="1">IF(OR($A56=0,$A56="S",$A56&gt;CFF!$A$9),"",MAX(V$12:OFFSET(V56,-1,0))+1)</f>
        <v/>
      </c>
      <c r="W56" s="4" t="str">
        <f t="shared" si="27"/>
        <v>COMPOSIÇÃO-08</v>
      </c>
      <c r="X56" s="1">
        <f t="shared" ca="1" si="28"/>
        <v>14</v>
      </c>
      <c r="Y56" s="103">
        <f ca="1">IF(Import.Desoneracao="sim",Referencia.Desonerado,Referencia.NaoDesonerado)</f>
        <v>1333.3399999999997</v>
      </c>
      <c r="Z56" s="113">
        <f ca="1">ROUND(IF(ISNUMBER(R56),R56,IF(LEFT(R56,3)="BDI",HLOOKUP(R56,DADOS!$T$37:$X$38,2,FALSE),0)),15-11*$X$5)</f>
        <v>0.2109</v>
      </c>
      <c r="AA56" s="1"/>
    </row>
    <row r="57" spans="1:27" ht="25.5" x14ac:dyDescent="0.2">
      <c r="A57" t="str">
        <f>CHOOSE(1+LOG(1+2*(J57="Meta")+4*(J57="Nível 2")+8*(J57="Nível 3")+16*(J57="Nível 4")+32*(J57="Serviço"),2),0,1,2,3,4,"S")</f>
        <v>S</v>
      </c>
      <c r="B57">
        <f>IF(OR(A57="S",A57=0),0,IF(ISERROR(I57),H57,SMALL(H57:I57,1)))</f>
        <v>0</v>
      </c>
      <c r="C57">
        <f ca="1">IF($A57=1,OFFSET(C57,-1,0)+1,OFFSET(C57,-1,0))</f>
        <v>1</v>
      </c>
      <c r="D57">
        <f ca="1">IF($A57=1,0,IF($A57=2,OFFSET(D57,-1,0)+1,OFFSET(D57,-1,0)))</f>
        <v>8</v>
      </c>
      <c r="E57">
        <f ca="1">IF(AND($A57&lt;=2,$A57&lt;&gt;0),0,IF($A57=3,OFFSET(E57,-1,0)+1,OFFSET(E57,-1,0)))</f>
        <v>0</v>
      </c>
      <c r="F57">
        <f ca="1">IF(AND($A57&lt;=3,$A57&lt;&gt;0),0,IF($A57=4,OFFSET(F57,-1,0)+1,OFFSET(F57,-1,0)))</f>
        <v>0</v>
      </c>
      <c r="G57">
        <f ca="1">IF(AND($A57&lt;=4,$A57&lt;&gt;0),0,IF($A57="S",OFFSET(G57,-1,0)+1,OFFSET(G57,-1,0)))</f>
        <v>5</v>
      </c>
      <c r="H57">
        <f ca="1">IF(OR($A57="S",$A57=0),0,MATCH(0,OFFSET($B57,1,$A57,ROW($A$96)-ROW($A57)),0))</f>
        <v>0</v>
      </c>
      <c r="I57">
        <f ca="1">IF(OR($A57="S",$A57=0),0,MATCH(OFFSET($B57,0,$A57)+1,OFFSET($B57,1,$A57,ROW($A$96)-ROW($A57)),0))</f>
        <v>0</v>
      </c>
      <c r="J57" s="102" t="s">
        <v>103</v>
      </c>
      <c r="K57" s="138" t="str">
        <f ca="1">IF($A57=0,"-",CONCATENATE(C57&amp;".",IF(AND($A$5&gt;=2,$A57&gt;=2),D57&amp;".",""),IF(AND($A$5&gt;=3,$A57&gt;=3),E57&amp;".",""),IF(AND($A$5&gt;=4,$A57&gt;=4),F57&amp;".",""),IF($A57="S",G57&amp;".","")))</f>
        <v>1.8.5.</v>
      </c>
      <c r="L57" s="177" t="s">
        <v>237</v>
      </c>
      <c r="M57" s="177" t="s">
        <v>321</v>
      </c>
      <c r="N57" s="199" t="str">
        <f ca="1">IF($A57="S",Referencia.Descricao,"(digite a descrição aqui)")</f>
        <v>PORTA PIVOTANTE DE VIDRO TEMPERADO, 100X210 CM, ESPESSURA 10 MM, INCLUSIVE ACESSÓRIOS. AF_01/2021</v>
      </c>
      <c r="O57" s="198" t="str">
        <f ca="1">Referencia.Unidade</f>
        <v>UN</v>
      </c>
      <c r="P57" s="193">
        <f ca="1">OFFSET(PLQ!$E$12,ROW($P57)-ROW(P$12),0)</f>
        <v>1</v>
      </c>
      <c r="Q57" s="197">
        <f ca="1">Y57</f>
        <v>987.89</v>
      </c>
      <c r="R57" s="200" t="s">
        <v>7</v>
      </c>
      <c r="S57" s="103">
        <f ca="1">IF($A57="S",IF($Q$10="Preço Unitário (R$)",PO.CustoUnitario,ROUND(PO.CustoUnitario*(1+$Z57),15-13*$X$6)),0)</f>
        <v>1196.24</v>
      </c>
      <c r="T57" s="83">
        <f ca="1">IF($A57="S",VTOTAL1,IF($A57=0,0,ROUND(SomaAgrup,15-13*$X$7)))</f>
        <v>1196.24</v>
      </c>
      <c r="U57" s="9" t="str">
        <f ca="1">IF($J57="","",IF($N57="","DESCRIÇÃO",IF(AND($J57="Serviço",$O57=""),"UNIDADE",IF($T57&lt;=0,"SEM VALOR",IF(AND($Y57&lt;&gt;"",$Q57&gt;$Y57),"ACIMA REF.","")))))</f>
        <v/>
      </c>
      <c r="V57" s="1" t="str">
        <f ca="1">IF(OR($A57=0,$A57="S",$A57&gt;CFF!$A$9),"",MAX(V$12:OFFSET(V57,-1,0))+1)</f>
        <v/>
      </c>
      <c r="W57" s="4" t="str">
        <f>IF(AND($J57="Serviço",$M57&lt;&gt;""),IF($L57="",$M57,CONCATENATE($L57,"-",$M57)))</f>
        <v>COMPOSIÇÃO-17</v>
      </c>
      <c r="X57" s="1">
        <f ca="1">IF(AND(Fonte&lt;&gt;"",Código&lt;&gt;""),MATCH(Fonte&amp;" "&amp;IF(Fonte="sinapi",SUBSTITUTE(SUBSTITUTE(Código,"/00","/"),"/0","/"),Código),INDIRECT("'[Referência "&amp;_xlnm.Database&amp;".xls]Banco'!$a:$a"),0),"X")</f>
        <v>22</v>
      </c>
      <c r="Y57" s="103">
        <f ca="1">IF(Import.Desoneracao="sim",Referencia.Desonerado,Referencia.NaoDesonerado)</f>
        <v>987.89</v>
      </c>
      <c r="Z57" s="113">
        <f ca="1">ROUND(IF(ISNUMBER(R57),R57,IF(LEFT(R57,3)="BDI",HLOOKUP(R57,DADOS!$T$37:$X$38,2,FALSE),0)),15-11*$X$5)</f>
        <v>0.2109</v>
      </c>
      <c r="AA57" s="1"/>
    </row>
    <row r="58" spans="1:27" ht="25.5" x14ac:dyDescent="0.2">
      <c r="A58" t="str">
        <f t="shared" si="16"/>
        <v>S</v>
      </c>
      <c r="B58">
        <f t="shared" si="17"/>
        <v>0</v>
      </c>
      <c r="C58">
        <f t="shared" ca="1" si="18"/>
        <v>1</v>
      </c>
      <c r="D58">
        <f t="shared" ca="1" si="19"/>
        <v>8</v>
      </c>
      <c r="E58">
        <f t="shared" ca="1" si="20"/>
        <v>0</v>
      </c>
      <c r="F58">
        <f t="shared" ca="1" si="21"/>
        <v>0</v>
      </c>
      <c r="G58">
        <f t="shared" ca="1" si="22"/>
        <v>6</v>
      </c>
      <c r="H58">
        <f t="shared" ca="1" si="44"/>
        <v>0</v>
      </c>
      <c r="I58">
        <f t="shared" ca="1" si="45"/>
        <v>0</v>
      </c>
      <c r="J58" s="102" t="s">
        <v>103</v>
      </c>
      <c r="K58" s="138" t="str">
        <f t="shared" ca="1" si="23"/>
        <v>1.8.6.</v>
      </c>
      <c r="L58" s="177" t="s">
        <v>237</v>
      </c>
      <c r="M58" s="177" t="s">
        <v>268</v>
      </c>
      <c r="N58" s="199" t="str">
        <f ca="1">IF($A58="S",Referencia.Descricao,"(digite a descrição aqui)")</f>
        <v>INSTALAÇÃO DE PUXADOR PARA PCD - FIXADO NA PORTA (SEM FORNECIMENTO DO PUXADOR) AF_08.2022</v>
      </c>
      <c r="O58" s="198" t="str">
        <f ca="1">Referencia.Unidade</f>
        <v>UN</v>
      </c>
      <c r="P58" s="193">
        <f ca="1">OFFSET(PLQ!$E$12,ROW($P58)-ROW(P$12),0)</f>
        <v>21</v>
      </c>
      <c r="Q58" s="197">
        <f t="shared" ca="1" si="47"/>
        <v>34.659999999999997</v>
      </c>
      <c r="R58" s="200" t="s">
        <v>7</v>
      </c>
      <c r="S58" s="103">
        <f t="shared" ca="1" si="24"/>
        <v>41.97</v>
      </c>
      <c r="T58" s="83">
        <f t="shared" ca="1" si="25"/>
        <v>881.37</v>
      </c>
      <c r="U58" s="9" t="str">
        <f t="shared" ca="1" si="26"/>
        <v/>
      </c>
      <c r="V58" s="1" t="str">
        <f ca="1">IF(OR($A58=0,$A58="S",$A58&gt;CFF!$A$9),"",MAX(V$12:OFFSET(V58,-1,0))+1)</f>
        <v/>
      </c>
      <c r="W58" s="4" t="str">
        <f t="shared" si="27"/>
        <v>COMPOSIÇÃO-09</v>
      </c>
      <c r="X58" s="1">
        <f t="shared" ca="1" si="28"/>
        <v>15</v>
      </c>
      <c r="Y58" s="103">
        <f ca="1">IF(Import.Desoneracao="sim",Referencia.Desonerado,Referencia.NaoDesonerado)</f>
        <v>34.659999999999997</v>
      </c>
      <c r="Z58" s="113">
        <f ca="1">ROUND(IF(ISNUMBER(R58),R58,IF(LEFT(R58,3)="BDI",HLOOKUP(R58,DADOS!$T$37:$X$38,2,FALSE),0)),15-11*$X$5)</f>
        <v>0.2109</v>
      </c>
      <c r="AA58" s="1"/>
    </row>
    <row r="59" spans="1:27" ht="25.5" x14ac:dyDescent="0.2">
      <c r="A59" t="str">
        <f>CHOOSE(1+LOG(1+2*(J59="Meta")+4*(J59="Nível 2")+8*(J59="Nível 3")+16*(J59="Nível 4")+32*(J59="Serviço"),2),0,1,2,3,4,"S")</f>
        <v>S</v>
      </c>
      <c r="B59">
        <f>IF(OR(A59="S",A59=0),0,IF(ISERROR(I59),H59,SMALL(H59:I59,1)))</f>
        <v>0</v>
      </c>
      <c r="C59">
        <f ca="1">IF($A59=1,OFFSET(C59,-1,0)+1,OFFSET(C59,-1,0))</f>
        <v>1</v>
      </c>
      <c r="D59">
        <f ca="1">IF($A59=1,0,IF($A59=2,OFFSET(D59,-1,0)+1,OFFSET(D59,-1,0)))</f>
        <v>8</v>
      </c>
      <c r="E59">
        <f ca="1">IF(AND($A59&lt;=2,$A59&lt;&gt;0),0,IF($A59=3,OFFSET(E59,-1,0)+1,OFFSET(E59,-1,0)))</f>
        <v>0</v>
      </c>
      <c r="F59">
        <f ca="1">IF(AND($A59&lt;=3,$A59&lt;&gt;0),0,IF($A59=4,OFFSET(F59,-1,0)+1,OFFSET(F59,-1,0)))</f>
        <v>0</v>
      </c>
      <c r="G59">
        <f ca="1">IF(AND($A59&lt;=4,$A59&lt;&gt;0),0,IF($A59="S",OFFSET(G59,-1,0)+1,OFFSET(G59,-1,0)))</f>
        <v>7</v>
      </c>
      <c r="H59">
        <f t="shared" ca="1" si="44"/>
        <v>0</v>
      </c>
      <c r="I59">
        <f t="shared" ca="1" si="45"/>
        <v>0</v>
      </c>
      <c r="J59" s="102" t="s">
        <v>103</v>
      </c>
      <c r="K59" s="138" t="str">
        <f ca="1">IF($A59=0,"-",CONCATENATE(C59&amp;".",IF(AND($A$5&gt;=2,$A59&gt;=2),D59&amp;".",""),IF(AND($A$5&gt;=3,$A59&gt;=3),E59&amp;".",""),IF(AND($A$5&gt;=4,$A59&gt;=4),F59&amp;".",""),IF($A59="S",G59&amp;".","")))</f>
        <v>1.8.7.</v>
      </c>
      <c r="L59" s="177" t="s">
        <v>237</v>
      </c>
      <c r="M59" s="177" t="s">
        <v>269</v>
      </c>
      <c r="N59" s="199" t="str">
        <f ca="1">IF($A59="S",Referencia.Descricao,"(digite a descrição aqui)")</f>
        <v xml:space="preserve">INSTALAÇAO DE JANELA DE ALUMÍNIO MAXIM AR 60 X 80 CM (A X L) (SEM FORNECIMENTO DA JANELA) AF_08.2022                                                             </v>
      </c>
      <c r="O59" s="198" t="str">
        <f ca="1">Referencia.Unidade</f>
        <v>M2</v>
      </c>
      <c r="P59" s="193">
        <f ca="1">OFFSET(PLQ!$E$12,ROW($P59)-ROW(P$12),0)</f>
        <v>3.84</v>
      </c>
      <c r="Q59" s="197">
        <f t="shared" ca="1" si="47"/>
        <v>104.26</v>
      </c>
      <c r="R59" s="200" t="s">
        <v>7</v>
      </c>
      <c r="S59" s="103">
        <f t="shared" ref="S59:S95" ca="1" si="48">IF($A59="S",IF($Q$10="Preço Unitário (R$)",PO.CustoUnitario,ROUND(PO.CustoUnitario*(1+$Z59),15-13*$X$6)),0)</f>
        <v>126.25</v>
      </c>
      <c r="T59" s="83">
        <f t="shared" ref="T59:T95" ca="1" si="49">IF($A59="S",VTOTAL1,IF($A59=0,0,ROUND(SomaAgrup,15-13*$X$7)))</f>
        <v>484.8</v>
      </c>
      <c r="U59" s="9" t="str">
        <f ca="1">IF($J59="","",IF($N59="","DESCRIÇÃO",IF(AND($J59="Serviço",$O59=""),"UNIDADE",IF($T59&lt;=0,"SEM VALOR",IF(AND($Y59&lt;&gt;"",$Q59&gt;$Y59),"ACIMA REF.","")))))</f>
        <v/>
      </c>
      <c r="V59" s="1" t="str">
        <f ca="1">IF(OR($A59=0,$A59="S",$A59&gt;CFF!$A$9),"",MAX(V$12:OFFSET(V59,-1,0))+1)</f>
        <v/>
      </c>
      <c r="W59" s="4" t="str">
        <f>IF(AND($J59="Serviço",$M59&lt;&gt;""),IF($L59="",$M59,CONCATENATE($L59,"-",$M59)))</f>
        <v>COMPOSIÇÃO-10</v>
      </c>
      <c r="X59" s="1">
        <f t="shared" ref="X59:X95" ca="1" si="50">IF(AND(Fonte&lt;&gt;"",Código&lt;&gt;""),MATCH(Fonte&amp;" "&amp;IF(Fonte="sinapi",SUBSTITUTE(SUBSTITUTE(Código,"/00","/"),"/0","/"),Código),INDIRECT("'[Referência "&amp;_xlnm.Database&amp;".xls]Banco'!$a:$a"),0),"X")</f>
        <v>16</v>
      </c>
      <c r="Y59" s="103">
        <f ca="1">IF(Import.Desoneracao="sim",Referencia.Desonerado,Referencia.NaoDesonerado)</f>
        <v>104.26</v>
      </c>
      <c r="Z59" s="113">
        <f ca="1">ROUND(IF(ISNUMBER(R59),R59,IF(LEFT(R59,3)="BDI",HLOOKUP(R59,DADOS!$T$37:$X$38,2,FALSE),0)),15-11*$X$5)</f>
        <v>0.2109</v>
      </c>
      <c r="AA59" s="1"/>
    </row>
    <row r="60" spans="1:27" ht="25.5" x14ac:dyDescent="0.2">
      <c r="A60" t="str">
        <f t="shared" ref="A60:A65" si="51">CHOOSE(1+LOG(1+2*(J60="Meta")+4*(J60="Nível 2")+8*(J60="Nível 3")+16*(J60="Nível 4")+32*(J60="Serviço"),2),0,1,2,3,4,"S")</f>
        <v>S</v>
      </c>
      <c r="B60">
        <f t="shared" ref="B60:B65" si="52">IF(OR(A60="S",A60=0),0,IF(ISERROR(I60),H60,SMALL(H60:I60,1)))</f>
        <v>0</v>
      </c>
      <c r="C60">
        <f t="shared" ref="C60:C65" ca="1" si="53">IF($A60=1,OFFSET(C60,-1,0)+1,OFFSET(C60,-1,0))</f>
        <v>1</v>
      </c>
      <c r="D60">
        <f t="shared" ref="D60:D65" ca="1" si="54">IF($A60=1,0,IF($A60=2,OFFSET(D60,-1,0)+1,OFFSET(D60,-1,0)))</f>
        <v>8</v>
      </c>
      <c r="E60">
        <f t="shared" ref="E60:E65" ca="1" si="55">IF(AND($A60&lt;=2,$A60&lt;&gt;0),0,IF($A60=3,OFFSET(E60,-1,0)+1,OFFSET(E60,-1,0)))</f>
        <v>0</v>
      </c>
      <c r="F60">
        <f t="shared" ref="F60:F65" ca="1" si="56">IF(AND($A60&lt;=3,$A60&lt;&gt;0),0,IF($A60=4,OFFSET(F60,-1,0)+1,OFFSET(F60,-1,0)))</f>
        <v>0</v>
      </c>
      <c r="G60">
        <f t="shared" ref="G60:G65" ca="1" si="57">IF(AND($A60&lt;=4,$A60&lt;&gt;0),0,IF($A60="S",OFFSET(G60,-1,0)+1,OFFSET(G60,-1,0)))</f>
        <v>8</v>
      </c>
      <c r="H60">
        <f t="shared" ca="1" si="44"/>
        <v>0</v>
      </c>
      <c r="I60">
        <f t="shared" ca="1" si="45"/>
        <v>0</v>
      </c>
      <c r="J60" s="102" t="s">
        <v>103</v>
      </c>
      <c r="K60" s="138" t="str">
        <f t="shared" ref="K60:K65" ca="1" si="58">IF($A60=0,"-",CONCATENATE(C60&amp;".",IF(AND($A$5&gt;=2,$A60&gt;=2),D60&amp;".",""),IF(AND($A$5&gt;=3,$A60&gt;=3),E60&amp;".",""),IF(AND($A$5&gt;=4,$A60&gt;=4),F60&amp;".",""),IF($A60="S",G60&amp;".","")))</f>
        <v>1.8.8.</v>
      </c>
      <c r="L60" s="177" t="s">
        <v>237</v>
      </c>
      <c r="M60" s="177" t="s">
        <v>305</v>
      </c>
      <c r="N60" s="199" t="str">
        <f ca="1">IF($A60="S",Referencia.Descricao,"(digite a descrição aqui)")</f>
        <v>INTALAÇÃO DE JANELA DE ALUMÍNIO DE CORRER (SEM FORNECIMENTO DA JANELA) AF_08.2022</v>
      </c>
      <c r="O60" s="198" t="str">
        <f ca="1">Referencia.Unidade</f>
        <v>M2</v>
      </c>
      <c r="P60" s="193">
        <f ca="1">OFFSET(PLQ!$E$12,ROW($P60)-ROW(P$12),0)</f>
        <v>14.2</v>
      </c>
      <c r="Q60" s="197">
        <f t="shared" ref="Q60:Q74" ca="1" si="59">Y60</f>
        <v>37.71</v>
      </c>
      <c r="R60" s="200" t="s">
        <v>7</v>
      </c>
      <c r="S60" s="103">
        <f t="shared" ca="1" si="48"/>
        <v>45.66</v>
      </c>
      <c r="T60" s="83">
        <f t="shared" ca="1" si="49"/>
        <v>648.37</v>
      </c>
      <c r="U60" s="9" t="str">
        <f t="shared" ref="U60:U65" ca="1" si="60">IF($J60="","",IF($N60="","DESCRIÇÃO",IF(AND($J60="Serviço",$O60=""),"UNIDADE",IF($T60&lt;=0,"SEM VALOR",IF(AND($Y60&lt;&gt;"",$Q60&gt;$Y60),"ACIMA REF.","")))))</f>
        <v/>
      </c>
      <c r="V60" s="1" t="str">
        <f ca="1">IF(OR($A60=0,$A60="S",$A60&gt;CFF!$A$9),"",MAX(V$12:OFFSET(V60,-1,0))+1)</f>
        <v/>
      </c>
      <c r="W60" s="4" t="str">
        <f t="shared" ref="W60:W65" si="61">IF(AND($J60="Serviço",$M60&lt;&gt;""),IF($L60="",$M60,CONCATENATE($L60,"-",$M60)))</f>
        <v>COMPOSIÇÃO-11</v>
      </c>
      <c r="X60" s="1">
        <f t="shared" ca="1" si="50"/>
        <v>17</v>
      </c>
      <c r="Y60" s="103">
        <f ca="1">IF(Import.Desoneracao="sim",Referencia.Desonerado,Referencia.NaoDesonerado)</f>
        <v>37.71</v>
      </c>
      <c r="Z60" s="113">
        <f ca="1">ROUND(IF(ISNUMBER(R60),R60,IF(LEFT(R60,3)="BDI",HLOOKUP(R60,DADOS!$T$37:$X$38,2,FALSE),0)),15-11*$X$5)</f>
        <v>0.2109</v>
      </c>
      <c r="AA60" s="1"/>
    </row>
    <row r="61" spans="1:27" ht="25.5" x14ac:dyDescent="0.2">
      <c r="A61" t="str">
        <f>CHOOSE(1+LOG(1+2*(J61="Meta")+4*(J61="Nível 2")+8*(J61="Nível 3")+16*(J61="Nível 4")+32*(J61="Serviço"),2),0,1,2,3,4,"S")</f>
        <v>S</v>
      </c>
      <c r="B61">
        <f>IF(OR(A61="S",A61=0),0,IF(ISERROR(I61),H61,SMALL(H61:I61,1)))</f>
        <v>0</v>
      </c>
      <c r="C61">
        <f ca="1">IF($A61=1,OFFSET(C61,-1,0)+1,OFFSET(C61,-1,0))</f>
        <v>1</v>
      </c>
      <c r="D61">
        <f ca="1">IF($A61=1,0,IF($A61=2,OFFSET(D61,-1,0)+1,OFFSET(D61,-1,0)))</f>
        <v>8</v>
      </c>
      <c r="E61">
        <f ca="1">IF(AND($A61&lt;=2,$A61&lt;&gt;0),0,IF($A61=3,OFFSET(E61,-1,0)+1,OFFSET(E61,-1,0)))</f>
        <v>0</v>
      </c>
      <c r="F61">
        <f ca="1">IF(AND($A61&lt;=3,$A61&lt;&gt;0),0,IF($A61=4,OFFSET(F61,-1,0)+1,OFFSET(F61,-1,0)))</f>
        <v>0</v>
      </c>
      <c r="G61">
        <f ca="1">IF(AND($A61&lt;=4,$A61&lt;&gt;0),0,IF($A61="S",OFFSET(G61,-1,0)+1,OFFSET(G61,-1,0)))</f>
        <v>9</v>
      </c>
      <c r="H61">
        <f t="shared" ca="1" si="44"/>
        <v>0</v>
      </c>
      <c r="I61">
        <f t="shared" ca="1" si="45"/>
        <v>0</v>
      </c>
      <c r="J61" s="102" t="s">
        <v>103</v>
      </c>
      <c r="K61" s="138" t="str">
        <f ca="1">IF($A61=0,"-",CONCATENATE(C61&amp;".",IF(AND($A$5&gt;=2,$A61&gt;=2),D61&amp;".",""),IF(AND($A$5&gt;=3,$A61&gt;=3),E61&amp;".",""),IF(AND($A$5&gt;=4,$A61&gt;=4),F61&amp;".",""),IF($A61="S",G61&amp;".","")))</f>
        <v>1.8.9.</v>
      </c>
      <c r="L61" s="177" t="s">
        <v>304</v>
      </c>
      <c r="M61" s="177" t="s">
        <v>317</v>
      </c>
      <c r="N61" s="199" t="str">
        <f ca="1">IF($A61="S",Referencia.Descricao,"(digite a descrição aqui)")</f>
        <v>TELA DE NYLON TIPO MOSQUITEIRO COM MOLDURA EM ALUMÍNIO ANODIZADO NATURAL. REF. ORSE (8970)</v>
      </c>
      <c r="O61" s="198" t="s">
        <v>283</v>
      </c>
      <c r="P61" s="193">
        <f ca="1">OFFSET(PLQ!$E$12,ROW($P61)-ROW(P$12),0)</f>
        <v>37.880000000000003</v>
      </c>
      <c r="Q61" s="197">
        <f t="shared" ca="1" si="59"/>
        <v>96.7</v>
      </c>
      <c r="R61" s="200" t="s">
        <v>7</v>
      </c>
      <c r="S61" s="103">
        <f ca="1">IF($A61="S",IF($Q$10="Preço Unitário (R$)",PO.CustoUnitario,ROUND(PO.CustoUnitario*(1+$Z61),15-13*$X$6)),0)</f>
        <v>117.09</v>
      </c>
      <c r="T61" s="83">
        <f ca="1">IF($A61="S",VTOTAL1,IF($A61=0,0,ROUND(SomaAgrup,15-13*$X$7)))</f>
        <v>4435.37</v>
      </c>
      <c r="U61" s="9" t="str">
        <f ca="1">IF($J61="","",IF($N61="","DESCRIÇÃO",IF(AND($J61="Serviço",$O61=""),"UNIDADE",IF($T61&lt;=0,"SEM VALOR",IF(AND($Y61&lt;&gt;"",$Q61&gt;$Y61),"ACIMA REF.","")))))</f>
        <v/>
      </c>
      <c r="V61" s="1" t="str">
        <f ca="1">IF(OR($A61=0,$A61="S",$A61&gt;CFF!$A$9),"",MAX(V$12:OFFSET(V61,-1,0))+1)</f>
        <v/>
      </c>
      <c r="W61" s="4" t="str">
        <f>IF(AND($J61="Serviço",$M61&lt;&gt;""),IF($L61="",$M61,CONCATENATE($L61,"-",$M61)))</f>
        <v>COTAÇÃO-06</v>
      </c>
      <c r="X61" s="1">
        <f ca="1">IF(AND(Fonte&lt;&gt;"",Código&lt;&gt;""),MATCH(Fonte&amp;" "&amp;IF(Fonte="sinapi",SUBSTITUTE(SUBSTITUTE(Código,"/00","/"),"/0","/"),Código),INDIRECT("'[Referência "&amp;_xlnm.Database&amp;".xls]Banco'!$a:$a"),0),"X")</f>
        <v>29</v>
      </c>
      <c r="Y61" s="103">
        <f ca="1">IF(Import.Desoneracao="sim",Referencia.Desonerado,Referencia.NaoDesonerado)</f>
        <v>96.7</v>
      </c>
      <c r="Z61" s="113">
        <f ca="1">ROUND(IF(ISNUMBER(R61),R61,IF(LEFT(R61,3)="BDI",HLOOKUP(R61,DADOS!$T$37:$X$38,2,FALSE),0)),15-11*$X$5)</f>
        <v>0.2109</v>
      </c>
      <c r="AA61" s="1"/>
    </row>
    <row r="62" spans="1:27" x14ac:dyDescent="0.2">
      <c r="A62">
        <f t="shared" si="51"/>
        <v>2</v>
      </c>
      <c r="B62">
        <f t="shared" ca="1" si="52"/>
        <v>4</v>
      </c>
      <c r="C62">
        <f t="shared" ca="1" si="53"/>
        <v>1</v>
      </c>
      <c r="D62">
        <f t="shared" ca="1" si="54"/>
        <v>9</v>
      </c>
      <c r="E62">
        <f t="shared" ca="1" si="55"/>
        <v>0</v>
      </c>
      <c r="F62">
        <f t="shared" ca="1" si="56"/>
        <v>0</v>
      </c>
      <c r="G62">
        <f t="shared" ca="1" si="57"/>
        <v>0</v>
      </c>
      <c r="H62">
        <f t="shared" ca="1" si="44"/>
        <v>13</v>
      </c>
      <c r="I62">
        <f t="shared" ca="1" si="45"/>
        <v>4</v>
      </c>
      <c r="J62" s="102" t="s">
        <v>100</v>
      </c>
      <c r="K62" s="138" t="str">
        <f t="shared" ca="1" si="58"/>
        <v>1.9.</v>
      </c>
      <c r="L62" s="177"/>
      <c r="M62" s="177"/>
      <c r="N62" s="199" t="s">
        <v>282</v>
      </c>
      <c r="O62" s="198" t="str">
        <f ca="1">Referencia.Unidade</f>
        <v/>
      </c>
      <c r="P62" s="193">
        <f ca="1">OFFSET(PLQ!$E$12,ROW($P62)-ROW(P$12),0)</f>
        <v>0</v>
      </c>
      <c r="Q62" s="197">
        <f t="shared" ca="1" si="59"/>
        <v>0</v>
      </c>
      <c r="R62" s="200" t="s">
        <v>7</v>
      </c>
      <c r="S62" s="103">
        <f t="shared" si="48"/>
        <v>0</v>
      </c>
      <c r="T62" s="83">
        <f t="shared" ca="1" si="49"/>
        <v>14905.52</v>
      </c>
      <c r="U62" s="9" t="str">
        <f t="shared" ca="1" si="60"/>
        <v/>
      </c>
      <c r="V62" s="1">
        <f ca="1">IF(OR($A62=0,$A62="S",$A62&gt;CFF!$A$9),"",MAX(V$12:OFFSET(V62,-1,0))+1)</f>
        <v>10</v>
      </c>
      <c r="W62" s="4" t="b">
        <f t="shared" si="61"/>
        <v>0</v>
      </c>
      <c r="X62" s="1" t="str">
        <f t="shared" ca="1" si="50"/>
        <v>X</v>
      </c>
      <c r="Y62" s="103">
        <f ca="1">IF(Import.Desoneracao="sim",Referencia.Desonerado,Referencia.NaoDesonerado)</f>
        <v>0</v>
      </c>
      <c r="Z62" s="113">
        <f ca="1">ROUND(IF(ISNUMBER(R62),R62,IF(LEFT(R62,3)="BDI",HLOOKUP(R62,DADOS!$T$37:$X$38,2,FALSE),0)),15-11*$X$5)</f>
        <v>0.2109</v>
      </c>
      <c r="AA62" s="1"/>
    </row>
    <row r="63" spans="1:27" x14ac:dyDescent="0.2">
      <c r="A63" t="str">
        <f t="shared" si="51"/>
        <v>S</v>
      </c>
      <c r="B63">
        <f t="shared" si="52"/>
        <v>0</v>
      </c>
      <c r="C63">
        <f t="shared" ca="1" si="53"/>
        <v>1</v>
      </c>
      <c r="D63">
        <f t="shared" ca="1" si="54"/>
        <v>9</v>
      </c>
      <c r="E63">
        <f t="shared" ca="1" si="55"/>
        <v>0</v>
      </c>
      <c r="F63">
        <f t="shared" ca="1" si="56"/>
        <v>0</v>
      </c>
      <c r="G63">
        <f t="shared" ca="1" si="57"/>
        <v>1</v>
      </c>
      <c r="H63">
        <f t="shared" ca="1" si="44"/>
        <v>0</v>
      </c>
      <c r="I63">
        <f t="shared" ca="1" si="45"/>
        <v>0</v>
      </c>
      <c r="J63" s="102" t="s">
        <v>103</v>
      </c>
      <c r="K63" s="138" t="str">
        <f t="shared" ca="1" si="58"/>
        <v>1.9.1.</v>
      </c>
      <c r="L63" s="177" t="s">
        <v>230</v>
      </c>
      <c r="M63" s="177" t="s">
        <v>280</v>
      </c>
      <c r="N63" s="199" t="str">
        <f ca="1">IF($A63="S",Referencia.Descricao,"(digite a descrição aqui)")</f>
        <v>AUXILIAR DE ELETRICISTA COM ENCARGOS COMPLEMENTARES</v>
      </c>
      <c r="O63" s="198" t="str">
        <f ca="1">Referencia.Unidade</f>
        <v>H</v>
      </c>
      <c r="P63" s="193">
        <f ca="1">OFFSET(PLQ!$E$12,ROW($P63)-ROW(P$12),0)</f>
        <v>190</v>
      </c>
      <c r="Q63" s="197">
        <f t="shared" ca="1" si="59"/>
        <v>26.13</v>
      </c>
      <c r="R63" s="200" t="s">
        <v>7</v>
      </c>
      <c r="S63" s="103">
        <f t="shared" ca="1" si="48"/>
        <v>31.64</v>
      </c>
      <c r="T63" s="83">
        <f t="shared" ca="1" si="49"/>
        <v>6011.6</v>
      </c>
      <c r="U63" s="9" t="str">
        <f t="shared" ca="1" si="60"/>
        <v/>
      </c>
      <c r="V63" s="1" t="str">
        <f ca="1">IF(OR($A63=0,$A63="S",$A63&gt;CFF!$A$9),"",MAX(V$12:OFFSET(V63,-1,0))+1)</f>
        <v/>
      </c>
      <c r="W63" s="4" t="str">
        <f t="shared" si="61"/>
        <v>SINAPI-88247</v>
      </c>
      <c r="X63" s="1">
        <f t="shared" ca="1" si="50"/>
        <v>12834</v>
      </c>
      <c r="Y63" s="103">
        <f ca="1">IF(Import.Desoneracao="sim",Referencia.Desonerado,Referencia.NaoDesonerado)</f>
        <v>26.13</v>
      </c>
      <c r="Z63" s="113">
        <f ca="1">ROUND(IF(ISNUMBER(R63),R63,IF(LEFT(R63,3)="BDI",HLOOKUP(R63,DADOS!$T$37:$X$38,2,FALSE),0)),15-11*$X$5)</f>
        <v>0.2109</v>
      </c>
      <c r="AA63" s="1"/>
    </row>
    <row r="64" spans="1:27" x14ac:dyDescent="0.2">
      <c r="A64" t="str">
        <f t="shared" si="51"/>
        <v>S</v>
      </c>
      <c r="B64">
        <f t="shared" si="52"/>
        <v>0</v>
      </c>
      <c r="C64">
        <f t="shared" ca="1" si="53"/>
        <v>1</v>
      </c>
      <c r="D64">
        <f t="shared" ca="1" si="54"/>
        <v>9</v>
      </c>
      <c r="E64">
        <f t="shared" ca="1" si="55"/>
        <v>0</v>
      </c>
      <c r="F64">
        <f t="shared" ca="1" si="56"/>
        <v>0</v>
      </c>
      <c r="G64">
        <f t="shared" ca="1" si="57"/>
        <v>2</v>
      </c>
      <c r="H64">
        <f t="shared" ca="1" si="44"/>
        <v>0</v>
      </c>
      <c r="I64">
        <f t="shared" ca="1" si="45"/>
        <v>0</v>
      </c>
      <c r="J64" s="102" t="s">
        <v>103</v>
      </c>
      <c r="K64" s="138" t="str">
        <f t="shared" ca="1" si="58"/>
        <v>1.9.2.</v>
      </c>
      <c r="L64" s="177" t="s">
        <v>230</v>
      </c>
      <c r="M64" s="177" t="s">
        <v>281</v>
      </c>
      <c r="N64" s="199" t="str">
        <f ca="1">IF($A64="S",Referencia.Descricao,"(digite a descrição aqui)")</f>
        <v>ELETRICISTA COM ENCARGOS COMPLEMENTARES</v>
      </c>
      <c r="O64" s="198" t="str">
        <f ca="1">Referencia.Unidade</f>
        <v>H</v>
      </c>
      <c r="P64" s="193">
        <f ca="1">OFFSET(PLQ!$E$12,ROW($P64)-ROW(P$12),0)</f>
        <v>210</v>
      </c>
      <c r="Q64" s="197">
        <f t="shared" ca="1" si="59"/>
        <v>31.45</v>
      </c>
      <c r="R64" s="200" t="s">
        <v>7</v>
      </c>
      <c r="S64" s="103">
        <f t="shared" ca="1" si="48"/>
        <v>38.08</v>
      </c>
      <c r="T64" s="83">
        <f t="shared" ca="1" si="49"/>
        <v>7996.8</v>
      </c>
      <c r="U64" s="9" t="str">
        <f t="shared" ca="1" si="60"/>
        <v/>
      </c>
      <c r="V64" s="1" t="str">
        <f ca="1">IF(OR($A64=0,$A64="S",$A64&gt;CFF!$A$9),"",MAX(V$12:OFFSET(V64,-1,0))+1)</f>
        <v/>
      </c>
      <c r="W64" s="4" t="str">
        <f t="shared" si="61"/>
        <v>SINAPI-88264</v>
      </c>
      <c r="X64" s="1">
        <f t="shared" ca="1" si="50"/>
        <v>13054</v>
      </c>
      <c r="Y64" s="103">
        <f ca="1">IF(Import.Desoneracao="sim",Referencia.Desonerado,Referencia.NaoDesonerado)</f>
        <v>31.45</v>
      </c>
      <c r="Z64" s="113">
        <f ca="1">ROUND(IF(ISNUMBER(R64),R64,IF(LEFT(R64,3)="BDI",HLOOKUP(R64,DADOS!$T$37:$X$38,2,FALSE),0)),15-11*$X$5)</f>
        <v>0.2109</v>
      </c>
      <c r="AA64" s="1"/>
    </row>
    <row r="65" spans="1:27" x14ac:dyDescent="0.2">
      <c r="A65" t="str">
        <f t="shared" si="51"/>
        <v>S</v>
      </c>
      <c r="B65">
        <f t="shared" si="52"/>
        <v>0</v>
      </c>
      <c r="C65">
        <f t="shared" ca="1" si="53"/>
        <v>1</v>
      </c>
      <c r="D65">
        <f t="shared" ca="1" si="54"/>
        <v>9</v>
      </c>
      <c r="E65">
        <f t="shared" ca="1" si="55"/>
        <v>0</v>
      </c>
      <c r="F65">
        <f t="shared" ca="1" si="56"/>
        <v>0</v>
      </c>
      <c r="G65">
        <f t="shared" ca="1" si="57"/>
        <v>3</v>
      </c>
      <c r="H65">
        <f t="shared" ca="1" si="44"/>
        <v>0</v>
      </c>
      <c r="I65">
        <f t="shared" ca="1" si="45"/>
        <v>0</v>
      </c>
      <c r="J65" s="102" t="s">
        <v>103</v>
      </c>
      <c r="K65" s="138" t="str">
        <f t="shared" ca="1" si="58"/>
        <v>1.9.3.</v>
      </c>
      <c r="L65" s="177" t="s">
        <v>286</v>
      </c>
      <c r="M65" s="177" t="s">
        <v>285</v>
      </c>
      <c r="N65" s="199" t="str">
        <f ca="1">IF($A65="S",Referencia.Descricao,"(digite a descrição aqui)")</f>
        <v>LAMPADA LED TUBULAR BIVOLT 18/20 W, BASE G13</v>
      </c>
      <c r="O65" s="198" t="str">
        <f ca="1">Referencia.Unidade</f>
        <v>UN</v>
      </c>
      <c r="P65" s="193">
        <f ca="1">OFFSET(PLQ!$E$12,ROW($P65)-ROW(P$12),0)</f>
        <v>84</v>
      </c>
      <c r="Q65" s="197">
        <f t="shared" ca="1" si="59"/>
        <v>8.82</v>
      </c>
      <c r="R65" s="200" t="s">
        <v>7</v>
      </c>
      <c r="S65" s="103">
        <f t="shared" ca="1" si="48"/>
        <v>10.68</v>
      </c>
      <c r="T65" s="83">
        <f t="shared" ca="1" si="49"/>
        <v>897.12</v>
      </c>
      <c r="U65" s="9" t="str">
        <f t="shared" ca="1" si="60"/>
        <v/>
      </c>
      <c r="V65" s="1" t="str">
        <f ca="1">IF(OR($A65=0,$A65="S",$A65&gt;CFF!$A$9),"",MAX(V$12:OFFSET(V65,-1,0))+1)</f>
        <v/>
      </c>
      <c r="W65" s="4" t="str">
        <f t="shared" si="61"/>
        <v>SINAPI-I-39387</v>
      </c>
      <c r="X65" s="1">
        <f t="shared" ca="1" si="50"/>
        <v>2578</v>
      </c>
      <c r="Y65" s="103">
        <f ca="1">IF(Import.Desoneracao="sim",Referencia.Desonerado,Referencia.NaoDesonerado)</f>
        <v>8.82</v>
      </c>
      <c r="Z65" s="113">
        <f ca="1">ROUND(IF(ISNUMBER(R65),R65,IF(LEFT(R65,3)="BDI",HLOOKUP(R65,DADOS!$T$37:$X$38,2,FALSE),0)),15-11*$X$5)</f>
        <v>0.2109</v>
      </c>
      <c r="AA65" s="1"/>
    </row>
    <row r="66" spans="1:27" x14ac:dyDescent="0.2">
      <c r="A66">
        <f>CHOOSE(1+LOG(1+2*(J66="Meta")+4*(J66="Nível 2")+8*(J66="Nível 3")+16*(J66="Nível 4")+32*(J66="Serviço"),2),0,1,2,3,4,"S")</f>
        <v>2</v>
      </c>
      <c r="B66">
        <f ca="1">IF(OR(A66="S",A66=0),0,IF(ISERROR(I66),H66,SMALL(H66:I66,1)))</f>
        <v>9</v>
      </c>
      <c r="C66">
        <f ca="1">IF($A66=1,OFFSET(C66,-1,0)+1,OFFSET(C66,-1,0))</f>
        <v>1</v>
      </c>
      <c r="D66">
        <f ca="1">IF($A66=1,0,IF($A66=2,OFFSET(D66,-1,0)+1,OFFSET(D66,-1,0)))</f>
        <v>10</v>
      </c>
      <c r="E66">
        <f ca="1">IF(AND($A66&lt;=2,$A66&lt;&gt;0),0,IF($A66=3,OFFSET(E66,-1,0)+1,OFFSET(E66,-1,0)))</f>
        <v>0</v>
      </c>
      <c r="F66">
        <f ca="1">IF(AND($A66&lt;=3,$A66&lt;&gt;0),0,IF($A66=4,OFFSET(F66,-1,0)+1,OFFSET(F66,-1,0)))</f>
        <v>0</v>
      </c>
      <c r="G66">
        <f ca="1">IF(AND($A66&lt;=4,$A66&lt;&gt;0),0,IF($A66="S",OFFSET(G66,-1,0)+1,OFFSET(G66,-1,0)))</f>
        <v>0</v>
      </c>
      <c r="H66">
        <f t="shared" ca="1" si="44"/>
        <v>9</v>
      </c>
      <c r="I66" t="e">
        <f t="shared" ca="1" si="45"/>
        <v>#N/A</v>
      </c>
      <c r="J66" s="102" t="s">
        <v>100</v>
      </c>
      <c r="K66" s="138" t="str">
        <f ca="1">IF($A66=0,"-",CONCATENATE(C66&amp;".",IF(AND($A$5&gt;=2,$A66&gt;=2),D66&amp;".",""),IF(AND($A$5&gt;=3,$A66&gt;=3),E66&amp;".",""),IF(AND($A$5&gt;=4,$A66&gt;=4),F66&amp;".",""),IF($A66="S",G66&amp;".","")))</f>
        <v>1.10.</v>
      </c>
      <c r="L66" s="177"/>
      <c r="M66" s="177"/>
      <c r="N66" s="199" t="s">
        <v>303</v>
      </c>
      <c r="O66" s="198" t="str">
        <f ca="1">Referencia.Unidade</f>
        <v/>
      </c>
      <c r="P66" s="193">
        <f ca="1">OFFSET(PLQ!$E$12,ROW($P66)-ROW(P$12),0)</f>
        <v>0</v>
      </c>
      <c r="Q66" s="197">
        <f t="shared" ca="1" si="59"/>
        <v>0</v>
      </c>
      <c r="R66" s="200" t="s">
        <v>7</v>
      </c>
      <c r="S66" s="103">
        <f t="shared" ref="S66:S74" si="62">IF($A66="S",IF($Q$10="Preço Unitário (R$)",PO.CustoUnitario,ROUND(PO.CustoUnitario*(1+$Z66),15-13*$X$6)),0)</f>
        <v>0</v>
      </c>
      <c r="T66" s="83">
        <f t="shared" ref="T66:T74" ca="1" si="63">IF($A66="S",VTOTAL1,IF($A66=0,0,ROUND(SomaAgrup,15-13*$X$7)))</f>
        <v>4679.99</v>
      </c>
      <c r="U66" s="9" t="str">
        <f ca="1">IF($J66="","",IF($N66="","DESCRIÇÃO",IF(AND($J66="Serviço",$O66=""),"UNIDADE",IF($T66&lt;=0,"SEM VALOR",IF(AND($Y66&lt;&gt;"",$Q66&gt;$Y66),"ACIMA REF.","")))))</f>
        <v/>
      </c>
      <c r="V66" s="1">
        <f ca="1">IF(OR($A66=0,$A66="S",$A66&gt;CFF!$A$9),"",MAX(V$12:OFFSET(V66,-1,0))+1)</f>
        <v>11</v>
      </c>
      <c r="W66" s="4" t="b">
        <f>IF(AND($J66="Serviço",$M66&lt;&gt;""),IF($L66="",$M66,CONCATENATE($L66,"-",$M66)))</f>
        <v>0</v>
      </c>
      <c r="X66" s="1" t="str">
        <f t="shared" ref="X66:X74" ca="1" si="64">IF(AND(Fonte&lt;&gt;"",Código&lt;&gt;""),MATCH(Fonte&amp;" "&amp;IF(Fonte="sinapi",SUBSTITUTE(SUBSTITUTE(Código,"/00","/"),"/0","/"),Código),INDIRECT("'[Referência "&amp;_xlnm.Database&amp;".xls]Banco'!$a:$a"),0),"X")</f>
        <v>X</v>
      </c>
      <c r="Y66" s="103">
        <f ca="1">IF(Import.Desoneracao="sim",Referencia.Desonerado,Referencia.NaoDesonerado)</f>
        <v>0</v>
      </c>
      <c r="Z66" s="113">
        <f ca="1">ROUND(IF(ISNUMBER(R66),R66,IF(LEFT(R66,3)="BDI",HLOOKUP(R66,DADOS!$T$37:$X$38,2,FALSE),0)),15-11*$X$5)</f>
        <v>0.2109</v>
      </c>
      <c r="AA66" s="1"/>
    </row>
    <row r="67" spans="1:27" ht="25.5" x14ac:dyDescent="0.2">
      <c r="A67" t="str">
        <f t="shared" ref="A67:A74" si="65">CHOOSE(1+LOG(1+2*(J67="Meta")+4*(J67="Nível 2")+8*(J67="Nível 3")+16*(J67="Nível 4")+32*(J67="Serviço"),2),0,1,2,3,4,"S")</f>
        <v>S</v>
      </c>
      <c r="B67">
        <f t="shared" ref="B67:B74" si="66">IF(OR(A67="S",A67=0),0,IF(ISERROR(I67),H67,SMALL(H67:I67,1)))</f>
        <v>0</v>
      </c>
      <c r="C67">
        <f t="shared" ref="C67:C74" ca="1" si="67">IF($A67=1,OFFSET(C67,-1,0)+1,OFFSET(C67,-1,0))</f>
        <v>1</v>
      </c>
      <c r="D67">
        <f t="shared" ref="D67:D74" ca="1" si="68">IF($A67=1,0,IF($A67=2,OFFSET(D67,-1,0)+1,OFFSET(D67,-1,0)))</f>
        <v>10</v>
      </c>
      <c r="E67">
        <f t="shared" ref="E67:E74" ca="1" si="69">IF(AND($A67&lt;=2,$A67&lt;&gt;0),0,IF($A67=3,OFFSET(E67,-1,0)+1,OFFSET(E67,-1,0)))</f>
        <v>0</v>
      </c>
      <c r="F67">
        <f t="shared" ref="F67:F74" ca="1" si="70">IF(AND($A67&lt;=3,$A67&lt;&gt;0),0,IF($A67=4,OFFSET(F67,-1,0)+1,OFFSET(F67,-1,0)))</f>
        <v>0</v>
      </c>
      <c r="G67">
        <f t="shared" ref="G67:G74" ca="1" si="71">IF(AND($A67&lt;=4,$A67&lt;&gt;0),0,IF($A67="S",OFFSET(G67,-1,0)+1,OFFSET(G67,-1,0)))</f>
        <v>1</v>
      </c>
      <c r="H67">
        <f t="shared" ca="1" si="44"/>
        <v>0</v>
      </c>
      <c r="I67">
        <f t="shared" ca="1" si="45"/>
        <v>0</v>
      </c>
      <c r="J67" s="102" t="s">
        <v>103</v>
      </c>
      <c r="K67" s="138" t="str">
        <f t="shared" ref="K67:K74" ca="1" si="72">IF($A67=0,"-",CONCATENATE(C67&amp;".",IF(AND($A$5&gt;=2,$A67&gt;=2),D67&amp;".",""),IF(AND($A$5&gt;=3,$A67&gt;=3),E67&amp;".",""),IF(AND($A$5&gt;=4,$A67&gt;=4),F67&amp;".",""),IF($A67="S",G67&amp;".","")))</f>
        <v>1.10.1.</v>
      </c>
      <c r="L67" s="177" t="s">
        <v>230</v>
      </c>
      <c r="M67" s="177" t="s">
        <v>300</v>
      </c>
      <c r="N67" s="199" t="str">
        <f ca="1">IF($A67="S",Referencia.Descricao,"(digite a descrição aqui)")</f>
        <v>CONCRETAGEM DE BLOCO DE COROAMENTO OU VIGA BALDRAME, FCK 30 MPA, COM USO DE BOMBA - LANÇAMENTO, ADENSAMENTO E ACABAMENTO. AF_01/2024</v>
      </c>
      <c r="O67" s="198" t="str">
        <f ca="1">Referencia.Unidade</f>
        <v>M3</v>
      </c>
      <c r="P67" s="193">
        <f ca="1">OFFSET(PLQ!$E$12,ROW($P67)-ROW(P$12),0)</f>
        <v>0.46</v>
      </c>
      <c r="Q67" s="197">
        <f t="shared" ca="1" si="59"/>
        <v>774.14</v>
      </c>
      <c r="R67" s="200" t="s">
        <v>7</v>
      </c>
      <c r="S67" s="103">
        <f t="shared" ca="1" si="62"/>
        <v>937.41</v>
      </c>
      <c r="T67" s="83">
        <f t="shared" ca="1" si="63"/>
        <v>431.21</v>
      </c>
      <c r="U67" s="9" t="str">
        <f t="shared" ref="U67:U74" ca="1" si="73">IF($J67="","",IF($N67="","DESCRIÇÃO",IF(AND($J67="Serviço",$O67=""),"UNIDADE",IF($T67&lt;=0,"SEM VALOR",IF(AND($Y67&lt;&gt;"",$Q67&gt;$Y67),"ACIMA REF.","")))))</f>
        <v/>
      </c>
      <c r="V67" s="1" t="str">
        <f ca="1">IF(OR($A67=0,$A67="S",$A67&gt;CFF!$A$9),"",MAX(V$12:OFFSET(V67,-1,0))+1)</f>
        <v/>
      </c>
      <c r="W67" s="4" t="str">
        <f t="shared" ref="W67:W74" si="74">IF(AND($J67="Serviço",$M67&lt;&gt;""),IF($L67="",$M67,CONCATENATE($L67,"-",$M67)))</f>
        <v>SINAPI-96557</v>
      </c>
      <c r="X67" s="1">
        <f t="shared" ca="1" si="64"/>
        <v>10002</v>
      </c>
      <c r="Y67" s="103">
        <f ca="1">IF(Import.Desoneracao="sim",Referencia.Desonerado,Referencia.NaoDesonerado)</f>
        <v>774.14</v>
      </c>
      <c r="Z67" s="113">
        <f ca="1">ROUND(IF(ISNUMBER(R67),R67,IF(LEFT(R67,3)="BDI",HLOOKUP(R67,DADOS!$T$37:$X$38,2,FALSE),0)),15-11*$X$5)</f>
        <v>0.2109</v>
      </c>
      <c r="AA67" s="1"/>
    </row>
    <row r="68" spans="1:27" ht="25.5" x14ac:dyDescent="0.2">
      <c r="A68" t="str">
        <f>CHOOSE(1+LOG(1+2*(J68="Meta")+4*(J68="Nível 2")+8*(J68="Nível 3")+16*(J68="Nível 4")+32*(J68="Serviço"),2),0,1,2,3,4,"S")</f>
        <v>S</v>
      </c>
      <c r="B68">
        <f>IF(OR(A68="S",A68=0),0,IF(ISERROR(I68),H68,SMALL(H68:I68,1)))</f>
        <v>0</v>
      </c>
      <c r="C68">
        <f ca="1">IF($A68=1,OFFSET(C68,-1,0)+1,OFFSET(C68,-1,0))</f>
        <v>1</v>
      </c>
      <c r="D68">
        <f ca="1">IF($A68=1,0,IF($A68=2,OFFSET(D68,-1,0)+1,OFFSET(D68,-1,0)))</f>
        <v>10</v>
      </c>
      <c r="E68">
        <f ca="1">IF(AND($A68&lt;=2,$A68&lt;&gt;0),0,IF($A68=3,OFFSET(E68,-1,0)+1,OFFSET(E68,-1,0)))</f>
        <v>0</v>
      </c>
      <c r="F68">
        <f ca="1">IF(AND($A68&lt;=3,$A68&lt;&gt;0),0,IF($A68=4,OFFSET(F68,-1,0)+1,OFFSET(F68,-1,0)))</f>
        <v>0</v>
      </c>
      <c r="G68">
        <f ca="1">IF(AND($A68&lt;=4,$A68&lt;&gt;0),0,IF($A68="S",OFFSET(G68,-1,0)+1,OFFSET(G68,-1,0)))</f>
        <v>2</v>
      </c>
      <c r="H68">
        <f t="shared" ca="1" si="44"/>
        <v>0</v>
      </c>
      <c r="I68">
        <f t="shared" ca="1" si="45"/>
        <v>0</v>
      </c>
      <c r="J68" s="102" t="s">
        <v>103</v>
      </c>
      <c r="K68" s="138" t="str">
        <f ca="1">IF($A68=0,"-",CONCATENATE(C68&amp;".",IF(AND($A$5&gt;=2,$A68&gt;=2),D68&amp;".",""),IF(AND($A$5&gt;=3,$A68&gt;=3),E68&amp;".",""),IF(AND($A$5&gt;=4,$A68&gt;=4),F68&amp;".",""),IF($A68="S",G68&amp;".","")))</f>
        <v>1.10.2.</v>
      </c>
      <c r="L68" s="177" t="s">
        <v>230</v>
      </c>
      <c r="M68" s="177" t="s">
        <v>299</v>
      </c>
      <c r="N68" s="199" t="str">
        <f ca="1">IF($A68="S",Referencia.Descricao,"(digite a descrição aqui)")</f>
        <v>FABRICAÇÃO, MONTAGEM E DESMONTAGEM DE FÔRMA PARA VIGA BALDRAME, EM MADEIRA SERRADA, E=25 MM, 4 UTILIZAÇÕES. AF_01/2024</v>
      </c>
      <c r="O68" s="198" t="str">
        <f ca="1">Referencia.Unidade</f>
        <v>M2</v>
      </c>
      <c r="P68" s="193">
        <f ca="1">OFFSET(PLQ!$E$12,ROW($P68)-ROW(P$12),0)</f>
        <v>2.2799999999999998</v>
      </c>
      <c r="Q68" s="197">
        <f t="shared" ca="1" si="59"/>
        <v>66.760000000000005</v>
      </c>
      <c r="R68" s="200" t="s">
        <v>7</v>
      </c>
      <c r="S68" s="103">
        <f ca="1">IF($A68="S",IF($Q$10="Preço Unitário (R$)",PO.CustoUnitario,ROUND(PO.CustoUnitario*(1+$Z68),15-13*$X$6)),0)</f>
        <v>80.84</v>
      </c>
      <c r="T68" s="83">
        <f ca="1">IF($A68="S",VTOTAL1,IF($A68=0,0,ROUND(SomaAgrup,15-13*$X$7)))</f>
        <v>184.32</v>
      </c>
      <c r="U68" s="9" t="str">
        <f ca="1">IF($J68="","",IF($N68="","DESCRIÇÃO",IF(AND($J68="Serviço",$O68=""),"UNIDADE",IF($T68&lt;=0,"SEM VALOR",IF(AND($Y68&lt;&gt;"",$Q68&gt;$Y68),"ACIMA REF.","")))))</f>
        <v/>
      </c>
      <c r="V68" s="1" t="str">
        <f ca="1">IF(OR($A68=0,$A68="S",$A68&gt;CFF!$A$9),"",MAX(V$12:OFFSET(V68,-1,0))+1)</f>
        <v/>
      </c>
      <c r="W68" s="4" t="str">
        <f>IF(AND($J68="Serviço",$M68&lt;&gt;""),IF($L68="",$M68,CONCATENATE($L68,"-",$M68)))</f>
        <v>SINAPI-96536</v>
      </c>
      <c r="X68" s="1">
        <f ca="1">IF(AND(Fonte&lt;&gt;"",Código&lt;&gt;""),MATCH(Fonte&amp;" "&amp;IF(Fonte="sinapi",SUBSTITUTE(SUBSTITUTE(Código,"/00","/"),"/0","/"),Código),INDIRECT("'[Referência "&amp;_xlnm.Database&amp;".xls]Banco'!$a:$a"),0),"X")</f>
        <v>10035</v>
      </c>
      <c r="Y68" s="103">
        <f ca="1">IF(Import.Desoneracao="sim",Referencia.Desonerado,Referencia.NaoDesonerado)</f>
        <v>66.760000000000005</v>
      </c>
      <c r="Z68" s="113">
        <f ca="1">ROUND(IF(ISNUMBER(R68),R68,IF(LEFT(R68,3)="BDI",HLOOKUP(R68,DADOS!$T$37:$X$38,2,FALSE),0)),15-11*$X$5)</f>
        <v>0.2109</v>
      </c>
      <c r="AA68" s="1"/>
    </row>
    <row r="69" spans="1:27" x14ac:dyDescent="0.2">
      <c r="A69" t="str">
        <f>CHOOSE(1+LOG(1+2*(J69="Meta")+4*(J69="Nível 2")+8*(J69="Nível 3")+16*(J69="Nível 4")+32*(J69="Serviço"),2),0,1,2,3,4,"S")</f>
        <v>S</v>
      </c>
      <c r="B69">
        <f>IF(OR(A69="S",A69=0),0,IF(ISERROR(I69),H69,SMALL(H69:I69,1)))</f>
        <v>0</v>
      </c>
      <c r="C69">
        <f ca="1">IF($A69=1,OFFSET(C69,-1,0)+1,OFFSET(C69,-1,0))</f>
        <v>1</v>
      </c>
      <c r="D69">
        <f ca="1">IF($A69=1,0,IF($A69=2,OFFSET(D69,-1,0)+1,OFFSET(D69,-1,0)))</f>
        <v>10</v>
      </c>
      <c r="E69">
        <f ca="1">IF(AND($A69&lt;=2,$A69&lt;&gt;0),0,IF($A69=3,OFFSET(E69,-1,0)+1,OFFSET(E69,-1,0)))</f>
        <v>0</v>
      </c>
      <c r="F69">
        <f ca="1">IF(AND($A69&lt;=3,$A69&lt;&gt;0),0,IF($A69=4,OFFSET(F69,-1,0)+1,OFFSET(F69,-1,0)))</f>
        <v>0</v>
      </c>
      <c r="G69">
        <f ca="1">IF(AND($A69&lt;=4,$A69&lt;&gt;0),0,IF($A69="S",OFFSET(G69,-1,0)+1,OFFSET(G69,-1,0)))</f>
        <v>3</v>
      </c>
      <c r="H69">
        <f t="shared" ca="1" si="44"/>
        <v>0</v>
      </c>
      <c r="I69">
        <f t="shared" ca="1" si="45"/>
        <v>0</v>
      </c>
      <c r="J69" s="102" t="s">
        <v>103</v>
      </c>
      <c r="K69" s="138" t="str">
        <f ca="1">IF($A69=0,"-",CONCATENATE(C69&amp;".",IF(AND($A$5&gt;=2,$A69&gt;=2),D69&amp;".",""),IF(AND($A$5&gt;=3,$A69&gt;=3),E69&amp;".",""),IF(AND($A$5&gt;=4,$A69&gt;=4),F69&amp;".",""),IF($A69="S",G69&amp;".","")))</f>
        <v>1.10.3.</v>
      </c>
      <c r="L69" s="177" t="s">
        <v>230</v>
      </c>
      <c r="M69" s="177" t="s">
        <v>302</v>
      </c>
      <c r="N69" s="199" t="str">
        <f ca="1">IF($A69="S",Referencia.Descricao,"(digite a descrição aqui)")</f>
        <v>ARMAÇÃO DE BLOCO UTILIZANDO AÇO CA-50 DE 6,3 MM - MONTAGEM. AF_01/2024</v>
      </c>
      <c r="O69" s="198" t="str">
        <f ca="1">Referencia.Unidade</f>
        <v>KG</v>
      </c>
      <c r="P69" s="193">
        <f ca="1">OFFSET(PLQ!$E$12,ROW($P69)-ROW(P$12),0)</f>
        <v>9.02</v>
      </c>
      <c r="Q69" s="197">
        <f t="shared" ca="1" si="59"/>
        <v>19.03</v>
      </c>
      <c r="R69" s="200" t="s">
        <v>7</v>
      </c>
      <c r="S69" s="103">
        <f ca="1">IF($A69="S",IF($Q$10="Preço Unitário (R$)",PO.CustoUnitario,ROUND(PO.CustoUnitario*(1+$Z69),15-13*$X$6)),0)</f>
        <v>23.04</v>
      </c>
      <c r="T69" s="83">
        <f ca="1">IF($A69="S",VTOTAL1,IF($A69=0,0,ROUND(SomaAgrup,15-13*$X$7)))</f>
        <v>207.82</v>
      </c>
      <c r="U69" s="9" t="str">
        <f ca="1">IF($J69="","",IF($N69="","DESCRIÇÃO",IF(AND($J69="Serviço",$O69=""),"UNIDADE",IF($T69&lt;=0,"SEM VALOR",IF(AND($Y69&lt;&gt;"",$Q69&gt;$Y69),"ACIMA REF.","")))))</f>
        <v/>
      </c>
      <c r="V69" s="1" t="str">
        <f ca="1">IF(OR($A69=0,$A69="S",$A69&gt;CFF!$A$9),"",MAX(V$12:OFFSET(V69,-1,0))+1)</f>
        <v/>
      </c>
      <c r="W69" s="4" t="str">
        <f>IF(AND($J69="Serviço",$M69&lt;&gt;""),IF($L69="",$M69,CONCATENATE($L69,"-",$M69)))</f>
        <v>SINAPI-96544</v>
      </c>
      <c r="X69" s="1">
        <f ca="1">IF(AND(Fonte&lt;&gt;"",Código&lt;&gt;""),MATCH(Fonte&amp;" "&amp;IF(Fonte="sinapi",SUBSTITUTE(SUBSTITUTE(Código,"/00","/"),"/0","/"),Código),INDIRECT("'[Referência "&amp;_xlnm.Database&amp;".xls]Banco'!$a:$a"),0),"X")</f>
        <v>9992</v>
      </c>
      <c r="Y69" s="103">
        <f ca="1">IF(Import.Desoneracao="sim",Referencia.Desonerado,Referencia.NaoDesonerado)</f>
        <v>19.03</v>
      </c>
      <c r="Z69" s="113">
        <f ca="1">ROUND(IF(ISNUMBER(R69),R69,IF(LEFT(R69,3)="BDI",HLOOKUP(R69,DADOS!$T$37:$X$38,2,FALSE),0)),15-11*$X$5)</f>
        <v>0.2109</v>
      </c>
      <c r="AA69" s="1"/>
    </row>
    <row r="70" spans="1:27" ht="25.5" x14ac:dyDescent="0.2">
      <c r="A70" t="str">
        <f>CHOOSE(1+LOG(1+2*(J70="Meta")+4*(J70="Nível 2")+8*(J70="Nível 3")+16*(J70="Nível 4")+32*(J70="Serviço"),2),0,1,2,3,4,"S")</f>
        <v>S</v>
      </c>
      <c r="B70">
        <f>IF(OR(A70="S",A70=0),0,IF(ISERROR(I70),H70,SMALL(H70:I70,1)))</f>
        <v>0</v>
      </c>
      <c r="C70">
        <f ca="1">IF($A70=1,OFFSET(C70,-1,0)+1,OFFSET(C70,-1,0))</f>
        <v>1</v>
      </c>
      <c r="D70">
        <f ca="1">IF($A70=1,0,IF($A70=2,OFFSET(D70,-1,0)+1,OFFSET(D70,-1,0)))</f>
        <v>10</v>
      </c>
      <c r="E70">
        <f ca="1">IF(AND($A70&lt;=2,$A70&lt;&gt;0),0,IF($A70=3,OFFSET(E70,-1,0)+1,OFFSET(E70,-1,0)))</f>
        <v>0</v>
      </c>
      <c r="F70">
        <f ca="1">IF(AND($A70&lt;=3,$A70&lt;&gt;0),0,IF($A70=4,OFFSET(F70,-1,0)+1,OFFSET(F70,-1,0)))</f>
        <v>0</v>
      </c>
      <c r="G70">
        <f ca="1">IF(AND($A70&lt;=4,$A70&lt;&gt;0),0,IF($A70="S",OFFSET(G70,-1,0)+1,OFFSET(G70,-1,0)))</f>
        <v>4</v>
      </c>
      <c r="H70">
        <f t="shared" ca="1" si="44"/>
        <v>0</v>
      </c>
      <c r="I70">
        <f t="shared" ca="1" si="45"/>
        <v>0</v>
      </c>
      <c r="J70" s="102" t="s">
        <v>103</v>
      </c>
      <c r="K70" s="138" t="str">
        <f ca="1">IF($A70=0,"-",CONCATENATE(C70&amp;".",IF(AND($A$5&gt;=2,$A70&gt;=2),D70&amp;".",""),IF(AND($A$5&gt;=3,$A70&gt;=3),E70&amp;".",""),IF(AND($A$5&gt;=4,$A70&gt;=4),F70&amp;".",""),IF($A70="S",G70&amp;".","")))</f>
        <v>1.10.4.</v>
      </c>
      <c r="L70" s="177" t="s">
        <v>230</v>
      </c>
      <c r="M70" s="177" t="s">
        <v>301</v>
      </c>
      <c r="N70" s="199" t="str">
        <f ca="1">IF($A70="S",Referencia.Descricao,"(digite a descrição aqui)")</f>
        <v>IMPERMEABILIZAÇÃO DE SUPERFÍCIE COM EMULSÃO ASFÁLTICA, 2 DEMÃOS. AF_09/2023</v>
      </c>
      <c r="O70" s="198" t="str">
        <f ca="1">Referencia.Unidade</f>
        <v>M2</v>
      </c>
      <c r="P70" s="193">
        <f ca="1">OFFSET(PLQ!$E$12,ROW($P70)-ROW(P$12),0)</f>
        <v>7.6</v>
      </c>
      <c r="Q70" s="197">
        <f t="shared" ca="1" si="59"/>
        <v>48.26</v>
      </c>
      <c r="R70" s="200" t="s">
        <v>7</v>
      </c>
      <c r="S70" s="103">
        <f ca="1">IF($A70="S",IF($Q$10="Preço Unitário (R$)",PO.CustoUnitario,ROUND(PO.CustoUnitario*(1+$Z70),15-13*$X$6)),0)</f>
        <v>58.44</v>
      </c>
      <c r="T70" s="83">
        <f ca="1">IF($A70="S",VTOTAL1,IF($A70=0,0,ROUND(SomaAgrup,15-13*$X$7)))</f>
        <v>444.14</v>
      </c>
      <c r="U70" s="9" t="str">
        <f ca="1">IF($J70="","",IF($N70="","DESCRIÇÃO",IF(AND($J70="Serviço",$O70=""),"UNIDADE",IF($T70&lt;=0,"SEM VALOR",IF(AND($Y70&lt;&gt;"",$Q70&gt;$Y70),"ACIMA REF.","")))))</f>
        <v/>
      </c>
      <c r="V70" s="1" t="str">
        <f ca="1">IF(OR($A70=0,$A70="S",$A70&gt;CFF!$A$9),"",MAX(V$12:OFFSET(V70,-1,0))+1)</f>
        <v/>
      </c>
      <c r="W70" s="4" t="str">
        <f>IF(AND($J70="Serviço",$M70&lt;&gt;""),IF($L70="",$M70,CONCATENATE($L70,"-",$M70)))</f>
        <v>SINAPI-98557</v>
      </c>
      <c r="X70" s="1">
        <f ca="1">IF(AND(Fonte&lt;&gt;"",Código&lt;&gt;""),MATCH(Fonte&amp;" "&amp;IF(Fonte="sinapi",SUBSTITUTE(SUBSTITUTE(Código,"/00","/"),"/0","/"),Código),INDIRECT("'[Referência "&amp;_xlnm.Database&amp;".xls]Banco'!$a:$a"),0),"X")</f>
        <v>10347</v>
      </c>
      <c r="Y70" s="103">
        <f ca="1">IF(Import.Desoneracao="sim",Referencia.Desonerado,Referencia.NaoDesonerado)</f>
        <v>48.26</v>
      </c>
      <c r="Z70" s="113">
        <f ca="1">ROUND(IF(ISNUMBER(R70),R70,IF(LEFT(R70,3)="BDI",HLOOKUP(R70,DADOS!$T$37:$X$38,2,FALSE),0)),15-11*$X$5)</f>
        <v>0.2109</v>
      </c>
      <c r="AA70" s="1"/>
    </row>
    <row r="71" spans="1:27" ht="25.5" x14ac:dyDescent="0.2">
      <c r="A71" t="str">
        <f>CHOOSE(1+LOG(1+2*(J71="Meta")+4*(J71="Nível 2")+8*(J71="Nível 3")+16*(J71="Nível 4")+32*(J71="Serviço"),2),0,1,2,3,4,"S")</f>
        <v>S</v>
      </c>
      <c r="B71">
        <f>IF(OR(A71="S",A71=0),0,IF(ISERROR(I71),H71,SMALL(H71:I71,1)))</f>
        <v>0</v>
      </c>
      <c r="C71">
        <f ca="1">IF($A71=1,OFFSET(C71,-1,0)+1,OFFSET(C71,-1,0))</f>
        <v>1</v>
      </c>
      <c r="D71">
        <f ca="1">IF($A71=1,0,IF($A71=2,OFFSET(D71,-1,0)+1,OFFSET(D71,-1,0)))</f>
        <v>10</v>
      </c>
      <c r="E71">
        <f ca="1">IF(AND($A71&lt;=2,$A71&lt;&gt;0),0,IF($A71=3,OFFSET(E71,-1,0)+1,OFFSET(E71,-1,0)))</f>
        <v>0</v>
      </c>
      <c r="F71">
        <f ca="1">IF(AND($A71&lt;=3,$A71&lt;&gt;0),0,IF($A71=4,OFFSET(F71,-1,0)+1,OFFSET(F71,-1,0)))</f>
        <v>0</v>
      </c>
      <c r="G71">
        <f ca="1">IF(AND($A71&lt;=4,$A71&lt;&gt;0),0,IF($A71="S",OFFSET(G71,-1,0)+1,OFFSET(G71,-1,0)))</f>
        <v>5</v>
      </c>
      <c r="H71">
        <f t="shared" ca="1" si="44"/>
        <v>0</v>
      </c>
      <c r="I71">
        <f t="shared" ca="1" si="45"/>
        <v>0</v>
      </c>
      <c r="J71" s="102" t="s">
        <v>103</v>
      </c>
      <c r="K71" s="138" t="str">
        <f ca="1">IF($A71=0,"-",CONCATENATE(C71&amp;".",IF(AND($A$5&gt;=2,$A71&gt;=2),D71&amp;".",""),IF(AND($A$5&gt;=3,$A71&gt;=3),E71&amp;".",""),IF(AND($A$5&gt;=4,$A71&gt;=4),F71&amp;".",""),IF($A71="S",G71&amp;".","")))</f>
        <v>1.10.5.</v>
      </c>
      <c r="L71" s="177" t="s">
        <v>230</v>
      </c>
      <c r="M71" s="177" t="s">
        <v>298</v>
      </c>
      <c r="N71" s="199" t="str">
        <f ca="1">IF($A71="S",Referencia.Descricao,"(digite a descrição aqui)")</f>
        <v>EXECUÇÃO DE LAJE SOBRE SOLO, ESPESSURA DE 10 CM, FCK = 30 MPA, COM USO DE FORMAS EM MADEIRA SERRADA. AF_09/2021</v>
      </c>
      <c r="O71" s="198" t="str">
        <f ca="1">Referencia.Unidade</f>
        <v>M2</v>
      </c>
      <c r="P71" s="193">
        <f ca="1">OFFSET(PLQ!$E$12,ROW($P71)-ROW(P$12),0)</f>
        <v>3.45</v>
      </c>
      <c r="Q71" s="197">
        <f t="shared" ca="1" si="59"/>
        <v>156.04</v>
      </c>
      <c r="R71" s="200" t="s">
        <v>7</v>
      </c>
      <c r="S71" s="103">
        <f ca="1">IF($A71="S",IF($Q$10="Preço Unitário (R$)",PO.CustoUnitario,ROUND(PO.CustoUnitario*(1+$Z71),15-13*$X$6)),0)</f>
        <v>188.95</v>
      </c>
      <c r="T71" s="83">
        <f ca="1">IF($A71="S",VTOTAL1,IF($A71=0,0,ROUND(SomaAgrup,15-13*$X$7)))</f>
        <v>651.88</v>
      </c>
      <c r="U71" s="9" t="str">
        <f ca="1">IF($J71="","",IF($N71="","DESCRIÇÃO",IF(AND($J71="Serviço",$O71=""),"UNIDADE",IF($T71&lt;=0,"SEM VALOR",IF(AND($Y71&lt;&gt;"",$Q71&gt;$Y71),"ACIMA REF.","")))))</f>
        <v/>
      </c>
      <c r="V71" s="1" t="str">
        <f ca="1">IF(OR($A71=0,$A71="S",$A71&gt;CFF!$A$9),"",MAX(V$12:OFFSET(V71,-1,0))+1)</f>
        <v/>
      </c>
      <c r="W71" s="4" t="str">
        <f>IF(AND($J71="Serviço",$M71&lt;&gt;""),IF($L71="",$M71,CONCATENATE($L71,"-",$M71)))</f>
        <v>SINAPI-103076</v>
      </c>
      <c r="X71" s="1">
        <f ca="1">IF(AND(Fonte&lt;&gt;"",Código&lt;&gt;""),MATCH(Fonte&amp;" "&amp;IF(Fonte="sinapi",SUBSTITUTE(SUBSTITUTE(Código,"/00","/"),"/0","/"),Código),INDIRECT("'[Referência "&amp;_xlnm.Database&amp;".xls]Banco'!$a:$a"),0),"X")</f>
        <v>14402</v>
      </c>
      <c r="Y71" s="103">
        <f ca="1">IF(Import.Desoneracao="sim",Referencia.Desonerado,Referencia.NaoDesonerado)</f>
        <v>156.04</v>
      </c>
      <c r="Z71" s="113">
        <f ca="1">ROUND(IF(ISNUMBER(R71),R71,IF(LEFT(R71,3)="BDI",HLOOKUP(R71,DADOS!$T$37:$X$38,2,FALSE),0)),15-11*$X$5)</f>
        <v>0.2109</v>
      </c>
      <c r="AA71" s="1"/>
    </row>
    <row r="72" spans="1:27" ht="38.25" x14ac:dyDescent="0.2">
      <c r="A72" t="str">
        <f t="shared" si="65"/>
        <v>S</v>
      </c>
      <c r="B72">
        <f t="shared" si="66"/>
        <v>0</v>
      </c>
      <c r="C72">
        <f t="shared" ca="1" si="67"/>
        <v>1</v>
      </c>
      <c r="D72">
        <f t="shared" ca="1" si="68"/>
        <v>10</v>
      </c>
      <c r="E72">
        <f t="shared" ca="1" si="69"/>
        <v>0</v>
      </c>
      <c r="F72">
        <f t="shared" ca="1" si="70"/>
        <v>0</v>
      </c>
      <c r="G72">
        <f t="shared" ca="1" si="71"/>
        <v>6</v>
      </c>
      <c r="H72">
        <f t="shared" ca="1" si="44"/>
        <v>0</v>
      </c>
      <c r="I72">
        <f t="shared" ca="1" si="45"/>
        <v>0</v>
      </c>
      <c r="J72" s="102" t="s">
        <v>103</v>
      </c>
      <c r="K72" s="138" t="str">
        <f t="shared" ca="1" si="72"/>
        <v>1.10.6.</v>
      </c>
      <c r="L72" s="177" t="s">
        <v>230</v>
      </c>
      <c r="M72" s="177" t="s">
        <v>296</v>
      </c>
      <c r="N72" s="199" t="str">
        <f ca="1">IF($A72="S",Referencia.Descricao,"(digite a descrição aqui)")</f>
        <v>ALVENARIA DE VEDAÇÃO DE BLOCOS CERÂMICOS FURADOS NA HORIZONTAL DE 9X19X19 CM (ESPESSURA 9 CM) E ARGAMASSA DE ASSENTAMENTO COM PREPARO EM BETONEIRA. AF_12/2021</v>
      </c>
      <c r="O72" s="198" t="str">
        <f ca="1">Referencia.Unidade</f>
        <v>M2</v>
      </c>
      <c r="P72" s="193">
        <f ca="1">OFFSET(PLQ!$E$12,ROW($P72)-ROW(P$12),0)</f>
        <v>19</v>
      </c>
      <c r="Q72" s="197">
        <f t="shared" ca="1" si="59"/>
        <v>98.88</v>
      </c>
      <c r="R72" s="200" t="s">
        <v>7</v>
      </c>
      <c r="S72" s="103">
        <f t="shared" ca="1" si="62"/>
        <v>119.73</v>
      </c>
      <c r="T72" s="83">
        <f t="shared" ca="1" si="63"/>
        <v>2274.87</v>
      </c>
      <c r="U72" s="9" t="str">
        <f t="shared" ca="1" si="73"/>
        <v/>
      </c>
      <c r="V72" s="1" t="str">
        <f ca="1">IF(OR($A72=0,$A72="S",$A72&gt;CFF!$A$9),"",MAX(V$12:OFFSET(V72,-1,0))+1)</f>
        <v/>
      </c>
      <c r="W72" s="4" t="str">
        <f t="shared" si="74"/>
        <v>SINAPI-103328</v>
      </c>
      <c r="X72" s="1">
        <f t="shared" ca="1" si="64"/>
        <v>6075</v>
      </c>
      <c r="Y72" s="103">
        <f ca="1">IF(Import.Desoneracao="sim",Referencia.Desonerado,Referencia.NaoDesonerado)</f>
        <v>98.88</v>
      </c>
      <c r="Z72" s="113">
        <f ca="1">ROUND(IF(ISNUMBER(R72),R72,IF(LEFT(R72,3)="BDI",HLOOKUP(R72,DADOS!$T$37:$X$38,2,FALSE),0)),15-11*$X$5)</f>
        <v>0.2109</v>
      </c>
      <c r="AA72" s="1"/>
    </row>
    <row r="73" spans="1:27" ht="38.25" x14ac:dyDescent="0.2">
      <c r="A73" t="str">
        <f t="shared" si="65"/>
        <v>S</v>
      </c>
      <c r="B73">
        <f t="shared" si="66"/>
        <v>0</v>
      </c>
      <c r="C73">
        <f t="shared" ca="1" si="67"/>
        <v>1</v>
      </c>
      <c r="D73">
        <f t="shared" ca="1" si="68"/>
        <v>10</v>
      </c>
      <c r="E73">
        <f t="shared" ca="1" si="69"/>
        <v>0</v>
      </c>
      <c r="F73">
        <f t="shared" ca="1" si="70"/>
        <v>0</v>
      </c>
      <c r="G73">
        <f t="shared" ca="1" si="71"/>
        <v>7</v>
      </c>
      <c r="H73">
        <f t="shared" ca="1" si="44"/>
        <v>0</v>
      </c>
      <c r="I73">
        <f t="shared" ca="1" si="45"/>
        <v>0</v>
      </c>
      <c r="J73" s="102" t="s">
        <v>103</v>
      </c>
      <c r="K73" s="138" t="str">
        <f t="shared" ca="1" si="72"/>
        <v>1.10.7.</v>
      </c>
      <c r="L73" s="177" t="s">
        <v>230</v>
      </c>
      <c r="M73" s="177" t="s">
        <v>270</v>
      </c>
      <c r="N73" s="199" t="str">
        <f ca="1">IF($A73="S",Referencia.Descricao,"(digite a descrição aqui)")</f>
        <v>TRAMA DE MADEIRA COMPOSTA POR TERÇAS PARA TELHADOS DE ATÉ 2 ÁGUAS PARA TELHA ONDULADA DE FIBROCIMENTO, METÁLICA, PLÁSTICA OU TERMOACÚSTICA, INCLUSO TRANSPORTE VERTICAL. AF_07/2019</v>
      </c>
      <c r="O73" s="198" t="str">
        <f ca="1">Referencia.Unidade</f>
        <v>M2</v>
      </c>
      <c r="P73" s="193">
        <f ca="1">OFFSET(PLQ!$E$12,ROW($P73)-ROW(P$12),0)</f>
        <v>4.79</v>
      </c>
      <c r="Q73" s="197">
        <f t="shared" ca="1" si="59"/>
        <v>22.68</v>
      </c>
      <c r="R73" s="200" t="s">
        <v>7</v>
      </c>
      <c r="S73" s="103">
        <f t="shared" ca="1" si="62"/>
        <v>27.46</v>
      </c>
      <c r="T73" s="83">
        <f t="shared" ca="1" si="63"/>
        <v>131.53</v>
      </c>
      <c r="U73" s="9" t="str">
        <f t="shared" ca="1" si="73"/>
        <v/>
      </c>
      <c r="V73" s="1" t="str">
        <f ca="1">IF(OR($A73=0,$A73="S",$A73&gt;CFF!$A$9),"",MAX(V$12:OFFSET(V73,-1,0))+1)</f>
        <v/>
      </c>
      <c r="W73" s="4" t="str">
        <f t="shared" si="74"/>
        <v>SINAPI-92543</v>
      </c>
      <c r="X73" s="1">
        <f t="shared" ca="1" si="64"/>
        <v>9746</v>
      </c>
      <c r="Y73" s="103">
        <f ca="1">IF(Import.Desoneracao="sim",Referencia.Desonerado,Referencia.NaoDesonerado)</f>
        <v>22.68</v>
      </c>
      <c r="Z73" s="113">
        <f ca="1">ROUND(IF(ISNUMBER(R73),R73,IF(LEFT(R73,3)="BDI",HLOOKUP(R73,DADOS!$T$37:$X$38,2,FALSE),0)),15-11*$X$5)</f>
        <v>0.2109</v>
      </c>
      <c r="AA73" s="1"/>
    </row>
    <row r="74" spans="1:27" ht="25.5" x14ac:dyDescent="0.2">
      <c r="A74" t="str">
        <f t="shared" si="65"/>
        <v>S</v>
      </c>
      <c r="B74">
        <f t="shared" si="66"/>
        <v>0</v>
      </c>
      <c r="C74">
        <f t="shared" ca="1" si="67"/>
        <v>1</v>
      </c>
      <c r="D74">
        <f t="shared" ca="1" si="68"/>
        <v>10</v>
      </c>
      <c r="E74">
        <f t="shared" ca="1" si="69"/>
        <v>0</v>
      </c>
      <c r="F74">
        <f t="shared" ca="1" si="70"/>
        <v>0</v>
      </c>
      <c r="G74">
        <f t="shared" ca="1" si="71"/>
        <v>8</v>
      </c>
      <c r="H74">
        <f t="shared" ca="1" si="44"/>
        <v>0</v>
      </c>
      <c r="I74">
        <f t="shared" ca="1" si="45"/>
        <v>0</v>
      </c>
      <c r="J74" s="102" t="s">
        <v>103</v>
      </c>
      <c r="K74" s="138" t="str">
        <f t="shared" ca="1" si="72"/>
        <v>1.10.8.</v>
      </c>
      <c r="L74" s="177" t="s">
        <v>230</v>
      </c>
      <c r="M74" s="177" t="s">
        <v>297</v>
      </c>
      <c r="N74" s="199" t="str">
        <f ca="1">IF($A74="S",Referencia.Descricao,"(digite a descrição aqui)")</f>
        <v>TELHAMENTO COM TELHA DE AÇO/ALUMÍNIO E = 0,5 MM, COM ATÉ 2 ÁGUAS, INCLUSO IÇAMENTO. AF_07/2019</v>
      </c>
      <c r="O74" s="198" t="str">
        <f ca="1">Referencia.Unidade</f>
        <v>M2</v>
      </c>
      <c r="P74" s="193">
        <f ca="1">OFFSET(PLQ!$E$12,ROW($P74)-ROW(P$12),0)</f>
        <v>4.79</v>
      </c>
      <c r="Q74" s="197">
        <f t="shared" ca="1" si="59"/>
        <v>61.07</v>
      </c>
      <c r="R74" s="200" t="s">
        <v>7</v>
      </c>
      <c r="S74" s="103">
        <f t="shared" ca="1" si="62"/>
        <v>73.95</v>
      </c>
      <c r="T74" s="83">
        <f t="shared" ca="1" si="63"/>
        <v>354.22</v>
      </c>
      <c r="U74" s="9" t="str">
        <f t="shared" ca="1" si="73"/>
        <v/>
      </c>
      <c r="V74" s="1" t="str">
        <f ca="1">IF(OR($A74=0,$A74="S",$A74&gt;CFF!$A$9),"",MAX(V$12:OFFSET(V74,-1,0))+1)</f>
        <v/>
      </c>
      <c r="W74" s="4" t="str">
        <f t="shared" si="74"/>
        <v>SINAPI-94213</v>
      </c>
      <c r="X74" s="1">
        <f t="shared" ca="1" si="64"/>
        <v>15077</v>
      </c>
      <c r="Y74" s="103">
        <f ca="1">IF(Import.Desoneracao="sim",Referencia.Desonerado,Referencia.NaoDesonerado)</f>
        <v>61.07</v>
      </c>
      <c r="Z74" s="113">
        <f ca="1">ROUND(IF(ISNUMBER(R74),R74,IF(LEFT(R74,3)="BDI",HLOOKUP(R74,DADOS!$T$37:$X$38,2,FALSE),0)),15-11*$X$5)</f>
        <v>0.2109</v>
      </c>
      <c r="AA74" s="1"/>
    </row>
    <row r="75" spans="1:27" x14ac:dyDescent="0.2">
      <c r="A75">
        <f t="shared" ref="A75:A95" si="75">CHOOSE(1+LOG(1+2*(J75="Meta")+4*(J75="Nível 2")+8*(J75="Nível 3")+16*(J75="Nível 4")+32*(J75="Serviço"),2),0,1,2,3,4,"S")</f>
        <v>1</v>
      </c>
      <c r="B75">
        <f t="shared" ref="B75:B95" ca="1" si="76">IF(OR(A75="S",A75=0),0,IF(ISERROR(I75),H75,SMALL(H75:I75,1)))</f>
        <v>21</v>
      </c>
      <c r="C75">
        <f t="shared" ref="C75:C95" ca="1" si="77">IF($A75=1,OFFSET(C75,-1,0)+1,OFFSET(C75,-1,0))</f>
        <v>2</v>
      </c>
      <c r="D75">
        <f t="shared" ref="D75:D95" ca="1" si="78">IF($A75=1,0,IF($A75=2,OFFSET(D75,-1,0)+1,OFFSET(D75,-1,0)))</f>
        <v>0</v>
      </c>
      <c r="E75">
        <f t="shared" ref="E75:E95" ca="1" si="79">IF(AND($A75&lt;=2,$A75&lt;&gt;0),0,IF($A75=3,OFFSET(E75,-1,0)+1,OFFSET(E75,-1,0)))</f>
        <v>0</v>
      </c>
      <c r="F75">
        <f t="shared" ref="F75:F95" ca="1" si="80">IF(AND($A75&lt;=3,$A75&lt;&gt;0),0,IF($A75=4,OFFSET(F75,-1,0)+1,OFFSET(F75,-1,0)))</f>
        <v>0</v>
      </c>
      <c r="G75">
        <f t="shared" ref="G75:G95" ca="1" si="81">IF(AND($A75&lt;=4,$A75&lt;&gt;0),0,IF($A75="S",OFFSET(G75,-1,0)+1,OFFSET(G75,-1,0)))</f>
        <v>0</v>
      </c>
      <c r="H75">
        <f t="shared" ca="1" si="44"/>
        <v>21</v>
      </c>
      <c r="I75" t="e">
        <f t="shared" ca="1" si="45"/>
        <v>#N/A</v>
      </c>
      <c r="J75" s="102" t="s">
        <v>99</v>
      </c>
      <c r="K75" s="138" t="str">
        <f t="shared" ref="K75:K95" ca="1" si="82">IF($A75=0,"-",CONCATENATE(C75&amp;".",IF(AND($A$5&gt;=2,$A75&gt;=2),D75&amp;".",""),IF(AND($A$5&gt;=3,$A75&gt;=3),E75&amp;".",""),IF(AND($A$5&gt;=4,$A75&gt;=4),F75&amp;".",""),IF($A75="S",G75&amp;".","")))</f>
        <v>2.</v>
      </c>
      <c r="L75" s="177"/>
      <c r="M75" s="177"/>
      <c r="N75" s="199" t="s">
        <v>255</v>
      </c>
      <c r="O75" s="198" t="str">
        <f ca="1">Referencia.Unidade</f>
        <v/>
      </c>
      <c r="P75" s="193">
        <f ca="1">OFFSET(PLQ!$E$12,ROW($P75)-ROW(P$12),0)</f>
        <v>0</v>
      </c>
      <c r="Q75" s="197"/>
      <c r="R75" s="200" t="s">
        <v>7</v>
      </c>
      <c r="S75" s="103">
        <f t="shared" si="48"/>
        <v>0</v>
      </c>
      <c r="T75" s="83">
        <f t="shared" ca="1" si="49"/>
        <v>113600.31</v>
      </c>
      <c r="U75" s="9" t="str">
        <f ca="1">IF($J75="","",IF($N75="","DESCRIÇÃO",IF(AND($J75="Serviço",$O75=""),"UNIDADE",IF($T75&lt;=0,"SEM VALOR",IF(AND($Y75&lt;&gt;"",$Q75&gt;$Y75),"ACIMA REF.","")))))</f>
        <v/>
      </c>
      <c r="V75" s="1">
        <f ca="1">IF(OR($A75=0,$A75="S",$A75&gt;CFF!$A$9),"",MAX(V$12:OFFSET(V75,-1,0))+1)</f>
        <v>12</v>
      </c>
      <c r="W75" s="4" t="b">
        <f t="shared" ref="W75:W95" si="83">IF(AND($J75="Serviço",$M75&lt;&gt;""),IF($L75="",$M75,CONCATENATE($L75,"-",$M75)))</f>
        <v>0</v>
      </c>
      <c r="X75" s="1" t="str">
        <f t="shared" ca="1" si="50"/>
        <v>X</v>
      </c>
      <c r="Y75" s="103">
        <f ca="1">IF(Import.Desoneracao="sim",Referencia.Desonerado,Referencia.NaoDesonerado)</f>
        <v>0</v>
      </c>
      <c r="Z75" s="113">
        <f ca="1">ROUND(IF(ISNUMBER(R75),R75,IF(LEFT(R75,3)="BDI",HLOOKUP(R75,DADOS!$T$37:$X$38,2,FALSE),0)),15-11*$X$5)</f>
        <v>0.2109</v>
      </c>
      <c r="AA75" s="1"/>
    </row>
    <row r="76" spans="1:27" x14ac:dyDescent="0.2">
      <c r="A76">
        <f t="shared" si="75"/>
        <v>2</v>
      </c>
      <c r="B76">
        <f t="shared" ca="1" si="76"/>
        <v>12</v>
      </c>
      <c r="C76">
        <f t="shared" ca="1" si="77"/>
        <v>2</v>
      </c>
      <c r="D76">
        <f t="shared" ca="1" si="78"/>
        <v>1</v>
      </c>
      <c r="E76">
        <f t="shared" ca="1" si="79"/>
        <v>0</v>
      </c>
      <c r="F76">
        <f t="shared" ca="1" si="80"/>
        <v>0</v>
      </c>
      <c r="G76">
        <f t="shared" ca="1" si="81"/>
        <v>0</v>
      </c>
      <c r="H76">
        <f t="shared" ca="1" si="44"/>
        <v>20</v>
      </c>
      <c r="I76">
        <f t="shared" ca="1" si="45"/>
        <v>12</v>
      </c>
      <c r="J76" s="102" t="s">
        <v>100</v>
      </c>
      <c r="K76" s="138" t="str">
        <f t="shared" ca="1" si="82"/>
        <v>2.1.</v>
      </c>
      <c r="L76" s="177"/>
      <c r="M76" s="177"/>
      <c r="N76" s="199" t="s">
        <v>254</v>
      </c>
      <c r="O76" s="198" t="str">
        <f ca="1">Referencia.Unidade</f>
        <v/>
      </c>
      <c r="P76" s="193">
        <f ca="1">OFFSET(PLQ!$E$12,ROW($P76)-ROW(P$12),0)</f>
        <v>0</v>
      </c>
      <c r="Q76" s="197"/>
      <c r="R76" s="200" t="s">
        <v>7</v>
      </c>
      <c r="S76" s="103">
        <f t="shared" si="48"/>
        <v>0</v>
      </c>
      <c r="T76" s="83">
        <f t="shared" ca="1" si="49"/>
        <v>94405.63</v>
      </c>
      <c r="U76" s="9" t="str">
        <f ca="1">IF($J76="","",IF($N76="","DESCRIÇÃO",IF(AND($J76="Serviço",$O76=""),"UNIDADE",IF($T76&lt;=0,"SEM VALOR",IF(AND($Y76&lt;&gt;"",$Q76&gt;$Y76),"ACIMA REF.","")))))</f>
        <v/>
      </c>
      <c r="V76" s="1">
        <f ca="1">IF(OR($A76=0,$A76="S",$A76&gt;CFF!$A$9),"",MAX(V$12:OFFSET(V76,-1,0))+1)</f>
        <v>13</v>
      </c>
      <c r="W76" s="4" t="b">
        <f t="shared" si="83"/>
        <v>0</v>
      </c>
      <c r="X76" s="1" t="str">
        <f t="shared" ca="1" si="50"/>
        <v>X</v>
      </c>
      <c r="Y76" s="103">
        <f ca="1">IF(Import.Desoneracao="sim",Referencia.Desonerado,Referencia.NaoDesonerado)</f>
        <v>0</v>
      </c>
      <c r="Z76" s="113">
        <f ca="1">ROUND(IF(ISNUMBER(R76),R76,IF(LEFT(R76,3)="BDI",HLOOKUP(R76,DADOS!$T$37:$X$38,2,FALSE),0)),15-11*$X$5)</f>
        <v>0.2109</v>
      </c>
      <c r="AA76" s="1"/>
    </row>
    <row r="77" spans="1:27" ht="25.5" x14ac:dyDescent="0.2">
      <c r="A77" t="str">
        <f t="shared" si="75"/>
        <v>S</v>
      </c>
      <c r="B77">
        <f t="shared" si="76"/>
        <v>0</v>
      </c>
      <c r="C77">
        <f t="shared" ca="1" si="77"/>
        <v>2</v>
      </c>
      <c r="D77">
        <f t="shared" ca="1" si="78"/>
        <v>1</v>
      </c>
      <c r="E77">
        <f t="shared" ca="1" si="79"/>
        <v>0</v>
      </c>
      <c r="F77">
        <f t="shared" ca="1" si="80"/>
        <v>0</v>
      </c>
      <c r="G77">
        <f t="shared" ca="1" si="81"/>
        <v>1</v>
      </c>
      <c r="H77">
        <f t="shared" ca="1" si="44"/>
        <v>0</v>
      </c>
      <c r="I77">
        <f t="shared" ca="1" si="45"/>
        <v>0</v>
      </c>
      <c r="J77" s="102" t="s">
        <v>103</v>
      </c>
      <c r="K77" s="138" t="str">
        <f t="shared" ca="1" si="82"/>
        <v>2.1.1.</v>
      </c>
      <c r="L77" s="177" t="s">
        <v>237</v>
      </c>
      <c r="M77" s="177" t="s">
        <v>323</v>
      </c>
      <c r="N77" s="199" t="str">
        <f ca="1">IF($A77="S",Referencia.Descricao,"(digite a descrição aqui)")</f>
        <v>SERVIÇOS TOPOGRÁFICOS PARA PAVIMENTAÇÃO, INCLUSIVE NOTA DE SERVIÇOS, ACOMPANHAMENTO E GREIDE</v>
      </c>
      <c r="O77" s="198" t="str">
        <f ca="1">Referencia.Unidade</f>
        <v>M2</v>
      </c>
      <c r="P77" s="193">
        <f ca="1">OFFSET(PLQ!$E$12,ROW($P77)-ROW(P$12),0)</f>
        <v>555.37</v>
      </c>
      <c r="Q77" s="197">
        <f t="shared" ref="Q77:Q80" ca="1" si="84">Y77</f>
        <v>0.47000000000000003</v>
      </c>
      <c r="R77" s="200" t="s">
        <v>7</v>
      </c>
      <c r="S77" s="103">
        <f t="shared" ca="1" si="48"/>
        <v>0.56999999999999995</v>
      </c>
      <c r="T77" s="83">
        <f t="shared" ca="1" si="49"/>
        <v>316.56</v>
      </c>
      <c r="U77" s="9" t="str">
        <f t="shared" ref="U77:U79" ca="1" si="85">IF($J77="","",IF($N77="","DESCRIÇÃO",IF(AND($J77="Serviço",$O77=""),"UNIDADE",IF($T77&lt;=0,"SEM VALOR",IF(AND($Y77&lt;&gt;"",$Q77&gt;$Y77),"ACIMA REF.","")))))</f>
        <v/>
      </c>
      <c r="V77" s="1" t="str">
        <f ca="1">IF(OR($A77=0,$A77="S",$A77&gt;CFF!$A$9),"",MAX(V$12:OFFSET(V77,-1,0))+1)</f>
        <v/>
      </c>
      <c r="W77" s="4" t="str">
        <f t="shared" si="83"/>
        <v>COMPOSIÇÃO-18</v>
      </c>
      <c r="X77" s="1">
        <f t="shared" ca="1" si="50"/>
        <v>23</v>
      </c>
      <c r="Y77" s="103">
        <f ca="1">IF(Import.Desoneracao="sim",Referencia.Desonerado,Referencia.NaoDesonerado)</f>
        <v>0.47000000000000003</v>
      </c>
      <c r="Z77" s="113">
        <f ca="1">ROUND(IF(ISNUMBER(R77),R77,IF(LEFT(R77,3)="BDI",HLOOKUP(R77,DADOS!$T$37:$X$38,2,FALSE),0)),15-11*$X$5)</f>
        <v>0.2109</v>
      </c>
      <c r="AA77" s="1"/>
    </row>
    <row r="78" spans="1:27" ht="25.5" x14ac:dyDescent="0.2">
      <c r="A78" t="str">
        <f t="shared" si="75"/>
        <v>S</v>
      </c>
      <c r="B78">
        <f t="shared" si="76"/>
        <v>0</v>
      </c>
      <c r="C78">
        <f t="shared" ca="1" si="77"/>
        <v>2</v>
      </c>
      <c r="D78">
        <f t="shared" ca="1" si="78"/>
        <v>1</v>
      </c>
      <c r="E78">
        <f t="shared" ca="1" si="79"/>
        <v>0</v>
      </c>
      <c r="F78">
        <f t="shared" ca="1" si="80"/>
        <v>0</v>
      </c>
      <c r="G78">
        <f t="shared" ca="1" si="81"/>
        <v>2</v>
      </c>
      <c r="H78">
        <f t="shared" ca="1" si="44"/>
        <v>0</v>
      </c>
      <c r="I78">
        <f t="shared" ca="1" si="45"/>
        <v>0</v>
      </c>
      <c r="J78" s="102" t="s">
        <v>103</v>
      </c>
      <c r="K78" s="138" t="str">
        <f t="shared" ca="1" si="82"/>
        <v>2.1.2.</v>
      </c>
      <c r="L78" s="177" t="s">
        <v>230</v>
      </c>
      <c r="M78" s="177" t="s">
        <v>324</v>
      </c>
      <c r="N78" s="199" t="str">
        <f ca="1">IF($A78="S",Referencia.Descricao,"(digite a descrição aqui)")</f>
        <v>REGULARIZAÇÃO E COMPACTAÇÃO DE SUBLEITO DE SOLO PREDOMINANTEMENTE ARGILOSO, PARA OBRAS DE CONSTRUÇÃO DE PAVIMENTOS. AF_09/2024</v>
      </c>
      <c r="O78" s="198" t="str">
        <f ca="1">Referencia.Unidade</f>
        <v>M2</v>
      </c>
      <c r="P78" s="193">
        <f ca="1">OFFSET(PLQ!$E$12,ROW($P78)-ROW(P$12),0)</f>
        <v>555.37</v>
      </c>
      <c r="Q78" s="197">
        <f t="shared" ca="1" si="84"/>
        <v>3.12</v>
      </c>
      <c r="R78" s="200" t="s">
        <v>7</v>
      </c>
      <c r="S78" s="103">
        <f t="shared" ca="1" si="48"/>
        <v>3.78</v>
      </c>
      <c r="T78" s="83">
        <f t="shared" ca="1" si="49"/>
        <v>2099.3000000000002</v>
      </c>
      <c r="U78" s="9" t="str">
        <f t="shared" ca="1" si="85"/>
        <v/>
      </c>
      <c r="V78" s="1" t="str">
        <f ca="1">IF(OR($A78=0,$A78="S",$A78&gt;CFF!$A$9),"",MAX(V$12:OFFSET(V78,-1,0))+1)</f>
        <v/>
      </c>
      <c r="W78" s="4" t="str">
        <f t="shared" si="83"/>
        <v>SINAPI-100576</v>
      </c>
      <c r="X78" s="1">
        <f t="shared" ca="1" si="50"/>
        <v>7005</v>
      </c>
      <c r="Y78" s="103">
        <f ca="1">IF(Import.Desoneracao="sim",Referencia.Desonerado,Referencia.NaoDesonerado)</f>
        <v>3.12</v>
      </c>
      <c r="Z78" s="113">
        <f ca="1">ROUND(IF(ISNUMBER(R78),R78,IF(LEFT(R78,3)="BDI",HLOOKUP(R78,DADOS!$T$37:$X$38,2,FALSE),0)),15-11*$X$5)</f>
        <v>0.2109</v>
      </c>
      <c r="AA78" s="1"/>
    </row>
    <row r="79" spans="1:27" ht="38.25" x14ac:dyDescent="0.2">
      <c r="A79" t="str">
        <f t="shared" si="75"/>
        <v>S</v>
      </c>
      <c r="B79">
        <f t="shared" si="76"/>
        <v>0</v>
      </c>
      <c r="C79">
        <f t="shared" ca="1" si="77"/>
        <v>2</v>
      </c>
      <c r="D79">
        <f t="shared" ca="1" si="78"/>
        <v>1</v>
      </c>
      <c r="E79">
        <f t="shared" ca="1" si="79"/>
        <v>0</v>
      </c>
      <c r="F79">
        <f t="shared" ca="1" si="80"/>
        <v>0</v>
      </c>
      <c r="G79">
        <f t="shared" ca="1" si="81"/>
        <v>3</v>
      </c>
      <c r="H79">
        <f t="shared" ca="1" si="44"/>
        <v>0</v>
      </c>
      <c r="I79">
        <f t="shared" ca="1" si="45"/>
        <v>0</v>
      </c>
      <c r="J79" s="102" t="s">
        <v>103</v>
      </c>
      <c r="K79" s="138" t="str">
        <f t="shared" ca="1" si="82"/>
        <v>2.1.3.</v>
      </c>
      <c r="L79" s="177" t="s">
        <v>230</v>
      </c>
      <c r="M79" s="177" t="s">
        <v>325</v>
      </c>
      <c r="N79" s="199" t="str">
        <f ca="1">IF($A79="S",Referencia.Descricao,"(digite a descrição aqui)")</f>
        <v>CONSTRUÇÃO DE BASE E SUB-BASE PARA PAVIMENTAÇÃO DE BRITA GRADUADA SIMPLES, COM ESPESSURA DE 10 CM - EXCLUSIVE CARGA E TRANSPORTE. AF_09/2024</v>
      </c>
      <c r="O79" s="198" t="str">
        <f ca="1">Referencia.Unidade</f>
        <v>M3</v>
      </c>
      <c r="P79" s="193">
        <f ca="1">OFFSET(PLQ!$E$12,ROW($P79)-ROW(P$12),0)</f>
        <v>55.54</v>
      </c>
      <c r="Q79" s="197">
        <f t="shared" ca="1" si="84"/>
        <v>170.74</v>
      </c>
      <c r="R79" s="200" t="s">
        <v>7</v>
      </c>
      <c r="S79" s="103">
        <f t="shared" ca="1" si="48"/>
        <v>206.75</v>
      </c>
      <c r="T79" s="83">
        <f t="shared" ca="1" si="49"/>
        <v>11482.9</v>
      </c>
      <c r="U79" s="9" t="str">
        <f t="shared" ca="1" si="85"/>
        <v/>
      </c>
      <c r="V79" s="1" t="str">
        <f ca="1">IF(OR($A79=0,$A79="S",$A79&gt;CFF!$A$9),"",MAX(V$12:OFFSET(V79,-1,0))+1)</f>
        <v/>
      </c>
      <c r="W79" s="4" t="str">
        <f t="shared" si="83"/>
        <v>SINAPI-105727</v>
      </c>
      <c r="X79" s="1">
        <f t="shared" ca="1" si="50"/>
        <v>6778</v>
      </c>
      <c r="Y79" s="103">
        <f ca="1">IF(Import.Desoneracao="sim",Referencia.Desonerado,Referencia.NaoDesonerado)</f>
        <v>170.74</v>
      </c>
      <c r="Z79" s="113">
        <f ca="1">ROUND(IF(ISNUMBER(R79),R79,IF(LEFT(R79,3)="BDI",HLOOKUP(R79,DADOS!$T$37:$X$38,2,FALSE),0)),15-11*$X$5)</f>
        <v>0.2109</v>
      </c>
      <c r="AA79" s="1"/>
    </row>
    <row r="80" spans="1:27" ht="25.5" x14ac:dyDescent="0.2">
      <c r="A80" t="str">
        <f>CHOOSE(1+LOG(1+2*(J80="Meta")+4*(J80="Nível 2")+8*(J80="Nível 3")+16*(J80="Nível 4")+32*(J80="Serviço"),2),0,1,2,3,4,"S")</f>
        <v>S</v>
      </c>
      <c r="B80">
        <f>IF(OR(A80="S",A80=0),0,IF(ISERROR(I80),H80,SMALL(H80:I80,1)))</f>
        <v>0</v>
      </c>
      <c r="C80">
        <f ca="1">IF($A80=1,OFFSET(C80,-1,0)+1,OFFSET(C80,-1,0))</f>
        <v>2</v>
      </c>
      <c r="D80">
        <f ca="1">IF($A80=1,0,IF($A80=2,OFFSET(D80,-1,0)+1,OFFSET(D80,-1,0)))</f>
        <v>1</v>
      </c>
      <c r="E80">
        <f ca="1">IF(AND($A80&lt;=2,$A80&lt;&gt;0),0,IF($A80=3,OFFSET(E80,-1,0)+1,OFFSET(E80,-1,0)))</f>
        <v>0</v>
      </c>
      <c r="F80">
        <f ca="1">IF(AND($A80&lt;=3,$A80&lt;&gt;0),0,IF($A80=4,OFFSET(F80,-1,0)+1,OFFSET(F80,-1,0)))</f>
        <v>0</v>
      </c>
      <c r="G80">
        <f ca="1">IF(AND($A80&lt;=4,$A80&lt;&gt;0),0,IF($A80="S",OFFSET(G80,-1,0)+1,OFFSET(G80,-1,0)))</f>
        <v>4</v>
      </c>
      <c r="H80">
        <f ca="1">IF(OR($A80="S",$A80=0),0,MATCH(0,OFFSET($B80,1,$A80,ROW($A$96)-ROW($A80)),0))</f>
        <v>0</v>
      </c>
      <c r="I80">
        <f ca="1">IF(OR($A80="S",$A80=0),0,MATCH(OFFSET($B80,0,$A80)+1,OFFSET($B80,1,$A80,ROW($A$96)-ROW($A80)),0))</f>
        <v>0</v>
      </c>
      <c r="J80" s="102" t="s">
        <v>103</v>
      </c>
      <c r="K80" s="138" t="str">
        <f ca="1">IF($A80=0,"-",CONCATENATE(C80&amp;".",IF(AND($A$5&gt;=2,$A80&gt;=2),D80&amp;".",""),IF(AND($A$5&gt;=3,$A80&gt;=3),E80&amp;".",""),IF(AND($A$5&gt;=4,$A80&gt;=4),F80&amp;".",""),IF($A80="S",G80&amp;".","")))</f>
        <v>2.1.4.</v>
      </c>
      <c r="L80" s="177" t="s">
        <v>230</v>
      </c>
      <c r="M80" s="177" t="s">
        <v>326</v>
      </c>
      <c r="N80" s="199" t="str">
        <f ca="1">IF($A80="S",Referencia.Descricao,"(digite a descrição aqui)")</f>
        <v>TRANSPORTE COM CAMINHÃO BASCULANTE DE 14 M³, EM VIA URBANA PAVIMENTADA, DMT ATÉ 30 KM (UNIDADE: M3XKM). AF_07/2020</v>
      </c>
      <c r="O80" s="198" t="str">
        <f ca="1">Referencia.Unidade</f>
        <v>M3XKM</v>
      </c>
      <c r="P80" s="193">
        <f ca="1">OFFSET(PLQ!$E$12,ROW($P80)-ROW(P$12),0)</f>
        <v>1099.3699999999999</v>
      </c>
      <c r="Q80" s="197">
        <f t="shared" ca="1" si="84"/>
        <v>2.31</v>
      </c>
      <c r="R80" s="200" t="s">
        <v>7</v>
      </c>
      <c r="S80" s="103">
        <f ca="1">IF($A80="S",IF($Q$10="Preço Unitário (R$)",PO.CustoUnitario,ROUND(PO.CustoUnitario*(1+$Z80),15-13*$X$6)),0)</f>
        <v>2.8</v>
      </c>
      <c r="T80" s="83">
        <f ca="1">IF($A80="S",VTOTAL1,IF($A80=0,0,ROUND(SomaAgrup,15-13*$X$7)))</f>
        <v>3078.24</v>
      </c>
      <c r="U80" s="9" t="str">
        <f ca="1">IF($J80="","",IF($N80="","DESCRIÇÃO",IF(AND($J80="Serviço",$O80=""),"UNIDADE",IF($T80&lt;=0,"SEM VALOR",IF(AND($Y80&lt;&gt;"",$Q80&gt;$Y80),"ACIMA REF.","")))))</f>
        <v/>
      </c>
      <c r="V80" s="1" t="str">
        <f ca="1">IF(OR($A80=0,$A80="S",$A80&gt;CFF!$A$9),"",MAX(V$12:OFFSET(V80,-1,0))+1)</f>
        <v/>
      </c>
      <c r="W80" s="4" t="str">
        <f>IF(AND($J80="Serviço",$M80&lt;&gt;""),IF($L80="",$M80,CONCATENATE($L80,"-",$M80)))</f>
        <v>SINAPI-95876</v>
      </c>
      <c r="X80" s="1">
        <f ca="1">IF(AND(Fonte&lt;&gt;"",Código&lt;&gt;""),MATCH(Fonte&amp;" "&amp;IF(Fonte="sinapi",SUBSTITUTE(SUBSTITUTE(Código,"/00","/"),"/0","/"),Código),INDIRECT("'[Referência "&amp;_xlnm.Database&amp;".xls]Banco'!$a:$a"),0),"X")</f>
        <v>15389</v>
      </c>
      <c r="Y80" s="103">
        <f ca="1">IF(Import.Desoneracao="sim",Referencia.Desonerado,Referencia.NaoDesonerado)</f>
        <v>2.31</v>
      </c>
      <c r="Z80" s="113">
        <f ca="1">ROUND(IF(ISNUMBER(R80),R80,IF(LEFT(R80,3)="BDI",HLOOKUP(R80,DADOS!$T$37:$X$38,2,FALSE),0)),15-11*$X$5)</f>
        <v>0.2109</v>
      </c>
      <c r="AA80" s="1"/>
    </row>
    <row r="81" spans="1:27" ht="25.5" x14ac:dyDescent="0.2">
      <c r="A81" t="str">
        <f t="shared" si="75"/>
        <v>S</v>
      </c>
      <c r="B81">
        <f t="shared" si="76"/>
        <v>0</v>
      </c>
      <c r="C81">
        <f t="shared" ca="1" si="77"/>
        <v>2</v>
      </c>
      <c r="D81">
        <f t="shared" ca="1" si="78"/>
        <v>1</v>
      </c>
      <c r="E81">
        <f t="shared" ca="1" si="79"/>
        <v>0</v>
      </c>
      <c r="F81">
        <f t="shared" ca="1" si="80"/>
        <v>0</v>
      </c>
      <c r="G81">
        <f t="shared" ca="1" si="81"/>
        <v>5</v>
      </c>
      <c r="H81">
        <f t="shared" ca="1" si="44"/>
        <v>0</v>
      </c>
      <c r="I81">
        <f t="shared" ca="1" si="45"/>
        <v>0</v>
      </c>
      <c r="J81" s="102" t="s">
        <v>103</v>
      </c>
      <c r="K81" s="138" t="str">
        <f t="shared" ca="1" si="82"/>
        <v>2.1.5.</v>
      </c>
      <c r="L81" s="177" t="s">
        <v>230</v>
      </c>
      <c r="M81" s="177" t="s">
        <v>320</v>
      </c>
      <c r="N81" s="199" t="str">
        <f ca="1">IF($A81="S",Referencia.Descricao,"(digite a descrição aqui)")</f>
        <v>EXECUÇÃO DE PAVIMENTO EM PISO INTERTRAVADO, COM BLOCO 16 FACES DE 22 X 11 CM, ESPESSURA 6 CM. AF_10/2022</v>
      </c>
      <c r="O81" s="198" t="str">
        <f ca="1">Referencia.Unidade</f>
        <v>M2</v>
      </c>
      <c r="P81" s="193">
        <f ca="1">OFFSET(PLQ!$E$12,ROW($P81)-ROW(P$12),0)</f>
        <v>555.37</v>
      </c>
      <c r="Q81" s="197">
        <f t="shared" ref="Q81:Q95" ca="1" si="86">Y81</f>
        <v>70.3</v>
      </c>
      <c r="R81" s="200" t="s">
        <v>7</v>
      </c>
      <c r="S81" s="103">
        <f t="shared" ca="1" si="48"/>
        <v>85.13</v>
      </c>
      <c r="T81" s="83">
        <f t="shared" ca="1" si="49"/>
        <v>47278.65</v>
      </c>
      <c r="U81" s="9" t="str">
        <f t="shared" ref="U81:U95" ca="1" si="87">IF($J81="","",IF($N81="","DESCRIÇÃO",IF(AND($J81="Serviço",$O81=""),"UNIDADE",IF($T81&lt;=0,"SEM VALOR",IF(AND($Y81&lt;&gt;"",$Q81&gt;$Y81),"ACIMA REF.","")))))</f>
        <v/>
      </c>
      <c r="V81" s="1" t="str">
        <f ca="1">IF(OR($A81=0,$A81="S",$A81&gt;CFF!$A$9),"",MAX(V$12:OFFSET(V81,-1,0))+1)</f>
        <v/>
      </c>
      <c r="W81" s="4" t="str">
        <f t="shared" si="83"/>
        <v>SINAPI-92403</v>
      </c>
      <c r="X81" s="1">
        <f t="shared" ca="1" si="50"/>
        <v>13714</v>
      </c>
      <c r="Y81" s="103">
        <f ca="1">IF(Import.Desoneracao="sim",Referencia.Desonerado,Referencia.NaoDesonerado)</f>
        <v>70.3</v>
      </c>
      <c r="Z81" s="113">
        <f ca="1">ROUND(IF(ISNUMBER(R81),R81,IF(LEFT(R81,3)="BDI",HLOOKUP(R81,DADOS!$T$37:$X$38,2,FALSE),0)),15-11*$X$5)</f>
        <v>0.2109</v>
      </c>
      <c r="AA81" s="1"/>
    </row>
    <row r="82" spans="1:27" ht="25.5" x14ac:dyDescent="0.2">
      <c r="A82" t="str">
        <f t="shared" si="75"/>
        <v>S</v>
      </c>
      <c r="B82">
        <f t="shared" si="76"/>
        <v>0</v>
      </c>
      <c r="C82">
        <f t="shared" ca="1" si="77"/>
        <v>2</v>
      </c>
      <c r="D82">
        <f t="shared" ca="1" si="78"/>
        <v>1</v>
      </c>
      <c r="E82">
        <f t="shared" ca="1" si="79"/>
        <v>0</v>
      </c>
      <c r="F82">
        <f t="shared" ca="1" si="80"/>
        <v>0</v>
      </c>
      <c r="G82">
        <f t="shared" ca="1" si="81"/>
        <v>6</v>
      </c>
      <c r="H82">
        <f t="shared" ref="H82:H95" ca="1" si="88">IF(OR($A82="S",$A82=0),0,MATCH(0,OFFSET($B82,1,$A82,ROW($A$96)-ROW($A82)),0))</f>
        <v>0</v>
      </c>
      <c r="I82">
        <f t="shared" ref="I82:I95" ca="1" si="89">IF(OR($A82="S",$A82=0),0,MATCH(OFFSET($B82,0,$A82)+1,OFFSET($B82,1,$A82,ROW($A$96)-ROW($A82)),0))</f>
        <v>0</v>
      </c>
      <c r="J82" s="102" t="s">
        <v>103</v>
      </c>
      <c r="K82" s="138" t="str">
        <f t="shared" ca="1" si="82"/>
        <v>2.1.6.</v>
      </c>
      <c r="L82" s="177" t="s">
        <v>230</v>
      </c>
      <c r="M82" s="177" t="s">
        <v>257</v>
      </c>
      <c r="N82" s="199" t="str">
        <f ca="1">IF($A82="S",Referencia.Descricao,"(digite a descrição aqui)")</f>
        <v>GUIA (MEIO-FIO) CONCRETO, MOLDADA IN LOCO EM TRECHO RETO COM EXTRUSORA, 13 CM BASE X 22 CM ALTURA. AF_01/2024</v>
      </c>
      <c r="O82" s="198" t="str">
        <f ca="1">Referencia.Unidade</f>
        <v>M</v>
      </c>
      <c r="P82" s="193">
        <f ca="1">OFFSET(PLQ!$E$12,ROW($P82)-ROW(P$12),0)</f>
        <v>131.94</v>
      </c>
      <c r="Q82" s="197">
        <f t="shared" ca="1" si="86"/>
        <v>37.17</v>
      </c>
      <c r="R82" s="200" t="s">
        <v>7</v>
      </c>
      <c r="S82" s="103">
        <f t="shared" ca="1" si="48"/>
        <v>45.01</v>
      </c>
      <c r="T82" s="83">
        <f t="shared" ca="1" si="49"/>
        <v>5938.62</v>
      </c>
      <c r="U82" s="9" t="str">
        <f t="shared" ca="1" si="87"/>
        <v/>
      </c>
      <c r="V82" s="1" t="str">
        <f ca="1">IF(OR($A82=0,$A82="S",$A82&gt;CFF!$A$9),"",MAX(V$12:OFFSET(V82,-1,0))+1)</f>
        <v/>
      </c>
      <c r="W82" s="4" t="str">
        <f t="shared" si="83"/>
        <v>SINAPI-94263</v>
      </c>
      <c r="X82" s="1">
        <f t="shared" ca="1" si="50"/>
        <v>10289</v>
      </c>
      <c r="Y82" s="103">
        <f ca="1">IF(Import.Desoneracao="sim",Referencia.Desonerado,Referencia.NaoDesonerado)</f>
        <v>37.17</v>
      </c>
      <c r="Z82" s="113">
        <f ca="1">ROUND(IF(ISNUMBER(R82),R82,IF(LEFT(R82,3)="BDI",HLOOKUP(R82,DADOS!$T$37:$X$38,2,FALSE),0)),15-11*$X$5)</f>
        <v>0.2109</v>
      </c>
      <c r="AA82" s="1"/>
    </row>
    <row r="83" spans="1:27" x14ac:dyDescent="0.2">
      <c r="A83" t="str">
        <f t="shared" si="75"/>
        <v>S</v>
      </c>
      <c r="B83">
        <f t="shared" si="76"/>
        <v>0</v>
      </c>
      <c r="C83">
        <f t="shared" ca="1" si="77"/>
        <v>2</v>
      </c>
      <c r="D83">
        <f t="shared" ca="1" si="78"/>
        <v>1</v>
      </c>
      <c r="E83">
        <f t="shared" ca="1" si="79"/>
        <v>0</v>
      </c>
      <c r="F83">
        <f t="shared" ca="1" si="80"/>
        <v>0</v>
      </c>
      <c r="G83">
        <f t="shared" ca="1" si="81"/>
        <v>7</v>
      </c>
      <c r="H83">
        <f t="shared" ca="1" si="88"/>
        <v>0</v>
      </c>
      <c r="I83">
        <f t="shared" ca="1" si="89"/>
        <v>0</v>
      </c>
      <c r="J83" s="102" t="s">
        <v>103</v>
      </c>
      <c r="K83" s="138" t="str">
        <f t="shared" ca="1" si="82"/>
        <v>2.1.7.</v>
      </c>
      <c r="L83" s="177" t="s">
        <v>230</v>
      </c>
      <c r="M83" s="177" t="s">
        <v>258</v>
      </c>
      <c r="N83" s="199" t="str">
        <f ca="1">IF($A83="S",Referencia.Descricao,"(digite a descrição aqui)")</f>
        <v>PINTURA DE MEIO-FIO COM TINTA BRANCA A BASE DE CAL (CAIAÇÃO). AF_05/2021</v>
      </c>
      <c r="O83" s="198" t="str">
        <f ca="1">Referencia.Unidade</f>
        <v>M</v>
      </c>
      <c r="P83" s="193">
        <f ca="1">OFFSET(PLQ!$E$12,ROW($P83)-ROW(P$12),0)</f>
        <v>131.94</v>
      </c>
      <c r="Q83" s="197">
        <f t="shared" ca="1" si="86"/>
        <v>1.7</v>
      </c>
      <c r="R83" s="200" t="s">
        <v>7</v>
      </c>
      <c r="S83" s="103">
        <f t="shared" ca="1" si="48"/>
        <v>2.06</v>
      </c>
      <c r="T83" s="83">
        <f t="shared" ca="1" si="49"/>
        <v>271.8</v>
      </c>
      <c r="U83" s="9" t="str">
        <f t="shared" ca="1" si="87"/>
        <v/>
      </c>
      <c r="V83" s="1" t="str">
        <f ca="1">IF(OR($A83=0,$A83="S",$A83&gt;CFF!$A$9),"",MAX(V$12:OFFSET(V83,-1,0))+1)</f>
        <v/>
      </c>
      <c r="W83" s="4" t="str">
        <f t="shared" si="83"/>
        <v>SINAPI-102498</v>
      </c>
      <c r="X83" s="1">
        <f t="shared" ca="1" si="50"/>
        <v>14007</v>
      </c>
      <c r="Y83" s="103">
        <f ca="1">IF(Import.Desoneracao="sim",Referencia.Desonerado,Referencia.NaoDesonerado)</f>
        <v>1.7</v>
      </c>
      <c r="Z83" s="113">
        <f ca="1">ROUND(IF(ISNUMBER(R83),R83,IF(LEFT(R83,3)="BDI",HLOOKUP(R83,DADOS!$T$37:$X$38,2,FALSE),0)),15-11*$X$5)</f>
        <v>0.2109</v>
      </c>
      <c r="AA83" s="1"/>
    </row>
    <row r="84" spans="1:27" ht="25.5" x14ac:dyDescent="0.2">
      <c r="A84" t="str">
        <f t="shared" si="75"/>
        <v>S</v>
      </c>
      <c r="B84">
        <f t="shared" si="76"/>
        <v>0</v>
      </c>
      <c r="C84">
        <f t="shared" ca="1" si="77"/>
        <v>2</v>
      </c>
      <c r="D84">
        <f t="shared" ca="1" si="78"/>
        <v>1</v>
      </c>
      <c r="E84">
        <f t="shared" ca="1" si="79"/>
        <v>0</v>
      </c>
      <c r="F84">
        <f t="shared" ca="1" si="80"/>
        <v>0</v>
      </c>
      <c r="G84">
        <f t="shared" ca="1" si="81"/>
        <v>8</v>
      </c>
      <c r="H84">
        <f t="shared" ca="1" si="88"/>
        <v>0</v>
      </c>
      <c r="I84">
        <f t="shared" ca="1" si="89"/>
        <v>0</v>
      </c>
      <c r="J84" s="102" t="s">
        <v>103</v>
      </c>
      <c r="K84" s="138" t="str">
        <f t="shared" ca="1" si="82"/>
        <v>2.1.8.</v>
      </c>
      <c r="L84" s="177" t="s">
        <v>230</v>
      </c>
      <c r="M84" s="177" t="s">
        <v>259</v>
      </c>
      <c r="N84" s="199" t="str">
        <f ca="1">IF($A84="S",Referencia.Descricao,"(digite a descrição aqui)")</f>
        <v>PINTURA DE DEMARCAÇÃO DE VAGA COM TINTA ACRÍLICA, E = 10 CM, APLICAÇÃO MANUAL. AF_05/2021</v>
      </c>
      <c r="O84" s="198" t="str">
        <f ca="1">Referencia.Unidade</f>
        <v>M</v>
      </c>
      <c r="P84" s="193">
        <f ca="1">OFFSET(PLQ!$E$12,ROW($P84)-ROW(P$12),0)</f>
        <v>107.47</v>
      </c>
      <c r="Q84" s="197">
        <f t="shared" ca="1" si="86"/>
        <v>4.93</v>
      </c>
      <c r="R84" s="200" t="s">
        <v>7</v>
      </c>
      <c r="S84" s="103">
        <f t="shared" ca="1" si="48"/>
        <v>5.97</v>
      </c>
      <c r="T84" s="83">
        <f t="shared" ca="1" si="49"/>
        <v>641.6</v>
      </c>
      <c r="U84" s="9" t="str">
        <f t="shared" ca="1" si="87"/>
        <v/>
      </c>
      <c r="V84" s="1" t="str">
        <f ca="1">IF(OR($A84=0,$A84="S",$A84&gt;CFF!$A$9),"",MAX(V$12:OFFSET(V84,-1,0))+1)</f>
        <v/>
      </c>
      <c r="W84" s="4" t="str">
        <f t="shared" si="83"/>
        <v>SINAPI-102500</v>
      </c>
      <c r="X84" s="1">
        <f t="shared" ca="1" si="50"/>
        <v>13997</v>
      </c>
      <c r="Y84" s="103">
        <f ca="1">IF(Import.Desoneracao="sim",Referencia.Desonerado,Referencia.NaoDesonerado)</f>
        <v>4.93</v>
      </c>
      <c r="Z84" s="113">
        <f ca="1">ROUND(IF(ISNUMBER(R84),R84,IF(LEFT(R84,3)="BDI",HLOOKUP(R84,DADOS!$T$37:$X$38,2,FALSE),0)),15-11*$X$5)</f>
        <v>0.2109</v>
      </c>
      <c r="AA84" s="1"/>
    </row>
    <row r="85" spans="1:27" ht="38.25" x14ac:dyDescent="0.2">
      <c r="A85" t="str">
        <f t="shared" si="75"/>
        <v>S</v>
      </c>
      <c r="B85">
        <f t="shared" si="76"/>
        <v>0</v>
      </c>
      <c r="C85">
        <f t="shared" ca="1" si="77"/>
        <v>2</v>
      </c>
      <c r="D85">
        <f t="shared" ca="1" si="78"/>
        <v>1</v>
      </c>
      <c r="E85">
        <f t="shared" ca="1" si="79"/>
        <v>0</v>
      </c>
      <c r="F85">
        <f t="shared" ca="1" si="80"/>
        <v>0</v>
      </c>
      <c r="G85">
        <f t="shared" ca="1" si="81"/>
        <v>9</v>
      </c>
      <c r="H85">
        <f t="shared" ca="1" si="88"/>
        <v>0</v>
      </c>
      <c r="I85">
        <f t="shared" ca="1" si="89"/>
        <v>0</v>
      </c>
      <c r="J85" s="102" t="s">
        <v>103</v>
      </c>
      <c r="K85" s="138" t="str">
        <f t="shared" ca="1" si="82"/>
        <v>2.1.9.</v>
      </c>
      <c r="L85" s="177" t="s">
        <v>230</v>
      </c>
      <c r="M85" s="177" t="s">
        <v>319</v>
      </c>
      <c r="N85" s="199" t="str">
        <f ca="1">IF($A85="S",Referencia.Descricao,"(digite a descrição aqui)")</f>
        <v>EXECUÇÃO DE PASSEIO (CALÇADA) OU PISO DE CONCRETO COM CONCRETO MOLDADO IN LOCO, USINADO, ACABAMENTO CONVENCIONAL, ESPESSURA 6 CM, ARMADO. AF_08/2022</v>
      </c>
      <c r="O85" s="198" t="str">
        <f ca="1">Referencia.Unidade</f>
        <v>M2</v>
      </c>
      <c r="P85" s="193">
        <f ca="1">OFFSET(PLQ!$E$12,ROW($P85)-ROW(P$12),0)</f>
        <v>173.49</v>
      </c>
      <c r="Q85" s="197">
        <f t="shared" ca="1" si="86"/>
        <v>79.459999999999994</v>
      </c>
      <c r="R85" s="200" t="s">
        <v>7</v>
      </c>
      <c r="S85" s="103">
        <f t="shared" ca="1" si="48"/>
        <v>96.22</v>
      </c>
      <c r="T85" s="83">
        <f t="shared" ca="1" si="49"/>
        <v>16693.21</v>
      </c>
      <c r="U85" s="9" t="str">
        <f t="shared" ca="1" si="87"/>
        <v/>
      </c>
      <c r="V85" s="1" t="str">
        <f ca="1">IF(OR($A85=0,$A85="S",$A85&gt;CFF!$A$9),"",MAX(V$12:OFFSET(V85,-1,0))+1)</f>
        <v/>
      </c>
      <c r="W85" s="4" t="str">
        <f t="shared" si="83"/>
        <v>SINAPI-94993</v>
      </c>
      <c r="X85" s="1">
        <f t="shared" ca="1" si="50"/>
        <v>13694</v>
      </c>
      <c r="Y85" s="103">
        <f ca="1">IF(Import.Desoneracao="sim",Referencia.Desonerado,Referencia.NaoDesonerado)</f>
        <v>79.459999999999994</v>
      </c>
      <c r="Z85" s="113">
        <f ca="1">ROUND(IF(ISNUMBER(R85),R85,IF(LEFT(R85,3)="BDI",HLOOKUP(R85,DADOS!$T$37:$X$38,2,FALSE),0)),15-11*$X$5)</f>
        <v>0.2109</v>
      </c>
      <c r="AA85" s="1"/>
    </row>
    <row r="86" spans="1:27" ht="25.5" x14ac:dyDescent="0.2">
      <c r="A86" t="str">
        <f>CHOOSE(1+LOG(1+2*(J86="Meta")+4*(J86="Nível 2")+8*(J86="Nível 3")+16*(J86="Nível 4")+32*(J86="Serviço"),2),0,1,2,3,4,"S")</f>
        <v>S</v>
      </c>
      <c r="B86">
        <f>IF(OR(A86="S",A86=0),0,IF(ISERROR(I86),H86,SMALL(H86:I86,1)))</f>
        <v>0</v>
      </c>
      <c r="C86">
        <f ca="1">IF($A86=1,OFFSET(C86,-1,0)+1,OFFSET(C86,-1,0))</f>
        <v>2</v>
      </c>
      <c r="D86">
        <f ca="1">IF($A86=1,0,IF($A86=2,OFFSET(D86,-1,0)+1,OFFSET(D86,-1,0)))</f>
        <v>1</v>
      </c>
      <c r="E86">
        <f ca="1">IF(AND($A86&lt;=2,$A86&lt;&gt;0),0,IF($A86=3,OFFSET(E86,-1,0)+1,OFFSET(E86,-1,0)))</f>
        <v>0</v>
      </c>
      <c r="F86">
        <f ca="1">IF(AND($A86&lt;=3,$A86&lt;&gt;0),0,IF($A86=4,OFFSET(F86,-1,0)+1,OFFSET(F86,-1,0)))</f>
        <v>0</v>
      </c>
      <c r="G86">
        <f ca="1">IF(AND($A86&lt;=4,$A86&lt;&gt;0),0,IF($A86="S",OFFSET(G86,-1,0)+1,OFFSET(G86,-1,0)))</f>
        <v>10</v>
      </c>
      <c r="H86">
        <f t="shared" ca="1" si="88"/>
        <v>0</v>
      </c>
      <c r="I86">
        <f t="shared" ca="1" si="89"/>
        <v>0</v>
      </c>
      <c r="J86" s="102" t="s">
        <v>103</v>
      </c>
      <c r="K86" s="138" t="str">
        <f ca="1">IF($A86=0,"-",CONCATENATE(C86&amp;".",IF(AND($A$5&gt;=2,$A86&gt;=2),D86&amp;".",""),IF(AND($A$5&gt;=3,$A86&gt;=3),E86&amp;".",""),IF(AND($A$5&gt;=4,$A86&gt;=4),F86&amp;".",""),IF($A86="S",G86&amp;".","")))</f>
        <v>2.1.10.</v>
      </c>
      <c r="L86" s="177" t="s">
        <v>237</v>
      </c>
      <c r="M86" s="177" t="s">
        <v>274</v>
      </c>
      <c r="N86" s="199" t="str">
        <f ca="1">IF($A86="S",Referencia.Descricao,"(digite a descrição aqui)")</f>
        <v>PISO PODOTÁTIL DE ALERTA OU DIRECIONAL, DE CONCRETO, ASSENTADO SOBRE ARGAMASSA, AF_05/2020</v>
      </c>
      <c r="O86" s="198" t="str">
        <f ca="1">Referencia.Unidade</f>
        <v>M</v>
      </c>
      <c r="P86" s="193">
        <f ca="1">OFFSET(PLQ!$E$12,ROW($P86)-ROW(P$12),0)</f>
        <v>65</v>
      </c>
      <c r="Q86" s="197">
        <f t="shared" ca="1" si="86"/>
        <v>56.559999999999988</v>
      </c>
      <c r="R86" s="200" t="s">
        <v>7</v>
      </c>
      <c r="S86" s="103">
        <f ca="1">IF($A86="S",IF($Q$10="Preço Unitário (R$)",PO.CustoUnitario,ROUND(PO.CustoUnitario*(1+$Z86),15-13*$X$6)),0)</f>
        <v>68.489999999999995</v>
      </c>
      <c r="T86" s="83">
        <f ca="1">IF($A86="S",VTOTAL1,IF($A86=0,0,ROUND(SomaAgrup,15-13*$X$7)))</f>
        <v>4451.8500000000004</v>
      </c>
      <c r="U86" s="9" t="str">
        <f ca="1">IF($J86="","",IF($N86="","DESCRIÇÃO",IF(AND($J86="Serviço",$O86=""),"UNIDADE",IF($T86&lt;=0,"SEM VALOR",IF(AND($Y86&lt;&gt;"",$Q86&gt;$Y86),"ACIMA REF.","")))))</f>
        <v/>
      </c>
      <c r="V86" s="1" t="str">
        <f ca="1">IF(OR($A86=0,$A86="S",$A86&gt;CFF!$A$9),"",MAX(V$12:OFFSET(V86,-1,0))+1)</f>
        <v/>
      </c>
      <c r="W86" s="4" t="str">
        <f>IF(AND($J86="Serviço",$M86&lt;&gt;""),IF($L86="",$M86,CONCATENATE($L86,"-",$M86)))</f>
        <v>COMPOSIÇÃO-12</v>
      </c>
      <c r="X86" s="1">
        <f ca="1">IF(AND(Fonte&lt;&gt;"",Código&lt;&gt;""),MATCH(Fonte&amp;" "&amp;IF(Fonte="sinapi",SUBSTITUTE(SUBSTITUTE(Código,"/00","/"),"/0","/"),Código),INDIRECT("'[Referência "&amp;_xlnm.Database&amp;".xls]Banco'!$a:$a"),0),"X")</f>
        <v>18</v>
      </c>
      <c r="Y86" s="103">
        <f ca="1">IF(Import.Desoneracao="sim",Referencia.Desonerado,Referencia.NaoDesonerado)</f>
        <v>56.559999999999988</v>
      </c>
      <c r="Z86" s="113">
        <f ca="1">ROUND(IF(ISNUMBER(R86),R86,IF(LEFT(R86,3)="BDI",HLOOKUP(R86,DADOS!$T$37:$X$38,2,FALSE),0)),15-11*$X$5)</f>
        <v>0.2109</v>
      </c>
      <c r="AA86" s="1"/>
    </row>
    <row r="87" spans="1:27" ht="25.5" x14ac:dyDescent="0.2">
      <c r="A87" t="str">
        <f>CHOOSE(1+LOG(1+2*(J87="Meta")+4*(J87="Nível 2")+8*(J87="Nível 3")+16*(J87="Nível 4")+32*(J87="Serviço"),2),0,1,2,3,4,"S")</f>
        <v>S</v>
      </c>
      <c r="B87">
        <f>IF(OR(A87="S",A87=0),0,IF(ISERROR(I87),H87,SMALL(H87:I87,1)))</f>
        <v>0</v>
      </c>
      <c r="C87">
        <f ca="1">IF($A87=1,OFFSET(C87,-1,0)+1,OFFSET(C87,-1,0))</f>
        <v>2</v>
      </c>
      <c r="D87">
        <f ca="1">IF($A87=1,0,IF($A87=2,OFFSET(D87,-1,0)+1,OFFSET(D87,-1,0)))</f>
        <v>1</v>
      </c>
      <c r="E87">
        <f ca="1">IF(AND($A87&lt;=2,$A87&lt;&gt;0),0,IF($A87=3,OFFSET(E87,-1,0)+1,OFFSET(E87,-1,0)))</f>
        <v>0</v>
      </c>
      <c r="F87">
        <f ca="1">IF(AND($A87&lt;=3,$A87&lt;&gt;0),0,IF($A87=4,OFFSET(F87,-1,0)+1,OFFSET(F87,-1,0)))</f>
        <v>0</v>
      </c>
      <c r="G87">
        <f ca="1">IF(AND($A87&lt;=4,$A87&lt;&gt;0),0,IF($A87="S",OFFSET(G87,-1,0)+1,OFFSET(G87,-1,0)))</f>
        <v>11</v>
      </c>
      <c r="H87">
        <f t="shared" ca="1" si="88"/>
        <v>0</v>
      </c>
      <c r="I87">
        <f t="shared" ca="1" si="89"/>
        <v>0</v>
      </c>
      <c r="J87" s="102" t="s">
        <v>103</v>
      </c>
      <c r="K87" s="138" t="str">
        <f ca="1">IF($A87=0,"-",CONCATENATE(C87&amp;".",IF(AND($A$5&gt;=2,$A87&gt;=2),D87&amp;".",""),IF(AND($A$5&gt;=3,$A87&gt;=3),E87&amp;".",""),IF(AND($A$5&gt;=4,$A87&gt;=4),F87&amp;".",""),IF($A87="S",G87&amp;".","")))</f>
        <v>2.1.11.</v>
      </c>
      <c r="L87" s="177" t="s">
        <v>230</v>
      </c>
      <c r="M87" s="177" t="s">
        <v>295</v>
      </c>
      <c r="N87" s="199" t="str">
        <f ca="1">IF($A87="S",Referencia.Descricao,"(digite a descrição aqui)")</f>
        <v>LASTRO COM MATERIAL GRANULAR, APLICADO EM PISOS OU LAJES SOBRE SOLO, ESPESSURA DE *5 CM*. AF_01/2024</v>
      </c>
      <c r="O87" s="198" t="str">
        <f ca="1">Referencia.Unidade</f>
        <v>M3</v>
      </c>
      <c r="P87" s="193">
        <f ca="1">OFFSET(PLQ!$E$12,ROW($P87)-ROW(P$12),0)</f>
        <v>8.68</v>
      </c>
      <c r="Q87" s="197">
        <f t="shared" ca="1" si="86"/>
        <v>204.83</v>
      </c>
      <c r="R87" s="200" t="s">
        <v>7</v>
      </c>
      <c r="S87" s="103">
        <f ca="1">IF($A87="S",IF($Q$10="Preço Unitário (R$)",PO.CustoUnitario,ROUND(PO.CustoUnitario*(1+$Z87),15-13*$X$6)),0)</f>
        <v>248.03</v>
      </c>
      <c r="T87" s="83">
        <f ca="1">IF($A87="S",VTOTAL1,IF($A87=0,0,ROUND(SomaAgrup,15-13*$X$7)))</f>
        <v>2152.9</v>
      </c>
      <c r="U87" s="9" t="str">
        <f ca="1">IF($J87="","",IF($N87="","DESCRIÇÃO",IF(AND($J87="Serviço",$O87=""),"UNIDADE",IF($T87&lt;=0,"SEM VALOR",IF(AND($Y87&lt;&gt;"",$Q87&gt;$Y87),"ACIMA REF.","")))))</f>
        <v/>
      </c>
      <c r="V87" s="1" t="str">
        <f ca="1">IF(OR($A87=0,$A87="S",$A87&gt;CFF!$A$9),"",MAX(V$12:OFFSET(V87,-1,0))+1)</f>
        <v/>
      </c>
      <c r="W87" s="4" t="str">
        <f>IF(AND($J87="Serviço",$M87&lt;&gt;""),IF($L87="",$M87,CONCATENATE($L87,"-",$M87)))</f>
        <v>SINAPI-96622</v>
      </c>
      <c r="X87" s="1">
        <f ca="1">IF(AND(Fonte&lt;&gt;"",Código&lt;&gt;""),MATCH(Fonte&amp;" "&amp;IF(Fonte="sinapi",SUBSTITUTE(SUBSTITUTE(Código,"/00","/"),"/0","/"),Código),INDIRECT("'[Referência "&amp;_xlnm.Database&amp;".xls]Banco'!$a:$a"),0),"X")</f>
        <v>12725</v>
      </c>
      <c r="Y87" s="103">
        <f ca="1">IF(Import.Desoneracao="sim",Referencia.Desonerado,Referencia.NaoDesonerado)</f>
        <v>204.83</v>
      </c>
      <c r="Z87" s="113">
        <f ca="1">ROUND(IF(ISNUMBER(R87),R87,IF(LEFT(R87,3)="BDI",HLOOKUP(R87,DADOS!$T$37:$X$38,2,FALSE),0)),15-11*$X$5)</f>
        <v>0.2109</v>
      </c>
      <c r="AA87" s="1"/>
    </row>
    <row r="88" spans="1:27" x14ac:dyDescent="0.2">
      <c r="A88">
        <f t="shared" si="75"/>
        <v>2</v>
      </c>
      <c r="B88">
        <f t="shared" ca="1" si="76"/>
        <v>8</v>
      </c>
      <c r="C88">
        <f t="shared" ca="1" si="77"/>
        <v>2</v>
      </c>
      <c r="D88">
        <f t="shared" ca="1" si="78"/>
        <v>2</v>
      </c>
      <c r="E88">
        <f t="shared" ca="1" si="79"/>
        <v>0</v>
      </c>
      <c r="F88">
        <f t="shared" ca="1" si="80"/>
        <v>0</v>
      </c>
      <c r="G88">
        <f t="shared" ca="1" si="81"/>
        <v>0</v>
      </c>
      <c r="H88">
        <f t="shared" ca="1" si="88"/>
        <v>8</v>
      </c>
      <c r="I88" t="e">
        <f t="shared" ca="1" si="89"/>
        <v>#N/A</v>
      </c>
      <c r="J88" s="102" t="s">
        <v>100</v>
      </c>
      <c r="K88" s="138" t="str">
        <f t="shared" ca="1" si="82"/>
        <v>2.2.</v>
      </c>
      <c r="L88" s="177"/>
      <c r="M88" s="177"/>
      <c r="N88" s="199" t="s">
        <v>256</v>
      </c>
      <c r="O88" s="198" t="str">
        <f ca="1">Referencia.Unidade</f>
        <v/>
      </c>
      <c r="P88" s="193">
        <f ca="1">OFFSET(PLQ!$E$12,ROW($P88)-ROW(P$12),0)</f>
        <v>0</v>
      </c>
      <c r="Q88" s="197">
        <f t="shared" ca="1" si="86"/>
        <v>0</v>
      </c>
      <c r="R88" s="200" t="s">
        <v>7</v>
      </c>
      <c r="S88" s="103">
        <f t="shared" si="48"/>
        <v>0</v>
      </c>
      <c r="T88" s="83">
        <f t="shared" ca="1" si="49"/>
        <v>19194.68</v>
      </c>
      <c r="U88" s="9" t="str">
        <f t="shared" ca="1" si="87"/>
        <v/>
      </c>
      <c r="V88" s="1">
        <f ca="1">IF(OR($A88=0,$A88="S",$A88&gt;CFF!$A$9),"",MAX(V$12:OFFSET(V88,-1,0))+1)</f>
        <v>14</v>
      </c>
      <c r="W88" s="4" t="b">
        <f t="shared" si="83"/>
        <v>0</v>
      </c>
      <c r="X88" s="1" t="str">
        <f t="shared" ca="1" si="50"/>
        <v>X</v>
      </c>
      <c r="Y88" s="103">
        <f ca="1">IF(Import.Desoneracao="sim",Referencia.Desonerado,Referencia.NaoDesonerado)</f>
        <v>0</v>
      </c>
      <c r="Z88" s="113">
        <f ca="1">ROUND(IF(ISNUMBER(R88),R88,IF(LEFT(R88,3)="BDI",HLOOKUP(R88,DADOS!$T$37:$X$38,2,FALSE),0)),15-11*$X$5)</f>
        <v>0.2109</v>
      </c>
      <c r="AA88" s="1"/>
    </row>
    <row r="89" spans="1:27" x14ac:dyDescent="0.2">
      <c r="A89" t="str">
        <f t="shared" si="75"/>
        <v>S</v>
      </c>
      <c r="B89">
        <f t="shared" si="76"/>
        <v>0</v>
      </c>
      <c r="C89">
        <f t="shared" ca="1" si="77"/>
        <v>2</v>
      </c>
      <c r="D89">
        <f t="shared" ca="1" si="78"/>
        <v>2</v>
      </c>
      <c r="E89">
        <f t="shared" ca="1" si="79"/>
        <v>0</v>
      </c>
      <c r="F89">
        <f t="shared" ca="1" si="80"/>
        <v>0</v>
      </c>
      <c r="G89">
        <f t="shared" ca="1" si="81"/>
        <v>1</v>
      </c>
      <c r="H89">
        <f t="shared" ca="1" si="88"/>
        <v>0</v>
      </c>
      <c r="I89">
        <f t="shared" ca="1" si="89"/>
        <v>0</v>
      </c>
      <c r="J89" s="102" t="s">
        <v>103</v>
      </c>
      <c r="K89" s="138" t="str">
        <f t="shared" ca="1" si="82"/>
        <v>2.2.1.</v>
      </c>
      <c r="L89" s="177" t="s">
        <v>237</v>
      </c>
      <c r="M89" s="177" t="s">
        <v>287</v>
      </c>
      <c r="N89" s="199" t="str">
        <f ca="1">IF($A89="S",Referencia.Descricao,"(digite a descrição aqui)")</f>
        <v>CAIXA COLETORA TIPO 01 (0,8 X 0,8 X 1,50m), COM GRELHA DE FERRO</v>
      </c>
      <c r="O89" s="198" t="str">
        <f ca="1">Referencia.Unidade</f>
        <v>UNIDADE</v>
      </c>
      <c r="P89" s="193">
        <f ca="1">OFFSET(PLQ!$E$12,ROW($P89)-ROW(P$12),0)</f>
        <v>3</v>
      </c>
      <c r="Q89" s="197">
        <f t="shared" ca="1" si="86"/>
        <v>2146.4700000000003</v>
      </c>
      <c r="R89" s="200" t="s">
        <v>7</v>
      </c>
      <c r="S89" s="103">
        <f t="shared" ca="1" si="48"/>
        <v>2599.16</v>
      </c>
      <c r="T89" s="83">
        <f t="shared" ca="1" si="49"/>
        <v>7797.48</v>
      </c>
      <c r="U89" s="9" t="str">
        <f t="shared" ca="1" si="87"/>
        <v/>
      </c>
      <c r="V89" s="1" t="str">
        <f ca="1">IF(OR($A89=0,$A89="S",$A89&gt;CFF!$A$9),"",MAX(V$12:OFFSET(V89,-1,0))+1)</f>
        <v/>
      </c>
      <c r="W89" s="4" t="str">
        <f t="shared" si="83"/>
        <v>COMPOSIÇÃO-15</v>
      </c>
      <c r="X89" s="1">
        <f t="shared" ca="1" si="50"/>
        <v>19</v>
      </c>
      <c r="Y89" s="103">
        <f ca="1">IF(Import.Desoneracao="sim",Referencia.Desonerado,Referencia.NaoDesonerado)</f>
        <v>2146.4700000000003</v>
      </c>
      <c r="Z89" s="113">
        <f ca="1">ROUND(IF(ISNUMBER(R89),R89,IF(LEFT(R89,3)="BDI",HLOOKUP(R89,DADOS!$T$37:$X$38,2,FALSE),0)),15-11*$X$5)</f>
        <v>0.2109</v>
      </c>
      <c r="AA89" s="1"/>
    </row>
    <row r="90" spans="1:27" ht="38.25" x14ac:dyDescent="0.2">
      <c r="A90" t="str">
        <f>CHOOSE(1+LOG(1+2*(J90="Meta")+4*(J90="Nível 2")+8*(J90="Nível 3")+16*(J90="Nível 4")+32*(J90="Serviço"),2),0,1,2,3,4,"S")</f>
        <v>S</v>
      </c>
      <c r="B90">
        <f>IF(OR(A90="S",A90=0),0,IF(ISERROR(I90),H90,SMALL(H90:I90,1)))</f>
        <v>0</v>
      </c>
      <c r="C90">
        <f ca="1">IF($A90=1,OFFSET(C90,-1,0)+1,OFFSET(C90,-1,0))</f>
        <v>2</v>
      </c>
      <c r="D90">
        <f ca="1">IF($A90=1,0,IF($A90=2,OFFSET(D90,-1,0)+1,OFFSET(D90,-1,0)))</f>
        <v>2</v>
      </c>
      <c r="E90">
        <f ca="1">IF(AND($A90&lt;=2,$A90&lt;&gt;0),0,IF($A90=3,OFFSET(E90,-1,0)+1,OFFSET(E90,-1,0)))</f>
        <v>0</v>
      </c>
      <c r="F90">
        <f ca="1">IF(AND($A90&lt;=3,$A90&lt;&gt;0),0,IF($A90=4,OFFSET(F90,-1,0)+1,OFFSET(F90,-1,0)))</f>
        <v>0</v>
      </c>
      <c r="G90">
        <f ca="1">IF(AND($A90&lt;=4,$A90&lt;&gt;0),0,IF($A90="S",OFFSET(G90,-1,0)+1,OFFSET(G90,-1,0)))</f>
        <v>2</v>
      </c>
      <c r="H90">
        <f t="shared" ca="1" si="88"/>
        <v>0</v>
      </c>
      <c r="I90">
        <f t="shared" ca="1" si="89"/>
        <v>0</v>
      </c>
      <c r="J90" s="102" t="s">
        <v>103</v>
      </c>
      <c r="K90" s="138" t="str">
        <f ca="1">IF($A90=0,"-",CONCATENATE(C90&amp;".",IF(AND($A$5&gt;=2,$A90&gt;=2),D90&amp;".",""),IF(AND($A$5&gt;=3,$A90&gt;=3),E90&amp;".",""),IF(AND($A$5&gt;=4,$A90&gt;=4),F90&amp;".",""),IF($A90="S",G90&amp;".","")))</f>
        <v>2.2.2.</v>
      </c>
      <c r="L90" s="177" t="s">
        <v>230</v>
      </c>
      <c r="M90" s="177" t="s">
        <v>292</v>
      </c>
      <c r="N90" s="199" t="str">
        <f ca="1">IF($A90="S",Referencia.Descricao,"(digite a descrição aqui)")</f>
        <v>TUBO DE CONCRETO (SIMPLES) PARA REDES COLETORAS DE ÁGUAS PLUVIAIS, DIÂMETRO DE 400 MM, JUNTA RÍGIDA, INSTALADO EM LOCAL COM BAIXO NÍVEL DE INTERFERÊNCIAS - FORNECIMENTO E ASSENTAMENTO. AF_03/2024</v>
      </c>
      <c r="O90" s="198" t="str">
        <f ca="1">Referencia.Unidade</f>
        <v>M</v>
      </c>
      <c r="P90" s="193">
        <f ca="1">OFFSET(PLQ!$E$12,ROW($P90)-ROW(P$12),0)</f>
        <v>40</v>
      </c>
      <c r="Q90" s="197">
        <f t="shared" ca="1" si="86"/>
        <v>111.33</v>
      </c>
      <c r="R90" s="200" t="s">
        <v>7</v>
      </c>
      <c r="S90" s="103">
        <f ca="1">IF($A90="S",IF($Q$10="Preço Unitário (R$)",PO.CustoUnitario,ROUND(PO.CustoUnitario*(1+$Z90),15-13*$X$6)),0)</f>
        <v>134.81</v>
      </c>
      <c r="T90" s="83">
        <f ca="1">IF($A90="S",VTOTAL1,IF($A90=0,0,ROUND(SomaAgrup,15-13*$X$7)))</f>
        <v>5392.4</v>
      </c>
      <c r="U90" s="9" t="str">
        <f ca="1">IF($J90="","",IF($N90="","DESCRIÇÃO",IF(AND($J90="Serviço",$O90=""),"UNIDADE",IF($T90&lt;=0,"SEM VALOR",IF(AND($Y90&lt;&gt;"",$Q90&gt;$Y90),"ACIMA REF.","")))))</f>
        <v/>
      </c>
      <c r="V90" s="1" t="str">
        <f ca="1">IF(OR($A90=0,$A90="S",$A90&gt;CFF!$A$9),"",MAX(V$12:OFFSET(V90,-1,0))+1)</f>
        <v/>
      </c>
      <c r="W90" s="4" t="str">
        <f>IF(AND($J90="Serviço",$M90&lt;&gt;""),IF($L90="",$M90,CONCATENATE($L90,"-",$M90)))</f>
        <v>SINAPI-95568</v>
      </c>
      <c r="X90" s="1">
        <f ca="1">IF(AND(Fonte&lt;&gt;"",Código&lt;&gt;""),MATCH(Fonte&amp;" "&amp;IF(Fonte="sinapi",SUBSTITUTE(SUBSTITUTE(Código,"/00","/"),"/0","/"),Código),INDIRECT("'[Referência "&amp;_xlnm.Database&amp;".xls]Banco'!$a:$a"),0),"X")</f>
        <v>6695</v>
      </c>
      <c r="Y90" s="103">
        <f ca="1">IF(Import.Desoneracao="sim",Referencia.Desonerado,Referencia.NaoDesonerado)</f>
        <v>111.33</v>
      </c>
      <c r="Z90" s="113">
        <f ca="1">ROUND(IF(ISNUMBER(R90),R90,IF(LEFT(R90,3)="BDI",HLOOKUP(R90,DADOS!$T$37:$X$38,2,FALSE),0)),15-11*$X$5)</f>
        <v>0.2109</v>
      </c>
      <c r="AA90" s="1"/>
    </row>
    <row r="91" spans="1:27" ht="51" x14ac:dyDescent="0.2">
      <c r="A91" t="str">
        <f t="shared" si="75"/>
        <v>S</v>
      </c>
      <c r="B91">
        <f t="shared" si="76"/>
        <v>0</v>
      </c>
      <c r="C91">
        <f t="shared" ca="1" si="77"/>
        <v>2</v>
      </c>
      <c r="D91">
        <f t="shared" ca="1" si="78"/>
        <v>2</v>
      </c>
      <c r="E91">
        <f t="shared" ca="1" si="79"/>
        <v>0</v>
      </c>
      <c r="F91">
        <f t="shared" ca="1" si="80"/>
        <v>0</v>
      </c>
      <c r="G91">
        <f t="shared" ca="1" si="81"/>
        <v>3</v>
      </c>
      <c r="H91">
        <f t="shared" ca="1" si="88"/>
        <v>0</v>
      </c>
      <c r="I91">
        <f t="shared" ca="1" si="89"/>
        <v>0</v>
      </c>
      <c r="J91" s="102" t="s">
        <v>103</v>
      </c>
      <c r="K91" s="138" t="str">
        <f t="shared" ca="1" si="82"/>
        <v>2.2.3.</v>
      </c>
      <c r="L91" s="177" t="s">
        <v>230</v>
      </c>
      <c r="M91" s="177" t="s">
        <v>288</v>
      </c>
      <c r="N91" s="199" t="str">
        <f ca="1">IF($A91="S",Referencia.Descricao,"(digite a descrição aqui)")</f>
        <v>ESCAVAÇÃO MECANIZADA DE VALA COM PROFUNDIDADE ATÉ 1,5 M (MÉDIA MONTANTE E JUSANTE/UMA COMPOSIÇÃO POR TRECHO), RETROESCAV. (0,26 M3), LARGURA DE 0,8 M A 1,5 M, EM SOLO DE 1A CATEGORIA, LOCAIS COM BAIXO NÍVEL DE INTERFERÊNCIA. AF_09/2024</v>
      </c>
      <c r="O91" s="198" t="str">
        <f ca="1">Referencia.Unidade</f>
        <v>M3</v>
      </c>
      <c r="P91" s="193">
        <f ca="1">OFFSET(PLQ!$E$12,ROW($P91)-ROW(P$12),0)</f>
        <v>56.42</v>
      </c>
      <c r="Q91" s="197">
        <f t="shared" ca="1" si="86"/>
        <v>8.8800000000000008</v>
      </c>
      <c r="R91" s="200" t="s">
        <v>7</v>
      </c>
      <c r="S91" s="103">
        <f t="shared" ca="1" si="48"/>
        <v>10.75</v>
      </c>
      <c r="T91" s="83">
        <f t="shared" ca="1" si="49"/>
        <v>606.52</v>
      </c>
      <c r="U91" s="9" t="str">
        <f t="shared" ca="1" si="87"/>
        <v/>
      </c>
      <c r="V91" s="1" t="str">
        <f ca="1">IF(OR($A91=0,$A91="S",$A91&gt;CFF!$A$9),"",MAX(V$12:OFFSET(V91,-1,0))+1)</f>
        <v/>
      </c>
      <c r="W91" s="4" t="str">
        <f t="shared" si="83"/>
        <v>SINAPI-90106</v>
      </c>
      <c r="X91" s="1">
        <f t="shared" ca="1" si="50"/>
        <v>9353</v>
      </c>
      <c r="Y91" s="103">
        <f ca="1">IF(Import.Desoneracao="sim",Referencia.Desonerado,Referencia.NaoDesonerado)</f>
        <v>8.8800000000000008</v>
      </c>
      <c r="Z91" s="113">
        <f ca="1">ROUND(IF(ISNUMBER(R91),R91,IF(LEFT(R91,3)="BDI",HLOOKUP(R91,DADOS!$T$37:$X$38,2,FALSE),0)),15-11*$X$5)</f>
        <v>0.2109</v>
      </c>
      <c r="AA91" s="1"/>
    </row>
    <row r="92" spans="1:27" ht="25.5" x14ac:dyDescent="0.2">
      <c r="A92" t="str">
        <f t="shared" si="75"/>
        <v>S</v>
      </c>
      <c r="B92">
        <f t="shared" si="76"/>
        <v>0</v>
      </c>
      <c r="C92">
        <f t="shared" ca="1" si="77"/>
        <v>2</v>
      </c>
      <c r="D92">
        <f t="shared" ca="1" si="78"/>
        <v>2</v>
      </c>
      <c r="E92">
        <f t="shared" ca="1" si="79"/>
        <v>0</v>
      </c>
      <c r="F92">
        <f t="shared" ca="1" si="80"/>
        <v>0</v>
      </c>
      <c r="G92">
        <f t="shared" ca="1" si="81"/>
        <v>4</v>
      </c>
      <c r="H92">
        <f t="shared" ca="1" si="88"/>
        <v>0</v>
      </c>
      <c r="I92">
        <f t="shared" ca="1" si="89"/>
        <v>0</v>
      </c>
      <c r="J92" s="102" t="s">
        <v>103</v>
      </c>
      <c r="K92" s="138" t="str">
        <f t="shared" ca="1" si="82"/>
        <v>2.2.4.</v>
      </c>
      <c r="L92" s="177" t="s">
        <v>230</v>
      </c>
      <c r="M92" s="177" t="s">
        <v>289</v>
      </c>
      <c r="N92" s="199" t="str">
        <f ca="1">IF($A92="S",Referencia.Descricao,"(digite a descrição aqui)")</f>
        <v>PREPARO DE FUNDO DE VALA COM LARGURA MENOR QUE 1,5 M, COM CAMADA DE BRITA, LANÇAMENTO MECANIZADO. AF_08/2020</v>
      </c>
      <c r="O92" s="198" t="str">
        <f ca="1">Referencia.Unidade</f>
        <v>M3</v>
      </c>
      <c r="P92" s="193">
        <f ca="1">OFFSET(PLQ!$E$12,ROW($P92)-ROW(P$12),0)</f>
        <v>1.2</v>
      </c>
      <c r="Q92" s="197">
        <f t="shared" ca="1" si="86"/>
        <v>251.61</v>
      </c>
      <c r="R92" s="200" t="s">
        <v>7</v>
      </c>
      <c r="S92" s="103">
        <f t="shared" ca="1" si="48"/>
        <v>304.67</v>
      </c>
      <c r="T92" s="83">
        <f t="shared" ca="1" si="49"/>
        <v>365.6</v>
      </c>
      <c r="U92" s="9" t="str">
        <f t="shared" ca="1" si="87"/>
        <v/>
      </c>
      <c r="V92" s="1" t="str">
        <f ca="1">IF(OR($A92=0,$A92="S",$A92&gt;CFF!$A$9),"",MAX(V$12:OFFSET(V92,-1,0))+1)</f>
        <v/>
      </c>
      <c r="W92" s="4" t="str">
        <f t="shared" si="83"/>
        <v>SINAPI-101623</v>
      </c>
      <c r="X92" s="1">
        <f t="shared" ca="1" si="50"/>
        <v>9427</v>
      </c>
      <c r="Y92" s="103">
        <f ca="1">IF(Import.Desoneracao="sim",Referencia.Desonerado,Referencia.NaoDesonerado)</f>
        <v>251.61</v>
      </c>
      <c r="Z92" s="113">
        <f ca="1">ROUND(IF(ISNUMBER(R92),R92,IF(LEFT(R92,3)="BDI",HLOOKUP(R92,DADOS!$T$37:$X$38,2,FALSE),0)),15-11*$X$5)</f>
        <v>0.2109</v>
      </c>
      <c r="AA92" s="1"/>
    </row>
    <row r="93" spans="1:27" ht="25.5" x14ac:dyDescent="0.2">
      <c r="A93" t="str">
        <f t="shared" si="75"/>
        <v>S</v>
      </c>
      <c r="B93">
        <f t="shared" si="76"/>
        <v>0</v>
      </c>
      <c r="C93">
        <f t="shared" ca="1" si="77"/>
        <v>2</v>
      </c>
      <c r="D93">
        <f t="shared" ca="1" si="78"/>
        <v>2</v>
      </c>
      <c r="E93">
        <f t="shared" ca="1" si="79"/>
        <v>0</v>
      </c>
      <c r="F93">
        <f t="shared" ca="1" si="80"/>
        <v>0</v>
      </c>
      <c r="G93">
        <f t="shared" ca="1" si="81"/>
        <v>5</v>
      </c>
      <c r="H93">
        <f t="shared" ca="1" si="88"/>
        <v>0</v>
      </c>
      <c r="I93">
        <f t="shared" ca="1" si="89"/>
        <v>0</v>
      </c>
      <c r="J93" s="102" t="s">
        <v>103</v>
      </c>
      <c r="K93" s="138" t="str">
        <f t="shared" ca="1" si="82"/>
        <v>2.2.5.</v>
      </c>
      <c r="L93" s="177" t="s">
        <v>230</v>
      </c>
      <c r="M93" s="177" t="s">
        <v>291</v>
      </c>
      <c r="N93" s="199" t="str">
        <f ca="1">IF($A93="S",Referencia.Descricao,"(digite a descrição aqui)")</f>
        <v>REATERRO MANUAL DE VALAS, COM COMPACTADOR DE SOLOS DE PERCUSSÃO. AF_08/2023</v>
      </c>
      <c r="O93" s="198" t="str">
        <f ca="1">Referencia.Unidade</f>
        <v>M3</v>
      </c>
      <c r="P93" s="193">
        <f ca="1">OFFSET(PLQ!$E$12,ROW($P93)-ROW(P$12),0)</f>
        <v>30.18</v>
      </c>
      <c r="Q93" s="197">
        <f t="shared" ca="1" si="86"/>
        <v>30.98</v>
      </c>
      <c r="R93" s="200" t="s">
        <v>7</v>
      </c>
      <c r="S93" s="103">
        <f t="shared" ca="1" si="48"/>
        <v>37.51</v>
      </c>
      <c r="T93" s="83">
        <f t="shared" ca="1" si="49"/>
        <v>1132.05</v>
      </c>
      <c r="U93" s="9" t="str">
        <f t="shared" ca="1" si="87"/>
        <v/>
      </c>
      <c r="V93" s="1" t="str">
        <f ca="1">IF(OR($A93=0,$A93="S",$A93&gt;CFF!$A$9),"",MAX(V$12:OFFSET(V93,-1,0))+1)</f>
        <v/>
      </c>
      <c r="W93" s="4" t="str">
        <f t="shared" si="83"/>
        <v>SINAPI-93382</v>
      </c>
      <c r="X93" s="1">
        <f t="shared" ca="1" si="50"/>
        <v>6753</v>
      </c>
      <c r="Y93" s="103">
        <f ca="1">IF(Import.Desoneracao="sim",Referencia.Desonerado,Referencia.NaoDesonerado)</f>
        <v>30.98</v>
      </c>
      <c r="Z93" s="113">
        <f ca="1">ROUND(IF(ISNUMBER(R93),R93,IF(LEFT(R93,3)="BDI",HLOOKUP(R93,DADOS!$T$37:$X$38,2,FALSE),0)),15-11*$X$5)</f>
        <v>0.2109</v>
      </c>
      <c r="AA93" s="1"/>
    </row>
    <row r="94" spans="1:27" ht="38.25" x14ac:dyDescent="0.2">
      <c r="A94" t="str">
        <f t="shared" si="75"/>
        <v>S</v>
      </c>
      <c r="B94">
        <f t="shared" si="76"/>
        <v>0</v>
      </c>
      <c r="C94">
        <f t="shared" ca="1" si="77"/>
        <v>2</v>
      </c>
      <c r="D94">
        <f t="shared" ca="1" si="78"/>
        <v>2</v>
      </c>
      <c r="E94">
        <f t="shared" ca="1" si="79"/>
        <v>0</v>
      </c>
      <c r="F94">
        <f t="shared" ca="1" si="80"/>
        <v>0</v>
      </c>
      <c r="G94">
        <f t="shared" ca="1" si="81"/>
        <v>6</v>
      </c>
      <c r="H94">
        <f t="shared" ca="1" si="88"/>
        <v>0</v>
      </c>
      <c r="I94">
        <f t="shared" ca="1" si="89"/>
        <v>0</v>
      </c>
      <c r="J94" s="102" t="s">
        <v>103</v>
      </c>
      <c r="K94" s="138" t="str">
        <f t="shared" ca="1" si="82"/>
        <v>2.2.6.</v>
      </c>
      <c r="L94" s="177" t="s">
        <v>230</v>
      </c>
      <c r="M94" s="177" t="s">
        <v>290</v>
      </c>
      <c r="N94" s="199" t="str">
        <f ca="1">IF($A94="S",Referencia.Descricao,"(digite a descrição aqui)")</f>
        <v>CONSTRUÇÃO DE BASE E SUB-BASE PARA PAVIMENTAÇÃO DE BRITA GRADUADA SIMPLES, COM ESPESSURA DE 15 CM - EXCLUSIVE CARGA E TRANSPORTE. AF_09/2024</v>
      </c>
      <c r="O94" s="198" t="str">
        <f ca="1">Referencia.Unidade</f>
        <v>M3</v>
      </c>
      <c r="P94" s="193">
        <f ca="1">OFFSET(PLQ!$E$12,ROW($P94)-ROW(P$12),0)</f>
        <v>12.8</v>
      </c>
      <c r="Q94" s="197">
        <f t="shared" ca="1" si="86"/>
        <v>166.98</v>
      </c>
      <c r="R94" s="200" t="s">
        <v>7</v>
      </c>
      <c r="S94" s="103">
        <f t="shared" ca="1" si="48"/>
        <v>202.2</v>
      </c>
      <c r="T94" s="83">
        <f t="shared" ca="1" si="49"/>
        <v>2588.16</v>
      </c>
      <c r="U94" s="9" t="str">
        <f t="shared" ca="1" si="87"/>
        <v/>
      </c>
      <c r="V94" s="1" t="str">
        <f ca="1">IF(OR($A94=0,$A94="S",$A94&gt;CFF!$A$9),"",MAX(V$12:OFFSET(V94,-1,0))+1)</f>
        <v/>
      </c>
      <c r="W94" s="4" t="str">
        <f t="shared" si="83"/>
        <v>SINAPI-96396</v>
      </c>
      <c r="X94" s="1">
        <f t="shared" ca="1" si="50"/>
        <v>6779</v>
      </c>
      <c r="Y94" s="103">
        <f ca="1">IF(Import.Desoneracao="sim",Referencia.Desonerado,Referencia.NaoDesonerado)</f>
        <v>166.98</v>
      </c>
      <c r="Z94" s="113">
        <f ca="1">ROUND(IF(ISNUMBER(R94),R94,IF(LEFT(R94,3)="BDI",HLOOKUP(R94,DADOS!$T$37:$X$38,2,FALSE),0)),15-11*$X$5)</f>
        <v>0.2109</v>
      </c>
      <c r="AA94" s="1"/>
    </row>
    <row r="95" spans="1:27" ht="25.5" x14ac:dyDescent="0.2">
      <c r="A95" t="str">
        <f t="shared" si="75"/>
        <v>S</v>
      </c>
      <c r="B95">
        <f t="shared" si="76"/>
        <v>0</v>
      </c>
      <c r="C95">
        <f t="shared" ca="1" si="77"/>
        <v>2</v>
      </c>
      <c r="D95">
        <f t="shared" ca="1" si="78"/>
        <v>2</v>
      </c>
      <c r="E95">
        <f t="shared" ca="1" si="79"/>
        <v>0</v>
      </c>
      <c r="F95">
        <f t="shared" ca="1" si="80"/>
        <v>0</v>
      </c>
      <c r="G95">
        <f t="shared" ca="1" si="81"/>
        <v>7</v>
      </c>
      <c r="H95">
        <f t="shared" ca="1" si="88"/>
        <v>0</v>
      </c>
      <c r="I95">
        <f t="shared" ca="1" si="89"/>
        <v>0</v>
      </c>
      <c r="J95" s="102" t="s">
        <v>103</v>
      </c>
      <c r="K95" s="138" t="str">
        <f t="shared" ca="1" si="82"/>
        <v>2.2.7.</v>
      </c>
      <c r="L95" s="177" t="s">
        <v>230</v>
      </c>
      <c r="M95" s="177" t="s">
        <v>326</v>
      </c>
      <c r="N95" s="199" t="str">
        <f ca="1">IF($A95="S",Referencia.Descricao,"(digite a descrição aqui)")</f>
        <v>TRANSPORTE COM CAMINHÃO BASCULANTE DE 14 M³, EM VIA URBANA PAVIMENTADA, DMT ATÉ 30 KM (UNIDADE: M3XKM). AF_07/2020</v>
      </c>
      <c r="O95" s="198" t="str">
        <f ca="1">Referencia.Unidade</f>
        <v>M3XKM</v>
      </c>
      <c r="P95" s="193">
        <f ca="1">OFFSET(PLQ!$E$12,ROW($P95)-ROW(P$12),0)</f>
        <v>468.74</v>
      </c>
      <c r="Q95" s="197">
        <f t="shared" ca="1" si="86"/>
        <v>2.31</v>
      </c>
      <c r="R95" s="200" t="s">
        <v>7</v>
      </c>
      <c r="S95" s="103">
        <f t="shared" ca="1" si="48"/>
        <v>2.8</v>
      </c>
      <c r="T95" s="83">
        <f t="shared" ca="1" si="49"/>
        <v>1312.47</v>
      </c>
      <c r="U95" s="9" t="str">
        <f t="shared" ca="1" si="87"/>
        <v/>
      </c>
      <c r="V95" s="1" t="str">
        <f ca="1">IF(OR($A95=0,$A95="S",$A95&gt;CFF!$A$9),"",MAX(V$12:OFFSET(V95,-1,0))+1)</f>
        <v/>
      </c>
      <c r="W95" s="4" t="str">
        <f t="shared" si="83"/>
        <v>SINAPI-95876</v>
      </c>
      <c r="X95" s="1">
        <f t="shared" ca="1" si="50"/>
        <v>15389</v>
      </c>
      <c r="Y95" s="103">
        <f ca="1">IF(Import.Desoneracao="sim",Referencia.Desonerado,Referencia.NaoDesonerado)</f>
        <v>2.31</v>
      </c>
      <c r="Z95" s="113">
        <f ca="1">ROUND(IF(ISNUMBER(R95),R95,IF(LEFT(R95,3)="BDI",HLOOKUP(R95,DADOS!$T$37:$X$38,2,FALSE),0)),15-11*$X$5)</f>
        <v>0.2109</v>
      </c>
      <c r="AA95" s="1"/>
    </row>
    <row r="96" spans="1:27" x14ac:dyDescent="0.2">
      <c r="A96">
        <v>-1</v>
      </c>
      <c r="C96">
        <v>0</v>
      </c>
      <c r="D96">
        <v>0</v>
      </c>
      <c r="E96">
        <v>0</v>
      </c>
      <c r="F96">
        <v>0</v>
      </c>
      <c r="G96">
        <v>0</v>
      </c>
      <c r="J96" s="69"/>
      <c r="K96" s="69"/>
      <c r="L96" s="69"/>
      <c r="M96" s="69"/>
      <c r="N96" s="69"/>
      <c r="O96" s="69"/>
      <c r="P96" s="69"/>
      <c r="Q96" s="69"/>
      <c r="R96" s="69"/>
      <c r="S96" s="69"/>
      <c r="T96" s="69"/>
      <c r="U96" s="1"/>
      <c r="V96" s="1"/>
      <c r="W96" s="1"/>
      <c r="X96" s="1"/>
      <c r="Y96" s="1"/>
      <c r="Z96" s="1"/>
      <c r="AA96" s="1"/>
    </row>
    <row r="97" spans="1:27" ht="14.25" x14ac:dyDescent="0.2">
      <c r="A97" s="1"/>
      <c r="B97" s="1"/>
      <c r="C97" s="1"/>
      <c r="D97" s="1"/>
      <c r="E97" s="1"/>
      <c r="F97" s="1"/>
      <c r="G97" s="1"/>
      <c r="H97" s="1"/>
      <c r="I97" s="1"/>
      <c r="J97" s="1"/>
      <c r="K97" s="70" t="s">
        <v>62</v>
      </c>
      <c r="L97" s="1"/>
      <c r="M97" s="325" t="s">
        <v>141</v>
      </c>
      <c r="N97" s="326"/>
      <c r="O97" s="326"/>
      <c r="P97" s="326"/>
      <c r="Q97" s="326"/>
      <c r="R97" s="326"/>
      <c r="S97" s="326"/>
      <c r="T97" s="327"/>
      <c r="U97" s="1"/>
      <c r="V97" s="1"/>
      <c r="W97" s="1"/>
      <c r="X97" s="1"/>
      <c r="Y97" s="1"/>
      <c r="Z97" s="1"/>
      <c r="AA97" s="1"/>
    </row>
    <row r="98" spans="1:27" x14ac:dyDescent="0.2">
      <c r="A98" s="1"/>
      <c r="B98" s="1"/>
      <c r="C98" s="1"/>
      <c r="D98" s="1"/>
      <c r="E98" s="1"/>
      <c r="F98" s="1"/>
      <c r="G98" s="1"/>
      <c r="H98" s="1"/>
      <c r="I98" s="1"/>
      <c r="J98" s="1"/>
      <c r="K98" s="1"/>
      <c r="L98" s="1"/>
      <c r="M98" s="1"/>
      <c r="N98" s="1"/>
      <c r="O98" s="1"/>
      <c r="P98" s="1"/>
      <c r="Q98" s="1"/>
      <c r="R98" s="1"/>
      <c r="S98" s="1"/>
      <c r="T98" s="1"/>
      <c r="U98" s="1"/>
      <c r="V98" s="1"/>
      <c r="W98" s="1"/>
      <c r="X98" s="1"/>
      <c r="Y98" s="1"/>
      <c r="Z98" s="1"/>
      <c r="AA98" s="1"/>
    </row>
    <row r="99" spans="1:27" ht="14.25" x14ac:dyDescent="0.2">
      <c r="A99" s="1"/>
      <c r="B99" s="1"/>
      <c r="C99" s="1"/>
      <c r="D99" s="1"/>
      <c r="E99" s="1"/>
      <c r="F99" s="1"/>
      <c r="G99" s="1"/>
      <c r="H99" s="1"/>
      <c r="I99" s="1"/>
      <c r="J99" s="1"/>
      <c r="K99" s="76" t="s">
        <v>21</v>
      </c>
      <c r="L99" s="1"/>
      <c r="M99" s="1"/>
      <c r="N99" s="1"/>
      <c r="O99" s="1"/>
      <c r="P99" s="1"/>
      <c r="Q99" s="1"/>
      <c r="R99" s="1"/>
      <c r="S99" s="1"/>
      <c r="T99" s="75"/>
      <c r="U99" s="1"/>
      <c r="V99" s="1"/>
      <c r="W99" s="1"/>
      <c r="X99" s="1"/>
      <c r="Y99" s="1"/>
      <c r="Z99" s="1"/>
      <c r="AA99" s="1"/>
    </row>
    <row r="100" spans="1:27" ht="12.75" customHeight="1" x14ac:dyDescent="0.2">
      <c r="A100" s="1"/>
      <c r="B100" s="1"/>
      <c r="C100" s="1"/>
      <c r="D100" s="1"/>
      <c r="E100" s="1"/>
      <c r="F100" s="1"/>
      <c r="G100" s="1"/>
      <c r="H100" s="1"/>
      <c r="I100" s="1"/>
      <c r="J100" s="1"/>
      <c r="K100" s="319" t="s">
        <v>322</v>
      </c>
      <c r="L100" s="320"/>
      <c r="M100" s="320"/>
      <c r="N100" s="320"/>
      <c r="O100" s="320"/>
      <c r="P100" s="320"/>
      <c r="Q100" s="320"/>
      <c r="R100" s="320"/>
      <c r="S100" s="320"/>
      <c r="T100" s="321"/>
      <c r="U100" s="1"/>
      <c r="V100" s="1"/>
      <c r="W100" s="1"/>
      <c r="X100" s="1"/>
      <c r="Y100" s="1"/>
      <c r="Z100" s="1"/>
      <c r="AA100" s="1"/>
    </row>
    <row r="101" spans="1:27" x14ac:dyDescent="0.2">
      <c r="A101" s="1"/>
      <c r="B101" s="1"/>
      <c r="C101" s="1"/>
      <c r="D101" s="1"/>
      <c r="E101" s="1"/>
      <c r="F101" s="1"/>
      <c r="G101" s="1"/>
      <c r="H101" s="1"/>
      <c r="I101" s="1"/>
      <c r="J101" s="1"/>
      <c r="K101" s="319"/>
      <c r="L101" s="320"/>
      <c r="M101" s="320"/>
      <c r="N101" s="320"/>
      <c r="O101" s="320"/>
      <c r="P101" s="320"/>
      <c r="Q101" s="320"/>
      <c r="R101" s="320"/>
      <c r="S101" s="320"/>
      <c r="T101" s="321"/>
      <c r="U101" s="1"/>
      <c r="V101" s="1"/>
      <c r="W101" s="1"/>
      <c r="X101" s="1"/>
      <c r="Y101" s="1"/>
      <c r="Z101" s="1"/>
      <c r="AA101" s="1"/>
    </row>
    <row r="102" spans="1:27" x14ac:dyDescent="0.2">
      <c r="A102" s="1"/>
      <c r="B102" s="1"/>
      <c r="C102" s="1"/>
      <c r="D102" s="1"/>
      <c r="E102" s="1"/>
      <c r="F102" s="1"/>
      <c r="G102" s="1"/>
      <c r="H102" s="1"/>
      <c r="I102" s="1"/>
      <c r="J102" s="1"/>
      <c r="K102" s="322"/>
      <c r="L102" s="323"/>
      <c r="M102" s="323"/>
      <c r="N102" s="323"/>
      <c r="O102" s="323"/>
      <c r="P102" s="323"/>
      <c r="Q102" s="323"/>
      <c r="R102" s="323"/>
      <c r="S102" s="323"/>
      <c r="T102" s="324"/>
      <c r="U102" s="1"/>
      <c r="V102" s="1"/>
      <c r="W102" s="1"/>
      <c r="X102" s="1"/>
      <c r="Y102" s="1"/>
      <c r="Z102" s="1"/>
      <c r="AA102" s="1"/>
    </row>
    <row r="103" spans="1:27" ht="14.25" x14ac:dyDescent="0.2">
      <c r="A103" s="1"/>
      <c r="B103" s="1"/>
      <c r="C103" s="1"/>
      <c r="D103" s="1"/>
      <c r="E103" s="1"/>
      <c r="F103" s="1"/>
      <c r="G103" s="1"/>
      <c r="H103" s="1"/>
      <c r="I103" s="1"/>
      <c r="J103" s="1"/>
      <c r="K103" s="181"/>
      <c r="L103" s="181"/>
      <c r="M103" s="181"/>
      <c r="N103" s="181"/>
      <c r="O103" s="181"/>
      <c r="P103" s="181"/>
      <c r="Q103" s="181"/>
      <c r="R103" s="181"/>
      <c r="S103" s="181"/>
      <c r="T103" s="181"/>
      <c r="U103" s="1"/>
      <c r="V103" s="1"/>
      <c r="W103" s="1"/>
      <c r="X103" s="1"/>
      <c r="Y103" s="1"/>
      <c r="Z103" s="1"/>
      <c r="AA103" s="1"/>
    </row>
    <row r="104" spans="1:27" ht="15" x14ac:dyDescent="0.25">
      <c r="A104" s="1"/>
      <c r="B104" s="1"/>
      <c r="C104" s="1"/>
      <c r="D104" s="1"/>
      <c r="E104" s="1"/>
      <c r="F104" s="1"/>
      <c r="G104" s="1"/>
      <c r="H104" s="1"/>
      <c r="I104" s="1"/>
      <c r="J104" s="1"/>
      <c r="K104" s="316" t="str">
        <f>IF(AND($X$3=FALSE,$X$4=FALSE,$X$5=FALSE,$X$6=FALSE,$X$7=FALSE),"Não foi considerado arredondamento nos valores da planilha.",CONCATENATE("Foi considerado arredondamento de duas casas decimais para ",IF($X$3=TRUE,"Quantidade; ",""),IF($X$4=TRUE,"Custo Unitário; ",""),IF($X$5=TRUE,"BDI; ",""),IF($X$6=TRUE,"Preço Unitário; ",""),IF($X$7=TRUE,"Preço Total.","")))</f>
        <v>Foi considerado arredondamento de duas casas decimais para Quantidade; Custo Unitário; BDI; Preço Unitário; Preço Total.</v>
      </c>
      <c r="L104" s="317"/>
      <c r="M104" s="317"/>
      <c r="N104" s="317"/>
      <c r="O104" s="317"/>
      <c r="P104" s="317"/>
      <c r="Q104" s="317"/>
      <c r="R104" s="317"/>
      <c r="S104" s="317"/>
      <c r="T104" s="318"/>
      <c r="U104" s="1"/>
      <c r="V104" s="1"/>
      <c r="W104" s="1"/>
      <c r="X104" s="1"/>
      <c r="Y104" s="1"/>
      <c r="Z104" s="1"/>
      <c r="AA104" s="1"/>
    </row>
    <row r="105" spans="1:27"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row>
    <row r="106" spans="1:27" ht="21"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row>
    <row r="107" spans="1:27" x14ac:dyDescent="0.2">
      <c r="A107" s="1"/>
      <c r="B107" s="1"/>
      <c r="C107" s="1"/>
      <c r="D107" s="1"/>
      <c r="E107" s="1"/>
      <c r="F107" s="1"/>
      <c r="G107" s="1"/>
      <c r="H107" s="1"/>
      <c r="I107" s="1"/>
      <c r="J107" s="1"/>
      <c r="K107" s="329" t="str">
        <f>Import.Município</f>
        <v>TUCUNDUVA RS</v>
      </c>
      <c r="L107" s="329"/>
      <c r="M107" s="329"/>
      <c r="N107" s="1"/>
      <c r="O107" s="1"/>
      <c r="P107" s="1"/>
      <c r="Q107" s="1"/>
      <c r="R107" s="1"/>
      <c r="S107" s="1"/>
      <c r="T107" s="1"/>
      <c r="U107" s="1"/>
      <c r="V107" s="1"/>
      <c r="W107" s="1"/>
      <c r="X107" s="1"/>
      <c r="Y107" s="1"/>
      <c r="Z107" s="1"/>
      <c r="AA107" s="1"/>
    </row>
    <row r="108" spans="1:27" x14ac:dyDescent="0.2">
      <c r="A108" s="1"/>
      <c r="B108" s="1"/>
      <c r="C108" s="1"/>
      <c r="D108" s="1"/>
      <c r="E108" s="1"/>
      <c r="F108" s="1"/>
      <c r="G108" s="1"/>
      <c r="H108" s="1"/>
      <c r="I108" s="1"/>
      <c r="J108" s="1"/>
      <c r="K108" s="97" t="s">
        <v>120</v>
      </c>
      <c r="L108" s="1"/>
      <c r="M108" s="1"/>
      <c r="N108" s="1"/>
      <c r="O108" s="1"/>
      <c r="P108" s="1"/>
      <c r="Q108" s="1"/>
      <c r="R108" s="1"/>
      <c r="S108" s="1"/>
      <c r="T108" s="1"/>
      <c r="U108" s="1"/>
      <c r="V108" s="1"/>
      <c r="W108" s="1"/>
      <c r="X108" s="1"/>
      <c r="Y108" s="1"/>
      <c r="Z108" s="1"/>
      <c r="AA108" s="1"/>
    </row>
    <row r="109" spans="1:27"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row>
    <row r="110" spans="1:27" x14ac:dyDescent="0.2">
      <c r="A110" s="1"/>
      <c r="B110" s="1"/>
      <c r="C110" s="1"/>
      <c r="D110" s="1"/>
      <c r="E110" s="1"/>
      <c r="F110" s="1"/>
      <c r="G110" s="1"/>
      <c r="H110" s="1"/>
      <c r="I110" s="1"/>
      <c r="J110" s="1"/>
      <c r="K110" s="328">
        <f ca="1">TODAY()</f>
        <v>46149</v>
      </c>
      <c r="L110" s="328"/>
      <c r="M110" s="328"/>
      <c r="N110" s="1"/>
      <c r="O110" s="1"/>
      <c r="P110" s="1"/>
      <c r="Q110" s="1"/>
      <c r="R110" s="1"/>
      <c r="S110" s="1"/>
      <c r="T110" s="1"/>
      <c r="U110" s="1"/>
      <c r="V110" s="1"/>
      <c r="W110" s="1"/>
      <c r="X110" s="1"/>
      <c r="Y110" s="1"/>
      <c r="Z110" s="1"/>
      <c r="AA110" s="1"/>
    </row>
    <row r="111" spans="1:27" x14ac:dyDescent="0.2">
      <c r="A111" s="1"/>
      <c r="B111" s="1"/>
      <c r="C111" s="1"/>
      <c r="D111" s="1"/>
      <c r="E111" s="1"/>
      <c r="F111" s="1"/>
      <c r="G111" s="1"/>
      <c r="H111" s="1"/>
      <c r="I111" s="1"/>
      <c r="J111" s="1"/>
      <c r="K111" s="119" t="s">
        <v>121</v>
      </c>
      <c r="L111" s="69"/>
      <c r="M111" s="69"/>
      <c r="N111" s="1"/>
      <c r="O111" s="1"/>
      <c r="P111" s="1"/>
      <c r="Q111" s="1"/>
      <c r="R111" s="1"/>
      <c r="S111" s="1"/>
      <c r="T111" s="1"/>
      <c r="U111" s="1"/>
      <c r="V111" s="1"/>
      <c r="W111" s="1"/>
      <c r="X111" s="1"/>
      <c r="Y111" s="1"/>
      <c r="Z111" s="1"/>
      <c r="AA111" s="1"/>
    </row>
  </sheetData>
  <sheetProtection algorithmName="SHA-512" hashValue="Ae5ODM3ze0qWIIQIobtBPhx6PEs0uci65P31VgUd16ZJbyDgjy4XBNpHGkGlLAoWExwYIhoFl2Y+QKIH4vEPVQ==" saltValue="mNEQfLCZlT1O6qQX+lVK7w==" spinCount="100000" sheet="1" objects="1" scenarios="1"/>
  <mergeCells count="6">
    <mergeCell ref="W2:X2"/>
    <mergeCell ref="K104:T104"/>
    <mergeCell ref="K100:T102"/>
    <mergeCell ref="M97:T97"/>
    <mergeCell ref="K110:M110"/>
    <mergeCell ref="K107:M107"/>
  </mergeCells>
  <phoneticPr fontId="26" type="noConversion"/>
  <conditionalFormatting sqref="O12:R12 L12:M12">
    <cfRule type="expression" dxfId="125" priority="2245" stopIfTrue="1">
      <formula>$J12=$C$2</formula>
    </cfRule>
    <cfRule type="expression" dxfId="124" priority="2246" stopIfTrue="1">
      <formula>UPPER(LEFT($J12,5))="NÍVEL"</formula>
    </cfRule>
    <cfRule type="expression" dxfId="123" priority="2247" stopIfTrue="1">
      <formula>$J12=$C$8</formula>
    </cfRule>
  </conditionalFormatting>
  <conditionalFormatting sqref="Y12:Z12 S12:T12 K12">
    <cfRule type="expression" dxfId="122" priority="2248" stopIfTrue="1">
      <formula>$J12=$C$2</formula>
    </cfRule>
    <cfRule type="expression" dxfId="121" priority="2249" stopIfTrue="1">
      <formula>UPPER(LEFT($J12,5))="NÍVEL"</formula>
    </cfRule>
  </conditionalFormatting>
  <conditionalFormatting sqref="K11 K13:K95">
    <cfRule type="expression" dxfId="120" priority="2261" stopIfTrue="1">
      <formula>$J11=$C$2</formula>
    </cfRule>
    <cfRule type="expression" dxfId="119" priority="2262" stopIfTrue="1">
      <formula>AND($J11&lt;&gt;"",$J11&lt;&gt;"Serviço")</formula>
    </cfRule>
    <cfRule type="expression" dxfId="118" priority="2263" stopIfTrue="1">
      <formula>$J11=""</formula>
    </cfRule>
  </conditionalFormatting>
  <conditionalFormatting sqref="P11 P13:P95">
    <cfRule type="expression" dxfId="117" priority="588" stopIfTrue="1">
      <formula>$J11=$C$2</formula>
    </cfRule>
    <cfRule type="expression" dxfId="116" priority="2267" stopIfTrue="1">
      <formula>AND($J11&lt;&gt;"Serviço")</formula>
    </cfRule>
    <cfRule type="expression" dxfId="115" priority="2268" stopIfTrue="1">
      <formula>CELL("proteger",P11)</formula>
    </cfRule>
  </conditionalFormatting>
  <conditionalFormatting sqref="Q11:R11 Q13:R95">
    <cfRule type="expression" dxfId="114" priority="2269" stopIfTrue="1">
      <formula>$J11=$C$2</formula>
    </cfRule>
    <cfRule type="expression" dxfId="113" priority="2270" stopIfTrue="1">
      <formula>$J11&lt;&gt;"Serviço"</formula>
    </cfRule>
    <cfRule type="expression" dxfId="112" priority="2271" stopIfTrue="1">
      <formula>CELL("proteger",Q11)</formula>
    </cfRule>
  </conditionalFormatting>
  <conditionalFormatting sqref="S11:T11 Y11:Z11 S13:T95 Y13:Z95">
    <cfRule type="expression" dxfId="111" priority="2272" stopIfTrue="1">
      <formula>$J11=$C$2</formula>
    </cfRule>
    <cfRule type="expression" dxfId="110" priority="2273" stopIfTrue="1">
      <formula>$J11&lt;&gt;"Serviço"</formula>
    </cfRule>
  </conditionalFormatting>
  <conditionalFormatting sqref="L11:M11 L13:M95">
    <cfRule type="expression" dxfId="109" priority="2293" stopIfTrue="1">
      <formula>$J11=$C$2</formula>
    </cfRule>
    <cfRule type="expression" dxfId="108" priority="2294" stopIfTrue="1">
      <formula>$J11&lt;&gt;"Serviço"</formula>
    </cfRule>
    <cfRule type="expression" dxfId="107" priority="2295" stopIfTrue="1">
      <formula>OR(CELL("proteger",L11),$J11="",TipoOrçamento="Licitado")</formula>
    </cfRule>
  </conditionalFormatting>
  <conditionalFormatting sqref="K97:T97">
    <cfRule type="expression" dxfId="106" priority="2274" stopIfTrue="1">
      <formula>OR(Tipo.Orçamento="LICITADO",Tipo.Orçamento="REPROGRAMADOAC")</formula>
    </cfRule>
    <cfRule type="expression" dxfId="105" priority="2275" stopIfTrue="1">
      <formula>$M$97=""</formula>
    </cfRule>
  </conditionalFormatting>
  <conditionalFormatting sqref="J11 J13:J95">
    <cfRule type="expression" dxfId="104" priority="2302" stopIfTrue="1">
      <formula>TipoOrçamento="Licitado"</formula>
    </cfRule>
  </conditionalFormatting>
  <conditionalFormatting sqref="O11 O13:O95">
    <cfRule type="expression" dxfId="103" priority="608" stopIfTrue="1">
      <formula>$J11=$C$2</formula>
    </cfRule>
    <cfRule type="expression" dxfId="102" priority="609" stopIfTrue="1">
      <formula>AND($J11&lt;&gt;"Serviço")</formula>
    </cfRule>
    <cfRule type="expression" dxfId="101" priority="610" stopIfTrue="1">
      <formula>CELL("proteger",O11)</formula>
    </cfRule>
  </conditionalFormatting>
  <conditionalFormatting sqref="N11 N14:N95">
    <cfRule type="expression" dxfId="100" priority="611" stopIfTrue="1">
      <formula>$J11=$C$2</formula>
    </cfRule>
    <cfRule type="expression" dxfId="99" priority="612" stopIfTrue="1">
      <formula>$J11&lt;&gt;"Serviço"</formula>
    </cfRule>
    <cfRule type="expression" dxfId="98" priority="613" stopIfTrue="1">
      <formula>CELL("proteger",N11)</formula>
    </cfRule>
  </conditionalFormatting>
  <conditionalFormatting sqref="N13">
    <cfRule type="expression" dxfId="97" priority="477" stopIfTrue="1">
      <formula>$J13=$C$2</formula>
    </cfRule>
    <cfRule type="expression" dxfId="96" priority="478" stopIfTrue="1">
      <formula>$J13&lt;&gt;"Serviço"</formula>
    </cfRule>
    <cfRule type="expression" dxfId="95" priority="479" stopIfTrue="1">
      <formula>CELL("proteger",N13)</formula>
    </cfRule>
  </conditionalFormatting>
  <dataValidations count="3">
    <dataValidation type="decimal" operator="greaterThan" allowBlank="1" showInputMessage="1" showErrorMessage="1" error="Apenas números decimais maiores que zero." sqref="Q11 Q13:Q95" xr:uid="{00000000-0002-0000-0200-000000000000}">
      <formula1>0</formula1>
    </dataValidation>
    <dataValidation type="list" errorStyle="warning" allowBlank="1" showInputMessage="1" showErrorMessage="1" error="Selecione um dos 5 BDI da lista._x000a__x000a_Caso tenha mais de 5 BDI nesta Planilha Orçamentária digite apenas valor percentual." sqref="R11 R13:R95" xr:uid="{00000000-0002-0000-0200-000001000000}">
      <formula1>Dados.Lista.BDI</formula1>
    </dataValidation>
    <dataValidation type="list" showInputMessage="1" showErrorMessage="1" errorTitle="Erro de Entrada" error="Selecione somente os itens da lista." promptTitle="Nível:" prompt="Selecione na lista o nível de itemização da Planilha." sqref="J11 J14:J95" xr:uid="{00000000-0002-0000-0200-000002000000}">
      <formula1>$C$2:$G$2</formula1>
    </dataValidation>
  </dataValidations>
  <pageMargins left="0.25" right="0.25" top="0.75" bottom="0.75" header="0.3" footer="0.3"/>
  <pageSetup paperSize="9" scale="69" fitToHeight="0" orientation="landscape" r:id="rId1"/>
  <headerFooter alignWithMargins="0">
    <oddHeader>&amp;C&amp;14I</oddHeader>
    <oddFooter>&amp;R&amp;P&amp;L27.476 v008   micro</oddFooter>
  </headerFooter>
  <ignoredErrors>
    <ignoredError sqref="K107 K110"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97642" r:id="rId4" name="CaixaArredQuant">
              <controlPr locked="0" defaultSize="0" print="0" autoFill="0" autoLine="0" autoPict="0">
                <anchor moveWithCells="1">
                  <from>
                    <xdr:col>15</xdr:col>
                    <xdr:colOff>428625</xdr:colOff>
                    <xdr:row>7</xdr:row>
                    <xdr:rowOff>114300</xdr:rowOff>
                  </from>
                  <to>
                    <xdr:col>15</xdr:col>
                    <xdr:colOff>847725</xdr:colOff>
                    <xdr:row>7</xdr:row>
                    <xdr:rowOff>342900</xdr:rowOff>
                  </to>
                </anchor>
              </controlPr>
            </control>
          </mc:Choice>
        </mc:AlternateContent>
        <mc:AlternateContent xmlns:mc="http://schemas.openxmlformats.org/markup-compatibility/2006">
          <mc:Choice Requires="x14">
            <control shapeId="197650" r:id="rId5" name="CaixaArredCustoUnit">
              <controlPr locked="0" defaultSize="0" print="0" autoFill="0" autoLine="0" autoPict="0">
                <anchor moveWithCells="1">
                  <from>
                    <xdr:col>16</xdr:col>
                    <xdr:colOff>419100</xdr:colOff>
                    <xdr:row>7</xdr:row>
                    <xdr:rowOff>114300</xdr:rowOff>
                  </from>
                  <to>
                    <xdr:col>16</xdr:col>
                    <xdr:colOff>838200</xdr:colOff>
                    <xdr:row>7</xdr:row>
                    <xdr:rowOff>342900</xdr:rowOff>
                  </to>
                </anchor>
              </controlPr>
            </control>
          </mc:Choice>
        </mc:AlternateContent>
        <mc:AlternateContent xmlns:mc="http://schemas.openxmlformats.org/markup-compatibility/2006">
          <mc:Choice Requires="x14">
            <control shapeId="197651" r:id="rId6" name="CaixaArredBDI">
              <controlPr locked="0" defaultSize="0" print="0" autoFill="0" autoLine="0" autoPict="0">
                <anchor moveWithCells="1">
                  <from>
                    <xdr:col>17</xdr:col>
                    <xdr:colOff>257175</xdr:colOff>
                    <xdr:row>7</xdr:row>
                    <xdr:rowOff>114300</xdr:rowOff>
                  </from>
                  <to>
                    <xdr:col>17</xdr:col>
                    <xdr:colOff>676275</xdr:colOff>
                    <xdr:row>7</xdr:row>
                    <xdr:rowOff>342900</xdr:rowOff>
                  </to>
                </anchor>
              </controlPr>
            </control>
          </mc:Choice>
        </mc:AlternateContent>
        <mc:AlternateContent xmlns:mc="http://schemas.openxmlformats.org/markup-compatibility/2006">
          <mc:Choice Requires="x14">
            <control shapeId="197652" r:id="rId7" name="CaixaArredPrecoUnit">
              <controlPr locked="0" defaultSize="0" print="0" autoFill="0" autoLine="0" autoPict="0">
                <anchor moveWithCells="1">
                  <from>
                    <xdr:col>18</xdr:col>
                    <xdr:colOff>333375</xdr:colOff>
                    <xdr:row>7</xdr:row>
                    <xdr:rowOff>114300</xdr:rowOff>
                  </from>
                  <to>
                    <xdr:col>18</xdr:col>
                    <xdr:colOff>752475</xdr:colOff>
                    <xdr:row>7</xdr:row>
                    <xdr:rowOff>342900</xdr:rowOff>
                  </to>
                </anchor>
              </controlPr>
            </control>
          </mc:Choice>
        </mc:AlternateContent>
        <mc:AlternateContent xmlns:mc="http://schemas.openxmlformats.org/markup-compatibility/2006">
          <mc:Choice Requires="x14">
            <control shapeId="197660" r:id="rId8" name="CaixaArredPrecoTotal">
              <controlPr locked="0" defaultSize="0" print="0" autoFill="0" autoLine="0" autoPict="0">
                <anchor moveWithCells="1">
                  <from>
                    <xdr:col>19</xdr:col>
                    <xdr:colOff>419100</xdr:colOff>
                    <xdr:row>7</xdr:row>
                    <xdr:rowOff>104775</xdr:rowOff>
                  </from>
                  <to>
                    <xdr:col>19</xdr:col>
                    <xdr:colOff>838200</xdr:colOff>
                    <xdr:row>7</xdr:row>
                    <xdr:rowOff>333375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2">
    <tabColor rgb="FFFFFF00"/>
  </sheetPr>
  <dimension ref="A1:U102"/>
  <sheetViews>
    <sheetView showGridLines="0" zoomScale="80" zoomScaleNormal="80" zoomScaleSheetLayoutView="100" workbookViewId="0">
      <pane xSplit="5" ySplit="10" topLeftCell="F71" activePane="bottomRight" state="frozen"/>
      <selection pane="topRight"/>
      <selection pane="bottomLeft"/>
      <selection pane="bottomRight" activeCell="F81" sqref="F81"/>
    </sheetView>
  </sheetViews>
  <sheetFormatPr defaultRowHeight="12.75" x14ac:dyDescent="0.2"/>
  <cols>
    <col min="1" max="1" width="12.7109375" customWidth="1"/>
    <col min="2" max="2" width="10.7109375" customWidth="1"/>
    <col min="3" max="3" width="60.5703125" customWidth="1"/>
    <col min="4" max="4" width="7.7109375" customWidth="1"/>
    <col min="5" max="5" width="12.7109375" customWidth="1"/>
    <col min="6" max="15" width="11.7109375" customWidth="1"/>
    <col min="16" max="16" width="0.85546875" customWidth="1"/>
    <col min="21" max="21" width="11.7109375" hidden="1" customWidth="1"/>
  </cols>
  <sheetData>
    <row r="1" spans="1:21" s="1" customFormat="1" ht="17.25" customHeight="1" x14ac:dyDescent="0.25">
      <c r="E1" s="71" t="s">
        <v>63</v>
      </c>
      <c r="F1" s="28" t="s">
        <v>64</v>
      </c>
      <c r="K1" s="14"/>
      <c r="O1"/>
    </row>
    <row r="2" spans="1:21" s="1" customFormat="1" ht="15.75" x14ac:dyDescent="0.25">
      <c r="D2" s="3"/>
      <c r="E2" s="71"/>
      <c r="F2" s="28"/>
      <c r="K2" s="15"/>
      <c r="O2"/>
    </row>
    <row r="3" spans="1:21" s="1" customFormat="1" x14ac:dyDescent="0.2"/>
    <row r="4" spans="1:21" s="1" customFormat="1" ht="39.950000000000003" customHeight="1" x14ac:dyDescent="0.2"/>
    <row r="5" spans="1:21" s="1" customFormat="1" ht="39.950000000000003" customHeight="1" x14ac:dyDescent="0.2"/>
    <row r="6" spans="1:21" s="1" customFormat="1" ht="20.25" customHeight="1" x14ac:dyDescent="0.2"/>
    <row r="7" spans="1:21" s="1" customFormat="1" ht="12.75" hidden="1" customHeight="1" x14ac:dyDescent="0.2">
      <c r="E7" s="192">
        <f ca="1">OFFSET(PO!$P$12,ROW($E7)-ROW(E$12),0)</f>
        <v>0</v>
      </c>
    </row>
    <row r="8" spans="1:21" s="1" customFormat="1" ht="9.9499999999999993" customHeight="1" x14ac:dyDescent="0.2"/>
    <row r="9" spans="1:21" s="1" customFormat="1" ht="60" customHeight="1" x14ac:dyDescent="0.2">
      <c r="B9" s="13"/>
      <c r="C9" s="10"/>
      <c r="D9" s="4"/>
      <c r="E9" s="124" t="s">
        <v>46</v>
      </c>
      <c r="F9" s="104" t="s">
        <v>242</v>
      </c>
      <c r="G9" s="104"/>
      <c r="H9" s="104"/>
      <c r="I9" s="104"/>
      <c r="J9" s="104"/>
      <c r="K9" s="104"/>
      <c r="L9" s="104"/>
      <c r="M9" s="104"/>
      <c r="N9" s="104"/>
      <c r="O9" s="104"/>
      <c r="U9" s="104"/>
    </row>
    <row r="10" spans="1:21" s="11" customFormat="1" ht="30" customHeight="1" x14ac:dyDescent="0.2">
      <c r="A10" s="105" t="s">
        <v>3</v>
      </c>
      <c r="B10" s="105" t="s">
        <v>147</v>
      </c>
      <c r="C10" s="105" t="s">
        <v>142</v>
      </c>
      <c r="D10" s="106" t="s">
        <v>158</v>
      </c>
      <c r="E10" s="105" t="s">
        <v>148</v>
      </c>
      <c r="F10" s="107">
        <f t="shared" ref="F10:O10" ca="1" si="0">IF(OFFSET(F10,0,-1)="Quantidade",1,OFFSET(F10,0,-1)+1)</f>
        <v>1</v>
      </c>
      <c r="G10" s="107">
        <f t="shared" ca="1" si="0"/>
        <v>2</v>
      </c>
      <c r="H10" s="107">
        <f t="shared" ca="1" si="0"/>
        <v>3</v>
      </c>
      <c r="I10" s="107">
        <f t="shared" ca="1" si="0"/>
        <v>4</v>
      </c>
      <c r="J10" s="107">
        <f t="shared" ca="1" si="0"/>
        <v>5</v>
      </c>
      <c r="K10" s="107">
        <f t="shared" ca="1" si="0"/>
        <v>6</v>
      </c>
      <c r="L10" s="107">
        <f t="shared" ca="1" si="0"/>
        <v>7</v>
      </c>
      <c r="M10" s="107">
        <f t="shared" ca="1" si="0"/>
        <v>8</v>
      </c>
      <c r="N10" s="107">
        <f t="shared" ca="1" si="0"/>
        <v>9</v>
      </c>
      <c r="O10" s="107">
        <f t="shared" ca="1" si="0"/>
        <v>10</v>
      </c>
      <c r="U10" s="107">
        <f ca="1">IF(OFFSET(U10,0,-1)="Quantidade",1,OFFSET(U10,0,-1)+1)</f>
        <v>1</v>
      </c>
    </row>
    <row r="11" spans="1:21" s="1" customFormat="1" hidden="1" x14ac:dyDescent="0.2">
      <c r="A11" s="110" t="str">
        <f ca="1">OFFSET(PO!J$12,ROW(A11)-ROW($A$12),0)</f>
        <v>Serviço</v>
      </c>
      <c r="B11" s="112" t="e">
        <f ca="1">IF($A11=0,"",OFFSET(PO!K$12,ROW(B11)-ROW(B$12),0))</f>
        <v>#VALUE!</v>
      </c>
      <c r="C11" s="109" t="str">
        <f ca="1">IF(OFFSET(PO!N$12,ROW(C11)-ROW(C$12),0)=0,"",OFFSET(PO!N$12,ROW(C11)-ROW(C$12),0))</f>
        <v/>
      </c>
      <c r="D11" s="111" t="str">
        <f ca="1">IF(OFFSET(PO!O$12,ROW(D11)-ROW(D$12),0)=0,"",OFFSET(PO!O$12,ROW(D11)-ROW(D$12),0))</f>
        <v/>
      </c>
      <c r="E11" s="141">
        <f ca="1">IF($A11&lt;&gt;"Serviço",0,ROUND(SUMIF($F$9:$P$9,"&lt;&gt;",$F11:$P11),15-13*PO!$X$3))</f>
        <v>0</v>
      </c>
      <c r="F11" s="183"/>
      <c r="G11" s="183"/>
      <c r="H11" s="183"/>
      <c r="I11" s="183"/>
      <c r="J11" s="183"/>
      <c r="K11" s="183"/>
      <c r="L11" s="183"/>
      <c r="M11" s="183"/>
      <c r="N11" s="183"/>
      <c r="O11" s="183"/>
      <c r="U11" s="183"/>
    </row>
    <row r="12" spans="1:21" s="1" customFormat="1" x14ac:dyDescent="0.2">
      <c r="A12" s="64" t="str">
        <f>PO!J12</f>
        <v>LOTE</v>
      </c>
      <c r="B12" s="64"/>
      <c r="C12" s="64" t="str">
        <f>PO!N12</f>
        <v>REFORMA DO CENTRO DE ASSISTÊNCIA A SAÚDE (CAS)</v>
      </c>
      <c r="D12" s="64"/>
      <c r="E12" s="184"/>
      <c r="F12" s="185"/>
      <c r="G12" s="185"/>
      <c r="H12" s="185"/>
      <c r="I12" s="185"/>
      <c r="J12" s="185"/>
      <c r="K12" s="185"/>
      <c r="L12" s="185"/>
      <c r="M12" s="185"/>
      <c r="N12" s="185"/>
      <c r="O12" s="185"/>
      <c r="U12" s="185"/>
    </row>
    <row r="13" spans="1:21" s="1" customFormat="1" x14ac:dyDescent="0.2">
      <c r="A13" s="108" t="str">
        <f ca="1">OFFSET(PO!J$12,ROW(A13)-ROW($A$12),0)</f>
        <v>Meta</v>
      </c>
      <c r="B13" s="112" t="str">
        <f ca="1">IF($A13=0,"",OFFSET(PO!K$12,ROW(B13)-ROW(B$12),0))</f>
        <v>1.</v>
      </c>
      <c r="C13" s="109" t="str">
        <f ca="1">IF(OFFSET(PO!N$12,ROW(C13)-ROW(C$12),0)=0,"",OFFSET(PO!N$12,ROW(C13)-ROW(C$12),0))</f>
        <v>REFORMA CAS</v>
      </c>
      <c r="D13" s="111" t="str">
        <f ca="1">IF(OFFSET(PO!O$12,ROW(D13)-ROW(D$12),0)=0,"",OFFSET(PO!O$12,ROW(D13)-ROW(D$12),0))</f>
        <v/>
      </c>
      <c r="E13" s="141">
        <f ca="1">IF($A13&lt;&gt;"Serviço",0,ROUND(SUMIF($F$9:$P$9,"&lt;&gt;",$F13:$P13),15-13*PO!$X$3))</f>
        <v>0</v>
      </c>
      <c r="F13" s="183"/>
      <c r="G13" s="183"/>
      <c r="H13" s="183"/>
      <c r="I13" s="183"/>
      <c r="J13" s="183"/>
      <c r="K13" s="183"/>
      <c r="L13" s="183"/>
      <c r="M13" s="183"/>
      <c r="N13" s="183"/>
      <c r="O13" s="183"/>
      <c r="U13" s="183"/>
    </row>
    <row r="14" spans="1:21" s="1" customFormat="1" x14ac:dyDescent="0.2">
      <c r="A14" s="110" t="str">
        <f ca="1">OFFSET(PO!J$12,ROW(A14)-ROW($A$12),0)</f>
        <v>Nível 2</v>
      </c>
      <c r="B14" s="112" t="str">
        <f ca="1">IF($A14=0,"",OFFSET(PO!K$12,ROW(B14)-ROW(B$12),0))</f>
        <v>1.1.</v>
      </c>
      <c r="C14" s="109" t="str">
        <f ca="1">IF(OFFSET(PO!N$12,ROW(C14)-ROW(C$12),0)=0,"",OFFSET(PO!N$12,ROW(C14)-ROW(C$12),0))</f>
        <v>SERVIÇOS INICIAIS</v>
      </c>
      <c r="D14" s="111" t="str">
        <f ca="1">IF(OFFSET(PO!O$12,ROW(D14)-ROW(D$12),0)=0,"",OFFSET(PO!O$12,ROW(D14)-ROW(D$12),0))</f>
        <v/>
      </c>
      <c r="E14" s="141">
        <f ca="1">IF($A14&lt;&gt;"Serviço",0,ROUND(SUMIF($F$9:$P$9,"&lt;&gt;",$F14:$P14),15-13*PO!$X$3))</f>
        <v>0</v>
      </c>
      <c r="F14" s="183"/>
      <c r="G14" s="183"/>
      <c r="H14" s="183"/>
      <c r="I14" s="183"/>
      <c r="J14" s="183"/>
      <c r="K14" s="183"/>
      <c r="L14" s="183"/>
      <c r="M14" s="183"/>
      <c r="N14" s="183"/>
      <c r="O14" s="183"/>
      <c r="U14" s="183"/>
    </row>
    <row r="15" spans="1:21" s="1" customFormat="1" ht="25.5" x14ac:dyDescent="0.2">
      <c r="A15" s="110" t="str">
        <f ca="1">OFFSET(PO!J$12,ROW(A15)-ROW($A$12),0)</f>
        <v>Serviço</v>
      </c>
      <c r="B15" s="112" t="str">
        <f ca="1">IF($A15=0,"",OFFSET(PO!K$12,ROW(B15)-ROW(B$12),0))</f>
        <v>1.1.1.</v>
      </c>
      <c r="C15" s="109" t="str">
        <f ca="1">IF(OFFSET(PO!N$12,ROW(C15)-ROW(C$12),0)=0,"",OFFSET(PO!N$12,ROW(C15)-ROW(C$12),0))</f>
        <v>LIMPEZA DE SUPERFÍCIE COM JATO DE ALTA PRESSÃO. AF_04/2019</v>
      </c>
      <c r="D15" s="111" t="str">
        <f ca="1">IF(OFFSET(PO!O$12,ROW(D15)-ROW(D$12),0)=0,"",OFFSET(PO!O$12,ROW(D15)-ROW(D$12),0))</f>
        <v>M2</v>
      </c>
      <c r="E15" s="141">
        <f ca="1">IF($A15&lt;&gt;"Serviço",0,ROUND(SUMIF($F$9:$P$9,"&lt;&gt;",$F15:$P15),15-13*PO!$X$3))</f>
        <v>628.51</v>
      </c>
      <c r="F15" s="183">
        <v>628.51</v>
      </c>
      <c r="G15" s="183"/>
      <c r="H15" s="183"/>
      <c r="I15" s="183"/>
      <c r="J15" s="183"/>
      <c r="K15" s="183"/>
      <c r="L15" s="183"/>
      <c r="M15" s="183"/>
      <c r="N15" s="183"/>
      <c r="O15" s="183"/>
      <c r="U15" s="183"/>
    </row>
    <row r="16" spans="1:21" s="1" customFormat="1" ht="38.25" x14ac:dyDescent="0.2">
      <c r="A16" s="110" t="str">
        <f ca="1">OFFSET(PO!J$12,ROW(A16)-ROW($A$12),0)</f>
        <v>Serviço</v>
      </c>
      <c r="B16" s="112" t="str">
        <f ca="1">IF($A16=0,"",OFFSET(PO!K$12,ROW(B16)-ROW(B$12),0))</f>
        <v>1.1.2.</v>
      </c>
      <c r="C16" s="109" t="str">
        <f ca="1">IF(OFFSET(PO!N$12,ROW(C16)-ROW(C$12),0)=0,"",OFFSET(PO!N$12,ROW(C16)-ROW(C$12),0))</f>
        <v>FORNECIMENTO E INSTALAÇÃO DE PLACA DE OBRA COM CHAPA GALVANIZADA E ESTRUTURA DE MADEIRA. AF_03/2022_PS</v>
      </c>
      <c r="D16" s="111" t="str">
        <f ca="1">IF(OFFSET(PO!O$12,ROW(D16)-ROW(D$12),0)=0,"",OFFSET(PO!O$12,ROW(D16)-ROW(D$12),0))</f>
        <v>M2</v>
      </c>
      <c r="E16" s="141">
        <f ca="1">IF($A16&lt;&gt;"Serviço",0,ROUND(SUMIF($F$9:$P$9,"&lt;&gt;",$F16:$P16),15-13*PO!$X$3))</f>
        <v>2.88</v>
      </c>
      <c r="F16" s="183">
        <v>2.88</v>
      </c>
      <c r="G16" s="183"/>
      <c r="H16" s="183"/>
      <c r="I16" s="183"/>
      <c r="J16" s="183"/>
      <c r="K16" s="183"/>
      <c r="L16" s="183"/>
      <c r="M16" s="183"/>
      <c r="N16" s="183"/>
      <c r="O16" s="183"/>
      <c r="U16" s="183"/>
    </row>
    <row r="17" spans="1:21" s="1" customFormat="1" x14ac:dyDescent="0.2">
      <c r="A17" s="110" t="str">
        <f ca="1">OFFSET(PO!J$12,ROW(A17)-ROW($A$12),0)</f>
        <v>Nível 2</v>
      </c>
      <c r="B17" s="112" t="str">
        <f ca="1">IF($A17=0,"",OFFSET(PO!K$12,ROW(B17)-ROW(B$12),0))</f>
        <v>1.2.</v>
      </c>
      <c r="C17" s="109" t="str">
        <f ca="1">IF(OFFSET(PO!N$12,ROW(C17)-ROW(C$12),0)=0,"",OFFSET(PO!N$12,ROW(C17)-ROW(C$12),0))</f>
        <v>REFORMA FACHADAS</v>
      </c>
      <c r="D17" s="111" t="str">
        <f ca="1">IF(OFFSET(PO!O$12,ROW(D17)-ROW(D$12),0)=0,"",OFFSET(PO!O$12,ROW(D17)-ROW(D$12),0))</f>
        <v/>
      </c>
      <c r="E17" s="141">
        <f ca="1">IF($A17&lt;&gt;"Serviço",0,ROUND(SUMIF($F$9:$P$9,"&lt;&gt;",$F17:$P17),15-13*PO!$X$3))</f>
        <v>0</v>
      </c>
      <c r="F17" s="183"/>
      <c r="G17" s="183"/>
      <c r="H17" s="183"/>
      <c r="I17" s="183"/>
      <c r="J17" s="183"/>
      <c r="K17" s="183"/>
      <c r="L17" s="183"/>
      <c r="M17" s="183"/>
      <c r="N17" s="183"/>
      <c r="O17" s="183"/>
      <c r="U17" s="183"/>
    </row>
    <row r="18" spans="1:21" s="1" customFormat="1" ht="51" x14ac:dyDescent="0.2">
      <c r="A18" s="110" t="str">
        <f ca="1">OFFSET(PO!J$12,ROW(A18)-ROW($A$12),0)</f>
        <v>Serviço</v>
      </c>
      <c r="B18" s="112" t="str">
        <f ca="1">IF($A18=0,"",OFFSET(PO!K$12,ROW(B18)-ROW(B$12),0))</f>
        <v>1.2.1.</v>
      </c>
      <c r="C18" s="109" t="str">
        <f ca="1">IF(OFFSET(PO!N$12,ROW(C18)-ROW(C$12),0)=0,"",OFFSET(PO!N$12,ROW(C18)-ROW(C$12),0))</f>
        <v>CHAPISCO APLICADO EM ALVENARIA (COM PRESENÇA DE VÃOS) E ESTRUTURAS DE CONCRETO DE FACHADA, COM COLHER DE PEDREIRO. ARGAMASSA TRAÇO 1:3 COM PREPARO EM BETONEIRA 400L. AF_10/2022</v>
      </c>
      <c r="D18" s="111" t="str">
        <f ca="1">IF(OFFSET(PO!O$12,ROW(D18)-ROW(D$12),0)=0,"",OFFSET(PO!O$12,ROW(D18)-ROW(D$12),0))</f>
        <v>M2</v>
      </c>
      <c r="E18" s="141">
        <f ca="1">IF($A18&lt;&gt;"Serviço",0,ROUND(SUMIF($F$9:$P$9,"&lt;&gt;",$F18:$P18),15-13*PO!$X$3))</f>
        <v>260.20999999999998</v>
      </c>
      <c r="F18" s="183">
        <v>260.20999999999998</v>
      </c>
      <c r="G18" s="183"/>
      <c r="H18" s="183"/>
      <c r="I18" s="183"/>
      <c r="J18" s="183"/>
      <c r="K18" s="183"/>
      <c r="L18" s="183"/>
      <c r="M18" s="183"/>
      <c r="N18" s="183"/>
      <c r="O18" s="183"/>
      <c r="U18" s="183"/>
    </row>
    <row r="19" spans="1:21" s="1" customFormat="1" ht="51" x14ac:dyDescent="0.2">
      <c r="A19" s="110" t="str">
        <f ca="1">OFFSET(PO!J$12,ROW(A19)-ROW($A$12),0)</f>
        <v>Serviço</v>
      </c>
      <c r="B19" s="112" t="str">
        <f ca="1">IF($A19=0,"",OFFSET(PO!K$12,ROW(B19)-ROW(B$12),0))</f>
        <v>1.2.2.</v>
      </c>
      <c r="C19" s="109" t="str">
        <f ca="1">IF(OFFSET(PO!N$12,ROW(C19)-ROW(C$12),0)=0,"",OFFSET(PO!N$12,ROW(C19)-ROW(C$12),0))</f>
        <v>EMBOÇO OU MASSA ÚNICA EM ARGAMASSA TRAÇO 1:2:8, PREPARO MANUAL, APLICADA MANUALMENTE EM PANOS DE FACHADA COM PRESENÇA DE VÃOS, ESPESSURA DE 25 MM. AF_08/2022</v>
      </c>
      <c r="D19" s="111" t="str">
        <f ca="1">IF(OFFSET(PO!O$12,ROW(D19)-ROW(D$12),0)=0,"",OFFSET(PO!O$12,ROW(D19)-ROW(D$12),0))</f>
        <v>M2</v>
      </c>
      <c r="E19" s="141">
        <f ca="1">IF($A19&lt;&gt;"Serviço",0,ROUND(SUMIF($F$9:$P$9,"&lt;&gt;",$F19:$P19),15-13*PO!$X$3))</f>
        <v>260.20999999999998</v>
      </c>
      <c r="F19" s="183">
        <v>260.20999999999998</v>
      </c>
      <c r="G19" s="183"/>
      <c r="H19" s="183"/>
      <c r="I19" s="183"/>
      <c r="J19" s="183"/>
      <c r="K19" s="183"/>
      <c r="L19" s="183"/>
      <c r="M19" s="183"/>
      <c r="N19" s="183"/>
      <c r="O19" s="183"/>
      <c r="U19" s="183"/>
    </row>
    <row r="20" spans="1:21" s="1" customFormat="1" ht="25.5" x14ac:dyDescent="0.2">
      <c r="A20" s="110" t="str">
        <f ca="1">OFFSET(PO!J$12,ROW(A20)-ROW($A$12),0)</f>
        <v>Serviço</v>
      </c>
      <c r="B20" s="112" t="str">
        <f ca="1">IF($A20=0,"",OFFSET(PO!K$12,ROW(B20)-ROW(B$12),0))</f>
        <v>1.2.3.</v>
      </c>
      <c r="C20" s="109" t="str">
        <f ca="1">IF(OFFSET(PO!N$12,ROW(C20)-ROW(C$12),0)=0,"",OFFSET(PO!N$12,ROW(C20)-ROW(C$12),0))</f>
        <v>APLICAÇÃO MANUAL DE FUNDO SELADOR ACRÍLICO EM PAREDES EXTERNAS DE CASAS. AF_03/2024</v>
      </c>
      <c r="D20" s="111" t="str">
        <f ca="1">IF(OFFSET(PO!O$12,ROW(D20)-ROW(D$12),0)=0,"",OFFSET(PO!O$12,ROW(D20)-ROW(D$12),0))</f>
        <v>M2</v>
      </c>
      <c r="E20" s="141">
        <f ca="1">IF($A20&lt;&gt;"Serviço",0,ROUND(SUMIF($F$9:$P$9,"&lt;&gt;",$F20:$P20),15-13*PO!$X$3))</f>
        <v>260.20999999999998</v>
      </c>
      <c r="F20" s="183">
        <v>260.20999999999998</v>
      </c>
      <c r="G20" s="183"/>
      <c r="H20" s="183"/>
      <c r="I20" s="183"/>
      <c r="J20" s="183"/>
      <c r="K20" s="183"/>
      <c r="L20" s="183"/>
      <c r="M20" s="183"/>
      <c r="N20" s="183"/>
      <c r="O20" s="183"/>
      <c r="U20" s="183"/>
    </row>
    <row r="21" spans="1:21" s="1" customFormat="1" ht="25.5" x14ac:dyDescent="0.2">
      <c r="A21" s="110" t="str">
        <f ca="1">OFFSET(PO!J$12,ROW(A21)-ROW($A$12),0)</f>
        <v>Serviço</v>
      </c>
      <c r="B21" s="112" t="str">
        <f ca="1">IF($A21=0,"",OFFSET(PO!K$12,ROW(B21)-ROW(B$12),0))</f>
        <v>1.2.4.</v>
      </c>
      <c r="C21" s="109" t="str">
        <f ca="1">IF(OFFSET(PO!N$12,ROW(C21)-ROW(C$12),0)=0,"",OFFSET(PO!N$12,ROW(C21)-ROW(C$12),0))</f>
        <v>APLICAÇÃO MANUAL DE TINTA LÁTEX ACRÍLICA EM PAREDE EXTERNAS DE CASAS, DUAS DEMÃOS. AF_03/2024</v>
      </c>
      <c r="D21" s="111" t="str">
        <f ca="1">IF(OFFSET(PO!O$12,ROW(D21)-ROW(D$12),0)=0,"",OFFSET(PO!O$12,ROW(D21)-ROW(D$12),0))</f>
        <v>M2</v>
      </c>
      <c r="E21" s="141">
        <f ca="1">IF($A21&lt;&gt;"Serviço",0,ROUND(SUMIF($F$9:$P$9,"&lt;&gt;",$F21:$P21),15-13*PO!$X$3))</f>
        <v>260.20999999999998</v>
      </c>
      <c r="F21" s="183">
        <v>260.20999999999998</v>
      </c>
      <c r="G21" s="183"/>
      <c r="H21" s="183"/>
      <c r="I21" s="183"/>
      <c r="J21" s="183"/>
      <c r="K21" s="183"/>
      <c r="L21" s="183"/>
      <c r="M21" s="183"/>
      <c r="N21" s="183"/>
      <c r="O21" s="183"/>
      <c r="U21" s="183"/>
    </row>
    <row r="22" spans="1:21" s="1" customFormat="1" x14ac:dyDescent="0.2">
      <c r="A22" s="110" t="str">
        <f ca="1">OFFSET(PO!J$12,ROW(A22)-ROW($A$12),0)</f>
        <v>Nível 2</v>
      </c>
      <c r="B22" s="112" t="str">
        <f ca="1">IF($A22=0,"",OFFSET(PO!K$12,ROW(B22)-ROW(B$12),0))</f>
        <v>1.3.</v>
      </c>
      <c r="C22" s="109" t="str">
        <f ca="1">IF(OFFSET(PO!N$12,ROW(C22)-ROW(C$12),0)=0,"",OFFSET(PO!N$12,ROW(C22)-ROW(C$12),0))</f>
        <v>TELHADO, FORROS E BEIRAIS</v>
      </c>
      <c r="D22" s="111" t="str">
        <f ca="1">IF(OFFSET(PO!O$12,ROW(D22)-ROW(D$12),0)=0,"",OFFSET(PO!O$12,ROW(D22)-ROW(D$12),0))</f>
        <v/>
      </c>
      <c r="E22" s="141">
        <f ca="1">IF($A22&lt;&gt;"Serviço",0,ROUND(SUMIF($F$9:$P$9,"&lt;&gt;",$F22:$P22),15-13*PO!$X$3))</f>
        <v>0</v>
      </c>
      <c r="F22" s="183"/>
      <c r="G22" s="183"/>
      <c r="H22" s="183"/>
      <c r="I22" s="183"/>
      <c r="J22" s="183"/>
      <c r="K22" s="183"/>
      <c r="L22" s="183"/>
      <c r="M22" s="183"/>
      <c r="N22" s="183"/>
      <c r="O22" s="183"/>
      <c r="U22" s="183"/>
    </row>
    <row r="23" spans="1:21" s="1" customFormat="1" ht="51" x14ac:dyDescent="0.2">
      <c r="A23" s="110" t="str">
        <f ca="1">OFFSET(PO!J$12,ROW(A23)-ROW($A$12),0)</f>
        <v>Serviço</v>
      </c>
      <c r="B23" s="112" t="str">
        <f ca="1">IF($A23=0,"",OFFSET(PO!K$12,ROW(B23)-ROW(B$12),0))</f>
        <v>1.3.1.</v>
      </c>
      <c r="C23" s="109" t="str">
        <f ca="1">IF(OFFSET(PO!N$12,ROW(C23)-ROW(C$12),0)=0,"",OFFSET(PO!N$12,ROW(C23)-ROW(C$12),0))</f>
        <v>COLOCAÇÃO DE FORRO DE PVC EM PLACAS 618 X 1243 X 10mm, PARA AMBIENTES COMERCIAIS, COR BRANCA, INCLUSIVE ESTRUTURA BIDERECIONAL DE FIXAÇÃO (SEM FORNECIMENTO DO FORRO) REF. (SINAPI 96486)</v>
      </c>
      <c r="D23" s="111" t="str">
        <f ca="1">IF(OFFSET(PO!O$12,ROW(D23)-ROW(D$12),0)=0,"",OFFSET(PO!O$12,ROW(D23)-ROW(D$12),0))</f>
        <v>M2</v>
      </c>
      <c r="E23" s="141">
        <f ca="1">IF($A23&lt;&gt;"Serviço",0,ROUND(SUMIF($F$9:$P$9,"&lt;&gt;",$F23:$P23),15-13*PO!$X$3))</f>
        <v>76.790000000000006</v>
      </c>
      <c r="F23" s="183">
        <v>76.790000000000006</v>
      </c>
      <c r="G23" s="183"/>
      <c r="H23" s="183"/>
      <c r="I23" s="183"/>
      <c r="J23" s="183"/>
      <c r="K23" s="183"/>
      <c r="L23" s="183"/>
      <c r="M23" s="183"/>
      <c r="N23" s="183"/>
      <c r="O23" s="183"/>
      <c r="U23" s="183"/>
    </row>
    <row r="24" spans="1:21" s="1" customFormat="1" ht="38.25" x14ac:dyDescent="0.2">
      <c r="A24" s="110" t="str">
        <f ca="1">OFFSET(PO!J$12,ROW(A24)-ROW($A$12),0)</f>
        <v>Serviço</v>
      </c>
      <c r="B24" s="112" t="str">
        <f ca="1">IF($A24=0,"",OFFSET(PO!K$12,ROW(B24)-ROW(B$12),0))</f>
        <v>1.3.2.</v>
      </c>
      <c r="C24" s="109" t="str">
        <f ca="1">IF(OFFSET(PO!N$12,ROW(C24)-ROW(C$12),0)=0,"",OFFSET(PO!N$12,ROW(C24)-ROW(C$12),0))</f>
        <v>FORRO EM RÉGUAS DE PVC, LISO, PARA AMBIENTES COMERCIAIS, INCLUSIVE ESTRUTURA BIDIRECIONAL DE FIXAÇÃO. AF_08/2023_PS</v>
      </c>
      <c r="D24" s="111" t="str">
        <f ca="1">IF(OFFSET(PO!O$12,ROW(D24)-ROW(D$12),0)=0,"",OFFSET(PO!O$12,ROW(D24)-ROW(D$12),0))</f>
        <v>M2</v>
      </c>
      <c r="E24" s="141">
        <f ca="1">IF($A24&lt;&gt;"Serviço",0,ROUND(SUMIF($F$9:$P$9,"&lt;&gt;",$F24:$P24),15-13*PO!$X$3))</f>
        <v>274.14</v>
      </c>
      <c r="F24" s="183">
        <v>274.14</v>
      </c>
      <c r="G24" s="183"/>
      <c r="H24" s="183"/>
      <c r="I24" s="183"/>
      <c r="J24" s="183"/>
      <c r="K24" s="183"/>
      <c r="L24" s="183"/>
      <c r="M24" s="183"/>
      <c r="N24" s="183"/>
      <c r="O24" s="183"/>
      <c r="U24" s="183"/>
    </row>
    <row r="25" spans="1:21" s="1" customFormat="1" ht="38.25" x14ac:dyDescent="0.2">
      <c r="A25" s="110" t="str">
        <f ca="1">OFFSET(PO!J$12,ROW(A25)-ROW($A$12),0)</f>
        <v>Serviço</v>
      </c>
      <c r="B25" s="112" t="str">
        <f ca="1">IF($A25=0,"",OFFSET(PO!K$12,ROW(B25)-ROW(B$12),0))</f>
        <v>1.3.3.</v>
      </c>
      <c r="C25" s="109" t="str">
        <f ca="1">IF(OFFSET(PO!N$12,ROW(C25)-ROW(C$12),0)=0,"",OFFSET(PO!N$12,ROW(C25)-ROW(C$12),0))</f>
        <v>FORRO EM RÉGUAS DE PVC, FRISADO, PARA AMBIENTES COMERCIAIS, INCLUSIVE ESTRUTURA BIDIRECIONAL DE FIXAÇÃO. AF_08/2023_PS</v>
      </c>
      <c r="D25" s="111" t="str">
        <f ca="1">IF(OFFSET(PO!O$12,ROW(D25)-ROW(D$12),0)=0,"",OFFSET(PO!O$12,ROW(D25)-ROW(D$12),0))</f>
        <v>M2</v>
      </c>
      <c r="E25" s="141">
        <f ca="1">IF($A25&lt;&gt;"Serviço",0,ROUND(SUMIF($F$9:$P$9,"&lt;&gt;",$F25:$P25),15-13*PO!$X$3))</f>
        <v>34</v>
      </c>
      <c r="F25" s="183">
        <v>34</v>
      </c>
      <c r="G25" s="183"/>
      <c r="H25" s="183"/>
      <c r="I25" s="183"/>
      <c r="J25" s="183"/>
      <c r="K25" s="183"/>
      <c r="L25" s="183"/>
      <c r="M25" s="183"/>
      <c r="N25" s="183"/>
      <c r="O25" s="183"/>
      <c r="U25" s="183"/>
    </row>
    <row r="26" spans="1:21" s="1" customFormat="1" ht="51" x14ac:dyDescent="0.2">
      <c r="A26" s="110" t="str">
        <f ca="1">OFFSET(PO!J$12,ROW(A26)-ROW($A$12),0)</f>
        <v>Serviço</v>
      </c>
      <c r="B26" s="112" t="str">
        <f ca="1">IF($A26=0,"",OFFSET(PO!K$12,ROW(B26)-ROW(B$12),0))</f>
        <v>1.3.4.</v>
      </c>
      <c r="C26" s="109" t="str">
        <f ca="1">IF(OFFSET(PO!N$12,ROW(C26)-ROW(C$12),0)=0,"",OFFSET(PO!N$12,ROW(C26)-ROW(C$12),0))</f>
        <v>INSTALAÇÃO DE TESOURA (INTEIRA OU MEIA), BIAPOIADA, PARA VÃOS MAIORES OU IGUAIS A 6,0 M E MENORES QUE 8,0 M, INCLUSO IÇAMENTO. AF_07/2019 (SEM FORNECIMENTO DA TESOURA)</v>
      </c>
      <c r="D26" s="111" t="str">
        <f ca="1">IF(OFFSET(PO!O$12,ROW(D26)-ROW(D$12),0)=0,"",OFFSET(PO!O$12,ROW(D26)-ROW(D$12),0))</f>
        <v>UNIDADE</v>
      </c>
      <c r="E26" s="141">
        <f ca="1">IF($A26&lt;&gt;"Serviço",0,ROUND(SUMIF($F$9:$P$9,"&lt;&gt;",$F26:$P26),15-13*PO!$X$3))</f>
        <v>10</v>
      </c>
      <c r="F26" s="183">
        <v>10</v>
      </c>
      <c r="G26" s="183"/>
      <c r="H26" s="183"/>
      <c r="I26" s="183"/>
      <c r="J26" s="183"/>
      <c r="K26" s="183"/>
      <c r="L26" s="183"/>
      <c r="M26" s="183"/>
      <c r="N26" s="183"/>
      <c r="O26" s="183"/>
      <c r="U26" s="183"/>
    </row>
    <row r="27" spans="1:21" s="1" customFormat="1" ht="51" x14ac:dyDescent="0.2">
      <c r="A27" s="110" t="str">
        <f ca="1">OFFSET(PO!J$12,ROW(A27)-ROW($A$12),0)</f>
        <v>Serviço</v>
      </c>
      <c r="B27" s="112" t="str">
        <f ca="1">IF($A27=0,"",OFFSET(PO!K$12,ROW(B27)-ROW(B$12),0))</f>
        <v>1.3.5.</v>
      </c>
      <c r="C27" s="109" t="str">
        <f ca="1">IF(OFFSET(PO!N$12,ROW(C27)-ROW(C$12),0)=0,"",OFFSET(PO!N$12,ROW(C27)-ROW(C$12),0))</f>
        <v>TRAMA DE MADEIRA COMPOSTA POR TERÇAS PARA TELHADOS DE ATÉ 2 ÁGUAS PARA TELHA ONDULADA DE FIBROCIMENTO, METÁLICA, PLÁSTICA OU TERMOACÚSTICA, INCLUSO TRANSPORTE VERTICAL. AF_07/2019</v>
      </c>
      <c r="D27" s="111" t="str">
        <f ca="1">IF(OFFSET(PO!O$12,ROW(D27)-ROW(D$12),0)=0,"",OFFSET(PO!O$12,ROW(D27)-ROW(D$12),0))</f>
        <v>M2</v>
      </c>
      <c r="E27" s="141">
        <f ca="1">IF($A27&lt;&gt;"Serviço",0,ROUND(SUMIF($F$9:$P$9,"&lt;&gt;",$F27:$P27),15-13*PO!$X$3))</f>
        <v>111.27</v>
      </c>
      <c r="F27" s="183">
        <v>111.27</v>
      </c>
      <c r="G27" s="183"/>
      <c r="H27" s="183"/>
      <c r="I27" s="183"/>
      <c r="J27" s="183"/>
      <c r="K27" s="183"/>
      <c r="L27" s="183"/>
      <c r="M27" s="183"/>
      <c r="N27" s="183"/>
      <c r="O27" s="183"/>
      <c r="U27" s="183"/>
    </row>
    <row r="28" spans="1:21" s="1" customFormat="1" ht="25.5" x14ac:dyDescent="0.2">
      <c r="A28" s="110" t="str">
        <f ca="1">OFFSET(PO!J$12,ROW(A28)-ROW($A$12),0)</f>
        <v>Serviço</v>
      </c>
      <c r="B28" s="112" t="str">
        <f ca="1">IF($A28=0,"",OFFSET(PO!K$12,ROW(B28)-ROW(B$12),0))</f>
        <v>1.3.6.</v>
      </c>
      <c r="C28" s="109" t="str">
        <f ca="1">IF(OFFSET(PO!N$12,ROW(C28)-ROW(C$12),0)=0,"",OFFSET(PO!N$12,ROW(C28)-ROW(C$12),0))</f>
        <v>TELHAMENTO COM TELHA DE AÇO/ALUMÍNIO E = 0,5 MM, COM ATÉ 2 ÁGUAS, INCLUSO IÇAMENTO. AF_07/2019</v>
      </c>
      <c r="D28" s="111" t="str">
        <f ca="1">IF(OFFSET(PO!O$12,ROW(D28)-ROW(D$12),0)=0,"",OFFSET(PO!O$12,ROW(D28)-ROW(D$12),0))</f>
        <v>M2</v>
      </c>
      <c r="E28" s="141">
        <f ca="1">IF($A28&lt;&gt;"Serviço",0,ROUND(SUMIF($F$9:$P$9,"&lt;&gt;",$F28:$P28),15-13*PO!$X$3))</f>
        <v>111.27</v>
      </c>
      <c r="F28" s="183">
        <v>111.27</v>
      </c>
      <c r="G28" s="183"/>
      <c r="H28" s="183"/>
      <c r="I28" s="183"/>
      <c r="J28" s="183"/>
      <c r="K28" s="183"/>
      <c r="L28" s="183"/>
      <c r="M28" s="183"/>
      <c r="N28" s="183"/>
      <c r="O28" s="183"/>
      <c r="U28" s="183"/>
    </row>
    <row r="29" spans="1:21" s="1" customFormat="1" ht="38.25" x14ac:dyDescent="0.2">
      <c r="A29" s="110" t="str">
        <f ca="1">OFFSET(PO!J$12,ROW(A29)-ROW($A$12),0)</f>
        <v>Serviço</v>
      </c>
      <c r="B29" s="112" t="str">
        <f ca="1">IF($A29=0,"",OFFSET(PO!K$12,ROW(B29)-ROW(B$12),0))</f>
        <v>1.3.7.</v>
      </c>
      <c r="C29" s="109" t="str">
        <f ca="1">IF(OFFSET(PO!N$12,ROW(C29)-ROW(C$12),0)=0,"",OFFSET(PO!N$12,ROW(C29)-ROW(C$12),0))</f>
        <v>RUFO EXTERNO/INTERNO EM CHAPA DE AÇO GALVANIZADO NÚMERO 26, CORTE DE 33 CM, INCLUSO IÇAMENTO. AF_07/2019</v>
      </c>
      <c r="D29" s="111" t="str">
        <f ca="1">IF(OFFSET(PO!O$12,ROW(D29)-ROW(D$12),0)=0,"",OFFSET(PO!O$12,ROW(D29)-ROW(D$12),0))</f>
        <v>M</v>
      </c>
      <c r="E29" s="141">
        <f ca="1">IF($A29&lt;&gt;"Serviço",0,ROUND(SUMIF($F$9:$P$9,"&lt;&gt;",$F29:$P29),15-13*PO!$X$3))</f>
        <v>13.17</v>
      </c>
      <c r="F29" s="183">
        <v>13.17</v>
      </c>
      <c r="G29" s="183"/>
      <c r="H29" s="183"/>
      <c r="I29" s="183"/>
      <c r="J29" s="183"/>
      <c r="K29" s="183"/>
      <c r="L29" s="183"/>
      <c r="M29" s="183"/>
      <c r="N29" s="183"/>
      <c r="O29" s="183"/>
      <c r="U29" s="183"/>
    </row>
    <row r="30" spans="1:21" s="1" customFormat="1" ht="38.25" x14ac:dyDescent="0.2">
      <c r="A30" s="110" t="str">
        <f ca="1">OFFSET(PO!J$12,ROW(A30)-ROW($A$12),0)</f>
        <v>Serviço</v>
      </c>
      <c r="B30" s="112" t="str">
        <f ca="1">IF($A30=0,"",OFFSET(PO!K$12,ROW(B30)-ROW(B$12),0))</f>
        <v>1.3.8.</v>
      </c>
      <c r="C30" s="109" t="str">
        <f ca="1">IF(OFFSET(PO!N$12,ROW(C30)-ROW(C$12),0)=0,"",OFFSET(PO!N$12,ROW(C30)-ROW(C$12),0))</f>
        <v>RUFO EXTERNO/INTERNO EM CHAPA DE AÇO GALVANIZADO NÚMERO 26, CORTE DE 33 CM, INCLUSO IÇAMENTO. AF_07/2019</v>
      </c>
      <c r="D30" s="111" t="str">
        <f ca="1">IF(OFFSET(PO!O$12,ROW(D30)-ROW(D$12),0)=0,"",OFFSET(PO!O$12,ROW(D30)-ROW(D$12),0))</f>
        <v>M</v>
      </c>
      <c r="E30" s="141">
        <f ca="1">IF($A30&lt;&gt;"Serviço",0,ROUND(SUMIF($F$9:$P$9,"&lt;&gt;",$F30:$P30),15-13*PO!$X$3))</f>
        <v>28.68</v>
      </c>
      <c r="F30" s="183">
        <v>28.68</v>
      </c>
      <c r="G30" s="183"/>
      <c r="H30" s="183"/>
      <c r="I30" s="183"/>
      <c r="J30" s="183"/>
      <c r="K30" s="183"/>
      <c r="L30" s="183"/>
      <c r="M30" s="183"/>
      <c r="N30" s="183"/>
      <c r="O30" s="183"/>
      <c r="U30" s="183"/>
    </row>
    <row r="31" spans="1:21" s="1" customFormat="1" ht="38.25" x14ac:dyDescent="0.2">
      <c r="A31" s="110" t="str">
        <f ca="1">OFFSET(PO!J$12,ROW(A31)-ROW($A$12),0)</f>
        <v>Serviço</v>
      </c>
      <c r="B31" s="112" t="str">
        <f ca="1">IF($A31=0,"",OFFSET(PO!K$12,ROW(B31)-ROW(B$12),0))</f>
        <v>1.3.9.</v>
      </c>
      <c r="C31" s="109" t="str">
        <f ca="1">IF(OFFSET(PO!N$12,ROW(C31)-ROW(C$12),0)=0,"",OFFSET(PO!N$12,ROW(C31)-ROW(C$12),0))</f>
        <v>CALHA EM CHAPA DE AÇO GALVANIZADO NÚMERO 24, DESENVOLVIMENTO DE 50 CM, INCLUSO TRANSPORTE VERTICAL. AF_07/2019</v>
      </c>
      <c r="D31" s="111" t="str">
        <f ca="1">IF(OFFSET(PO!O$12,ROW(D31)-ROW(D$12),0)=0,"",OFFSET(PO!O$12,ROW(D31)-ROW(D$12),0))</f>
        <v>M</v>
      </c>
      <c r="E31" s="141">
        <f ca="1">IF($A31&lt;&gt;"Serviço",0,ROUND(SUMIF($F$9:$P$9,"&lt;&gt;",$F31:$P31),15-13*PO!$X$3))</f>
        <v>55.42</v>
      </c>
      <c r="F31" s="183">
        <v>55.42</v>
      </c>
      <c r="G31" s="183"/>
      <c r="H31" s="183"/>
      <c r="I31" s="183"/>
      <c r="J31" s="183"/>
      <c r="K31" s="183"/>
      <c r="L31" s="183"/>
      <c r="M31" s="183"/>
      <c r="N31" s="183"/>
      <c r="O31" s="183"/>
      <c r="U31" s="183"/>
    </row>
    <row r="32" spans="1:21" s="1" customFormat="1" ht="38.25" x14ac:dyDescent="0.2">
      <c r="A32" s="110" t="str">
        <f ca="1">OFFSET(PO!J$12,ROW(A32)-ROW($A$12),0)</f>
        <v>Serviço</v>
      </c>
      <c r="B32" s="112" t="str">
        <f ca="1">IF($A32=0,"",OFFSET(PO!K$12,ROW(B32)-ROW(B$12),0))</f>
        <v>1.3.10.</v>
      </c>
      <c r="C32" s="109" t="str">
        <f ca="1">IF(OFFSET(PO!N$12,ROW(C32)-ROW(C$12),0)=0,"",OFFSET(PO!N$12,ROW(C32)-ROW(C$12),0))</f>
        <v>TUBO PVC, SÉRIE R, ÁGUA PLUVIAL, DN 100 MM, FORNECIDO E INSTALADO EM CONDUTORES VERTICAIS DE ÁGUAS PLUVIAIS. AF_06/2022</v>
      </c>
      <c r="D32" s="111" t="str">
        <f ca="1">IF(OFFSET(PO!O$12,ROW(D32)-ROW(D$12),0)=0,"",OFFSET(PO!O$12,ROW(D32)-ROW(D$12),0))</f>
        <v>M</v>
      </c>
      <c r="E32" s="141">
        <f ca="1">IF($A32&lt;&gt;"Serviço",0,ROUND(SUMIF($F$9:$P$9,"&lt;&gt;",$F32:$P32),15-13*PO!$X$3))</f>
        <v>8.16</v>
      </c>
      <c r="F32" s="183">
        <v>8.16</v>
      </c>
      <c r="G32" s="183"/>
      <c r="H32" s="183"/>
      <c r="I32" s="183"/>
      <c r="J32" s="183"/>
      <c r="K32" s="183"/>
      <c r="L32" s="183"/>
      <c r="M32" s="183"/>
      <c r="N32" s="183"/>
      <c r="O32" s="183"/>
      <c r="U32" s="183"/>
    </row>
    <row r="33" spans="1:21" s="1" customFormat="1" x14ac:dyDescent="0.2">
      <c r="A33" s="110" t="str">
        <f ca="1">OFFSET(PO!J$12,ROW(A33)-ROW($A$12),0)</f>
        <v>Nível 2</v>
      </c>
      <c r="B33" s="112" t="str">
        <f ca="1">IF($A33=0,"",OFFSET(PO!K$12,ROW(B33)-ROW(B$12),0))</f>
        <v>1.4.</v>
      </c>
      <c r="C33" s="109" t="str">
        <f ca="1">IF(OFFSET(PO!N$12,ROW(C33)-ROW(C$12),0)=0,"",OFFSET(PO!N$12,ROW(C33)-ROW(C$12),0))</f>
        <v>REVESTIMENTO INTERNO</v>
      </c>
      <c r="D33" s="111" t="str">
        <f ca="1">IF(OFFSET(PO!O$12,ROW(D33)-ROW(D$12),0)=0,"",OFFSET(PO!O$12,ROW(D33)-ROW(D$12),0))</f>
        <v/>
      </c>
      <c r="E33" s="141">
        <f ca="1">IF($A33&lt;&gt;"Serviço",0,ROUND(SUMIF($F$9:$P$9,"&lt;&gt;",$F33:$P33),15-13*PO!$X$3))</f>
        <v>0</v>
      </c>
      <c r="F33" s="183"/>
      <c r="G33" s="183"/>
      <c r="H33" s="183"/>
      <c r="I33" s="183"/>
      <c r="J33" s="183"/>
      <c r="K33" s="183"/>
      <c r="L33" s="183"/>
      <c r="M33" s="183"/>
      <c r="N33" s="183"/>
      <c r="O33" s="183"/>
      <c r="U33" s="183"/>
    </row>
    <row r="34" spans="1:21" s="1" customFormat="1" ht="51" x14ac:dyDescent="0.2">
      <c r="A34" s="110" t="str">
        <f ca="1">OFFSET(PO!J$12,ROW(A34)-ROW($A$12),0)</f>
        <v>Serviço</v>
      </c>
      <c r="B34" s="112" t="str">
        <f ca="1">IF($A34=0,"",OFFSET(PO!K$12,ROW(B34)-ROW(B$12),0))</f>
        <v>1.4.1.</v>
      </c>
      <c r="C34" s="109" t="str">
        <f ca="1">IF(OFFSET(PO!N$12,ROW(C34)-ROW(C$12),0)=0,"",OFFSET(PO!N$12,ROW(C34)-ROW(C$12),0))</f>
        <v>CHAPISCO APLICADO EM ALVENARIA (COM PRESENÇA DE VÃOS) E ESTRUTURAS DE CONCRETO DE FACHADA, COM COLHER DE PEDREIRO. ARGAMASSA TRAÇO 1:3 COM PREPARO EM BETONEIRA 400L. AF_10/2022</v>
      </c>
      <c r="D34" s="111" t="str">
        <f ca="1">IF(OFFSET(PO!O$12,ROW(D34)-ROW(D$12),0)=0,"",OFFSET(PO!O$12,ROW(D34)-ROW(D$12),0))</f>
        <v>M2</v>
      </c>
      <c r="E34" s="141">
        <f ca="1">IF($A34&lt;&gt;"Serviço",0,ROUND(SUMIF($F$9:$P$9,"&lt;&gt;",$F34:$P34),15-13*PO!$X$3))</f>
        <v>285.88</v>
      </c>
      <c r="F34" s="183">
        <v>285.88</v>
      </c>
      <c r="G34" s="183"/>
      <c r="H34" s="183"/>
      <c r="I34" s="183"/>
      <c r="J34" s="183"/>
      <c r="K34" s="183"/>
      <c r="L34" s="183"/>
      <c r="M34" s="183"/>
      <c r="N34" s="183"/>
      <c r="O34" s="183"/>
      <c r="U34" s="183"/>
    </row>
    <row r="35" spans="1:21" s="1" customFormat="1" ht="51" x14ac:dyDescent="0.2">
      <c r="A35" s="110" t="str">
        <f ca="1">OFFSET(PO!J$12,ROW(A35)-ROW($A$12),0)</f>
        <v>Serviço</v>
      </c>
      <c r="B35" s="112" t="str">
        <f ca="1">IF($A35=0,"",OFFSET(PO!K$12,ROW(B35)-ROW(B$12),0))</f>
        <v>1.4.2.</v>
      </c>
      <c r="C35" s="109" t="str">
        <f ca="1">IF(OFFSET(PO!N$12,ROW(C35)-ROW(C$12),0)=0,"",OFFSET(PO!N$12,ROW(C35)-ROW(C$12),0))</f>
        <v>MASSA ÚNICA, EM ARGAMASSA TRAÇO 1:2:8, PREPARO MECÂNICO, APLICADA MANUALMENTE EM PAREDES INTERNAS DE AMBIENTES COM ÁREA ENTRE 5M² E 10M², E = 17,5MM, COM TALISCAS. AF_03/2024</v>
      </c>
      <c r="D35" s="111" t="str">
        <f ca="1">IF(OFFSET(PO!O$12,ROW(D35)-ROW(D$12),0)=0,"",OFFSET(PO!O$12,ROW(D35)-ROW(D$12),0))</f>
        <v>M2</v>
      </c>
      <c r="E35" s="141">
        <f ca="1">IF($A35&lt;&gt;"Serviço",0,ROUND(SUMIF($F$9:$P$9,"&lt;&gt;",$F35:$P35),15-13*PO!$X$3))</f>
        <v>285.88</v>
      </c>
      <c r="F35" s="183">
        <v>285.88</v>
      </c>
      <c r="G35" s="183"/>
      <c r="H35" s="183"/>
      <c r="I35" s="183"/>
      <c r="J35" s="183"/>
      <c r="K35" s="183"/>
      <c r="L35" s="183"/>
      <c r="M35" s="183"/>
      <c r="N35" s="183"/>
      <c r="O35" s="183"/>
      <c r="U35" s="183"/>
    </row>
    <row r="36" spans="1:21" s="1" customFormat="1" ht="25.5" x14ac:dyDescent="0.2">
      <c r="A36" s="110" t="str">
        <f ca="1">OFFSET(PO!J$12,ROW(A36)-ROW($A$12),0)</f>
        <v>Serviço</v>
      </c>
      <c r="B36" s="112" t="str">
        <f ca="1">IF($A36=0,"",OFFSET(PO!K$12,ROW(B36)-ROW(B$12),0))</f>
        <v>1.4.3.</v>
      </c>
      <c r="C36" s="109" t="str">
        <f ca="1">IF(OFFSET(PO!N$12,ROW(C36)-ROW(C$12),0)=0,"",OFFSET(PO!N$12,ROW(C36)-ROW(C$12),0))</f>
        <v>FUNDO SELADOR ACRÍLICO, APLICAÇÃO MANUAL EM PAREDE, UMA DEMÃO. AF_04/2023</v>
      </c>
      <c r="D36" s="111" t="str">
        <f ca="1">IF(OFFSET(PO!O$12,ROW(D36)-ROW(D$12),0)=0,"",OFFSET(PO!O$12,ROW(D36)-ROW(D$12),0))</f>
        <v>M2</v>
      </c>
      <c r="E36" s="141">
        <f ca="1">IF($A36&lt;&gt;"Serviço",0,ROUND(SUMIF($F$9:$P$9,"&lt;&gt;",$F36:$P36),15-13*PO!$X$3))</f>
        <v>457.78</v>
      </c>
      <c r="F36" s="183">
        <v>457.78</v>
      </c>
      <c r="G36" s="183"/>
      <c r="H36" s="183"/>
      <c r="I36" s="183"/>
      <c r="J36" s="183"/>
      <c r="K36" s="183"/>
      <c r="L36" s="183"/>
      <c r="M36" s="183"/>
      <c r="N36" s="183"/>
      <c r="O36" s="183"/>
      <c r="U36" s="183"/>
    </row>
    <row r="37" spans="1:21" s="1" customFormat="1" ht="25.5" x14ac:dyDescent="0.2">
      <c r="A37" s="110" t="str">
        <f ca="1">OFFSET(PO!J$12,ROW(A37)-ROW($A$12),0)</f>
        <v>Serviço</v>
      </c>
      <c r="B37" s="112" t="str">
        <f ca="1">IF($A37=0,"",OFFSET(PO!K$12,ROW(B37)-ROW(B$12),0))</f>
        <v>1.4.4.</v>
      </c>
      <c r="C37" s="109" t="str">
        <f ca="1">IF(OFFSET(PO!N$12,ROW(C37)-ROW(C$12),0)=0,"",OFFSET(PO!N$12,ROW(C37)-ROW(C$12),0))</f>
        <v>PINTURA LÁTEX ACRÍLICA PREMIUM, APLICAÇÃO MANUAL EM PAREDES, DUAS DEMÃOS. AF_04/2023</v>
      </c>
      <c r="D37" s="111" t="str">
        <f ca="1">IF(OFFSET(PO!O$12,ROW(D37)-ROW(D$12),0)=0,"",OFFSET(PO!O$12,ROW(D37)-ROW(D$12),0))</f>
        <v>M2</v>
      </c>
      <c r="E37" s="141">
        <f ca="1">IF($A37&lt;&gt;"Serviço",0,ROUND(SUMIF($F$9:$P$9,"&lt;&gt;",$F37:$P37),15-13*PO!$X$3))</f>
        <v>457.78</v>
      </c>
      <c r="F37" s="183">
        <v>457.78</v>
      </c>
      <c r="G37" s="183"/>
      <c r="H37" s="183"/>
      <c r="I37" s="183"/>
      <c r="J37" s="183"/>
      <c r="K37" s="183"/>
      <c r="L37" s="183"/>
      <c r="M37" s="183"/>
      <c r="N37" s="183"/>
      <c r="O37" s="183"/>
      <c r="U37" s="183"/>
    </row>
    <row r="38" spans="1:21" s="1" customFormat="1" ht="25.5" x14ac:dyDescent="0.2">
      <c r="A38" s="110" t="str">
        <f ca="1">OFFSET(PO!J$12,ROW(A38)-ROW($A$12),0)</f>
        <v>Serviço</v>
      </c>
      <c r="B38" s="112" t="str">
        <f ca="1">IF($A38=0,"",OFFSET(PO!K$12,ROW(B38)-ROW(B$12),0))</f>
        <v>1.4.5.</v>
      </c>
      <c r="C38" s="109" t="str">
        <f ca="1">IF(OFFSET(PO!N$12,ROW(C38)-ROW(C$12),0)=0,"",OFFSET(PO!N$12,ROW(C38)-ROW(C$12),0))</f>
        <v>PINTURA COM TINTA EPÓXI PARA PAREDE, COR BRANCA, DUAS DEMÃOS, INCLUSO FUNDO PREPARADOR</v>
      </c>
      <c r="D38" s="111" t="str">
        <f ca="1">IF(OFFSET(PO!O$12,ROW(D38)-ROW(D$12),0)=0,"",OFFSET(PO!O$12,ROW(D38)-ROW(D$12),0))</f>
        <v>M2</v>
      </c>
      <c r="E38" s="141">
        <f ca="1">IF($A38&lt;&gt;"Serviço",0,ROUND(SUMIF($F$9:$P$9,"&lt;&gt;",$F38:$P38),15-13*PO!$X$3))</f>
        <v>189.56</v>
      </c>
      <c r="F38" s="183">
        <v>189.56</v>
      </c>
      <c r="G38" s="183"/>
      <c r="H38" s="183"/>
      <c r="I38" s="183"/>
      <c r="J38" s="183"/>
      <c r="K38" s="183"/>
      <c r="L38" s="183"/>
      <c r="M38" s="183"/>
      <c r="N38" s="183"/>
      <c r="O38" s="183"/>
      <c r="U38" s="183"/>
    </row>
    <row r="39" spans="1:21" s="1" customFormat="1" ht="25.5" x14ac:dyDescent="0.2">
      <c r="A39" s="110" t="str">
        <f ca="1">OFFSET(PO!J$12,ROW(A39)-ROW($A$12),0)</f>
        <v>Serviço</v>
      </c>
      <c r="B39" s="112" t="str">
        <f ca="1">IF($A39=0,"",OFFSET(PO!K$12,ROW(B39)-ROW(B$12),0))</f>
        <v>1.4.6.</v>
      </c>
      <c r="C39" s="109" t="str">
        <f ca="1">IF(OFFSET(PO!N$12,ROW(C39)-ROW(C$12),0)=0,"",OFFSET(PO!N$12,ROW(C39)-ROW(C$12),0))</f>
        <v>DEMOLIÇÃO DE ALVENARIA DE BLOCO FURADO, DE FORMA MANUAL, SEM REAPROVEITAMENTO. AF_09/2023</v>
      </c>
      <c r="D39" s="111" t="str">
        <f ca="1">IF(OFFSET(PO!O$12,ROW(D39)-ROW(D$12),0)=0,"",OFFSET(PO!O$12,ROW(D39)-ROW(D$12),0))</f>
        <v>M3</v>
      </c>
      <c r="E39" s="141">
        <f ca="1">IF($A39&lt;&gt;"Serviço",0,ROUND(SUMIF($F$9:$P$9,"&lt;&gt;",$F39:$P39),15-13*PO!$X$3))</f>
        <v>0.28000000000000003</v>
      </c>
      <c r="F39" s="183">
        <v>0.28349999999999997</v>
      </c>
      <c r="G39" s="183"/>
      <c r="H39" s="183"/>
      <c r="I39" s="183"/>
      <c r="J39" s="183"/>
      <c r="K39" s="183"/>
      <c r="L39" s="183"/>
      <c r="M39" s="183"/>
      <c r="N39" s="183"/>
      <c r="O39" s="183"/>
      <c r="U39" s="183"/>
    </row>
    <row r="40" spans="1:21" s="1" customFormat="1" x14ac:dyDescent="0.2">
      <c r="A40" s="110" t="str">
        <f ca="1">OFFSET(PO!J$12,ROW(A40)-ROW($A$12),0)</f>
        <v>Nível 2</v>
      </c>
      <c r="B40" s="112" t="str">
        <f ca="1">IF($A40=0,"",OFFSET(PO!K$12,ROW(B40)-ROW(B$12),0))</f>
        <v>1.5.</v>
      </c>
      <c r="C40" s="109" t="str">
        <f ca="1">IF(OFFSET(PO!N$12,ROW(C40)-ROW(C$12),0)=0,"",OFFSET(PO!N$12,ROW(C40)-ROW(C$12),0))</f>
        <v>PISOS</v>
      </c>
      <c r="D40" s="111" t="str">
        <f ca="1">IF(OFFSET(PO!O$12,ROW(D40)-ROW(D$12),0)=0,"",OFFSET(PO!O$12,ROW(D40)-ROW(D$12),0))</f>
        <v/>
      </c>
      <c r="E40" s="141">
        <f ca="1">IF($A40&lt;&gt;"Serviço",0,ROUND(SUMIF($F$9:$P$9,"&lt;&gt;",$F40:$P40),15-13*PO!$X$3))</f>
        <v>0</v>
      </c>
      <c r="F40" s="183"/>
      <c r="G40" s="183"/>
      <c r="H40" s="183"/>
      <c r="I40" s="183"/>
      <c r="J40" s="183"/>
      <c r="K40" s="183"/>
      <c r="L40" s="183"/>
      <c r="M40" s="183"/>
      <c r="N40" s="183"/>
      <c r="O40" s="183"/>
      <c r="U40" s="183"/>
    </row>
    <row r="41" spans="1:21" s="1" customFormat="1" ht="38.25" x14ac:dyDescent="0.2">
      <c r="A41" s="110" t="str">
        <f ca="1">OFFSET(PO!J$12,ROW(A41)-ROW($A$12),0)</f>
        <v>Serviço</v>
      </c>
      <c r="B41" s="112" t="str">
        <f ca="1">IF($A41=0,"",OFFSET(PO!K$12,ROW(B41)-ROW(B$12),0))</f>
        <v>1.5.1.</v>
      </c>
      <c r="C41" s="109" t="str">
        <f ca="1">IF(OFFSET(PO!N$12,ROW(C41)-ROW(C$12),0)=0,"",OFFSET(PO!N$12,ROW(C41)-ROW(C$12),0))</f>
        <v>REVESTIMENTO CERÂMICO PARA PISO COM PLACAS TIPO ESMALTADA DE DIMENSÕES 60X60 CM APLICADA EM AMBIENTES DE ÁREA MAIOR QUE 10 M2. AF_02/2023_PE</v>
      </c>
      <c r="D41" s="111" t="str">
        <f ca="1">IF(OFFSET(PO!O$12,ROW(D41)-ROW(D$12),0)=0,"",OFFSET(PO!O$12,ROW(D41)-ROW(D$12),0))</f>
        <v>M2</v>
      </c>
      <c r="E41" s="141">
        <f ca="1">IF($A41&lt;&gt;"Serviço",0,ROUND(SUMIF($F$9:$P$9,"&lt;&gt;",$F41:$P41),15-13*PO!$X$3))</f>
        <v>346.78</v>
      </c>
      <c r="F41" s="183">
        <v>346.78</v>
      </c>
      <c r="G41" s="183"/>
      <c r="H41" s="183"/>
      <c r="I41" s="183"/>
      <c r="J41" s="183"/>
      <c r="K41" s="183"/>
      <c r="L41" s="183"/>
      <c r="M41" s="183"/>
      <c r="N41" s="183"/>
      <c r="O41" s="183"/>
      <c r="U41" s="183"/>
    </row>
    <row r="42" spans="1:21" s="1" customFormat="1" x14ac:dyDescent="0.2">
      <c r="A42" s="110" t="str">
        <f ca="1">OFFSET(PO!J$12,ROW(A42)-ROW($A$12),0)</f>
        <v>Nível 2</v>
      </c>
      <c r="B42" s="112" t="str">
        <f ca="1">IF($A42=0,"",OFFSET(PO!K$12,ROW(B42)-ROW(B$12),0))</f>
        <v>1.6.</v>
      </c>
      <c r="C42" s="109" t="str">
        <f ca="1">IF(OFFSET(PO!N$12,ROW(C42)-ROW(C$12),0)=0,"",OFFSET(PO!N$12,ROW(C42)-ROW(C$12),0))</f>
        <v>REVESTIMENTOS CERÂMICOS</v>
      </c>
      <c r="D42" s="111" t="str">
        <f ca="1">IF(OFFSET(PO!O$12,ROW(D42)-ROW(D$12),0)=0,"",OFFSET(PO!O$12,ROW(D42)-ROW(D$12),0))</f>
        <v/>
      </c>
      <c r="E42" s="141">
        <f ca="1">IF($A42&lt;&gt;"Serviço",0,ROUND(SUMIF($F$9:$P$9,"&lt;&gt;",$F42:$P42),15-13*PO!$X$3))</f>
        <v>0</v>
      </c>
      <c r="F42" s="183"/>
      <c r="G42" s="183"/>
      <c r="H42" s="183"/>
      <c r="I42" s="183"/>
      <c r="J42" s="183"/>
      <c r="K42" s="183"/>
      <c r="L42" s="183"/>
      <c r="M42" s="183"/>
      <c r="N42" s="183"/>
      <c r="O42" s="183"/>
      <c r="U42" s="183"/>
    </row>
    <row r="43" spans="1:21" s="1" customFormat="1" ht="51" x14ac:dyDescent="0.2">
      <c r="A43" s="110" t="str">
        <f ca="1">OFFSET(PO!J$12,ROW(A43)-ROW($A$12),0)</f>
        <v>Serviço</v>
      </c>
      <c r="B43" s="112" t="str">
        <f ca="1">IF($A43=0,"",OFFSET(PO!K$12,ROW(B43)-ROW(B$12),0))</f>
        <v>1.6.1.</v>
      </c>
      <c r="C43" s="109" t="str">
        <f ca="1">IF(OFFSET(PO!N$12,ROW(C43)-ROW(C$12),0)=0,"",OFFSET(PO!N$12,ROW(C43)-ROW(C$12),0))</f>
        <v>COLOCAÇÃO DE REVESTIMENTO CERÂMICO PARA PAREDES INTERNAS,  APLICADAS NA ALTURA INTEIRA DAS PAREDES. AF_02/2023_PE (SEM FORNECIMENTO DO REVESTIMENTO) REF. (SINAPI 87273)</v>
      </c>
      <c r="D43" s="111" t="str">
        <f ca="1">IF(OFFSET(PO!O$12,ROW(D43)-ROW(D$12),0)=0,"",OFFSET(PO!O$12,ROW(D43)-ROW(D$12),0))</f>
        <v>M2</v>
      </c>
      <c r="E43" s="141">
        <f ca="1">IF($A43&lt;&gt;"Serviço",0,ROUND(SUMIF($F$9:$P$9,"&lt;&gt;",$F43:$P43),15-13*PO!$X$3))</f>
        <v>125.88</v>
      </c>
      <c r="F43" s="183">
        <v>125.88</v>
      </c>
      <c r="G43" s="183"/>
      <c r="H43" s="183"/>
      <c r="I43" s="183"/>
      <c r="J43" s="183"/>
      <c r="K43" s="183"/>
      <c r="L43" s="183"/>
      <c r="M43" s="183"/>
      <c r="N43" s="183"/>
      <c r="O43" s="183"/>
      <c r="U43" s="183"/>
    </row>
    <row r="44" spans="1:21" s="1" customFormat="1" ht="25.5" x14ac:dyDescent="0.2">
      <c r="A44" s="110" t="str">
        <f ca="1">OFFSET(PO!J$12,ROW(A44)-ROW($A$12),0)</f>
        <v>Serviço</v>
      </c>
      <c r="B44" s="112" t="str">
        <f ca="1">IF($A44=0,"",OFFSET(PO!K$12,ROW(B44)-ROW(B$12),0))</f>
        <v>1.6.2.</v>
      </c>
      <c r="C44" s="109" t="str">
        <f ca="1">IF(OFFSET(PO!N$12,ROW(C44)-ROW(C$12),0)=0,"",OFFSET(PO!N$12,ROW(C44)-ROW(C$12),0))</f>
        <v>RODAPÉ CERÂMICO DE 7CM DE ALTURA COM PLACAS TIPO ESMALTADA DE DIMENSÕES 60X60CM. AF_02/2023</v>
      </c>
      <c r="D44" s="111" t="str">
        <f ca="1">IF(OFFSET(PO!O$12,ROW(D44)-ROW(D$12),0)=0,"",OFFSET(PO!O$12,ROW(D44)-ROW(D$12),0))</f>
        <v>M</v>
      </c>
      <c r="E44" s="141">
        <f ca="1">IF($A44&lt;&gt;"Serviço",0,ROUND(SUMIF($F$9:$P$9,"&lt;&gt;",$F44:$P44),15-13*PO!$X$3))</f>
        <v>295.04000000000002</v>
      </c>
      <c r="F44" s="183">
        <v>295.04000000000002</v>
      </c>
      <c r="G44" s="183"/>
      <c r="H44" s="183"/>
      <c r="I44" s="183"/>
      <c r="J44" s="183"/>
      <c r="K44" s="183"/>
      <c r="L44" s="183"/>
      <c r="M44" s="183"/>
      <c r="N44" s="183"/>
      <c r="O44" s="183"/>
      <c r="U44" s="183"/>
    </row>
    <row r="45" spans="1:21" s="1" customFormat="1" x14ac:dyDescent="0.2">
      <c r="A45" s="110" t="str">
        <f ca="1">OFFSET(PO!J$12,ROW(A45)-ROW($A$12),0)</f>
        <v>Nível 2</v>
      </c>
      <c r="B45" s="112" t="str">
        <f ca="1">IF($A45=0,"",OFFSET(PO!K$12,ROW(B45)-ROW(B$12),0))</f>
        <v>1.7.</v>
      </c>
      <c r="C45" s="109" t="str">
        <f ca="1">IF(OFFSET(PO!N$12,ROW(C45)-ROW(C$12),0)=0,"",OFFSET(PO!N$12,ROW(C45)-ROW(C$12),0))</f>
        <v>INSTALAÇÃO SANITÁRIAS E EQUIPAMENTOS</v>
      </c>
      <c r="D45" s="111" t="str">
        <f ca="1">IF(OFFSET(PO!O$12,ROW(D45)-ROW(D$12),0)=0,"",OFFSET(PO!O$12,ROW(D45)-ROW(D$12),0))</f>
        <v/>
      </c>
      <c r="E45" s="141">
        <f ca="1">IF($A45&lt;&gt;"Serviço",0,ROUND(SUMIF($F$9:$P$9,"&lt;&gt;",$F45:$P45),15-13*PO!$X$3))</f>
        <v>0</v>
      </c>
      <c r="F45" s="183"/>
      <c r="G45" s="183"/>
      <c r="H45" s="183"/>
      <c r="I45" s="183"/>
      <c r="J45" s="183"/>
      <c r="K45" s="183"/>
      <c r="L45" s="183"/>
      <c r="M45" s="183"/>
      <c r="N45" s="183"/>
      <c r="O45" s="183"/>
      <c r="U45" s="183"/>
    </row>
    <row r="46" spans="1:21" s="1" customFormat="1" ht="25.5" x14ac:dyDescent="0.2">
      <c r="A46" s="110" t="str">
        <f ca="1">OFFSET(PO!J$12,ROW(A46)-ROW($A$12),0)</f>
        <v>Serviço</v>
      </c>
      <c r="B46" s="112" t="str">
        <f ca="1">IF($A46=0,"",OFFSET(PO!K$12,ROW(B46)-ROW(B$12),0))</f>
        <v>1.7.1.</v>
      </c>
      <c r="C46" s="109" t="str">
        <f ca="1">IF(OFFSET(PO!N$12,ROW(C46)-ROW(C$12),0)=0,"",OFFSET(PO!N$12,ROW(C46)-ROW(C$12),0))</f>
        <v>CAIXA DE PASSAGEM ENTERRADA PARA ESGOTO 60X60X60</v>
      </c>
      <c r="D46" s="111" t="str">
        <f ca="1">IF(OFFSET(PO!O$12,ROW(D46)-ROW(D$12),0)=0,"",OFFSET(PO!O$12,ROW(D46)-ROW(D$12),0))</f>
        <v>UNIDADE</v>
      </c>
      <c r="E46" s="141">
        <f ca="1">IF($A46&lt;&gt;"Serviço",0,ROUND(SUMIF($F$9:$P$9,"&lt;&gt;",$F46:$P46),15-13*PO!$X$3))</f>
        <v>4</v>
      </c>
      <c r="F46" s="183">
        <v>4</v>
      </c>
      <c r="G46" s="183"/>
      <c r="H46" s="183"/>
      <c r="I46" s="183"/>
      <c r="J46" s="183"/>
      <c r="K46" s="183"/>
      <c r="L46" s="183"/>
      <c r="M46" s="183"/>
      <c r="N46" s="183"/>
      <c r="O46" s="183"/>
      <c r="U46" s="183"/>
    </row>
    <row r="47" spans="1:21" s="1" customFormat="1" ht="38.25" x14ac:dyDescent="0.2">
      <c r="A47" s="110" t="str">
        <f ca="1">OFFSET(PO!J$12,ROW(A47)-ROW($A$12),0)</f>
        <v>Serviço</v>
      </c>
      <c r="B47" s="112" t="str">
        <f ca="1">IF($A47=0,"",OFFSET(PO!K$12,ROW(B47)-ROW(B$12),0))</f>
        <v>1.7.2.</v>
      </c>
      <c r="C47" s="109" t="str">
        <f ca="1">IF(OFFSET(PO!N$12,ROW(C47)-ROW(C$12),0)=0,"",OFFSET(PO!N$12,ROW(C47)-ROW(C$12),0))</f>
        <v>TUBO PVC, SERIE NORMAL, ESGOTO PREDIAL, DN 100 MM, FORNECIDO E INSTALADO EM RAMAL DE DESCARGA OU RAMAL DE ESGOTO SANITÁRIO. AF_08/2022</v>
      </c>
      <c r="D47" s="111" t="str">
        <f ca="1">IF(OFFSET(PO!O$12,ROW(D47)-ROW(D$12),0)=0,"",OFFSET(PO!O$12,ROW(D47)-ROW(D$12),0))</f>
        <v>M</v>
      </c>
      <c r="E47" s="141">
        <f ca="1">IF($A47&lt;&gt;"Serviço",0,ROUND(SUMIF($F$9:$P$9,"&lt;&gt;",$F47:$P47),15-13*PO!$X$3))</f>
        <v>40</v>
      </c>
      <c r="F47" s="183">
        <v>40</v>
      </c>
      <c r="G47" s="183"/>
      <c r="H47" s="183"/>
      <c r="I47" s="183"/>
      <c r="J47" s="183"/>
      <c r="K47" s="183"/>
      <c r="L47" s="183"/>
      <c r="M47" s="183"/>
      <c r="N47" s="183"/>
      <c r="O47" s="183"/>
      <c r="U47" s="183"/>
    </row>
    <row r="48" spans="1:21" s="1" customFormat="1" ht="51" x14ac:dyDescent="0.2">
      <c r="A48" s="110" t="str">
        <f ca="1">OFFSET(PO!J$12,ROW(A48)-ROW($A$12),0)</f>
        <v>Serviço</v>
      </c>
      <c r="B48" s="112" t="str">
        <f ca="1">IF($A48=0,"",OFFSET(PO!K$12,ROW(B48)-ROW(B$12),0))</f>
        <v>1.7.3.</v>
      </c>
      <c r="C48" s="109" t="str">
        <f ca="1">IF(OFFSET(PO!N$12,ROW(C48)-ROW(C$12),0)=0,"",OFFSET(PO!N$12,ROW(C48)-ROW(C$12),0))</f>
        <v>VASO SANITÁRIO SIFONADO COM CAIXA ACOPLADA LOUÇA BRANCA - PADRÃO MÉDIO, INCLUSO ENGATE FLEXÍVEL EM METAL CROMADO, 1/2 X 40CM - FORNECIMENTO E INSTALAÇÃO. AF_01/2020</v>
      </c>
      <c r="D48" s="111" t="str">
        <f ca="1">IF(OFFSET(PO!O$12,ROW(D48)-ROW(D$12),0)=0,"",OFFSET(PO!O$12,ROW(D48)-ROW(D$12),0))</f>
        <v>UN</v>
      </c>
      <c r="E48" s="141">
        <f ca="1">IF($A48&lt;&gt;"Serviço",0,ROUND(SUMIF($F$9:$P$9,"&lt;&gt;",$F48:$P48),15-13*PO!$X$3))</f>
        <v>3</v>
      </c>
      <c r="F48" s="183">
        <v>3</v>
      </c>
      <c r="G48" s="183"/>
      <c r="H48" s="183"/>
      <c r="I48" s="183"/>
      <c r="J48" s="183"/>
      <c r="K48" s="183"/>
      <c r="L48" s="183"/>
      <c r="M48" s="183"/>
      <c r="N48" s="183"/>
      <c r="O48" s="183"/>
      <c r="U48" s="183"/>
    </row>
    <row r="49" spans="1:21" s="1" customFormat="1" ht="51" x14ac:dyDescent="0.2">
      <c r="A49" s="110" t="str">
        <f ca="1">OFFSET(PO!J$12,ROW(A49)-ROW($A$12),0)</f>
        <v>Serviço</v>
      </c>
      <c r="B49" s="112" t="str">
        <f ca="1">IF($A49=0,"",OFFSET(PO!K$12,ROW(B49)-ROW(B$12),0))</f>
        <v>1.7.4.</v>
      </c>
      <c r="C49" s="109" t="str">
        <f ca="1">IF(OFFSET(PO!N$12,ROW(C49)-ROW(C$12),0)=0,"",OFFSET(PO!N$12,ROW(C49)-ROW(C$12),0))</f>
        <v>VASO SANITARIO SIFONADO CONVENCIONAL PARA PCD SEM FURO FRONTAL COM LOUÇA BRANCA SEM ASSENTO, INCLUSO CONJUNTO DE LIGAÇÃO PARA BACIA SANITÁRIA AJUSTÁVEL - FORNECIMENTO E INSTALAÇÃO. AF_01/2020</v>
      </c>
      <c r="D49" s="111" t="str">
        <f ca="1">IF(OFFSET(PO!O$12,ROW(D49)-ROW(D$12),0)=0,"",OFFSET(PO!O$12,ROW(D49)-ROW(D$12),0))</f>
        <v>UN</v>
      </c>
      <c r="E49" s="141">
        <f ca="1">IF($A49&lt;&gt;"Serviço",0,ROUND(SUMIF($F$9:$P$9,"&lt;&gt;",$F49:$P49),15-13*PO!$X$3))</f>
        <v>1</v>
      </c>
      <c r="F49" s="183">
        <v>1</v>
      </c>
      <c r="G49" s="183"/>
      <c r="H49" s="183"/>
      <c r="I49" s="183"/>
      <c r="J49" s="183"/>
      <c r="K49" s="183"/>
      <c r="L49" s="183"/>
      <c r="M49" s="183"/>
      <c r="N49" s="183"/>
      <c r="O49" s="183"/>
      <c r="U49" s="183"/>
    </row>
    <row r="50" spans="1:21" s="1" customFormat="1" ht="38.25" x14ac:dyDescent="0.2">
      <c r="A50" s="110" t="str">
        <f ca="1">OFFSET(PO!J$12,ROW(A50)-ROW($A$12),0)</f>
        <v>Serviço</v>
      </c>
      <c r="B50" s="112" t="str">
        <f ca="1">IF($A50=0,"",OFFSET(PO!K$12,ROW(B50)-ROW(B$12),0))</f>
        <v>1.7.5.</v>
      </c>
      <c r="C50" s="109" t="str">
        <f ca="1">IF(OFFSET(PO!N$12,ROW(C50)-ROW(C$12),0)=0,"",OFFSET(PO!N$12,ROW(C50)-ROW(C$12),0))</f>
        <v>BARRA DE APOIO RETA, EM ACO INOX POLIDO, COMPRIMENTO 90 CM, FIXADA NA PAREDE - FORNECIMENTO E INSTALAÇÃO. AF_01/2020</v>
      </c>
      <c r="D50" s="111" t="str">
        <f ca="1">IF(OFFSET(PO!O$12,ROW(D50)-ROW(D$12),0)=0,"",OFFSET(PO!O$12,ROW(D50)-ROW(D$12),0))</f>
        <v>UN</v>
      </c>
      <c r="E50" s="141">
        <f ca="1">IF($A50&lt;&gt;"Serviço",0,ROUND(SUMIF($F$9:$P$9,"&lt;&gt;",$F50:$P50),15-13*PO!$X$3))</f>
        <v>2</v>
      </c>
      <c r="F50" s="183">
        <v>2</v>
      </c>
      <c r="G50" s="183"/>
      <c r="H50" s="183"/>
      <c r="I50" s="183"/>
      <c r="J50" s="183"/>
      <c r="K50" s="183"/>
      <c r="L50" s="183"/>
      <c r="M50" s="183"/>
      <c r="N50" s="183"/>
      <c r="O50" s="183"/>
      <c r="U50" s="183"/>
    </row>
    <row r="51" spans="1:21" s="1" customFormat="1" ht="38.25" x14ac:dyDescent="0.2">
      <c r="A51" s="110" t="str">
        <f ca="1">OFFSET(PO!J$12,ROW(A51)-ROW($A$12),0)</f>
        <v>Serviço</v>
      </c>
      <c r="B51" s="112" t="str">
        <f ca="1">IF($A51=0,"",OFFSET(PO!K$12,ROW(B51)-ROW(B$12),0))</f>
        <v>1.7.6.</v>
      </c>
      <c r="C51" s="109" t="str">
        <f ca="1">IF(OFFSET(PO!N$12,ROW(C51)-ROW(C$12),0)=0,"",OFFSET(PO!N$12,ROW(C51)-ROW(C$12),0))</f>
        <v>INSTALAÇÃO DE LAVATÓRIO EM LOUÇA BRANCA COM COLUNA, SIFÃO, VÁLVULA, ENGATE E TORNEIRA (SEM FORNECIMENTO DOS MATERIAIS)</v>
      </c>
      <c r="D51" s="111" t="str">
        <f ca="1">IF(OFFSET(PO!O$12,ROW(D51)-ROW(D$12),0)=0,"",OFFSET(PO!O$12,ROW(D51)-ROW(D$12),0))</f>
        <v>UN</v>
      </c>
      <c r="E51" s="141">
        <f ca="1">IF($A51&lt;&gt;"Serviço",0,ROUND(SUMIF($F$9:$P$9,"&lt;&gt;",$F51:$P51),15-13*PO!$X$3))</f>
        <v>7</v>
      </c>
      <c r="F51" s="183">
        <v>7</v>
      </c>
      <c r="G51" s="183"/>
      <c r="H51" s="183"/>
      <c r="I51" s="183"/>
      <c r="J51" s="183"/>
      <c r="K51" s="183"/>
      <c r="L51" s="183"/>
      <c r="M51" s="183"/>
      <c r="N51" s="183"/>
      <c r="O51" s="183"/>
      <c r="U51" s="183"/>
    </row>
    <row r="52" spans="1:21" s="1" customFormat="1" x14ac:dyDescent="0.2">
      <c r="A52" s="110" t="str">
        <f ca="1">OFFSET(PO!J$12,ROW(A52)-ROW($A$12),0)</f>
        <v>Nível 2</v>
      </c>
      <c r="B52" s="112" t="str">
        <f ca="1">IF($A52=0,"",OFFSET(PO!K$12,ROW(B52)-ROW(B$12),0))</f>
        <v>1.8.</v>
      </c>
      <c r="C52" s="109" t="str">
        <f ca="1">IF(OFFSET(PO!N$12,ROW(C52)-ROW(C$12),0)=0,"",OFFSET(PO!N$12,ROW(C52)-ROW(C$12),0))</f>
        <v>ESQUADRIAS</v>
      </c>
      <c r="D52" s="111" t="str">
        <f ca="1">IF(OFFSET(PO!O$12,ROW(D52)-ROW(D$12),0)=0,"",OFFSET(PO!O$12,ROW(D52)-ROW(D$12),0))</f>
        <v/>
      </c>
      <c r="E52" s="141">
        <f ca="1">IF($A52&lt;&gt;"Serviço",0,ROUND(SUMIF($F$9:$P$9,"&lt;&gt;",$F52:$P52),15-13*PO!$X$3))</f>
        <v>0</v>
      </c>
      <c r="F52" s="183"/>
      <c r="G52" s="183"/>
      <c r="H52" s="183"/>
      <c r="I52" s="183"/>
      <c r="J52" s="183"/>
      <c r="K52" s="183"/>
      <c r="L52" s="183"/>
      <c r="M52" s="183"/>
      <c r="N52" s="183"/>
      <c r="O52" s="183"/>
      <c r="U52" s="183"/>
    </row>
    <row r="53" spans="1:21" s="1" customFormat="1" ht="38.25" x14ac:dyDescent="0.2">
      <c r="A53" s="110" t="str">
        <f ca="1">OFFSET(PO!J$12,ROW(A53)-ROW($A$12),0)</f>
        <v>Serviço</v>
      </c>
      <c r="B53" s="112" t="str">
        <f ca="1">IF($A53=0,"",OFFSET(PO!K$12,ROW(B53)-ROW(B$12),0))</f>
        <v>1.8.1.</v>
      </c>
      <c r="C53" s="109" t="str">
        <f ca="1">IF(OFFSET(PO!N$12,ROW(C53)-ROW(C$12),0)=0,"",OFFSET(PO!N$12,ROW(C53)-ROW(C$12),0))</f>
        <v>MONTAGEM DE PORTA DE MADEIRA 90X210, COM BATENTE, ALIZARES E FERRAGENS (SEM FORNECIMENTO DOS MATERIAIS) AF_08.2022</v>
      </c>
      <c r="D53" s="111" t="str">
        <f ca="1">IF(OFFSET(PO!O$12,ROW(D53)-ROW(D$12),0)=0,"",OFFSET(PO!O$12,ROW(D53)-ROW(D$12),0))</f>
        <v>UN</v>
      </c>
      <c r="E53" s="141">
        <f ca="1">IF($A53&lt;&gt;"Serviço",0,ROUND(SUMIF($F$9:$P$9,"&lt;&gt;",$F53:$P53),15-13*PO!$X$3))</f>
        <v>17</v>
      </c>
      <c r="F53" s="183">
        <v>17</v>
      </c>
      <c r="G53" s="183"/>
      <c r="H53" s="183"/>
      <c r="I53" s="183"/>
      <c r="J53" s="183"/>
      <c r="K53" s="183"/>
      <c r="L53" s="183"/>
      <c r="M53" s="183"/>
      <c r="N53" s="183"/>
      <c r="O53" s="183"/>
      <c r="U53" s="183"/>
    </row>
    <row r="54" spans="1:21" s="1" customFormat="1" ht="38.25" x14ac:dyDescent="0.2">
      <c r="A54" s="110" t="str">
        <f ca="1">OFFSET(PO!J$12,ROW(A54)-ROW($A$12),0)</f>
        <v>Serviço</v>
      </c>
      <c r="B54" s="112" t="str">
        <f ca="1">IF($A54=0,"",OFFSET(PO!K$12,ROW(B54)-ROW(B$12),0))</f>
        <v>1.8.2.</v>
      </c>
      <c r="C54" s="109" t="str">
        <f ca="1">IF(OFFSET(PO!N$12,ROW(C54)-ROW(C$12),0)=0,"",OFFSET(PO!N$12,ROW(C54)-ROW(C$12),0))</f>
        <v>MONTAGEM DE PORTA DE MADEIRA 70X210, COM BATENTE, ALIZARES E FERRAGENS (SEM FORNECIMENTO DOS MATERIAIS) AF_08.2022</v>
      </c>
      <c r="D54" s="111" t="str">
        <f ca="1">IF(OFFSET(PO!O$12,ROW(D54)-ROW(D$12),0)=0,"",OFFSET(PO!O$12,ROW(D54)-ROW(D$12),0))</f>
        <v>UN</v>
      </c>
      <c r="E54" s="141">
        <f ca="1">IF($A54&lt;&gt;"Serviço",0,ROUND(SUMIF($F$9:$P$9,"&lt;&gt;",$F54:$P54),15-13*PO!$X$3))</f>
        <v>3</v>
      </c>
      <c r="F54" s="183">
        <v>3</v>
      </c>
      <c r="G54" s="183"/>
      <c r="H54" s="183"/>
      <c r="I54" s="183"/>
      <c r="J54" s="183"/>
      <c r="K54" s="183"/>
      <c r="L54" s="183"/>
      <c r="M54" s="183"/>
      <c r="N54" s="183"/>
      <c r="O54" s="183"/>
      <c r="U54" s="183"/>
    </row>
    <row r="55" spans="1:21" s="1" customFormat="1" ht="25.5" x14ac:dyDescent="0.2">
      <c r="A55" s="110" t="str">
        <f ca="1">OFFSET(PO!J$12,ROW(A55)-ROW($A$12),0)</f>
        <v>Serviço</v>
      </c>
      <c r="B55" s="112" t="str">
        <f ca="1">IF($A55=0,"",OFFSET(PO!K$12,ROW(B55)-ROW(B$12),0))</f>
        <v>1.8.3.</v>
      </c>
      <c r="C55" s="109" t="str">
        <f ca="1">IF(OFFSET(PO!N$12,ROW(C55)-ROW(C$12),0)=0,"",OFFSET(PO!N$12,ROW(C55)-ROW(C$12),0))</f>
        <v>PINTURA TINTA DE ACABAMENTO (PIGMENTADA) ESMALTE SINTÉTICO BRILHANTE EM MADEIRA, 3 DEMÃOS. AF_01/2021</v>
      </c>
      <c r="D55" s="111" t="str">
        <f ca="1">IF(OFFSET(PO!O$12,ROW(D55)-ROW(D$12),0)=0,"",OFFSET(PO!O$12,ROW(D55)-ROW(D$12),0))</f>
        <v>M2</v>
      </c>
      <c r="E55" s="141">
        <f ca="1">IF($A55&lt;&gt;"Serviço",0,ROUND(SUMIF($F$9:$P$9,"&lt;&gt;",$F55:$P55),15-13*PO!$X$3))</f>
        <v>73.08</v>
      </c>
      <c r="F55" s="183">
        <v>73.08</v>
      </c>
      <c r="G55" s="183"/>
      <c r="H55" s="183"/>
      <c r="I55" s="183"/>
      <c r="J55" s="183"/>
      <c r="K55" s="183"/>
      <c r="L55" s="183"/>
      <c r="M55" s="183"/>
      <c r="N55" s="183"/>
      <c r="O55" s="183"/>
      <c r="U55" s="183"/>
    </row>
    <row r="56" spans="1:21" s="1" customFormat="1" ht="25.5" x14ac:dyDescent="0.2">
      <c r="A56" s="110" t="str">
        <f ca="1">OFFSET(PO!J$12,ROW(A56)-ROW($A$12),0)</f>
        <v>Serviço</v>
      </c>
      <c r="B56" s="112" t="str">
        <f ca="1">IF($A56=0,"",OFFSET(PO!K$12,ROW(B56)-ROW(B$12),0))</f>
        <v>1.8.4.</v>
      </c>
      <c r="C56" s="109" t="str">
        <f ca="1">IF(OFFSET(PO!N$12,ROW(C56)-ROW(C$12),0)=0,"",OFFSET(PO!N$12,ROW(C56)-ROW(C$12),0))</f>
        <v>PORTA PIVOTANTE DE VIDRO TEMPERADO, 150X210 CM, ESPESSURA 10 MM, INCLUSIVE ACESSÓRIOS. AF_01/2021</v>
      </c>
      <c r="D56" s="111" t="str">
        <f ca="1">IF(OFFSET(PO!O$12,ROW(D56)-ROW(D$12),0)=0,"",OFFSET(PO!O$12,ROW(D56)-ROW(D$12),0))</f>
        <v>UN</v>
      </c>
      <c r="E56" s="141">
        <f ca="1">IF($A56&lt;&gt;"Serviço",0,ROUND(SUMIF($F$9:$P$9,"&lt;&gt;",$F56:$P56),15-13*PO!$X$3))</f>
        <v>1</v>
      </c>
      <c r="F56" s="183">
        <v>1</v>
      </c>
      <c r="G56" s="183"/>
      <c r="H56" s="183"/>
      <c r="I56" s="183"/>
      <c r="J56" s="183"/>
      <c r="K56" s="183"/>
      <c r="L56" s="183"/>
      <c r="M56" s="183"/>
      <c r="N56" s="183"/>
      <c r="O56" s="183"/>
      <c r="U56" s="183"/>
    </row>
    <row r="57" spans="1:21" s="1" customFormat="1" ht="25.5" x14ac:dyDescent="0.2">
      <c r="A57" s="110" t="str">
        <f ca="1">OFFSET(PO!J$12,ROW(A57)-ROW($A$12),0)</f>
        <v>Serviço</v>
      </c>
      <c r="B57" s="112" t="str">
        <f ca="1">IF($A57=0,"",OFFSET(PO!K$12,ROW(B57)-ROW(B$12),0))</f>
        <v>1.8.5.</v>
      </c>
      <c r="C57" s="109" t="str">
        <f ca="1">IF(OFFSET(PO!N$12,ROW(C57)-ROW(C$12),0)=0,"",OFFSET(PO!N$12,ROW(C57)-ROW(C$12),0))</f>
        <v>PORTA PIVOTANTE DE VIDRO TEMPERADO, 100X210 CM, ESPESSURA 10 MM, INCLUSIVE ACESSÓRIOS. AF_01/2021</v>
      </c>
      <c r="D57" s="111" t="str">
        <f ca="1">IF(OFFSET(PO!O$12,ROW(D57)-ROW(D$12),0)=0,"",OFFSET(PO!O$12,ROW(D57)-ROW(D$12),0))</f>
        <v>UN</v>
      </c>
      <c r="E57" s="141">
        <f ca="1">IF($A57&lt;&gt;"Serviço",0,ROUND(SUMIF($F$9:$P$9,"&lt;&gt;",$F57:$P57),15-13*PO!$X$3))</f>
        <v>1</v>
      </c>
      <c r="F57" s="183">
        <v>1</v>
      </c>
      <c r="G57" s="183"/>
      <c r="H57" s="183"/>
      <c r="I57" s="183"/>
      <c r="J57" s="183"/>
      <c r="K57" s="183"/>
      <c r="L57" s="183"/>
      <c r="M57" s="183"/>
      <c r="N57" s="183"/>
      <c r="O57" s="183"/>
      <c r="U57" s="183"/>
    </row>
    <row r="58" spans="1:21" s="1" customFormat="1" ht="25.5" x14ac:dyDescent="0.2">
      <c r="A58" s="110" t="str">
        <f ca="1">OFFSET(PO!J$12,ROW(A58)-ROW($A$12),0)</f>
        <v>Serviço</v>
      </c>
      <c r="B58" s="112" t="str">
        <f ca="1">IF($A58=0,"",OFFSET(PO!K$12,ROW(B58)-ROW(B$12),0))</f>
        <v>1.8.6.</v>
      </c>
      <c r="C58" s="109" t="str">
        <f ca="1">IF(OFFSET(PO!N$12,ROW(C58)-ROW(C$12),0)=0,"",OFFSET(PO!N$12,ROW(C58)-ROW(C$12),0))</f>
        <v>INSTALAÇÃO DE PUXADOR PARA PCD - FIXADO NA PORTA (SEM FORNECIMENTO DO PUXADOR) AF_08.2022</v>
      </c>
      <c r="D58" s="111" t="str">
        <f ca="1">IF(OFFSET(PO!O$12,ROW(D58)-ROW(D$12),0)=0,"",OFFSET(PO!O$12,ROW(D58)-ROW(D$12),0))</f>
        <v>UN</v>
      </c>
      <c r="E58" s="141">
        <f ca="1">IF($A58&lt;&gt;"Serviço",0,ROUND(SUMIF($F$9:$P$9,"&lt;&gt;",$F58:$P58),15-13*PO!$X$3))</f>
        <v>21</v>
      </c>
      <c r="F58" s="183">
        <v>21</v>
      </c>
      <c r="G58" s="183"/>
      <c r="H58" s="183"/>
      <c r="I58" s="183"/>
      <c r="J58" s="183"/>
      <c r="K58" s="183"/>
      <c r="L58" s="183"/>
      <c r="M58" s="183"/>
      <c r="N58" s="183"/>
      <c r="O58" s="183"/>
      <c r="U58" s="183"/>
    </row>
    <row r="59" spans="1:21" s="1" customFormat="1" ht="25.5" x14ac:dyDescent="0.2">
      <c r="A59" s="110" t="str">
        <f ca="1">OFFSET(PO!J$12,ROW(A59)-ROW($A$12),0)</f>
        <v>Serviço</v>
      </c>
      <c r="B59" s="112" t="str">
        <f ca="1">IF($A59=0,"",OFFSET(PO!K$12,ROW(B59)-ROW(B$12),0))</f>
        <v>1.8.7.</v>
      </c>
      <c r="C59" s="109" t="str">
        <f ca="1">IF(OFFSET(PO!N$12,ROW(C59)-ROW(C$12),0)=0,"",OFFSET(PO!N$12,ROW(C59)-ROW(C$12),0))</f>
        <v xml:space="preserve">INSTALAÇAO DE JANELA DE ALUMÍNIO MAXIM AR 60 X 80 CM (A X L) (SEM FORNECIMENTO DA JANELA) AF_08.2022                                                             </v>
      </c>
      <c r="D59" s="111" t="str">
        <f ca="1">IF(OFFSET(PO!O$12,ROW(D59)-ROW(D$12),0)=0,"",OFFSET(PO!O$12,ROW(D59)-ROW(D$12),0))</f>
        <v>M2</v>
      </c>
      <c r="E59" s="141">
        <f ca="1">IF($A59&lt;&gt;"Serviço",0,ROUND(SUMIF($F$9:$P$9,"&lt;&gt;",$F59:$P59),15-13*PO!$X$3))</f>
        <v>3.84</v>
      </c>
      <c r="F59" s="183">
        <v>3.84</v>
      </c>
      <c r="G59" s="183"/>
      <c r="H59" s="183"/>
      <c r="I59" s="183"/>
      <c r="J59" s="183"/>
      <c r="K59" s="183"/>
      <c r="L59" s="183"/>
      <c r="M59" s="183"/>
      <c r="N59" s="183"/>
      <c r="O59" s="183"/>
      <c r="U59" s="183"/>
    </row>
    <row r="60" spans="1:21" s="1" customFormat="1" ht="25.5" x14ac:dyDescent="0.2">
      <c r="A60" s="110" t="str">
        <f ca="1">OFFSET(PO!J$12,ROW(A60)-ROW($A$12),0)</f>
        <v>Serviço</v>
      </c>
      <c r="B60" s="112" t="str">
        <f ca="1">IF($A60=0,"",OFFSET(PO!K$12,ROW(B60)-ROW(B$12),0))</f>
        <v>1.8.8.</v>
      </c>
      <c r="C60" s="109" t="str">
        <f ca="1">IF(OFFSET(PO!N$12,ROW(C60)-ROW(C$12),0)=0,"",OFFSET(PO!N$12,ROW(C60)-ROW(C$12),0))</f>
        <v>INTALAÇÃO DE JANELA DE ALUMÍNIO DE CORRER (SEM FORNECIMENTO DA JANELA) AF_08.2022</v>
      </c>
      <c r="D60" s="111" t="str">
        <f ca="1">IF(OFFSET(PO!O$12,ROW(D60)-ROW(D$12),0)=0,"",OFFSET(PO!O$12,ROW(D60)-ROW(D$12),0))</f>
        <v>M2</v>
      </c>
      <c r="E60" s="141">
        <f ca="1">IF($A60&lt;&gt;"Serviço",0,ROUND(SUMIF($F$9:$P$9,"&lt;&gt;",$F60:$P60),15-13*PO!$X$3))</f>
        <v>14.2</v>
      </c>
      <c r="F60" s="183">
        <f>(5.4+2.4+6.4)</f>
        <v>14.200000000000001</v>
      </c>
      <c r="G60" s="183"/>
      <c r="H60" s="183"/>
      <c r="I60" s="183"/>
      <c r="J60" s="183"/>
      <c r="K60" s="183"/>
      <c r="L60" s="183"/>
      <c r="M60" s="183"/>
      <c r="N60" s="183"/>
      <c r="O60" s="183"/>
      <c r="U60" s="183"/>
    </row>
    <row r="61" spans="1:21" s="1" customFormat="1" ht="25.5" x14ac:dyDescent="0.2">
      <c r="A61" s="110" t="str">
        <f ca="1">OFFSET(PO!J$12,ROW(A61)-ROW($A$12),0)</f>
        <v>Serviço</v>
      </c>
      <c r="B61" s="112" t="str">
        <f ca="1">IF($A61=0,"",OFFSET(PO!K$12,ROW(B61)-ROW(B$12),0))</f>
        <v>1.8.9.</v>
      </c>
      <c r="C61" s="109" t="str">
        <f ca="1">IF(OFFSET(PO!N$12,ROW(C61)-ROW(C$12),0)=0,"",OFFSET(PO!N$12,ROW(C61)-ROW(C$12),0))</f>
        <v>TELA DE NYLON TIPO MOSQUITEIRO COM MOLDURA EM ALUMÍNIO ANODIZADO NATURAL. REF. ORSE (8970)</v>
      </c>
      <c r="D61" s="111" t="str">
        <f ca="1">IF(OFFSET(PO!O$12,ROW(D61)-ROW(D$12),0)=0,"",OFFSET(PO!O$12,ROW(D61)-ROW(D$12),0))</f>
        <v>M2</v>
      </c>
      <c r="E61" s="141">
        <f ca="1">IF($A61&lt;&gt;"Serviço",0,ROUND(SUMIF($F$9:$P$9,"&lt;&gt;",$F61:$P61),15-13*PO!$X$3))</f>
        <v>37.880000000000003</v>
      </c>
      <c r="F61" s="183">
        <v>37.880000000000003</v>
      </c>
      <c r="G61" s="183"/>
      <c r="H61" s="183"/>
      <c r="I61" s="183"/>
      <c r="J61" s="183"/>
      <c r="K61" s="183"/>
      <c r="L61" s="183"/>
      <c r="M61" s="183"/>
      <c r="N61" s="183"/>
      <c r="O61" s="183"/>
      <c r="U61" s="183"/>
    </row>
    <row r="62" spans="1:21" s="1" customFormat="1" x14ac:dyDescent="0.2">
      <c r="A62" s="110" t="str">
        <f ca="1">OFFSET(PO!J$12,ROW(A62)-ROW($A$12),0)</f>
        <v>Nível 2</v>
      </c>
      <c r="B62" s="112" t="str">
        <f ca="1">IF($A62=0,"",OFFSET(PO!K$12,ROW(B62)-ROW(B$12),0))</f>
        <v>1.9.</v>
      </c>
      <c r="C62" s="109" t="str">
        <f ca="1">IF(OFFSET(PO!N$12,ROW(C62)-ROW(C$12),0)=0,"",OFFSET(PO!N$12,ROW(C62)-ROW(C$12),0))</f>
        <v>INSTALAÇÕES ELÉTRICAS (MÃO DE OBRA)</v>
      </c>
      <c r="D62" s="111" t="str">
        <f ca="1">IF(OFFSET(PO!O$12,ROW(D62)-ROW(D$12),0)=0,"",OFFSET(PO!O$12,ROW(D62)-ROW(D$12),0))</f>
        <v/>
      </c>
      <c r="E62" s="141">
        <f ca="1">IF($A62&lt;&gt;"Serviço",0,ROUND(SUMIF($F$9:$P$9,"&lt;&gt;",$F62:$P62),15-13*PO!$X$3))</f>
        <v>0</v>
      </c>
      <c r="F62" s="183"/>
      <c r="G62" s="183"/>
      <c r="H62" s="183"/>
      <c r="I62" s="183"/>
      <c r="J62" s="183"/>
      <c r="K62" s="183"/>
      <c r="L62" s="183"/>
      <c r="M62" s="183"/>
      <c r="N62" s="183"/>
      <c r="O62" s="183"/>
      <c r="U62" s="183"/>
    </row>
    <row r="63" spans="1:21" s="1" customFormat="1" ht="25.5" x14ac:dyDescent="0.2">
      <c r="A63" s="110" t="str">
        <f ca="1">OFFSET(PO!J$12,ROW(A63)-ROW($A$12),0)</f>
        <v>Serviço</v>
      </c>
      <c r="B63" s="112" t="str">
        <f ca="1">IF($A63=0,"",OFFSET(PO!K$12,ROW(B63)-ROW(B$12),0))</f>
        <v>1.9.1.</v>
      </c>
      <c r="C63" s="109" t="str">
        <f ca="1">IF(OFFSET(PO!N$12,ROW(C63)-ROW(C$12),0)=0,"",OFFSET(PO!N$12,ROW(C63)-ROW(C$12),0))</f>
        <v>AUXILIAR DE ELETRICISTA COM ENCARGOS COMPLEMENTARES</v>
      </c>
      <c r="D63" s="111" t="str">
        <f ca="1">IF(OFFSET(PO!O$12,ROW(D63)-ROW(D$12),0)=0,"",OFFSET(PO!O$12,ROW(D63)-ROW(D$12),0))</f>
        <v>H</v>
      </c>
      <c r="E63" s="141">
        <f ca="1">IF($A63&lt;&gt;"Serviço",0,ROUND(SUMIF($F$9:$P$9,"&lt;&gt;",$F63:$P63),15-13*PO!$X$3))</f>
        <v>190</v>
      </c>
      <c r="F63" s="183">
        <v>190</v>
      </c>
      <c r="G63" s="183"/>
      <c r="H63" s="183"/>
      <c r="I63" s="183"/>
      <c r="J63" s="183"/>
      <c r="K63" s="183"/>
      <c r="L63" s="183"/>
      <c r="M63" s="183"/>
      <c r="N63" s="183"/>
      <c r="O63" s="183"/>
      <c r="U63" s="183"/>
    </row>
    <row r="64" spans="1:21" s="1" customFormat="1" x14ac:dyDescent="0.2">
      <c r="A64" s="110" t="str">
        <f ca="1">OFFSET(PO!J$12,ROW(A64)-ROW($A$12),0)</f>
        <v>Serviço</v>
      </c>
      <c r="B64" s="112" t="str">
        <f ca="1">IF($A64=0,"",OFFSET(PO!K$12,ROW(B64)-ROW(B$12),0))</f>
        <v>1.9.2.</v>
      </c>
      <c r="C64" s="109" t="str">
        <f ca="1">IF(OFFSET(PO!N$12,ROW(C64)-ROW(C$12),0)=0,"",OFFSET(PO!N$12,ROW(C64)-ROW(C$12),0))</f>
        <v>ELETRICISTA COM ENCARGOS COMPLEMENTARES</v>
      </c>
      <c r="D64" s="111" t="str">
        <f ca="1">IF(OFFSET(PO!O$12,ROW(D64)-ROW(D$12),0)=0,"",OFFSET(PO!O$12,ROW(D64)-ROW(D$12),0))</f>
        <v>H</v>
      </c>
      <c r="E64" s="141">
        <f ca="1">IF($A64&lt;&gt;"Serviço",0,ROUND(SUMIF($F$9:$P$9,"&lt;&gt;",$F64:$P64),15-13*PO!$X$3))</f>
        <v>210</v>
      </c>
      <c r="F64" s="183">
        <v>210</v>
      </c>
      <c r="G64" s="183"/>
      <c r="H64" s="183"/>
      <c r="I64" s="183"/>
      <c r="J64" s="183"/>
      <c r="K64" s="183"/>
      <c r="L64" s="183"/>
      <c r="M64" s="183"/>
      <c r="N64" s="183"/>
      <c r="O64" s="183"/>
      <c r="U64" s="183"/>
    </row>
    <row r="65" spans="1:21" s="1" customFormat="1" x14ac:dyDescent="0.2">
      <c r="A65" s="110" t="str">
        <f ca="1">OFFSET(PO!J$12,ROW(A65)-ROW($A$12),0)</f>
        <v>Serviço</v>
      </c>
      <c r="B65" s="112" t="str">
        <f ca="1">IF($A65=0,"",OFFSET(PO!K$12,ROW(B65)-ROW(B$12),0))</f>
        <v>1.9.3.</v>
      </c>
      <c r="C65" s="109" t="str">
        <f ca="1">IF(OFFSET(PO!N$12,ROW(C65)-ROW(C$12),0)=0,"",OFFSET(PO!N$12,ROW(C65)-ROW(C$12),0))</f>
        <v>LAMPADA LED TUBULAR BIVOLT 18/20 W, BASE G13</v>
      </c>
      <c r="D65" s="111" t="str">
        <f ca="1">IF(OFFSET(PO!O$12,ROW(D65)-ROW(D$12),0)=0,"",OFFSET(PO!O$12,ROW(D65)-ROW(D$12),0))</f>
        <v>UN</v>
      </c>
      <c r="E65" s="141">
        <f ca="1">IF($A65&lt;&gt;"Serviço",0,ROUND(SUMIF($F$9:$P$9,"&lt;&gt;",$F65:$P65),15-13*PO!$X$3))</f>
        <v>84</v>
      </c>
      <c r="F65" s="183">
        <v>84</v>
      </c>
      <c r="G65" s="183"/>
      <c r="H65" s="183"/>
      <c r="I65" s="183"/>
      <c r="J65" s="183"/>
      <c r="K65" s="183"/>
      <c r="L65" s="183"/>
      <c r="M65" s="183"/>
      <c r="N65" s="183"/>
      <c r="O65" s="183"/>
      <c r="U65" s="183"/>
    </row>
    <row r="66" spans="1:21" s="1" customFormat="1" ht="25.5" x14ac:dyDescent="0.2">
      <c r="A66" s="110" t="str">
        <f ca="1">OFFSET(PO!J$12,ROW(A66)-ROW($A$12),0)</f>
        <v>Nível 2</v>
      </c>
      <c r="B66" s="112" t="str">
        <f ca="1">IF($A66=0,"",OFFSET(PO!K$12,ROW(B66)-ROW(B$12),0))</f>
        <v>1.10.</v>
      </c>
      <c r="C66" s="109" t="str">
        <f ca="1">IF(OFFSET(PO!N$12,ROW(C66)-ROW(C$12),0)=0,"",OFFSET(PO!N$12,ROW(C66)-ROW(C$12),0))</f>
        <v>ALVENARIA E TELHADO PARA O ABRIGO PARA RESÍDUOS (2,3mx1,50m)</v>
      </c>
      <c r="D66" s="111" t="str">
        <f ca="1">IF(OFFSET(PO!O$12,ROW(D66)-ROW(D$12),0)=0,"",OFFSET(PO!O$12,ROW(D66)-ROW(D$12),0))</f>
        <v/>
      </c>
      <c r="E66" s="141">
        <f ca="1">IF($A66&lt;&gt;"Serviço",0,ROUND(SUMIF($F$9:$P$9,"&lt;&gt;",$F66:$P66),15-13*PO!$X$3))</f>
        <v>0</v>
      </c>
      <c r="F66" s="183"/>
      <c r="G66" s="183"/>
      <c r="H66" s="183"/>
      <c r="I66" s="183"/>
      <c r="J66" s="183"/>
      <c r="K66" s="183"/>
      <c r="L66" s="183"/>
      <c r="M66" s="183"/>
      <c r="N66" s="183"/>
      <c r="O66" s="183"/>
      <c r="U66" s="183"/>
    </row>
    <row r="67" spans="1:21" s="1" customFormat="1" ht="38.25" x14ac:dyDescent="0.2">
      <c r="A67" s="110" t="str">
        <f ca="1">OFFSET(PO!J$12,ROW(A67)-ROW($A$12),0)</f>
        <v>Serviço</v>
      </c>
      <c r="B67" s="112" t="str">
        <f ca="1">IF($A67=0,"",OFFSET(PO!K$12,ROW(B67)-ROW(B$12),0))</f>
        <v>1.10.1.</v>
      </c>
      <c r="C67" s="109" t="str">
        <f ca="1">IF(OFFSET(PO!N$12,ROW(C67)-ROW(C$12),0)=0,"",OFFSET(PO!N$12,ROW(C67)-ROW(C$12),0))</f>
        <v>CONCRETAGEM DE BLOCO DE COROAMENTO OU VIGA BALDRAME, FCK 30 MPA, COM USO DE BOMBA - LANÇAMENTO, ADENSAMENTO E ACABAMENTO. AF_01/2024</v>
      </c>
      <c r="D67" s="111" t="str">
        <f ca="1">IF(OFFSET(PO!O$12,ROW(D67)-ROW(D$12),0)=0,"",OFFSET(PO!O$12,ROW(D67)-ROW(D$12),0))</f>
        <v>M3</v>
      </c>
      <c r="E67" s="141">
        <f ca="1">IF($A67&lt;&gt;"Serviço",0,ROUND(SUMIF($F$9:$P$9,"&lt;&gt;",$F67:$P67),15-13*PO!$X$3))</f>
        <v>0.46</v>
      </c>
      <c r="F67" s="183">
        <v>0.45600000000000002</v>
      </c>
      <c r="G67" s="183"/>
      <c r="H67" s="183"/>
      <c r="I67" s="183"/>
      <c r="J67" s="183"/>
      <c r="K67" s="183"/>
      <c r="L67" s="183"/>
      <c r="M67" s="183"/>
      <c r="N67" s="183"/>
      <c r="O67" s="183"/>
      <c r="U67" s="183"/>
    </row>
    <row r="68" spans="1:21" s="1" customFormat="1" ht="38.25" x14ac:dyDescent="0.2">
      <c r="A68" s="110" t="str">
        <f ca="1">OFFSET(PO!J$12,ROW(A68)-ROW($A$12),0)</f>
        <v>Serviço</v>
      </c>
      <c r="B68" s="112" t="str">
        <f ca="1">IF($A68=0,"",OFFSET(PO!K$12,ROW(B68)-ROW(B$12),0))</f>
        <v>1.10.2.</v>
      </c>
      <c r="C68" s="109" t="str">
        <f ca="1">IF(OFFSET(PO!N$12,ROW(C68)-ROW(C$12),0)=0,"",OFFSET(PO!N$12,ROW(C68)-ROW(C$12),0))</f>
        <v>FABRICAÇÃO, MONTAGEM E DESMONTAGEM DE FÔRMA PARA VIGA BALDRAME, EM MADEIRA SERRADA, E=25 MM, 4 UTILIZAÇÕES. AF_01/2024</v>
      </c>
      <c r="D68" s="111" t="str">
        <f ca="1">IF(OFFSET(PO!O$12,ROW(D68)-ROW(D$12),0)=0,"",OFFSET(PO!O$12,ROW(D68)-ROW(D$12),0))</f>
        <v>M2</v>
      </c>
      <c r="E68" s="141">
        <f ca="1">IF($A68&lt;&gt;"Serviço",0,ROUND(SUMIF($F$9:$P$9,"&lt;&gt;",$F68:$P68),15-13*PO!$X$3))</f>
        <v>2.2799999999999998</v>
      </c>
      <c r="F68" s="183">
        <v>2.2799999999999998</v>
      </c>
      <c r="G68" s="183"/>
      <c r="H68" s="183"/>
      <c r="I68" s="183"/>
      <c r="J68" s="183"/>
      <c r="K68" s="183"/>
      <c r="L68" s="183"/>
      <c r="M68" s="183"/>
      <c r="N68" s="183"/>
      <c r="O68" s="183"/>
      <c r="U68" s="183"/>
    </row>
    <row r="69" spans="1:21" s="1" customFormat="1" ht="25.5" x14ac:dyDescent="0.2">
      <c r="A69" s="110" t="str">
        <f ca="1">OFFSET(PO!J$12,ROW(A69)-ROW($A$12),0)</f>
        <v>Serviço</v>
      </c>
      <c r="B69" s="112" t="str">
        <f ca="1">IF($A69=0,"",OFFSET(PO!K$12,ROW(B69)-ROW(B$12),0))</f>
        <v>1.10.3.</v>
      </c>
      <c r="C69" s="109" t="str">
        <f ca="1">IF(OFFSET(PO!N$12,ROW(C69)-ROW(C$12),0)=0,"",OFFSET(PO!N$12,ROW(C69)-ROW(C$12),0))</f>
        <v>ARMAÇÃO DE BLOCO UTILIZANDO AÇO CA-50 DE 6,3 MM - MONTAGEM. AF_01/2024</v>
      </c>
      <c r="D69" s="111" t="str">
        <f ca="1">IF(OFFSET(PO!O$12,ROW(D69)-ROW(D$12),0)=0,"",OFFSET(PO!O$12,ROW(D69)-ROW(D$12),0))</f>
        <v>KG</v>
      </c>
      <c r="E69" s="141">
        <f ca="1">IF($A69&lt;&gt;"Serviço",0,ROUND(SUMIF($F$9:$P$9,"&lt;&gt;",$F69:$P69),15-13*PO!$X$3))</f>
        <v>9.02</v>
      </c>
      <c r="F69" s="183">
        <v>9.016</v>
      </c>
      <c r="G69" s="183"/>
      <c r="H69" s="183"/>
      <c r="I69" s="183"/>
      <c r="J69" s="183"/>
      <c r="K69" s="183"/>
      <c r="L69" s="183"/>
      <c r="M69" s="183"/>
      <c r="N69" s="183"/>
      <c r="O69" s="183"/>
      <c r="U69" s="183"/>
    </row>
    <row r="70" spans="1:21" s="1" customFormat="1" ht="25.5" x14ac:dyDescent="0.2">
      <c r="A70" s="110" t="str">
        <f ca="1">OFFSET(PO!J$12,ROW(A70)-ROW($A$12),0)</f>
        <v>Serviço</v>
      </c>
      <c r="B70" s="112" t="str">
        <f ca="1">IF($A70=0,"",OFFSET(PO!K$12,ROW(B70)-ROW(B$12),0))</f>
        <v>1.10.4.</v>
      </c>
      <c r="C70" s="109" t="str">
        <f ca="1">IF(OFFSET(PO!N$12,ROW(C70)-ROW(C$12),0)=0,"",OFFSET(PO!N$12,ROW(C70)-ROW(C$12),0))</f>
        <v>IMPERMEABILIZAÇÃO DE SUPERFÍCIE COM EMULSÃO ASFÁLTICA, 2 DEMÃOS. AF_09/2023</v>
      </c>
      <c r="D70" s="111" t="str">
        <f ca="1">IF(OFFSET(PO!O$12,ROW(D70)-ROW(D$12),0)=0,"",OFFSET(PO!O$12,ROW(D70)-ROW(D$12),0))</f>
        <v>M2</v>
      </c>
      <c r="E70" s="141">
        <f ca="1">IF($A70&lt;&gt;"Serviço",0,ROUND(SUMIF($F$9:$P$9,"&lt;&gt;",$F70:$P70),15-13*PO!$X$3))</f>
        <v>7.6</v>
      </c>
      <c r="F70" s="183">
        <v>7.6</v>
      </c>
      <c r="G70" s="183"/>
      <c r="H70" s="183"/>
      <c r="I70" s="183"/>
      <c r="J70" s="183"/>
      <c r="K70" s="183"/>
      <c r="L70" s="183"/>
      <c r="M70" s="183"/>
      <c r="N70" s="183"/>
      <c r="O70" s="183"/>
      <c r="U70" s="183"/>
    </row>
    <row r="71" spans="1:21" s="1" customFormat="1" ht="38.25" x14ac:dyDescent="0.2">
      <c r="A71" s="110" t="str">
        <f ca="1">OFFSET(PO!J$12,ROW(A71)-ROW($A$12),0)</f>
        <v>Serviço</v>
      </c>
      <c r="B71" s="112" t="str">
        <f ca="1">IF($A71=0,"",OFFSET(PO!K$12,ROW(B71)-ROW(B$12),0))</f>
        <v>1.10.5.</v>
      </c>
      <c r="C71" s="109" t="str">
        <f ca="1">IF(OFFSET(PO!N$12,ROW(C71)-ROW(C$12),0)=0,"",OFFSET(PO!N$12,ROW(C71)-ROW(C$12),0))</f>
        <v>EXECUÇÃO DE LAJE SOBRE SOLO, ESPESSURA DE 10 CM, FCK = 30 MPA, COM USO DE FORMAS EM MADEIRA SERRADA. AF_09/2021</v>
      </c>
      <c r="D71" s="111" t="str">
        <f ca="1">IF(OFFSET(PO!O$12,ROW(D71)-ROW(D$12),0)=0,"",OFFSET(PO!O$12,ROW(D71)-ROW(D$12),0))</f>
        <v>M2</v>
      </c>
      <c r="E71" s="141">
        <f ca="1">IF($A71&lt;&gt;"Serviço",0,ROUND(SUMIF($F$9:$P$9,"&lt;&gt;",$F71:$P71),15-13*PO!$X$3))</f>
        <v>3.45</v>
      </c>
      <c r="F71" s="183">
        <v>3.45</v>
      </c>
      <c r="G71" s="183"/>
      <c r="H71" s="183"/>
      <c r="I71" s="183"/>
      <c r="J71" s="183"/>
      <c r="K71" s="183"/>
      <c r="L71" s="183"/>
      <c r="M71" s="183"/>
      <c r="N71" s="183"/>
      <c r="O71" s="183"/>
      <c r="U71" s="183"/>
    </row>
    <row r="72" spans="1:21" s="1" customFormat="1" ht="51" x14ac:dyDescent="0.2">
      <c r="A72" s="110" t="str">
        <f ca="1">OFFSET(PO!J$12,ROW(A72)-ROW($A$12),0)</f>
        <v>Serviço</v>
      </c>
      <c r="B72" s="112" t="str">
        <f ca="1">IF($A72=0,"",OFFSET(PO!K$12,ROW(B72)-ROW(B$12),0))</f>
        <v>1.10.6.</v>
      </c>
      <c r="C72" s="109" t="str">
        <f ca="1">IF(OFFSET(PO!N$12,ROW(C72)-ROW(C$12),0)=0,"",OFFSET(PO!N$12,ROW(C72)-ROW(C$12),0))</f>
        <v>ALVENARIA DE VEDAÇÃO DE BLOCOS CERÂMICOS FURADOS NA HORIZONTAL DE 9X19X19 CM (ESPESSURA 9 CM) E ARGAMASSA DE ASSENTAMENTO COM PREPARO EM BETONEIRA. AF_12/2021</v>
      </c>
      <c r="D72" s="111" t="str">
        <f ca="1">IF(OFFSET(PO!O$12,ROW(D72)-ROW(D$12),0)=0,"",OFFSET(PO!O$12,ROW(D72)-ROW(D$12),0))</f>
        <v>M2</v>
      </c>
      <c r="E72" s="141">
        <f ca="1">IF($A72&lt;&gt;"Serviço",0,ROUND(SUMIF($F$9:$P$9,"&lt;&gt;",$F72:$P72),15-13*PO!$X$3))</f>
        <v>19</v>
      </c>
      <c r="F72" s="183">
        <v>19</v>
      </c>
      <c r="G72" s="183"/>
      <c r="H72" s="183"/>
      <c r="I72" s="183"/>
      <c r="J72" s="183"/>
      <c r="K72" s="183"/>
      <c r="L72" s="183"/>
      <c r="M72" s="183"/>
      <c r="N72" s="183"/>
      <c r="O72" s="183"/>
      <c r="U72" s="183"/>
    </row>
    <row r="73" spans="1:21" s="1" customFormat="1" ht="51" x14ac:dyDescent="0.2">
      <c r="A73" s="110" t="str">
        <f ca="1">OFFSET(PO!J$12,ROW(A73)-ROW($A$12),0)</f>
        <v>Serviço</v>
      </c>
      <c r="B73" s="112" t="str">
        <f ca="1">IF($A73=0,"",OFFSET(PO!K$12,ROW(B73)-ROW(B$12),0))</f>
        <v>1.10.7.</v>
      </c>
      <c r="C73" s="109" t="str">
        <f ca="1">IF(OFFSET(PO!N$12,ROW(C73)-ROW(C$12),0)=0,"",OFFSET(PO!N$12,ROW(C73)-ROW(C$12),0))</f>
        <v>TRAMA DE MADEIRA COMPOSTA POR TERÇAS PARA TELHADOS DE ATÉ 2 ÁGUAS PARA TELHA ONDULADA DE FIBROCIMENTO, METÁLICA, PLÁSTICA OU TERMOACÚSTICA, INCLUSO TRANSPORTE VERTICAL. AF_07/2019</v>
      </c>
      <c r="D73" s="111" t="str">
        <f ca="1">IF(OFFSET(PO!O$12,ROW(D73)-ROW(D$12),0)=0,"",OFFSET(PO!O$12,ROW(D73)-ROW(D$12),0))</f>
        <v>M2</v>
      </c>
      <c r="E73" s="141">
        <f ca="1">IF($A73&lt;&gt;"Serviço",0,ROUND(SUMIF($F$9:$P$9,"&lt;&gt;",$F73:$P73),15-13*PO!$X$3))</f>
        <v>4.79</v>
      </c>
      <c r="F73" s="183">
        <v>4.79</v>
      </c>
      <c r="G73" s="183"/>
      <c r="H73" s="183"/>
      <c r="I73" s="183"/>
      <c r="J73" s="183"/>
      <c r="K73" s="183"/>
      <c r="L73" s="183"/>
      <c r="M73" s="183"/>
      <c r="N73" s="183"/>
      <c r="O73" s="183"/>
      <c r="U73" s="183"/>
    </row>
    <row r="74" spans="1:21" s="1" customFormat="1" ht="25.5" x14ac:dyDescent="0.2">
      <c r="A74" s="110" t="str">
        <f ca="1">OFFSET(PO!J$12,ROW(A74)-ROW($A$12),0)</f>
        <v>Serviço</v>
      </c>
      <c r="B74" s="112" t="str">
        <f ca="1">IF($A74=0,"",OFFSET(PO!K$12,ROW(B74)-ROW(B$12),0))</f>
        <v>1.10.8.</v>
      </c>
      <c r="C74" s="109" t="str">
        <f ca="1">IF(OFFSET(PO!N$12,ROW(C74)-ROW(C$12),0)=0,"",OFFSET(PO!N$12,ROW(C74)-ROW(C$12),0))</f>
        <v>TELHAMENTO COM TELHA DE AÇO/ALUMÍNIO E = 0,5 MM, COM ATÉ 2 ÁGUAS, INCLUSO IÇAMENTO. AF_07/2019</v>
      </c>
      <c r="D74" s="111" t="str">
        <f ca="1">IF(OFFSET(PO!O$12,ROW(D74)-ROW(D$12),0)=0,"",OFFSET(PO!O$12,ROW(D74)-ROW(D$12),0))</f>
        <v>M2</v>
      </c>
      <c r="E74" s="141">
        <f ca="1">IF($A74&lt;&gt;"Serviço",0,ROUND(SUMIF($F$9:$P$9,"&lt;&gt;",$F74:$P74),15-13*PO!$X$3))</f>
        <v>4.79</v>
      </c>
      <c r="F74" s="183">
        <v>4.79</v>
      </c>
      <c r="G74" s="183"/>
      <c r="H74" s="183"/>
      <c r="I74" s="183"/>
      <c r="J74" s="183"/>
      <c r="K74" s="183"/>
      <c r="L74" s="183"/>
      <c r="M74" s="183"/>
      <c r="N74" s="183"/>
      <c r="O74" s="183"/>
      <c r="U74" s="183"/>
    </row>
    <row r="75" spans="1:21" s="1" customFormat="1" x14ac:dyDescent="0.2">
      <c r="A75" s="110" t="str">
        <f ca="1">OFFSET(PO!J$12,ROW(A75)-ROW($A$12),0)</f>
        <v>Meta</v>
      </c>
      <c r="B75" s="112" t="str">
        <f ca="1">IF($A75=0,"",OFFSET(PO!K$12,ROW(B75)-ROW(B$12),0))</f>
        <v>2.</v>
      </c>
      <c r="C75" s="109" t="str">
        <f ca="1">IF(OFFSET(PO!N$12,ROW(C75)-ROW(C$12),0)=0,"",OFFSET(PO!N$12,ROW(C75)-ROW(C$12),0))</f>
        <v>REVITALIZAÇÃO DO PÁTIO</v>
      </c>
      <c r="D75" s="111" t="str">
        <f ca="1">IF(OFFSET(PO!O$12,ROW(D75)-ROW(D$12),0)=0,"",OFFSET(PO!O$12,ROW(D75)-ROW(D$12),0))</f>
        <v/>
      </c>
      <c r="E75" s="141">
        <f ca="1">IF($A75&lt;&gt;"Serviço",0,ROUND(SUMIF($F$9:$P$9,"&lt;&gt;",$F75:$P75),15-13*PO!$X$3))</f>
        <v>0</v>
      </c>
      <c r="F75" s="183"/>
      <c r="G75" s="183"/>
      <c r="H75" s="183"/>
      <c r="I75" s="183"/>
      <c r="J75" s="183"/>
      <c r="K75" s="183"/>
      <c r="L75" s="183"/>
      <c r="M75" s="183"/>
      <c r="N75" s="183"/>
      <c r="O75" s="183"/>
      <c r="U75" s="183"/>
    </row>
    <row r="76" spans="1:21" s="1" customFormat="1" x14ac:dyDescent="0.2">
      <c r="A76" s="110" t="str">
        <f ca="1">OFFSET(PO!J$12,ROW(A76)-ROW($A$12),0)</f>
        <v>Nível 2</v>
      </c>
      <c r="B76" s="112" t="str">
        <f ca="1">IF($A76=0,"",OFFSET(PO!K$12,ROW(B76)-ROW(B$12),0))</f>
        <v>2.1.</v>
      </c>
      <c r="C76" s="109" t="str">
        <f ca="1">IF(OFFSET(PO!N$12,ROW(C76)-ROW(C$12),0)=0,"",OFFSET(PO!N$12,ROW(C76)-ROW(C$12),0))</f>
        <v>ESTACIONAMENTO E CALÇADAS</v>
      </c>
      <c r="D76" s="111" t="str">
        <f ca="1">IF(OFFSET(PO!O$12,ROW(D76)-ROW(D$12),0)=0,"",OFFSET(PO!O$12,ROW(D76)-ROW(D$12),0))</f>
        <v/>
      </c>
      <c r="E76" s="141">
        <f ca="1">IF($A76&lt;&gt;"Serviço",0,ROUND(SUMIF($F$9:$P$9,"&lt;&gt;",$F76:$P76),15-13*PO!$X$3))</f>
        <v>0</v>
      </c>
      <c r="F76" s="183"/>
      <c r="G76" s="183"/>
      <c r="H76" s="183"/>
      <c r="I76" s="183"/>
      <c r="J76" s="183"/>
      <c r="K76" s="183"/>
      <c r="L76" s="183"/>
      <c r="M76" s="183"/>
      <c r="N76" s="183"/>
      <c r="O76" s="183"/>
      <c r="U76" s="183"/>
    </row>
    <row r="77" spans="1:21" s="1" customFormat="1" ht="25.5" x14ac:dyDescent="0.2">
      <c r="A77" s="110" t="str">
        <f ca="1">OFFSET(PO!J$12,ROW(A77)-ROW($A$12),0)</f>
        <v>Serviço</v>
      </c>
      <c r="B77" s="112" t="str">
        <f ca="1">IF($A77=0,"",OFFSET(PO!K$12,ROW(B77)-ROW(B$12),0))</f>
        <v>2.1.1.</v>
      </c>
      <c r="C77" s="109" t="str">
        <f ca="1">IF(OFFSET(PO!N$12,ROW(C77)-ROW(C$12),0)=0,"",OFFSET(PO!N$12,ROW(C77)-ROW(C$12),0))</f>
        <v>SERVIÇOS TOPOGRÁFICOS PARA PAVIMENTAÇÃO, INCLUSIVE NOTA DE SERVIÇOS, ACOMPANHAMENTO E GREIDE</v>
      </c>
      <c r="D77" s="111" t="str">
        <f ca="1">IF(OFFSET(PO!O$12,ROW(D77)-ROW(D$12),0)=0,"",OFFSET(PO!O$12,ROW(D77)-ROW(D$12),0))</f>
        <v>M2</v>
      </c>
      <c r="E77" s="141">
        <f ca="1">IF($A77&lt;&gt;"Serviço",0,ROUND(SUMIF($F$9:$P$9,"&lt;&gt;",$F77:$P77),15-13*PO!$X$3))</f>
        <v>555.37</v>
      </c>
      <c r="F77" s="183">
        <v>555.37</v>
      </c>
      <c r="G77" s="183"/>
      <c r="H77" s="183"/>
      <c r="I77" s="183"/>
      <c r="J77" s="183"/>
      <c r="K77" s="183"/>
      <c r="L77" s="183"/>
      <c r="M77" s="183"/>
      <c r="N77" s="183"/>
      <c r="O77" s="183"/>
      <c r="U77" s="183"/>
    </row>
    <row r="78" spans="1:21" s="1" customFormat="1" ht="38.25" x14ac:dyDescent="0.2">
      <c r="A78" s="110" t="str">
        <f ca="1">OFFSET(PO!J$12,ROW(A78)-ROW($A$12),0)</f>
        <v>Serviço</v>
      </c>
      <c r="B78" s="112" t="str">
        <f ca="1">IF($A78=0,"",OFFSET(PO!K$12,ROW(B78)-ROW(B$12),0))</f>
        <v>2.1.2.</v>
      </c>
      <c r="C78" s="109" t="str">
        <f ca="1">IF(OFFSET(PO!N$12,ROW(C78)-ROW(C$12),0)=0,"",OFFSET(PO!N$12,ROW(C78)-ROW(C$12),0))</f>
        <v>REGULARIZAÇÃO E COMPACTAÇÃO DE SUBLEITO DE SOLO PREDOMINANTEMENTE ARGILOSO, PARA OBRAS DE CONSTRUÇÃO DE PAVIMENTOS. AF_09/2024</v>
      </c>
      <c r="D78" s="111" t="str">
        <f ca="1">IF(OFFSET(PO!O$12,ROW(D78)-ROW(D$12),0)=0,"",OFFSET(PO!O$12,ROW(D78)-ROW(D$12),0))</f>
        <v>M2</v>
      </c>
      <c r="E78" s="141">
        <f ca="1">IF($A78&lt;&gt;"Serviço",0,ROUND(SUMIF($F$9:$P$9,"&lt;&gt;",$F78:$P78),15-13*PO!$X$3))</f>
        <v>555.37</v>
      </c>
      <c r="F78" s="183">
        <v>555.37</v>
      </c>
      <c r="G78" s="183"/>
      <c r="H78" s="183"/>
      <c r="I78" s="183"/>
      <c r="J78" s="183"/>
      <c r="K78" s="183"/>
      <c r="L78" s="183"/>
      <c r="M78" s="183"/>
      <c r="N78" s="183"/>
      <c r="O78" s="183"/>
      <c r="U78" s="183"/>
    </row>
    <row r="79" spans="1:21" s="1" customFormat="1" ht="38.25" x14ac:dyDescent="0.2">
      <c r="A79" s="110" t="str">
        <f ca="1">OFFSET(PO!J$12,ROW(A79)-ROW($A$12),0)</f>
        <v>Serviço</v>
      </c>
      <c r="B79" s="112" t="str">
        <f ca="1">IF($A79=0,"",OFFSET(PO!K$12,ROW(B79)-ROW(B$12),0))</f>
        <v>2.1.3.</v>
      </c>
      <c r="C79" s="109" t="str">
        <f ca="1">IF(OFFSET(PO!N$12,ROW(C79)-ROW(C$12),0)=0,"",OFFSET(PO!N$12,ROW(C79)-ROW(C$12),0))</f>
        <v>CONSTRUÇÃO DE BASE E SUB-BASE PARA PAVIMENTAÇÃO DE BRITA GRADUADA SIMPLES, COM ESPESSURA DE 10 CM - EXCLUSIVE CARGA E TRANSPORTE. AF_09/2024</v>
      </c>
      <c r="D79" s="111" t="str">
        <f ca="1">IF(OFFSET(PO!O$12,ROW(D79)-ROW(D$12),0)=0,"",OFFSET(PO!O$12,ROW(D79)-ROW(D$12),0))</f>
        <v>M3</v>
      </c>
      <c r="E79" s="141">
        <f ca="1">IF($A79&lt;&gt;"Serviço",0,ROUND(SUMIF($F$9:$P$9,"&lt;&gt;",$F79:$P79),15-13*PO!$X$3))</f>
        <v>55.54</v>
      </c>
      <c r="F79" s="183">
        <v>55.536999999999999</v>
      </c>
      <c r="G79" s="183"/>
      <c r="H79" s="183"/>
      <c r="I79" s="183"/>
      <c r="J79" s="183"/>
      <c r="K79" s="183"/>
      <c r="L79" s="183"/>
      <c r="M79" s="183"/>
      <c r="N79" s="183"/>
      <c r="O79" s="183"/>
      <c r="U79" s="183"/>
    </row>
    <row r="80" spans="1:21" s="1" customFormat="1" ht="38.25" x14ac:dyDescent="0.2">
      <c r="A80" s="110" t="str">
        <f ca="1">OFFSET(PO!J$12,ROW(A80)-ROW($A$12),0)</f>
        <v>Serviço</v>
      </c>
      <c r="B80" s="112" t="str">
        <f ca="1">IF($A80=0,"",OFFSET(PO!K$12,ROW(B80)-ROW(B$12),0))</f>
        <v>2.1.4.</v>
      </c>
      <c r="C80" s="109" t="str">
        <f ca="1">IF(OFFSET(PO!N$12,ROW(C80)-ROW(C$12),0)=0,"",OFFSET(PO!N$12,ROW(C80)-ROW(C$12),0))</f>
        <v>TRANSPORTE COM CAMINHÃO BASCULANTE DE 14 M³, EM VIA URBANA PAVIMENTADA, DMT ATÉ 30 KM (UNIDADE: M3XKM). AF_07/2020</v>
      </c>
      <c r="D80" s="111" t="str">
        <f ca="1">IF(OFFSET(PO!O$12,ROW(D80)-ROW(D$12),0)=0,"",OFFSET(PO!O$12,ROW(D80)-ROW(D$12),0))</f>
        <v>M3XKM</v>
      </c>
      <c r="E80" s="141">
        <f ca="1">IF($A80&lt;&gt;"Serviço",0,ROUND(SUMIF($F$9:$P$9,"&lt;&gt;",$F80:$P80),15-13*PO!$X$3))</f>
        <v>1099.3699999999999</v>
      </c>
      <c r="F80" s="183">
        <v>1099.3699999999999</v>
      </c>
      <c r="G80" s="183"/>
      <c r="H80" s="183"/>
      <c r="I80" s="183"/>
      <c r="J80" s="183"/>
      <c r="K80" s="183"/>
      <c r="L80" s="183"/>
      <c r="M80" s="183"/>
      <c r="N80" s="183"/>
      <c r="O80" s="183"/>
      <c r="U80" s="183"/>
    </row>
    <row r="81" spans="1:21" s="1" customFormat="1" ht="38.25" x14ac:dyDescent="0.2">
      <c r="A81" s="110" t="str">
        <f ca="1">OFFSET(PO!J$12,ROW(A81)-ROW($A$12),0)</f>
        <v>Serviço</v>
      </c>
      <c r="B81" s="112" t="str">
        <f ca="1">IF($A81=0,"",OFFSET(PO!K$12,ROW(B81)-ROW(B$12),0))</f>
        <v>2.1.5.</v>
      </c>
      <c r="C81" s="109" t="str">
        <f ca="1">IF(OFFSET(PO!N$12,ROW(C81)-ROW(C$12),0)=0,"",OFFSET(PO!N$12,ROW(C81)-ROW(C$12),0))</f>
        <v>EXECUÇÃO DE PAVIMENTO EM PISO INTERTRAVADO, COM BLOCO 16 FACES DE 22 X 11 CM, ESPESSURA 6 CM. AF_10/2022</v>
      </c>
      <c r="D81" s="111" t="str">
        <f ca="1">IF(OFFSET(PO!O$12,ROW(D81)-ROW(D$12),0)=0,"",OFFSET(PO!O$12,ROW(D81)-ROW(D$12),0))</f>
        <v>M2</v>
      </c>
      <c r="E81" s="141">
        <f ca="1">IF($A81&lt;&gt;"Serviço",0,ROUND(SUMIF($F$9:$P$9,"&lt;&gt;",$F81:$P81),15-13*PO!$X$3))</f>
        <v>555.37</v>
      </c>
      <c r="F81" s="183">
        <v>555.37</v>
      </c>
      <c r="G81" s="183"/>
      <c r="H81" s="183"/>
      <c r="I81" s="183"/>
      <c r="J81" s="183"/>
      <c r="K81" s="183"/>
      <c r="L81" s="183"/>
      <c r="M81" s="183"/>
      <c r="N81" s="183"/>
      <c r="O81" s="183"/>
      <c r="U81" s="183"/>
    </row>
    <row r="82" spans="1:21" s="1" customFormat="1" ht="38.25" x14ac:dyDescent="0.2">
      <c r="A82" s="110" t="str">
        <f ca="1">OFFSET(PO!J$12,ROW(A82)-ROW($A$12),0)</f>
        <v>Serviço</v>
      </c>
      <c r="B82" s="112" t="str">
        <f ca="1">IF($A82=0,"",OFFSET(PO!K$12,ROW(B82)-ROW(B$12),0))</f>
        <v>2.1.6.</v>
      </c>
      <c r="C82" s="109" t="str">
        <f ca="1">IF(OFFSET(PO!N$12,ROW(C82)-ROW(C$12),0)=0,"",OFFSET(PO!N$12,ROW(C82)-ROW(C$12),0))</f>
        <v>GUIA (MEIO-FIO) CONCRETO, MOLDADA IN LOCO EM TRECHO RETO COM EXTRUSORA, 13 CM BASE X 22 CM ALTURA. AF_01/2024</v>
      </c>
      <c r="D82" s="111" t="str">
        <f ca="1">IF(OFFSET(PO!O$12,ROW(D82)-ROW(D$12),0)=0,"",OFFSET(PO!O$12,ROW(D82)-ROW(D$12),0))</f>
        <v>M</v>
      </c>
      <c r="E82" s="141">
        <f ca="1">IF($A82&lt;&gt;"Serviço",0,ROUND(SUMIF($F$9:$P$9,"&lt;&gt;",$F82:$P82),15-13*PO!$X$3))</f>
        <v>131.94</v>
      </c>
      <c r="F82" s="183">
        <v>131.94</v>
      </c>
      <c r="G82" s="183"/>
      <c r="H82" s="183"/>
      <c r="I82" s="183"/>
      <c r="J82" s="183"/>
      <c r="K82" s="183"/>
      <c r="L82" s="183"/>
      <c r="M82" s="183"/>
      <c r="N82" s="183"/>
      <c r="O82" s="183"/>
      <c r="U82" s="183"/>
    </row>
    <row r="83" spans="1:21" s="1" customFormat="1" ht="25.5" x14ac:dyDescent="0.2">
      <c r="A83" s="110" t="str">
        <f ca="1">OFFSET(PO!J$12,ROW(A83)-ROW($A$12),0)</f>
        <v>Serviço</v>
      </c>
      <c r="B83" s="112" t="str">
        <f ca="1">IF($A83=0,"",OFFSET(PO!K$12,ROW(B83)-ROW(B$12),0))</f>
        <v>2.1.7.</v>
      </c>
      <c r="C83" s="109" t="str">
        <f ca="1">IF(OFFSET(PO!N$12,ROW(C83)-ROW(C$12),0)=0,"",OFFSET(PO!N$12,ROW(C83)-ROW(C$12),0))</f>
        <v>PINTURA DE MEIO-FIO COM TINTA BRANCA A BASE DE CAL (CAIAÇÃO). AF_05/2021</v>
      </c>
      <c r="D83" s="111" t="str">
        <f ca="1">IF(OFFSET(PO!O$12,ROW(D83)-ROW(D$12),0)=0,"",OFFSET(PO!O$12,ROW(D83)-ROW(D$12),0))</f>
        <v>M</v>
      </c>
      <c r="E83" s="141">
        <f ca="1">IF($A83&lt;&gt;"Serviço",0,ROUND(SUMIF($F$9:$P$9,"&lt;&gt;",$F83:$P83),15-13*PO!$X$3))</f>
        <v>131.94</v>
      </c>
      <c r="F83" s="183">
        <v>131.94</v>
      </c>
      <c r="G83" s="183"/>
      <c r="H83" s="183"/>
      <c r="I83" s="183"/>
      <c r="J83" s="183"/>
      <c r="K83" s="183"/>
      <c r="L83" s="183"/>
      <c r="M83" s="183"/>
      <c r="N83" s="183"/>
      <c r="O83" s="183"/>
      <c r="U83" s="183"/>
    </row>
    <row r="84" spans="1:21" s="1" customFormat="1" ht="25.5" x14ac:dyDescent="0.2">
      <c r="A84" s="110" t="str">
        <f ca="1">OFFSET(PO!J$12,ROW(A84)-ROW($A$12),0)</f>
        <v>Serviço</v>
      </c>
      <c r="B84" s="112" t="str">
        <f ca="1">IF($A84=0,"",OFFSET(PO!K$12,ROW(B84)-ROW(B$12),0))</f>
        <v>2.1.8.</v>
      </c>
      <c r="C84" s="109" t="str">
        <f ca="1">IF(OFFSET(PO!N$12,ROW(C84)-ROW(C$12),0)=0,"",OFFSET(PO!N$12,ROW(C84)-ROW(C$12),0))</f>
        <v>PINTURA DE DEMARCAÇÃO DE VAGA COM TINTA ACRÍLICA, E = 10 CM, APLICAÇÃO MANUAL. AF_05/2021</v>
      </c>
      <c r="D84" s="111" t="str">
        <f ca="1">IF(OFFSET(PO!O$12,ROW(D84)-ROW(D$12),0)=0,"",OFFSET(PO!O$12,ROW(D84)-ROW(D$12),0))</f>
        <v>M</v>
      </c>
      <c r="E84" s="141">
        <f ca="1">IF($A84&lt;&gt;"Serviço",0,ROUND(SUMIF($F$9:$P$9,"&lt;&gt;",$F84:$P84),15-13*PO!$X$3))</f>
        <v>107.47</v>
      </c>
      <c r="F84" s="183">
        <v>107.47</v>
      </c>
      <c r="G84" s="183"/>
      <c r="H84" s="183"/>
      <c r="I84" s="183"/>
      <c r="J84" s="183"/>
      <c r="K84" s="183"/>
      <c r="L84" s="183"/>
      <c r="M84" s="183"/>
      <c r="N84" s="183"/>
      <c r="O84" s="183"/>
      <c r="U84" s="183"/>
    </row>
    <row r="85" spans="1:21" s="1" customFormat="1" ht="38.25" x14ac:dyDescent="0.2">
      <c r="A85" s="110" t="str">
        <f ca="1">OFFSET(PO!J$12,ROW(A85)-ROW($A$12),0)</f>
        <v>Serviço</v>
      </c>
      <c r="B85" s="112" t="str">
        <f ca="1">IF($A85=0,"",OFFSET(PO!K$12,ROW(B85)-ROW(B$12),0))</f>
        <v>2.1.9.</v>
      </c>
      <c r="C85" s="109" t="str">
        <f ca="1">IF(OFFSET(PO!N$12,ROW(C85)-ROW(C$12),0)=0,"",OFFSET(PO!N$12,ROW(C85)-ROW(C$12),0))</f>
        <v>EXECUÇÃO DE PASSEIO (CALÇADA) OU PISO DE CONCRETO COM CONCRETO MOLDADO IN LOCO, USINADO, ACABAMENTO CONVENCIONAL, ESPESSURA 6 CM, ARMADO. AF_08/2022</v>
      </c>
      <c r="D85" s="111" t="str">
        <f ca="1">IF(OFFSET(PO!O$12,ROW(D85)-ROW(D$12),0)=0,"",OFFSET(PO!O$12,ROW(D85)-ROW(D$12),0))</f>
        <v>M2</v>
      </c>
      <c r="E85" s="141">
        <f ca="1">IF($A85&lt;&gt;"Serviço",0,ROUND(SUMIF($F$9:$P$9,"&lt;&gt;",$F85:$P85),15-13*PO!$X$3))</f>
        <v>173.49</v>
      </c>
      <c r="F85" s="183">
        <v>173.49</v>
      </c>
      <c r="G85" s="183"/>
      <c r="H85" s="183"/>
      <c r="I85" s="183"/>
      <c r="J85" s="183"/>
      <c r="K85" s="183"/>
      <c r="L85" s="183"/>
      <c r="M85" s="183"/>
      <c r="N85" s="183"/>
      <c r="O85" s="183"/>
      <c r="U85" s="183"/>
    </row>
    <row r="86" spans="1:21" s="1" customFormat="1" ht="25.5" x14ac:dyDescent="0.2">
      <c r="A86" s="110" t="str">
        <f ca="1">OFFSET(PO!J$12,ROW(A86)-ROW($A$12),0)</f>
        <v>Serviço</v>
      </c>
      <c r="B86" s="112" t="str">
        <f ca="1">IF($A86=0,"",OFFSET(PO!K$12,ROW(B86)-ROW(B$12),0))</f>
        <v>2.1.10.</v>
      </c>
      <c r="C86" s="109" t="str">
        <f ca="1">IF(OFFSET(PO!N$12,ROW(C86)-ROW(C$12),0)=0,"",OFFSET(PO!N$12,ROW(C86)-ROW(C$12),0))</f>
        <v>PISO PODOTÁTIL DE ALERTA OU DIRECIONAL, DE CONCRETO, ASSENTADO SOBRE ARGAMASSA, AF_05/2020</v>
      </c>
      <c r="D86" s="111" t="str">
        <f ca="1">IF(OFFSET(PO!O$12,ROW(D86)-ROW(D$12),0)=0,"",OFFSET(PO!O$12,ROW(D86)-ROW(D$12),0))</f>
        <v>M</v>
      </c>
      <c r="E86" s="141">
        <f ca="1">IF($A86&lt;&gt;"Serviço",0,ROUND(SUMIF($F$9:$P$9,"&lt;&gt;",$F86:$P86),15-13*PO!$X$3))</f>
        <v>65</v>
      </c>
      <c r="F86" s="183">
        <v>65</v>
      </c>
      <c r="G86" s="183"/>
      <c r="H86" s="183"/>
      <c r="I86" s="183"/>
      <c r="J86" s="183"/>
      <c r="K86" s="183"/>
      <c r="L86" s="183"/>
      <c r="M86" s="183"/>
      <c r="N86" s="183"/>
      <c r="O86" s="183"/>
      <c r="U86" s="183"/>
    </row>
    <row r="87" spans="1:21" s="1" customFormat="1" ht="25.5" x14ac:dyDescent="0.2">
      <c r="A87" s="110" t="str">
        <f ca="1">OFFSET(PO!J$12,ROW(A87)-ROW($A$12),0)</f>
        <v>Serviço</v>
      </c>
      <c r="B87" s="112" t="str">
        <f ca="1">IF($A87=0,"",OFFSET(PO!K$12,ROW(B87)-ROW(B$12),0))</f>
        <v>2.1.11.</v>
      </c>
      <c r="C87" s="109" t="str">
        <f ca="1">IF(OFFSET(PO!N$12,ROW(C87)-ROW(C$12),0)=0,"",OFFSET(PO!N$12,ROW(C87)-ROW(C$12),0))</f>
        <v>LASTRO COM MATERIAL GRANULAR, APLICADO EM PISOS OU LAJES SOBRE SOLO, ESPESSURA DE *5 CM*. AF_01/2024</v>
      </c>
      <c r="D87" s="111" t="str">
        <f ca="1">IF(OFFSET(PO!O$12,ROW(D87)-ROW(D$12),0)=0,"",OFFSET(PO!O$12,ROW(D87)-ROW(D$12),0))</f>
        <v>M3</v>
      </c>
      <c r="E87" s="141">
        <f ca="1">IF($A87&lt;&gt;"Serviço",0,ROUND(SUMIF($F$9:$P$9,"&lt;&gt;",$F87:$P87),15-13*PO!$X$3))</f>
        <v>8.68</v>
      </c>
      <c r="F87" s="183">
        <v>8.68</v>
      </c>
      <c r="G87" s="183"/>
      <c r="H87" s="183"/>
      <c r="I87" s="183"/>
      <c r="J87" s="183"/>
      <c r="K87" s="183"/>
      <c r="L87" s="183"/>
      <c r="M87" s="183"/>
      <c r="N87" s="183"/>
      <c r="O87" s="183"/>
      <c r="U87" s="183"/>
    </row>
    <row r="88" spans="1:21" s="1" customFormat="1" x14ac:dyDescent="0.2">
      <c r="A88" s="110" t="str">
        <f ca="1">OFFSET(PO!J$12,ROW(A88)-ROW($A$12),0)</f>
        <v>Nível 2</v>
      </c>
      <c r="B88" s="112" t="str">
        <f ca="1">IF($A88=0,"",OFFSET(PO!K$12,ROW(B88)-ROW(B$12),0))</f>
        <v>2.2.</v>
      </c>
      <c r="C88" s="109" t="str">
        <f ca="1">IF(OFFSET(PO!N$12,ROW(C88)-ROW(C$12),0)=0,"",OFFSET(PO!N$12,ROW(C88)-ROW(C$12),0))</f>
        <v>DRENAGEM PLUVIAL</v>
      </c>
      <c r="D88" s="111" t="str">
        <f ca="1">IF(OFFSET(PO!O$12,ROW(D88)-ROW(D$12),0)=0,"",OFFSET(PO!O$12,ROW(D88)-ROW(D$12),0))</f>
        <v/>
      </c>
      <c r="E88" s="141">
        <f ca="1">IF($A88&lt;&gt;"Serviço",0,ROUND(SUMIF($F$9:$P$9,"&lt;&gt;",$F88:$P88),15-13*PO!$X$3))</f>
        <v>0</v>
      </c>
      <c r="F88" s="183"/>
      <c r="G88" s="183"/>
      <c r="H88" s="183"/>
      <c r="I88" s="183"/>
      <c r="J88" s="183"/>
      <c r="K88" s="183"/>
      <c r="L88" s="183"/>
      <c r="M88" s="183"/>
      <c r="N88" s="183"/>
      <c r="O88" s="183"/>
      <c r="U88" s="183"/>
    </row>
    <row r="89" spans="1:21" s="1" customFormat="1" ht="25.5" x14ac:dyDescent="0.2">
      <c r="A89" s="110" t="str">
        <f ca="1">OFFSET(PO!J$12,ROW(A89)-ROW($A$12),0)</f>
        <v>Serviço</v>
      </c>
      <c r="B89" s="112" t="str">
        <f ca="1">IF($A89=0,"",OFFSET(PO!K$12,ROW(B89)-ROW(B$12),0))</f>
        <v>2.2.1.</v>
      </c>
      <c r="C89" s="109" t="str">
        <f ca="1">IF(OFFSET(PO!N$12,ROW(C89)-ROW(C$12),0)=0,"",OFFSET(PO!N$12,ROW(C89)-ROW(C$12),0))</f>
        <v>CAIXA COLETORA TIPO 01 (0,8 X 0,8 X 1,50m), COM GRELHA DE FERRO</v>
      </c>
      <c r="D89" s="111" t="str">
        <f ca="1">IF(OFFSET(PO!O$12,ROW(D89)-ROW(D$12),0)=0,"",OFFSET(PO!O$12,ROW(D89)-ROW(D$12),0))</f>
        <v>UNIDADE</v>
      </c>
      <c r="E89" s="141">
        <f ca="1">IF($A89&lt;&gt;"Serviço",0,ROUND(SUMIF($F$9:$P$9,"&lt;&gt;",$F89:$P89),15-13*PO!$X$3))</f>
        <v>3</v>
      </c>
      <c r="F89" s="183">
        <v>3</v>
      </c>
      <c r="G89" s="183"/>
      <c r="H89" s="183"/>
      <c r="I89" s="183"/>
      <c r="J89" s="183"/>
      <c r="K89" s="183"/>
      <c r="L89" s="183"/>
      <c r="M89" s="183"/>
      <c r="N89" s="183"/>
      <c r="O89" s="183"/>
      <c r="U89" s="183"/>
    </row>
    <row r="90" spans="1:21" s="1" customFormat="1" ht="51" x14ac:dyDescent="0.2">
      <c r="A90" s="110" t="str">
        <f ca="1">OFFSET(PO!J$12,ROW(A90)-ROW($A$12),0)</f>
        <v>Serviço</v>
      </c>
      <c r="B90" s="112" t="str">
        <f ca="1">IF($A90=0,"",OFFSET(PO!K$12,ROW(B90)-ROW(B$12),0))</f>
        <v>2.2.2.</v>
      </c>
      <c r="C90" s="109" t="str">
        <f ca="1">IF(OFFSET(PO!N$12,ROW(C90)-ROW(C$12),0)=0,"",OFFSET(PO!N$12,ROW(C90)-ROW(C$12),0))</f>
        <v>TUBO DE CONCRETO (SIMPLES) PARA REDES COLETORAS DE ÁGUAS PLUVIAIS, DIÂMETRO DE 400 MM, JUNTA RÍGIDA, INSTALADO EM LOCAL COM BAIXO NÍVEL DE INTERFERÊNCIAS - FORNECIMENTO E ASSENTAMENTO. AF_03/2024</v>
      </c>
      <c r="D90" s="111" t="str">
        <f ca="1">IF(OFFSET(PO!O$12,ROW(D90)-ROW(D$12),0)=0,"",OFFSET(PO!O$12,ROW(D90)-ROW(D$12),0))</f>
        <v>M</v>
      </c>
      <c r="E90" s="141">
        <f ca="1">IF($A90&lt;&gt;"Serviço",0,ROUND(SUMIF($F$9:$P$9,"&lt;&gt;",$F90:$P90),15-13*PO!$X$3))</f>
        <v>40</v>
      </c>
      <c r="F90" s="183">
        <v>40</v>
      </c>
      <c r="G90" s="183"/>
      <c r="H90" s="183"/>
      <c r="I90" s="183"/>
      <c r="J90" s="183"/>
      <c r="K90" s="183"/>
      <c r="L90" s="183"/>
      <c r="M90" s="183"/>
      <c r="N90" s="183"/>
      <c r="O90" s="183"/>
      <c r="U90" s="183"/>
    </row>
    <row r="91" spans="1:21" s="1" customFormat="1" ht="63.75" x14ac:dyDescent="0.2">
      <c r="A91" s="110" t="str">
        <f ca="1">OFFSET(PO!J$12,ROW(A91)-ROW($A$12),0)</f>
        <v>Serviço</v>
      </c>
      <c r="B91" s="112" t="str">
        <f ca="1">IF($A91=0,"",OFFSET(PO!K$12,ROW(B91)-ROW(B$12),0))</f>
        <v>2.2.3.</v>
      </c>
      <c r="C91" s="109" t="str">
        <f ca="1">IF(OFFSET(PO!N$12,ROW(C91)-ROW(C$12),0)=0,"",OFFSET(PO!N$12,ROW(C91)-ROW(C$12),0))</f>
        <v>ESCAVAÇÃO MECANIZADA DE VALA COM PROFUNDIDADE ATÉ 1,5 M (MÉDIA MONTANTE E JUSANTE/UMA COMPOSIÇÃO POR TRECHO), RETROESCAV. (0,26 M3), LARGURA DE 0,8 M A 1,5 M, EM SOLO DE 1A CATEGORIA, LOCAIS COM BAIXO NÍVEL DE INTERFERÊNCIA. AF_09/2024</v>
      </c>
      <c r="D91" s="111" t="str">
        <f ca="1">IF(OFFSET(PO!O$12,ROW(D91)-ROW(D$12),0)=0,"",OFFSET(PO!O$12,ROW(D91)-ROW(D$12),0))</f>
        <v>M3</v>
      </c>
      <c r="E91" s="141">
        <f ca="1">IF($A91&lt;&gt;"Serviço",0,ROUND(SUMIF($F$9:$P$9,"&lt;&gt;",$F91:$P91),15-13*PO!$X$3))</f>
        <v>56.42</v>
      </c>
      <c r="F91" s="183">
        <v>56.42</v>
      </c>
      <c r="G91" s="183"/>
      <c r="H91" s="183"/>
      <c r="I91" s="183"/>
      <c r="J91" s="183"/>
      <c r="K91" s="183"/>
      <c r="L91" s="183"/>
      <c r="M91" s="183"/>
      <c r="N91" s="183"/>
      <c r="O91" s="183"/>
      <c r="U91" s="183"/>
    </row>
    <row r="92" spans="1:21" s="1" customFormat="1" ht="38.25" x14ac:dyDescent="0.2">
      <c r="A92" s="110" t="str">
        <f ca="1">OFFSET(PO!J$12,ROW(A92)-ROW($A$12),0)</f>
        <v>Serviço</v>
      </c>
      <c r="B92" s="112" t="str">
        <f ca="1">IF($A92=0,"",OFFSET(PO!K$12,ROW(B92)-ROW(B$12),0))</f>
        <v>2.2.4.</v>
      </c>
      <c r="C92" s="109" t="str">
        <f ca="1">IF(OFFSET(PO!N$12,ROW(C92)-ROW(C$12),0)=0,"",OFFSET(PO!N$12,ROW(C92)-ROW(C$12),0))</f>
        <v>PREPARO DE FUNDO DE VALA COM LARGURA MENOR QUE 1,5 M, COM CAMADA DE BRITA, LANÇAMENTO MECANIZADO. AF_08/2020</v>
      </c>
      <c r="D92" s="111" t="str">
        <f ca="1">IF(OFFSET(PO!O$12,ROW(D92)-ROW(D$12),0)=0,"",OFFSET(PO!O$12,ROW(D92)-ROW(D$12),0))</f>
        <v>M3</v>
      </c>
      <c r="E92" s="141">
        <f ca="1">IF($A92&lt;&gt;"Serviço",0,ROUND(SUMIF($F$9:$P$9,"&lt;&gt;",$F92:$P92),15-13*PO!$X$3))</f>
        <v>1.2</v>
      </c>
      <c r="F92" s="183">
        <v>1.2</v>
      </c>
      <c r="G92" s="183"/>
      <c r="H92" s="183"/>
      <c r="I92" s="183"/>
      <c r="J92" s="183"/>
      <c r="K92" s="183"/>
      <c r="L92" s="183"/>
      <c r="M92" s="183"/>
      <c r="N92" s="183"/>
      <c r="O92" s="183"/>
      <c r="U92" s="183"/>
    </row>
    <row r="93" spans="1:21" s="1" customFormat="1" ht="25.5" x14ac:dyDescent="0.2">
      <c r="A93" s="110" t="str">
        <f ca="1">OFFSET(PO!J$12,ROW(A93)-ROW($A$12),0)</f>
        <v>Serviço</v>
      </c>
      <c r="B93" s="112" t="str">
        <f ca="1">IF($A93=0,"",OFFSET(PO!K$12,ROW(B93)-ROW(B$12),0))</f>
        <v>2.2.5.</v>
      </c>
      <c r="C93" s="109" t="str">
        <f ca="1">IF(OFFSET(PO!N$12,ROW(C93)-ROW(C$12),0)=0,"",OFFSET(PO!N$12,ROW(C93)-ROW(C$12),0))</f>
        <v>REATERRO MANUAL DE VALAS, COM COMPACTADOR DE SOLOS DE PERCUSSÃO. AF_08/2023</v>
      </c>
      <c r="D93" s="111" t="str">
        <f ca="1">IF(OFFSET(PO!O$12,ROW(D93)-ROW(D$12),0)=0,"",OFFSET(PO!O$12,ROW(D93)-ROW(D$12),0))</f>
        <v>M3</v>
      </c>
      <c r="E93" s="141">
        <f ca="1">IF($A93&lt;&gt;"Serviço",0,ROUND(SUMIF($F$9:$P$9,"&lt;&gt;",$F93:$P93),15-13*PO!$X$3))</f>
        <v>30.18</v>
      </c>
      <c r="F93" s="183">
        <v>30.175999999999998</v>
      </c>
      <c r="G93" s="183"/>
      <c r="H93" s="183"/>
      <c r="I93" s="183"/>
      <c r="J93" s="183"/>
      <c r="K93" s="183"/>
      <c r="L93" s="183"/>
      <c r="M93" s="183"/>
      <c r="N93" s="183"/>
      <c r="O93" s="183"/>
      <c r="U93" s="183"/>
    </row>
    <row r="94" spans="1:21" s="1" customFormat="1" ht="38.25" x14ac:dyDescent="0.2">
      <c r="A94" s="110" t="str">
        <f ca="1">OFFSET(PO!J$12,ROW(A94)-ROW($A$12),0)</f>
        <v>Serviço</v>
      </c>
      <c r="B94" s="112" t="str">
        <f ca="1">IF($A94=0,"",OFFSET(PO!K$12,ROW(B94)-ROW(B$12),0))</f>
        <v>2.2.6.</v>
      </c>
      <c r="C94" s="109" t="str">
        <f ca="1">IF(OFFSET(PO!N$12,ROW(C94)-ROW(C$12),0)=0,"",OFFSET(PO!N$12,ROW(C94)-ROW(C$12),0))</f>
        <v>CONSTRUÇÃO DE BASE E SUB-BASE PARA PAVIMENTAÇÃO DE BRITA GRADUADA SIMPLES, COM ESPESSURA DE 15 CM - EXCLUSIVE CARGA E TRANSPORTE. AF_09/2024</v>
      </c>
      <c r="D94" s="111" t="str">
        <f ca="1">IF(OFFSET(PO!O$12,ROW(D94)-ROW(D$12),0)=0,"",OFFSET(PO!O$12,ROW(D94)-ROW(D$12),0))</f>
        <v>M3</v>
      </c>
      <c r="E94" s="141">
        <f ca="1">IF($A94&lt;&gt;"Serviço",0,ROUND(SUMIF($F$9:$P$9,"&lt;&gt;",$F94:$P94),15-13*PO!$X$3))</f>
        <v>12.8</v>
      </c>
      <c r="F94" s="183">
        <v>12.8</v>
      </c>
      <c r="G94" s="183"/>
      <c r="H94" s="183"/>
      <c r="I94" s="183"/>
      <c r="J94" s="183"/>
      <c r="K94" s="183"/>
      <c r="L94" s="183"/>
      <c r="M94" s="183"/>
      <c r="N94" s="183"/>
      <c r="O94" s="183"/>
      <c r="U94" s="183"/>
    </row>
    <row r="95" spans="1:21" s="1" customFormat="1" ht="38.25" x14ac:dyDescent="0.2">
      <c r="A95" s="110" t="str">
        <f ca="1">OFFSET(PO!J$12,ROW(A95)-ROW($A$12),0)</f>
        <v>Serviço</v>
      </c>
      <c r="B95" s="112" t="str">
        <f ca="1">IF($A95=0,"",OFFSET(PO!K$12,ROW(B95)-ROW(B$12),0))</f>
        <v>2.2.7.</v>
      </c>
      <c r="C95" s="109" t="str">
        <f ca="1">IF(OFFSET(PO!N$12,ROW(C95)-ROW(C$12),0)=0,"",OFFSET(PO!N$12,ROW(C95)-ROW(C$12),0))</f>
        <v>TRANSPORTE COM CAMINHÃO BASCULANTE DE 14 M³, EM VIA URBANA PAVIMENTADA, DMT ATÉ 30 KM (UNIDADE: M3XKM). AF_07/2020</v>
      </c>
      <c r="D95" s="111" t="str">
        <f ca="1">IF(OFFSET(PO!O$12,ROW(D95)-ROW(D$12),0)=0,"",OFFSET(PO!O$12,ROW(D95)-ROW(D$12),0))</f>
        <v>M3XKM</v>
      </c>
      <c r="E95" s="141">
        <f ca="1">IF($A95&lt;&gt;"Serviço",0,ROUND(SUMIF($F$9:$P$9,"&lt;&gt;",$F95:$P95),15-13*PO!$X$3))</f>
        <v>468.74</v>
      </c>
      <c r="F95" s="183">
        <v>468.73599999999999</v>
      </c>
      <c r="G95" s="183"/>
      <c r="H95" s="183"/>
      <c r="I95" s="183"/>
      <c r="J95" s="183"/>
      <c r="K95" s="183"/>
      <c r="L95" s="183"/>
      <c r="M95" s="183"/>
      <c r="N95" s="183"/>
      <c r="O95" s="183"/>
      <c r="U95" s="183"/>
    </row>
    <row r="96" spans="1:21" s="1" customFormat="1" x14ac:dyDescent="0.2">
      <c r="A96" s="69"/>
      <c r="B96" s="69"/>
      <c r="C96" s="69"/>
      <c r="D96" s="69"/>
      <c r="E96" s="69"/>
      <c r="F96" s="69"/>
      <c r="G96" s="69"/>
      <c r="H96" s="69"/>
      <c r="I96" s="69"/>
      <c r="J96" s="69"/>
      <c r="K96" s="69"/>
      <c r="L96" s="69"/>
      <c r="M96" s="69"/>
      <c r="N96" s="69"/>
      <c r="O96" s="69"/>
      <c r="U96" s="69"/>
    </row>
    <row r="97" spans="2:21" s="1" customFormat="1" x14ac:dyDescent="0.2">
      <c r="B97" s="4"/>
      <c r="C97" s="10"/>
      <c r="D97" s="4"/>
      <c r="E97" s="12"/>
      <c r="F97" s="12"/>
      <c r="G97" s="12"/>
      <c r="H97" s="12"/>
      <c r="I97" s="12"/>
      <c r="J97" s="12"/>
      <c r="K97" s="12"/>
      <c r="L97" s="12"/>
      <c r="M97" s="12"/>
      <c r="N97" s="12"/>
      <c r="O97" s="12"/>
      <c r="U97" s="12"/>
    </row>
    <row r="98" spans="2:21" s="1" customFormat="1" x14ac:dyDescent="0.2">
      <c r="B98" s="330" t="str">
        <f>PO!$K$107</f>
        <v>TUCUNDUVA RS</v>
      </c>
      <c r="C98" s="330"/>
      <c r="D98" s="4"/>
      <c r="E98" s="12"/>
      <c r="F98" s="12"/>
      <c r="G98" s="12"/>
      <c r="H98" s="12"/>
      <c r="I98" s="12"/>
      <c r="J98" s="12"/>
      <c r="K98" s="12"/>
      <c r="L98" s="12"/>
      <c r="M98" s="12"/>
      <c r="N98" s="12"/>
      <c r="O98" s="12"/>
      <c r="U98" s="12"/>
    </row>
    <row r="99" spans="2:21" s="1" customFormat="1" x14ac:dyDescent="0.2">
      <c r="B99" s="98" t="s">
        <v>120</v>
      </c>
      <c r="C99" s="10"/>
      <c r="D99" s="4"/>
      <c r="E99" s="12"/>
      <c r="F99" s="12"/>
      <c r="G99" s="12"/>
      <c r="H99" s="12"/>
      <c r="I99" s="12"/>
      <c r="J99" s="12"/>
      <c r="K99" s="12"/>
      <c r="L99" s="12"/>
      <c r="M99" s="12"/>
      <c r="N99" s="12"/>
      <c r="O99" s="12"/>
      <c r="U99" s="12"/>
    </row>
    <row r="100" spans="2:21" s="1" customFormat="1" x14ac:dyDescent="0.2">
      <c r="B100" s="10"/>
      <c r="C100" s="10"/>
      <c r="D100" s="4"/>
      <c r="E100" s="12"/>
      <c r="F100" s="12"/>
      <c r="G100" s="12"/>
      <c r="H100" s="12"/>
      <c r="I100" s="12"/>
      <c r="J100" s="12"/>
      <c r="K100" s="12"/>
      <c r="L100" s="12"/>
      <c r="M100" s="12"/>
      <c r="N100" s="12"/>
      <c r="O100" s="12"/>
      <c r="U100" s="12"/>
    </row>
    <row r="101" spans="2:21" s="1" customFormat="1" x14ac:dyDescent="0.2">
      <c r="B101" s="331">
        <f ca="1">PO!$K$110</f>
        <v>46149</v>
      </c>
      <c r="C101" s="331"/>
      <c r="D101" s="4"/>
      <c r="E101" s="12"/>
      <c r="F101" s="12"/>
      <c r="G101" s="12"/>
      <c r="H101" s="12"/>
      <c r="I101" s="12"/>
      <c r="J101" s="12"/>
      <c r="K101" s="12"/>
      <c r="L101" s="12"/>
      <c r="M101" s="12"/>
      <c r="N101" s="12"/>
      <c r="O101" s="12"/>
      <c r="U101" s="12"/>
    </row>
    <row r="102" spans="2:21" s="1" customFormat="1" x14ac:dyDescent="0.2">
      <c r="B102" s="120" t="s">
        <v>121</v>
      </c>
      <c r="C102" s="121"/>
      <c r="D102" s="4"/>
      <c r="E102" s="12"/>
      <c r="F102" s="12"/>
      <c r="G102" s="12"/>
      <c r="H102" s="12"/>
      <c r="I102" s="12"/>
      <c r="J102" s="12"/>
      <c r="K102" s="12"/>
      <c r="L102" s="12"/>
      <c r="M102" s="12"/>
      <c r="N102" s="12"/>
      <c r="O102" s="12"/>
      <c r="U102" s="12"/>
    </row>
  </sheetData>
  <sheetProtection algorithmName="SHA-512" hashValue="qc/xVRc5FXdMIheMKjRCx9/JoA+2gtzIv8BLpX9RTsuOOQ7yA5RVNJ5PrHcXHHatod/uCa/4jXVnZZtTXUNy3w==" saltValue="TTxmfmSYF5Vlh9DMj/O6sw==" spinCount="100000" sheet="1" objects="1" scenarios="1"/>
  <mergeCells count="2">
    <mergeCell ref="B98:C98"/>
    <mergeCell ref="B101:C101"/>
  </mergeCells>
  <phoneticPr fontId="26" type="noConversion"/>
  <conditionalFormatting sqref="D11:E11 D13:E95">
    <cfRule type="expression" dxfId="94" priority="1040" stopIfTrue="1">
      <formula>$A11="Meta"</formula>
    </cfRule>
    <cfRule type="expression" dxfId="93" priority="1041" stopIfTrue="1">
      <formula>$A11&lt;&gt;"Serviço"</formula>
    </cfRule>
  </conditionalFormatting>
  <conditionalFormatting sqref="C11 C13:C95">
    <cfRule type="expression" dxfId="92" priority="1042" stopIfTrue="1">
      <formula>$A11="Meta"</formula>
    </cfRule>
    <cfRule type="expression" dxfId="91" priority="1043" stopIfTrue="1">
      <formula>$A11&lt;&gt;"Serviço"</formula>
    </cfRule>
  </conditionalFormatting>
  <conditionalFormatting sqref="A11:B11 A13:B95">
    <cfRule type="expression" dxfId="90" priority="1044" stopIfTrue="1">
      <formula>$A11="Meta"</formula>
    </cfRule>
    <cfRule type="expression" dxfId="89" priority="1045" stopIfTrue="1">
      <formula>LEFT($A11,5)="Nível"</formula>
    </cfRule>
    <cfRule type="expression" dxfId="88" priority="1046" stopIfTrue="1">
      <formula>$A11=0</formula>
    </cfRule>
  </conditionalFormatting>
  <conditionalFormatting sqref="U11 F11:O11 U13:U95 F13:O95">
    <cfRule type="expression" dxfId="87" priority="1056" stopIfTrue="1">
      <formula>$A11="Meta"</formula>
    </cfRule>
    <cfRule type="expression" dxfId="86" priority="1057" stopIfTrue="1">
      <formula>OR(F$9=0,$A11&lt;&gt;"Serviço")</formula>
    </cfRule>
    <cfRule type="expression" dxfId="85" priority="1058" stopIfTrue="1">
      <formula>TipoOrçamento="Licitado"</formula>
    </cfRule>
  </conditionalFormatting>
  <conditionalFormatting sqref="U9 F9:O9">
    <cfRule type="expression" dxfId="84" priority="478" stopIfTrue="1">
      <formula>AND(E9=0,F9=0)</formula>
    </cfRule>
    <cfRule type="expression" dxfId="83" priority="479" stopIfTrue="1">
      <formula>TipoOrçamento="Licitado"</formula>
    </cfRule>
  </conditionalFormatting>
  <dataValidations count="1">
    <dataValidation type="decimal" operator="greaterThanOrEqual" allowBlank="1" showInputMessage="1" showErrorMessage="1" error="Digite apenas números._x000a__x000a_preferencialmente com 02 casas de precisão." sqref="U11 F11:O11 F14:O95 U14:U95" xr:uid="{00000000-0002-0000-0300-000000000000}">
      <formula1>0</formula1>
    </dataValidation>
  </dataValidations>
  <printOptions horizontalCentered="1"/>
  <pageMargins left="0.25" right="0.25" top="0.75" bottom="0.75" header="0.3" footer="0.3"/>
  <pageSetup paperSize="9" scale="62" fitToWidth="0" fitToHeight="0" orientation="landscape" r:id="rId1"/>
  <headerFooter alignWithMargins="0">
    <oddHeader>&amp;C&amp;14I</oddHeader>
    <oddFooter>&amp;R&amp;P&amp;L27.476 v008   micro</oddFooter>
  </headerFooter>
  <ignoredErrors>
    <ignoredError sqref="B101 B98" unlockedFormula="1"/>
    <ignoredError sqref="A12 C12" formula="1"/>
  </ignoredError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6">
    <tabColor rgb="FFFFFF00"/>
    <outlinePr summaryBelow="0"/>
    <pageSetUpPr fitToPage="1"/>
  </sheetPr>
  <dimension ref="A1:AC70"/>
  <sheetViews>
    <sheetView showGridLines="0" topLeftCell="L1" zoomScaleNormal="100" zoomScaleSheetLayoutView="100" workbookViewId="0">
      <selection activeCell="N48" sqref="N48:N50"/>
    </sheetView>
  </sheetViews>
  <sheetFormatPr defaultColWidth="9.140625" defaultRowHeight="12.75" x14ac:dyDescent="0.2"/>
  <cols>
    <col min="1" max="4" width="9.140625" style="33" hidden="1" customWidth="1"/>
    <col min="5" max="8" width="5.7109375" style="33" hidden="1" customWidth="1"/>
    <col min="9" max="10" width="6.7109375" style="33" hidden="1" customWidth="1"/>
    <col min="11" max="11" width="10.7109375" style="33" hidden="1" customWidth="1"/>
    <col min="12" max="12" width="10.7109375" style="33" customWidth="1"/>
    <col min="13" max="13" width="40.5703125" style="33" customWidth="1"/>
    <col min="14" max="14" width="16.42578125" style="37" customWidth="1"/>
    <col min="15" max="15" width="16.5703125" style="33" bestFit="1" customWidth="1"/>
    <col min="16" max="23" width="15.7109375" style="33" customWidth="1"/>
    <col min="24" max="24" width="0.85546875" style="36" customWidth="1"/>
    <col min="25" max="28" width="9.140625" style="33"/>
    <col min="29" max="29" width="15.7109375" style="33" hidden="1" customWidth="1"/>
    <col min="30" max="16384" width="9.140625" style="33"/>
  </cols>
  <sheetData>
    <row r="1" spans="1:29" s="32" customFormat="1" ht="12.95" customHeight="1" x14ac:dyDescent="0.2">
      <c r="A1"/>
      <c r="B1"/>
      <c r="C1"/>
      <c r="D1"/>
      <c r="E1" s="148"/>
      <c r="F1" s="148"/>
      <c r="G1" s="148"/>
      <c r="H1" s="148"/>
      <c r="I1" s="148"/>
      <c r="J1" s="148"/>
      <c r="K1" s="148"/>
      <c r="L1"/>
      <c r="M1"/>
      <c r="N1"/>
      <c r="O1" s="149" t="s">
        <v>22</v>
      </c>
      <c r="P1" s="84" t="s">
        <v>115</v>
      </c>
      <c r="Q1" s="150"/>
      <c r="R1"/>
      <c r="S1"/>
      <c r="T1"/>
      <c r="U1"/>
      <c r="V1"/>
      <c r="W1"/>
      <c r="X1"/>
      <c r="AC1"/>
    </row>
    <row r="2" spans="1:29" s="32" customFormat="1" ht="12.75" customHeight="1" x14ac:dyDescent="0.2">
      <c r="A2"/>
      <c r="B2"/>
      <c r="C2"/>
      <c r="D2"/>
      <c r="E2"/>
      <c r="F2"/>
      <c r="G2"/>
      <c r="H2"/>
      <c r="I2"/>
      <c r="J2"/>
      <c r="K2"/>
      <c r="L2"/>
      <c r="M2"/>
      <c r="N2"/>
      <c r="O2" s="149"/>
      <c r="P2" s="87" t="str">
        <f>CHOOSE(1+LOG(1+2*(TipoOrçamento="BASE")+4*(TipoOrçamento="LICITADO")+8*(TipoOrçamento="REPROGRAMADOAC")+16*(TipoOrçamento="REPROGRAMADONPL"),2),"nada","Cronograma Base para Licitação","Cronograma Licitado","Cronograma Licitado Reprogramado","Cronograma Base para Licitação - Reprogramado")</f>
        <v>Cronograma Base para Licitação</v>
      </c>
      <c r="Q2"/>
      <c r="R2"/>
      <c r="S2"/>
      <c r="T2"/>
      <c r="U2"/>
      <c r="V2" s="84"/>
      <c r="W2"/>
      <c r="X2"/>
      <c r="AC2"/>
    </row>
    <row r="3" spans="1:29" s="32" customFormat="1" ht="12.75" customHeight="1" x14ac:dyDescent="0.2">
      <c r="A3"/>
      <c r="B3"/>
      <c r="C3"/>
      <c r="D3"/>
      <c r="E3"/>
      <c r="F3"/>
      <c r="G3"/>
      <c r="H3"/>
      <c r="I3"/>
      <c r="J3"/>
      <c r="K3"/>
      <c r="L3"/>
      <c r="M3"/>
      <c r="N3"/>
      <c r="O3"/>
      <c r="P3"/>
      <c r="Q3"/>
      <c r="R3"/>
      <c r="S3" s="1"/>
      <c r="T3"/>
      <c r="U3"/>
      <c r="V3"/>
      <c r="W3"/>
      <c r="X3"/>
      <c r="AC3"/>
    </row>
    <row r="4" spans="1:29" s="32" customFormat="1" ht="24.95" customHeight="1" x14ac:dyDescent="0.2">
      <c r="A4"/>
      <c r="B4"/>
      <c r="C4"/>
      <c r="D4"/>
      <c r="E4"/>
      <c r="F4"/>
      <c r="G4"/>
      <c r="H4"/>
      <c r="I4"/>
      <c r="J4"/>
      <c r="K4"/>
      <c r="L4"/>
      <c r="M4"/>
      <c r="N4"/>
      <c r="O4"/>
      <c r="P4"/>
      <c r="Q4"/>
      <c r="R4"/>
      <c r="S4"/>
      <c r="T4"/>
      <c r="U4"/>
      <c r="V4"/>
      <c r="W4"/>
      <c r="X4"/>
      <c r="AC4"/>
    </row>
    <row r="5" spans="1:29" s="32" customFormat="1" ht="24.95" customHeight="1" x14ac:dyDescent="0.2">
      <c r="A5"/>
      <c r="B5"/>
      <c r="C5"/>
      <c r="D5"/>
      <c r="E5"/>
      <c r="F5"/>
      <c r="G5"/>
      <c r="H5"/>
      <c r="I5"/>
      <c r="J5"/>
      <c r="K5"/>
      <c r="L5"/>
      <c r="M5"/>
      <c r="N5"/>
      <c r="O5"/>
      <c r="P5"/>
      <c r="Q5"/>
      <c r="R5"/>
      <c r="S5"/>
      <c r="T5"/>
      <c r="U5"/>
      <c r="V5"/>
      <c r="W5"/>
      <c r="X5"/>
      <c r="AC5"/>
    </row>
    <row r="6" spans="1:29" s="32" customFormat="1" ht="24.95" customHeight="1" x14ac:dyDescent="0.2">
      <c r="A6"/>
      <c r="B6"/>
      <c r="C6"/>
      <c r="D6"/>
      <c r="E6"/>
      <c r="F6"/>
      <c r="G6"/>
      <c r="H6"/>
      <c r="I6"/>
      <c r="J6"/>
      <c r="K6"/>
      <c r="L6"/>
      <c r="M6"/>
      <c r="N6"/>
      <c r="O6"/>
      <c r="P6"/>
      <c r="Q6"/>
      <c r="R6"/>
      <c r="S6"/>
      <c r="T6"/>
      <c r="U6"/>
      <c r="V6"/>
      <c r="W6"/>
      <c r="X6"/>
      <c r="AC6"/>
    </row>
    <row r="7" spans="1:29" s="32" customFormat="1" ht="21.75" customHeight="1" x14ac:dyDescent="0.2">
      <c r="A7"/>
      <c r="B7"/>
      <c r="C7"/>
      <c r="D7"/>
      <c r="E7"/>
      <c r="F7"/>
      <c r="G7"/>
      <c r="H7"/>
      <c r="I7"/>
      <c r="J7"/>
      <c r="K7"/>
      <c r="L7"/>
      <c r="M7"/>
      <c r="N7"/>
      <c r="O7"/>
      <c r="P7"/>
      <c r="Q7"/>
      <c r="R7"/>
      <c r="S7"/>
      <c r="T7"/>
      <c r="U7"/>
      <c r="V7"/>
      <c r="W7"/>
      <c r="X7"/>
      <c r="AC7"/>
    </row>
    <row r="8" spans="1:29" s="32" customFormat="1" ht="30" customHeight="1" x14ac:dyDescent="0.2">
      <c r="A8" s="151" t="s">
        <v>176</v>
      </c>
      <c r="B8"/>
      <c r="C8"/>
      <c r="D8"/>
      <c r="E8"/>
      <c r="F8"/>
      <c r="G8"/>
      <c r="H8"/>
      <c r="I8"/>
      <c r="J8"/>
      <c r="K8"/>
      <c r="L8" s="348" t="str">
        <f ca="1">IF(MAX($A$14:$A$61)&lt;&gt;MAX(PO!$V$12:$V$96),"ERRO: CRONOGRAMA DESATUALIZADO",IF(OR(COUNTIF($O$16:$X$16,"&gt;1")&gt;0,OFFSET($X$17,0,-1)&lt;&gt;$N$14),"ERRO: CRONOGRAMA NÃO FECHA EM 100%",""))</f>
        <v/>
      </c>
      <c r="M8" s="348"/>
      <c r="N8" s="136" t="str">
        <f>IF(TipoOrçamento="REPROGRAMADOAC","Qtde de Medições realizadas","")</f>
        <v/>
      </c>
      <c r="O8" s="152"/>
      <c r="P8"/>
      <c r="Q8"/>
      <c r="R8"/>
      <c r="S8"/>
      <c r="T8"/>
      <c r="U8"/>
      <c r="V8"/>
      <c r="W8"/>
      <c r="X8"/>
      <c r="AC8"/>
    </row>
    <row r="9" spans="1:29" s="32" customFormat="1" ht="14.1" customHeight="1" x14ac:dyDescent="0.2">
      <c r="A9" s="142">
        <v>2</v>
      </c>
      <c r="B9"/>
      <c r="C9"/>
      <c r="D9"/>
      <c r="E9"/>
      <c r="F9"/>
      <c r="G9"/>
      <c r="H9"/>
      <c r="I9"/>
      <c r="J9"/>
      <c r="K9"/>
      <c r="L9" s="1"/>
      <c r="M9" s="1"/>
      <c r="N9" s="135">
        <v>1</v>
      </c>
      <c r="O9" s="26">
        <f>IF(AND(TipoOrçamento="REPROGRAMADOAC",$N$9&gt;0),$N$9-1,0)</f>
        <v>0</v>
      </c>
      <c r="P9" s="126">
        <f t="shared" ref="P9:W9" ca="1" si="0">OFFSET(P9,0,-1)+1</f>
        <v>1</v>
      </c>
      <c r="Q9" s="126">
        <f t="shared" ca="1" si="0"/>
        <v>2</v>
      </c>
      <c r="R9" s="126">
        <f t="shared" ca="1" si="0"/>
        <v>3</v>
      </c>
      <c r="S9" s="126">
        <f t="shared" ca="1" si="0"/>
        <v>4</v>
      </c>
      <c r="T9" s="126">
        <f t="shared" ca="1" si="0"/>
        <v>5</v>
      </c>
      <c r="U9" s="126">
        <f t="shared" ca="1" si="0"/>
        <v>6</v>
      </c>
      <c r="V9" s="126">
        <f t="shared" ca="1" si="0"/>
        <v>7</v>
      </c>
      <c r="W9" s="126">
        <f t="shared" ca="1" si="0"/>
        <v>8</v>
      </c>
      <c r="X9"/>
      <c r="AC9" s="126">
        <f ca="1">OFFSET(AC9,0,-1)+1</f>
        <v>1</v>
      </c>
    </row>
    <row r="10" spans="1:29" s="34" customFormat="1" ht="30" customHeight="1" x14ac:dyDescent="0.2">
      <c r="A10" s="153" t="s">
        <v>161</v>
      </c>
      <c r="B10" s="153" t="s">
        <v>129</v>
      </c>
      <c r="C10" s="153" t="s">
        <v>3</v>
      </c>
      <c r="D10" s="153" t="s">
        <v>123</v>
      </c>
      <c r="E10" s="153" t="s">
        <v>109</v>
      </c>
      <c r="F10" s="153" t="s">
        <v>110</v>
      </c>
      <c r="G10" s="153" t="s">
        <v>127</v>
      </c>
      <c r="H10" s="153" t="s">
        <v>128</v>
      </c>
      <c r="I10" s="153" t="s">
        <v>124</v>
      </c>
      <c r="J10" s="153" t="s">
        <v>125</v>
      </c>
      <c r="K10" s="153" t="s">
        <v>178</v>
      </c>
      <c r="L10" s="154" t="s">
        <v>147</v>
      </c>
      <c r="M10" s="155" t="s">
        <v>160</v>
      </c>
      <c r="N10" s="156" t="s">
        <v>139</v>
      </c>
      <c r="O10" s="186" t="str">
        <f>IF(TipoOrçamento="REPROGRAMADOAC","Reinício de Obra","Início de Obra")&amp;CHAR(10)&amp;TEXT(DADOS!A48,"dd/mm/aa")</f>
        <v>Início de Obra
01/05/26</v>
      </c>
      <c r="P10" s="187" t="str">
        <f ca="1">IF(AND(TipoOrçamento="REPROGRAMADOAC",$N$9&gt;0,N10="Valores Totais (R$)"),"Parcela "&amp;$N$9&amp;" Executado","Parcela "&amp;P$9&amp;CHAR(10)&amp;TEXT(DATE(YEAR(DADOS!$A$48),MONTH(DADOS!$A$48)+P$9-IF(AND(TipoOrçamento="REPROGRAMADOAC",$N$9&gt;0),$N$9,0),1),"mmm/aa"))</f>
        <v>Parcela 1
jun/26</v>
      </c>
      <c r="Q10" s="178" t="str">
        <f ca="1">IF(AND(TipoOrçamento="REPROGRAMADOAC",$N$9&gt;0,O10="Valores Totais (R$)"),"Parcela "&amp;$N$9&amp;" Executado","Parcela "&amp;Q$9&amp;CHAR(10)&amp;TEXT(DATE(YEAR(DADOS!$A$48),MONTH(DADOS!$A$48)+Q$9-IF(AND(TipoOrçamento="REPROGRAMADOAC",$N$9&gt;0),$N$9,0),1),"mmm/aa"))</f>
        <v>Parcela 2
jul/26</v>
      </c>
      <c r="R10" s="178" t="str">
        <f ca="1">IF(AND(TipoOrçamento="REPROGRAMADOAC",$N$9&gt;0,P10="Valores Totais (R$)"),"Parcela "&amp;$N$9&amp;" Executado","Parcela "&amp;R$9&amp;CHAR(10)&amp;TEXT(DATE(YEAR(DADOS!$A$48),MONTH(DADOS!$A$48)+R$9-IF(AND(TipoOrçamento="REPROGRAMADOAC",$N$9&gt;0),$N$9,0),1),"mmm/aa"))</f>
        <v>Parcela 3
ago/26</v>
      </c>
      <c r="S10" s="178" t="str">
        <f ca="1">IF(AND(TipoOrçamento="REPROGRAMADOAC",$N$9&gt;0,Q10="Valores Totais (R$)"),"Parcela "&amp;$N$9&amp;" Executado","Parcela "&amp;S$9&amp;CHAR(10)&amp;TEXT(DATE(YEAR(DADOS!$A$48),MONTH(DADOS!$A$48)+S$9-IF(AND(TipoOrçamento="REPROGRAMADOAC",$N$9&gt;0),$N$9,0),1),"mmm/aa"))</f>
        <v>Parcela 4
set/26</v>
      </c>
      <c r="T10" s="178" t="str">
        <f ca="1">IF(AND(TipoOrçamento="REPROGRAMADOAC",$N$9&gt;0,R10="Valores Totais (R$)"),"Parcela "&amp;$N$9&amp;" Executado","Parcela "&amp;T$9&amp;CHAR(10)&amp;TEXT(DATE(YEAR(DADOS!$A$48),MONTH(DADOS!$A$48)+T$9-IF(AND(TipoOrçamento="REPROGRAMADOAC",$N$9&gt;0),$N$9,0),1),"mmm/aa"))</f>
        <v>Parcela 5
out/26</v>
      </c>
      <c r="U10" s="178" t="str">
        <f ca="1">IF(AND(TipoOrçamento="REPROGRAMADOAC",$N$9&gt;0,S10="Valores Totais (R$)"),"Parcela "&amp;$N$9&amp;" Executado","Parcela "&amp;U$9&amp;CHAR(10)&amp;TEXT(DATE(YEAR(DADOS!$A$48),MONTH(DADOS!$A$48)+U$9-IF(AND(TipoOrçamento="REPROGRAMADOAC",$N$9&gt;0),$N$9,0),1),"mmm/aa"))</f>
        <v>Parcela 6
nov/26</v>
      </c>
      <c r="V10" s="178" t="str">
        <f ca="1">IF(AND(TipoOrçamento="REPROGRAMADOAC",$N$9&gt;0,T10="Valores Totais (R$)"),"Parcela "&amp;$N$9&amp;" Executado","Parcela "&amp;V$9&amp;CHAR(10)&amp;TEXT(DATE(YEAR(DADOS!$A$48),MONTH(DADOS!$A$48)+V$9-IF(AND(TipoOrçamento="REPROGRAMADOAC",$N$9&gt;0),$N$9,0),1),"mmm/aa"))</f>
        <v>Parcela 7
dez/26</v>
      </c>
      <c r="W10" s="190" t="str">
        <f ca="1">IF(AND(TipoOrçamento="REPROGRAMADOAC",$N$9&gt;0,U10="Valores Totais (R$)"),"Parcela "&amp;$N$9&amp;" Executado","Parcela "&amp;W$9&amp;CHAR(10)&amp;TEXT(DATE(YEAR(DADOS!$A$48),MONTH(DADOS!$A$48)+W$9-IF(AND(TipoOrçamento="REPROGRAMADOAC",$N$9&gt;0),$N$9,0),1),"mmm/aa"))</f>
        <v>Parcela 8
jan/27</v>
      </c>
      <c r="X10" s="163"/>
      <c r="AC10" s="178" t="str">
        <f ca="1">IF(AND(TipoOrçamento="REPROGRAMADOAC",$N$9&gt;0,AA10="Valores Totais (R$)"),"Parcela "&amp;$N$9&amp;" Executado","Parcela "&amp;AC$9&amp;CHAR(10)&amp;TEXT(DATE(YEAR(DADOS!$A$48),MONTH(DADOS!$A$48)+AC$9-IF(AND(TipoOrçamento="REPROGRAMADOAC",$N$9&gt;0),$N$9,0),1),"mmm/aa"))</f>
        <v>Parcela 1
jun/26</v>
      </c>
    </row>
    <row r="11" spans="1:29" customFormat="1" ht="14.25" hidden="1" customHeight="1" x14ac:dyDescent="0.2">
      <c r="A11" s="1"/>
      <c r="B11" s="1"/>
      <c r="C11" s="1"/>
      <c r="D11" s="1"/>
      <c r="E11" s="1"/>
      <c r="F11" s="1"/>
      <c r="G11" s="1"/>
      <c r="H11" s="1"/>
      <c r="I11" s="1"/>
      <c r="J11" s="1"/>
      <c r="K11" s="1"/>
      <c r="L11" s="333" t="e">
        <f ca="1">INDEX(PO!K$12:K$96,MATCH($A13,PO!$V$12:$V$96,0))</f>
        <v>#VALUE!</v>
      </c>
      <c r="M11" s="335" t="e">
        <f ca="1">INDEX(PO!N$12:N$96,MATCH($A13,PO!$V$12:$V$96,0))</f>
        <v>#VALUE!</v>
      </c>
      <c r="N11" s="346" t="e">
        <f ca="1">IF(ROUND(K13,2)=0,K13,ROUND(K13,2))</f>
        <v>#VALUE!</v>
      </c>
      <c r="O11" s="188" t="s">
        <v>143</v>
      </c>
      <c r="P11" s="194" t="e">
        <f ca="1">IF($B13,0,P12-IF(ISNUMBER(O12),O12,0))</f>
        <v>#VALUE!</v>
      </c>
      <c r="Q11" s="195" t="e">
        <f t="shared" ref="Q11:W11" ca="1" si="1">IF($B13,0,Q12-IF(ISNUMBER(P12),P12,0))</f>
        <v>#VALUE!</v>
      </c>
      <c r="R11" s="195" t="e">
        <f t="shared" ca="1" si="1"/>
        <v>#VALUE!</v>
      </c>
      <c r="S11" s="195" t="e">
        <f t="shared" ca="1" si="1"/>
        <v>#VALUE!</v>
      </c>
      <c r="T11" s="195" t="e">
        <f t="shared" ca="1" si="1"/>
        <v>#VALUE!</v>
      </c>
      <c r="U11" s="195" t="e">
        <f t="shared" ca="1" si="1"/>
        <v>#VALUE!</v>
      </c>
      <c r="V11" s="195" t="e">
        <f t="shared" ca="1" si="1"/>
        <v>#VALUE!</v>
      </c>
      <c r="W11" s="196" t="e">
        <f t="shared" ca="1" si="1"/>
        <v>#VALUE!</v>
      </c>
      <c r="X11" s="164"/>
      <c r="AC11" s="189" t="e">
        <f ca="1">IF($B13,0,AC12-IF(ISNUMBER(AB12),AB12,0))</f>
        <v>#VALUE!</v>
      </c>
    </row>
    <row r="12" spans="1:29" customFormat="1" ht="14.25" hidden="1" x14ac:dyDescent="0.2">
      <c r="A12" s="11"/>
      <c r="B12" s="11"/>
      <c r="C12" s="11"/>
      <c r="D12" s="11"/>
      <c r="E12" s="11"/>
      <c r="F12" s="11"/>
      <c r="G12" s="11"/>
      <c r="H12" s="11"/>
      <c r="I12" s="11"/>
      <c r="J12" s="11"/>
      <c r="K12" s="11"/>
      <c r="L12" s="334"/>
      <c r="M12" s="336"/>
      <c r="N12" s="347"/>
      <c r="O12" s="146" t="s">
        <v>145</v>
      </c>
      <c r="P12" s="166" t="e">
        <f ca="1">MIN(IF($B13,P11+IF(ISNUMBER(O12),O12,0),P13/$N11),1)</f>
        <v>#VALUE!</v>
      </c>
      <c r="Q12" s="144" t="e">
        <f t="shared" ref="Q12:W12" ca="1" si="2">MIN(IF($B13,Q11+IF(ISNUMBER(P12),P12,0),Q13/$N11),1)</f>
        <v>#VALUE!</v>
      </c>
      <c r="R12" s="144" t="e">
        <f t="shared" ca="1" si="2"/>
        <v>#VALUE!</v>
      </c>
      <c r="S12" s="144" t="e">
        <f t="shared" ca="1" si="2"/>
        <v>#VALUE!</v>
      </c>
      <c r="T12" s="144" t="e">
        <f t="shared" ca="1" si="2"/>
        <v>#VALUE!</v>
      </c>
      <c r="U12" s="144" t="e">
        <f t="shared" ca="1" si="2"/>
        <v>#VALUE!</v>
      </c>
      <c r="V12" s="144" t="e">
        <f t="shared" ca="1" si="2"/>
        <v>#VALUE!</v>
      </c>
      <c r="W12" s="144" t="e">
        <f t="shared" ca="1" si="2"/>
        <v>#VALUE!</v>
      </c>
      <c r="X12" s="164"/>
      <c r="AC12" s="144" t="e">
        <f ca="1">MIN(IF($B13,AC11+IF(ISNUMBER(AB12),AB12,0),AC13/$N11),1)</f>
        <v>#VALUE!</v>
      </c>
    </row>
    <row r="13" spans="1:29" customFormat="1" ht="14.25" hidden="1" x14ac:dyDescent="0.2">
      <c r="A13" s="11" t="e">
        <f ca="1">OFFSET(A13,-CFF.NumLinha,0)+1</f>
        <v>#VALUE!</v>
      </c>
      <c r="B13" s="11" t="e">
        <f ca="1">$C13&gt;=OFFSET($C13,CFF.NumLinha,0)</f>
        <v>#VALUE!</v>
      </c>
      <c r="C13" s="11" t="e">
        <f ca="1">INDEX(PO!A$12:A$96,MATCH($A13,PO!$V$12:$V$96,0))</f>
        <v>#VALUE!</v>
      </c>
      <c r="D13" s="11" t="e">
        <f ca="1">IF(ISERROR(J13),I13,SMALL(I13:J13,1))-1</f>
        <v>#VALUE!</v>
      </c>
      <c r="E13" s="11" t="e">
        <f ca="1">IF($C13=1,OFFSET(E13,-CFF.NumLinha,0)+1,OFFSET(E13,-CFF.NumLinha,0))</f>
        <v>#VALUE!</v>
      </c>
      <c r="F13" s="11" t="e">
        <f ca="1">IF($C13=1,0,IF($C13=2,OFFSET(F13,-CFF.NumLinha,0)+1,OFFSET(F13,-CFF.NumLinha,0)))</f>
        <v>#VALUE!</v>
      </c>
      <c r="G13" s="11" t="e">
        <f ca="1">IF(AND($C13&lt;=2,$C13&lt;&gt;0),0,IF($C13=3,OFFSET(G13,-CFF.NumLinha,0)+1,OFFSET(G13,-CFF.NumLinha,0)))</f>
        <v>#VALUE!</v>
      </c>
      <c r="H13" s="11" t="e">
        <f ca="1">IF(AND($C13&lt;=3,$C13&lt;&gt;0),0,IF($C13=4,OFFSET(H13,-CFF.NumLinha,0)+1,OFFSET(H13,-CFF.NumLinha,0)))</f>
        <v>#VALUE!</v>
      </c>
      <c r="I13" s="11" t="e">
        <f ca="1">MATCH(0,OFFSET($D13,1,$C13,ROW($A$60)-ROW($A13)),0)</f>
        <v>#VALUE!</v>
      </c>
      <c r="J13" s="11" t="e">
        <f ca="1">MATCH(OFFSET($D13,0,$C13)+1,OFFSET($D13,1,$C13,ROW($A$60)-ROW($A13)),0)</f>
        <v>#VALUE!</v>
      </c>
      <c r="K13" s="157" t="e">
        <f ca="1">ROUND(INDEX(PO!T$12:T$96,MATCH($A13,PO!$V$12:$V$96,0)),2)+10^-12</f>
        <v>#VALUE!</v>
      </c>
      <c r="L13" s="334"/>
      <c r="M13" s="336"/>
      <c r="N13" s="347"/>
      <c r="O13" s="172" t="s">
        <v>20</v>
      </c>
      <c r="P13" s="167" t="e">
        <f ca="1">IF($B13,ROUND(P12*$N11,2),ROUND(SUMIF(OFFSET($B13,1,0,$D13),TRUE,OFFSET(P13,1,0,$D13))/SUMIF(OFFSET($B13,1,0,$D13),TRUE,OFFSET($K13,1,0,$D13))*$N11,2))</f>
        <v>#VALUE!</v>
      </c>
      <c r="Q13" s="145" t="e">
        <f t="shared" ref="Q13:W13" ca="1" si="3">IF($B13,ROUND(Q12*$N11,2),ROUND(SUMIF(OFFSET($B13,1,0,$D13),TRUE,OFFSET(Q13,1,0,$D13))/SUMIF(OFFSET($B13,1,0,$D13),TRUE,OFFSET($K13,1,0,$D13))*$N11,2))</f>
        <v>#VALUE!</v>
      </c>
      <c r="R13" s="145" t="e">
        <f t="shared" ca="1" si="3"/>
        <v>#VALUE!</v>
      </c>
      <c r="S13" s="145" t="e">
        <f t="shared" ca="1" si="3"/>
        <v>#VALUE!</v>
      </c>
      <c r="T13" s="145" t="e">
        <f t="shared" ca="1" si="3"/>
        <v>#VALUE!</v>
      </c>
      <c r="U13" s="145" t="e">
        <f t="shared" ca="1" si="3"/>
        <v>#VALUE!</v>
      </c>
      <c r="V13" s="145" t="e">
        <f t="shared" ca="1" si="3"/>
        <v>#VALUE!</v>
      </c>
      <c r="W13" s="175" t="e">
        <f t="shared" ca="1" si="3"/>
        <v>#VALUE!</v>
      </c>
      <c r="X13" s="164"/>
      <c r="AC13" s="145" t="e">
        <f ca="1">IF($B13,ROUND(AC12*$N11,2),ROUND(SUMIF(OFFSET($B13,1,0,$D13),TRUE,OFFSET(AC13,1,0,$D13))/SUMIF(OFFSET($B13,1,0,$D13),TRUE,OFFSET($K13,1,0,$D13))*$N11,2))</f>
        <v>#VALUE!</v>
      </c>
    </row>
    <row r="14" spans="1:29" s="35" customFormat="1" ht="12.75" customHeight="1" x14ac:dyDescent="0.2">
      <c r="A14"/>
      <c r="B14"/>
      <c r="C14"/>
      <c r="D14"/>
      <c r="E14"/>
      <c r="F14"/>
      <c r="G14"/>
      <c r="H14"/>
      <c r="I14"/>
      <c r="J14"/>
      <c r="K14"/>
      <c r="L14" s="337" t="s">
        <v>19</v>
      </c>
      <c r="M14" s="338"/>
      <c r="N14" s="343">
        <f ca="1">IF(PO!$T$12=0,10^-12,PO!$T$12)</f>
        <v>347736.7699999999</v>
      </c>
      <c r="O14" s="143" t="s">
        <v>143</v>
      </c>
      <c r="P14" s="173">
        <f ca="1">ROUND(P15/$N14,4)</f>
        <v>9.11E-2</v>
      </c>
      <c r="Q14" s="174">
        <f t="shared" ref="Q14:W14" ca="1" si="4">ROUND(Q15/$N14,4)</f>
        <v>0.39550000000000002</v>
      </c>
      <c r="R14" s="174">
        <f t="shared" ca="1" si="4"/>
        <v>0.25340000000000001</v>
      </c>
      <c r="S14" s="174">
        <f t="shared" ca="1" si="4"/>
        <v>0.26</v>
      </c>
      <c r="T14" s="174">
        <f t="shared" ca="1" si="4"/>
        <v>0</v>
      </c>
      <c r="U14" s="174">
        <f t="shared" ca="1" si="4"/>
        <v>0</v>
      </c>
      <c r="V14" s="174">
        <f t="shared" ca="1" si="4"/>
        <v>0</v>
      </c>
      <c r="W14" s="174">
        <f t="shared" ca="1" si="4"/>
        <v>0</v>
      </c>
      <c r="X14" s="147"/>
      <c r="AC14" s="174">
        <f ca="1">ROUND(AC15/$N14,4)</f>
        <v>0</v>
      </c>
    </row>
    <row r="15" spans="1:29" s="35" customFormat="1" ht="12.75" customHeight="1" x14ac:dyDescent="0.2">
      <c r="A15"/>
      <c r="B15"/>
      <c r="C15"/>
      <c r="D15"/>
      <c r="E15"/>
      <c r="F15"/>
      <c r="G15"/>
      <c r="H15"/>
      <c r="I15"/>
      <c r="J15"/>
      <c r="K15"/>
      <c r="L15" s="339"/>
      <c r="M15" s="340"/>
      <c r="N15" s="344"/>
      <c r="O15" s="132" t="s">
        <v>144</v>
      </c>
      <c r="P15" s="168">
        <f ca="1">P17-IF(ISNUMBER(O17),O17,0)</f>
        <v>31673.51</v>
      </c>
      <c r="Q15" s="127">
        <f t="shared" ref="Q15:W15" ca="1" si="5">Q17-IF(ISNUMBER(P17),P17,0)</f>
        <v>137523.02999999997</v>
      </c>
      <c r="R15" s="127">
        <f t="shared" ca="1" si="5"/>
        <v>88128.150000000023</v>
      </c>
      <c r="S15" s="127">
        <f t="shared" ca="1" si="5"/>
        <v>90412.080000000016</v>
      </c>
      <c r="T15" s="127">
        <f t="shared" ca="1" si="5"/>
        <v>0</v>
      </c>
      <c r="U15" s="127">
        <f t="shared" ca="1" si="5"/>
        <v>0</v>
      </c>
      <c r="V15" s="127">
        <f t="shared" ca="1" si="5"/>
        <v>0</v>
      </c>
      <c r="W15" s="127">
        <f t="shared" ca="1" si="5"/>
        <v>0</v>
      </c>
      <c r="X15" s="147"/>
      <c r="AC15" s="127">
        <f ca="1">AC17-IF(ISNUMBER(AB17),AB17,0)</f>
        <v>0</v>
      </c>
    </row>
    <row r="16" spans="1:29" s="35" customFormat="1" ht="12.75" customHeight="1" x14ac:dyDescent="0.2">
      <c r="A16"/>
      <c r="B16"/>
      <c r="C16"/>
      <c r="D16"/>
      <c r="E16"/>
      <c r="F16"/>
      <c r="G16"/>
      <c r="H16"/>
      <c r="I16"/>
      <c r="J16"/>
      <c r="K16"/>
      <c r="L16" s="339"/>
      <c r="M16" s="340"/>
      <c r="N16" s="344"/>
      <c r="O16" s="133" t="s">
        <v>145</v>
      </c>
      <c r="P16" s="169">
        <f ca="1">ROUND(P17/$N14,4)</f>
        <v>9.11E-2</v>
      </c>
      <c r="Q16" s="128">
        <f t="shared" ref="Q16:W16" ca="1" si="6">ROUND(Q17/$N14,4)</f>
        <v>0.48659999999999998</v>
      </c>
      <c r="R16" s="128">
        <f t="shared" ca="1" si="6"/>
        <v>0.74</v>
      </c>
      <c r="S16" s="128">
        <f t="shared" ca="1" si="6"/>
        <v>1</v>
      </c>
      <c r="T16" s="128">
        <f t="shared" ca="1" si="6"/>
        <v>1</v>
      </c>
      <c r="U16" s="128">
        <f t="shared" ca="1" si="6"/>
        <v>1</v>
      </c>
      <c r="V16" s="128">
        <f t="shared" ca="1" si="6"/>
        <v>1</v>
      </c>
      <c r="W16" s="128">
        <f t="shared" ca="1" si="6"/>
        <v>1</v>
      </c>
      <c r="X16" s="147"/>
      <c r="AC16" s="128">
        <f ca="1">ROUND(AC17/$N14,4)</f>
        <v>0</v>
      </c>
    </row>
    <row r="17" spans="1:29" s="35" customFormat="1" ht="12.75" customHeight="1" x14ac:dyDescent="0.2">
      <c r="A17" s="19">
        <v>0</v>
      </c>
      <c r="B17"/>
      <c r="C17"/>
      <c r="D17" s="19">
        <f>ROW(D$60)-ROW(D18)</f>
        <v>42</v>
      </c>
      <c r="E17"/>
      <c r="F17"/>
      <c r="G17"/>
      <c r="H17"/>
      <c r="I17"/>
      <c r="J17"/>
      <c r="K17"/>
      <c r="L17" s="341"/>
      <c r="M17" s="342"/>
      <c r="N17" s="345"/>
      <c r="O17" s="134" t="s">
        <v>20</v>
      </c>
      <c r="P17" s="170">
        <f ca="1">SUMIF(OFFSET($C17,1,0):$C$60,1,OFFSET(P17,1,0):P$60)</f>
        <v>31673.51</v>
      </c>
      <c r="Q17" s="129">
        <f ca="1">SUMIF(OFFSET($C17,1,0):$C$60,1,OFFSET(Q17,1,0):Q$60)</f>
        <v>169196.53999999998</v>
      </c>
      <c r="R17" s="129">
        <f ca="1">SUMIF(OFFSET($C17,1,0):$C$60,1,OFFSET(R17,1,0):R$60)</f>
        <v>257324.69</v>
      </c>
      <c r="S17" s="129">
        <f ca="1">SUMIF(OFFSET($C17,1,0):$C$60,1,OFFSET(S17,1,0):S$60)</f>
        <v>347736.77</v>
      </c>
      <c r="T17" s="129">
        <f ca="1">SUMIF(OFFSET($C17,1,0):$C$60,1,OFFSET(T17,1,0):T$60)</f>
        <v>347736.77</v>
      </c>
      <c r="U17" s="129">
        <f ca="1">SUMIF(OFFSET($C17,1,0):$C$60,1,OFFSET(U17,1,0):U$60)</f>
        <v>347736.77</v>
      </c>
      <c r="V17" s="129">
        <f ca="1">SUMIF(OFFSET($C17,1,0):$C$60,1,OFFSET(V17,1,0):V$60)</f>
        <v>347736.77</v>
      </c>
      <c r="W17" s="129">
        <f ca="1">SUMIF(OFFSET($C17,1,0):$C$60,1,OFFSET(W17,1,0):W$60)</f>
        <v>347736.77</v>
      </c>
      <c r="X17" s="147"/>
      <c r="AC17" s="129">
        <f ca="1">SUMIF(OFFSET($C17,1,0):$C$60,1,OFFSET(AC17,1,0):AC$60)</f>
        <v>0</v>
      </c>
    </row>
    <row r="18" spans="1:29" customFormat="1" ht="14.25" customHeight="1" x14ac:dyDescent="0.2">
      <c r="L18" s="333" t="str">
        <f ca="1">INDEX(PO!K$12:K$96,MATCH($A20,PO!$V$12:$V$96,0))</f>
        <v>1.</v>
      </c>
      <c r="M18" s="335" t="str">
        <f ca="1">INDEX(PO!N$12:N$96,MATCH($A20,PO!$V$12:$V$96,0))</f>
        <v>REFORMA CAS</v>
      </c>
      <c r="N18" s="346">
        <f ca="1">IF(ROUND(K20,2)=0,K20,ROUND(K20,2))</f>
        <v>234136.46</v>
      </c>
      <c r="O18" s="171" t="s">
        <v>143</v>
      </c>
      <c r="P18" s="194">
        <v>0</v>
      </c>
      <c r="Q18" s="195">
        <v>0</v>
      </c>
      <c r="R18" s="195">
        <f t="shared" ref="R18:W18" ca="1" si="7">IF($B20,0,R19-IF(ISNUMBER(Q19),Q19,0))</f>
        <v>0.17479264015523266</v>
      </c>
      <c r="S18" s="195">
        <f t="shared" ca="1" si="7"/>
        <v>0.18454737890886364</v>
      </c>
      <c r="T18" s="195">
        <f t="shared" ca="1" si="7"/>
        <v>0</v>
      </c>
      <c r="U18" s="195">
        <f t="shared" ca="1" si="7"/>
        <v>0</v>
      </c>
      <c r="V18" s="195">
        <f t="shared" ca="1" si="7"/>
        <v>0</v>
      </c>
      <c r="W18" s="196">
        <f t="shared" ca="1" si="7"/>
        <v>0</v>
      </c>
      <c r="X18" s="165" t="s">
        <v>106</v>
      </c>
      <c r="AC18" s="189">
        <f ca="1">IF($B20,0,AC19-IF(ISNUMBER(AB19),AB19,0))</f>
        <v>0</v>
      </c>
    </row>
    <row r="19" spans="1:29" customFormat="1" ht="14.25" x14ac:dyDescent="0.2">
      <c r="L19" s="334"/>
      <c r="M19" s="336"/>
      <c r="N19" s="347"/>
      <c r="O19" s="146" t="s">
        <v>145</v>
      </c>
      <c r="P19" s="166">
        <f t="shared" ref="P19:W19" ca="1" si="8">MIN(IF($B20,P18+IF(ISNUMBER(O19),O19,0),P20/$N18),1)</f>
        <v>9.4287621842407618E-2</v>
      </c>
      <c r="Q19" s="144">
        <f t="shared" ca="1" si="8"/>
        <v>0.64065998093590371</v>
      </c>
      <c r="R19" s="144">
        <f t="shared" ca="1" si="8"/>
        <v>0.81545262109113636</v>
      </c>
      <c r="S19" s="144">
        <f t="shared" ca="1" si="8"/>
        <v>1</v>
      </c>
      <c r="T19" s="144">
        <f t="shared" ca="1" si="8"/>
        <v>1</v>
      </c>
      <c r="U19" s="144">
        <f t="shared" ca="1" si="8"/>
        <v>1</v>
      </c>
      <c r="V19" s="144">
        <f t="shared" ca="1" si="8"/>
        <v>1</v>
      </c>
      <c r="W19" s="144">
        <f t="shared" ca="1" si="8"/>
        <v>1</v>
      </c>
      <c r="X19" s="164"/>
      <c r="AC19" s="144">
        <f ca="1">MIN(IF($B20,AC18+IF(ISNUMBER(AB19),AB19,0),AC20/$N18),1)</f>
        <v>0</v>
      </c>
    </row>
    <row r="20" spans="1:29" customFormat="1" ht="14.25" x14ac:dyDescent="0.2">
      <c r="A20" s="19">
        <f ca="1">OFFSET(A20,-CFF.NumLinha,0)+1</f>
        <v>1</v>
      </c>
      <c r="B20" t="b">
        <f ca="1">$C20&gt;=OFFSET($C20,CFF.NumLinha,0)</f>
        <v>0</v>
      </c>
      <c r="C20" s="11">
        <f ca="1">INDEX(PO!A$12:A$96,MATCH($A20,PO!$V$12:$V$96,0))</f>
        <v>1</v>
      </c>
      <c r="D20" s="11">
        <f ca="1">IF(ISERROR(J20),I20,SMALL(I20:J20,1))-1</f>
        <v>32</v>
      </c>
      <c r="E20" s="11">
        <f ca="1">IF($C20=1,OFFSET(E20,-CFF.NumLinha,0)+1,OFFSET(E20,-CFF.NumLinha,0))</f>
        <v>1</v>
      </c>
      <c r="F20" s="11">
        <f ca="1">IF($C20=1,0,IF($C20=2,OFFSET(F20,-CFF.NumLinha,0)+1,OFFSET(F20,-CFF.NumLinha,0)))</f>
        <v>0</v>
      </c>
      <c r="G20" s="11">
        <f ca="1">IF(AND($C20&lt;=2,$C20&lt;&gt;0),0,IF($C20=3,OFFSET(G20,-CFF.NumLinha,0)+1,OFFSET(G20,-CFF.NumLinha,0)))</f>
        <v>0</v>
      </c>
      <c r="H20" s="11">
        <f ca="1">IF(AND($C20&lt;=3,$C20&lt;&gt;0),0,IF($C20=4,OFFSET(H20,-CFF.NumLinha,0)+1,OFFSET(H20,-CFF.NumLinha,0)))</f>
        <v>0</v>
      </c>
      <c r="I20" s="11">
        <f ca="1">MATCH(0,OFFSET($D20,1,$C20,ROW($A$60)-ROW($A20)),0)</f>
        <v>40</v>
      </c>
      <c r="J20" s="11">
        <f ca="1">MATCH(OFFSET($D20,0,$C20)+1,OFFSET($D20,1,$C20,ROW($A$60)-ROW($A20)),0)</f>
        <v>33</v>
      </c>
      <c r="K20" s="157">
        <f ca="1">ROUND(INDEX(PO!T$12:T$96,MATCH($A20,PO!$V$12:$V$96,0)),2)+10^-12</f>
        <v>234136.46</v>
      </c>
      <c r="L20" s="334"/>
      <c r="M20" s="336"/>
      <c r="N20" s="347"/>
      <c r="O20" s="172" t="s">
        <v>20</v>
      </c>
      <c r="P20" s="167">
        <f t="shared" ref="P20:W20" ca="1" si="9">IF($B20,ROUND(P19*$N18,2),ROUND(SUMIF(OFFSET($B20,1,0,$D20),TRUE,OFFSET(P20,1,0,$D20))/SUMIF(OFFSET($B20,1,0,$D20),TRUE,OFFSET($K20,1,0,$D20))*$N18,2))</f>
        <v>22076.17</v>
      </c>
      <c r="Q20" s="145">
        <f t="shared" ca="1" si="9"/>
        <v>150001.85999999999</v>
      </c>
      <c r="R20" s="145">
        <f t="shared" ca="1" si="9"/>
        <v>190927.19</v>
      </c>
      <c r="S20" s="145">
        <f t="shared" ca="1" si="9"/>
        <v>234136.46</v>
      </c>
      <c r="T20" s="145">
        <f t="shared" ca="1" si="9"/>
        <v>234136.46</v>
      </c>
      <c r="U20" s="145">
        <f t="shared" ca="1" si="9"/>
        <v>234136.46</v>
      </c>
      <c r="V20" s="145">
        <f t="shared" ca="1" si="9"/>
        <v>234136.46</v>
      </c>
      <c r="W20" s="175">
        <f t="shared" ca="1" si="9"/>
        <v>234136.46</v>
      </c>
      <c r="X20" s="164"/>
      <c r="AC20" s="145">
        <f ca="1">IF($B20,ROUND(AC19*$N18,2),ROUND(SUMIF(OFFSET($B20,1,0,$D20),TRUE,OFFSET(AC20,1,0,$D20))/SUMIF(OFFSET($B20,1,0,$D20),TRUE,OFFSET($K20,1,0,$D20))*$N18,2))</f>
        <v>0</v>
      </c>
    </row>
    <row r="21" spans="1:29" customFormat="1" ht="14.25" customHeight="1" x14ac:dyDescent="0.2">
      <c r="A21" s="1"/>
      <c r="B21" s="1"/>
      <c r="C21" s="1"/>
      <c r="D21" s="1"/>
      <c r="E21" s="1"/>
      <c r="F21" s="1"/>
      <c r="G21" s="1"/>
      <c r="H21" s="1"/>
      <c r="I21" s="1"/>
      <c r="J21" s="1"/>
      <c r="K21" s="1"/>
      <c r="L21" s="333" t="str">
        <f ca="1">INDEX(PO!K$12:K$96,MATCH($A23,PO!$V$12:$V$96,0))</f>
        <v>1.1.</v>
      </c>
      <c r="M21" s="335" t="str">
        <f ca="1">INDEX(PO!N$12:N$96,MATCH($A23,PO!$V$12:$V$96,0))</f>
        <v>SERVIÇOS INICIAIS</v>
      </c>
      <c r="N21" s="346">
        <f ca="1">IF(ROUND(K23,2)=0,K23,ROUND(K23,2))</f>
        <v>3309.26</v>
      </c>
      <c r="O21" s="188" t="s">
        <v>143</v>
      </c>
      <c r="P21" s="194">
        <v>1</v>
      </c>
      <c r="Q21" s="195">
        <v>0.5</v>
      </c>
      <c r="R21" s="195">
        <f t="shared" ref="R21:W21" ca="1" si="10">IF($B23,0,R22-IF(ISNUMBER(Q22),Q22,0))</f>
        <v>0</v>
      </c>
      <c r="S21" s="195">
        <f t="shared" ca="1" si="10"/>
        <v>0</v>
      </c>
      <c r="T21" s="195">
        <f t="shared" ca="1" si="10"/>
        <v>0</v>
      </c>
      <c r="U21" s="195">
        <f t="shared" ca="1" si="10"/>
        <v>0</v>
      </c>
      <c r="V21" s="195">
        <f t="shared" ca="1" si="10"/>
        <v>0</v>
      </c>
      <c r="W21" s="196">
        <f t="shared" ca="1" si="10"/>
        <v>0</v>
      </c>
      <c r="X21" s="164"/>
      <c r="AC21" s="189">
        <f ca="1">IF($B23,0,AC22-IF(ISNUMBER(AB22),AB22,0))</f>
        <v>0</v>
      </c>
    </row>
    <row r="22" spans="1:29" customFormat="1" ht="14.25" x14ac:dyDescent="0.2">
      <c r="A22" s="11"/>
      <c r="B22" s="11"/>
      <c r="C22" s="11"/>
      <c r="D22" s="11"/>
      <c r="E22" s="11"/>
      <c r="F22" s="11"/>
      <c r="G22" s="11"/>
      <c r="H22" s="11"/>
      <c r="I22" s="11"/>
      <c r="J22" s="11"/>
      <c r="K22" s="11"/>
      <c r="L22" s="334"/>
      <c r="M22" s="336"/>
      <c r="N22" s="347"/>
      <c r="O22" s="146" t="s">
        <v>145</v>
      </c>
      <c r="P22" s="166">
        <f t="shared" ref="P22:W22" ca="1" si="11">MIN(IF($B23,P21+IF(ISNUMBER(O22),O22,0),P23/$N21),1)</f>
        <v>1</v>
      </c>
      <c r="Q22" s="144">
        <f t="shared" ca="1" si="11"/>
        <v>1</v>
      </c>
      <c r="R22" s="144">
        <f t="shared" ca="1" si="11"/>
        <v>1</v>
      </c>
      <c r="S22" s="144">
        <f t="shared" ca="1" si="11"/>
        <v>1</v>
      </c>
      <c r="T22" s="144">
        <f t="shared" ca="1" si="11"/>
        <v>1</v>
      </c>
      <c r="U22" s="144">
        <f t="shared" ca="1" si="11"/>
        <v>1</v>
      </c>
      <c r="V22" s="144">
        <f t="shared" ca="1" si="11"/>
        <v>1</v>
      </c>
      <c r="W22" s="144">
        <f t="shared" ca="1" si="11"/>
        <v>1</v>
      </c>
      <c r="X22" s="164"/>
      <c r="AC22" s="144">
        <f ca="1">MIN(IF($B23,AC21+IF(ISNUMBER(AB22),AB22,0),AC23/$N21),1)</f>
        <v>0</v>
      </c>
    </row>
    <row r="23" spans="1:29" customFormat="1" ht="14.25" x14ac:dyDescent="0.2">
      <c r="A23" s="11">
        <f ca="1">OFFSET(A23,-CFF.NumLinha,0)+1</f>
        <v>2</v>
      </c>
      <c r="B23" s="11" t="b">
        <f ca="1">$C23&gt;=OFFSET($C23,CFF.NumLinha,0)</f>
        <v>1</v>
      </c>
      <c r="C23" s="11">
        <f ca="1">INDEX(PO!A$12:A$96,MATCH($A23,PO!$V$12:$V$96,0))</f>
        <v>2</v>
      </c>
      <c r="D23" s="11">
        <f ca="1">IF(ISERROR(J23),I23,SMALL(I23:J23,1))-1</f>
        <v>2</v>
      </c>
      <c r="E23" s="11">
        <f ca="1">IF($C23=1,OFFSET(E23,-CFF.NumLinha,0)+1,OFFSET(E23,-CFF.NumLinha,0))</f>
        <v>1</v>
      </c>
      <c r="F23" s="11">
        <f ca="1">IF($C23=1,0,IF($C23=2,OFFSET(F23,-CFF.NumLinha,0)+1,OFFSET(F23,-CFF.NumLinha,0)))</f>
        <v>1</v>
      </c>
      <c r="G23" s="11">
        <f ca="1">IF(AND($C23&lt;=2,$C23&lt;&gt;0),0,IF($C23=3,OFFSET(G23,-CFF.NumLinha,0)+1,OFFSET(G23,-CFF.NumLinha,0)))</f>
        <v>0</v>
      </c>
      <c r="H23" s="11">
        <f ca="1">IF(AND($C23&lt;=3,$C23&lt;&gt;0),0,IF($C23=4,OFFSET(H23,-CFF.NumLinha,0)+1,OFFSET(H23,-CFF.NumLinha,0)))</f>
        <v>0</v>
      </c>
      <c r="I23" s="11">
        <f ca="1">MATCH(0,OFFSET($D23,1,$C23,ROW($A$60)-ROW($A23)),0)</f>
        <v>30</v>
      </c>
      <c r="J23" s="11">
        <f ca="1">MATCH(OFFSET($D23,0,$C23)+1,OFFSET($D23,1,$C23,ROW($A$60)-ROW($A23)),0)</f>
        <v>3</v>
      </c>
      <c r="K23" s="157">
        <f ca="1">ROUND(INDEX(PO!T$12:T$96,MATCH($A23,PO!$V$12:$V$96,0)),2)+10^-12</f>
        <v>3309.2600000000011</v>
      </c>
      <c r="L23" s="334"/>
      <c r="M23" s="336"/>
      <c r="N23" s="347"/>
      <c r="O23" s="172" t="s">
        <v>20</v>
      </c>
      <c r="P23" s="167">
        <f t="shared" ref="P23:W23" ca="1" si="12">IF($B23,ROUND(P22*$N21,2),ROUND(SUMIF(OFFSET($B23,1,0,$D23),TRUE,OFFSET(P23,1,0,$D23))/SUMIF(OFFSET($B23,1,0,$D23),TRUE,OFFSET($K23,1,0,$D23))*$N21,2))</f>
        <v>3309.26</v>
      </c>
      <c r="Q23" s="145">
        <f t="shared" ca="1" si="12"/>
        <v>3309.26</v>
      </c>
      <c r="R23" s="145">
        <f t="shared" ca="1" si="12"/>
        <v>3309.26</v>
      </c>
      <c r="S23" s="145">
        <f t="shared" ca="1" si="12"/>
        <v>3309.26</v>
      </c>
      <c r="T23" s="145">
        <f t="shared" ca="1" si="12"/>
        <v>3309.26</v>
      </c>
      <c r="U23" s="145">
        <f t="shared" ca="1" si="12"/>
        <v>3309.26</v>
      </c>
      <c r="V23" s="145">
        <f t="shared" ca="1" si="12"/>
        <v>3309.26</v>
      </c>
      <c r="W23" s="175">
        <f t="shared" ca="1" si="12"/>
        <v>3309.26</v>
      </c>
      <c r="X23" s="164"/>
      <c r="AC23" s="145">
        <f ca="1">IF($B23,ROUND(AC22*$N21,2),ROUND(SUMIF(OFFSET($B23,1,0,$D23),TRUE,OFFSET(AC23,1,0,$D23))/SUMIF(OFFSET($B23,1,0,$D23),TRUE,OFFSET($K23,1,0,$D23))*$N21,2))</f>
        <v>0</v>
      </c>
    </row>
    <row r="24" spans="1:29" customFormat="1" ht="14.25" customHeight="1" x14ac:dyDescent="0.2">
      <c r="A24" s="1"/>
      <c r="B24" s="1"/>
      <c r="C24" s="1"/>
      <c r="D24" s="1"/>
      <c r="E24" s="1"/>
      <c r="F24" s="1"/>
      <c r="G24" s="1"/>
      <c r="H24" s="1"/>
      <c r="I24" s="1"/>
      <c r="J24" s="1"/>
      <c r="K24" s="1"/>
      <c r="L24" s="333" t="str">
        <f ca="1">INDEX(PO!K$12:K$96,MATCH($A26,PO!$V$12:$V$96,0))</f>
        <v>1.2.</v>
      </c>
      <c r="M24" s="335" t="str">
        <f ca="1">INDEX(PO!N$12:N$96,MATCH($A26,PO!$V$12:$V$96,0))</f>
        <v>REFORMA FACHADAS</v>
      </c>
      <c r="N24" s="346">
        <f ca="1">IF(ROUND(K26,2)=0,K26,ROUND(K26,2))</f>
        <v>29052.44</v>
      </c>
      <c r="O24" s="188" t="s">
        <v>143</v>
      </c>
      <c r="P24" s="194">
        <v>0</v>
      </c>
      <c r="Q24" s="195">
        <v>1</v>
      </c>
      <c r="R24" s="195">
        <v>0.5</v>
      </c>
      <c r="S24" s="195">
        <v>0</v>
      </c>
      <c r="T24" s="195">
        <f ca="1">IF($B26,0,T25-IF(ISNUMBER(S25),S25,0))</f>
        <v>0</v>
      </c>
      <c r="U24" s="195">
        <f ca="1">IF($B26,0,U25-IF(ISNUMBER(T25),T25,0))</f>
        <v>0</v>
      </c>
      <c r="V24" s="195">
        <f ca="1">IF($B26,0,V25-IF(ISNUMBER(U25),U25,0))</f>
        <v>0</v>
      </c>
      <c r="W24" s="196">
        <f ca="1">IF($B26,0,W25-IF(ISNUMBER(V25),V25,0))</f>
        <v>0</v>
      </c>
      <c r="X24" s="164"/>
      <c r="AC24" s="189">
        <f ca="1">IF($B26,0,AC25-IF(ISNUMBER(AB25),AB25,0))</f>
        <v>0</v>
      </c>
    </row>
    <row r="25" spans="1:29" customFormat="1" ht="14.25" x14ac:dyDescent="0.2">
      <c r="A25" s="11"/>
      <c r="B25" s="11"/>
      <c r="C25" s="11"/>
      <c r="D25" s="11"/>
      <c r="E25" s="11"/>
      <c r="F25" s="11"/>
      <c r="G25" s="11"/>
      <c r="H25" s="11"/>
      <c r="I25" s="11"/>
      <c r="J25" s="11"/>
      <c r="K25" s="11"/>
      <c r="L25" s="334"/>
      <c r="M25" s="336"/>
      <c r="N25" s="347"/>
      <c r="O25" s="146" t="s">
        <v>145</v>
      </c>
      <c r="P25" s="166">
        <f t="shared" ref="P25:W25" ca="1" si="13">MIN(IF($B26,P24+IF(ISNUMBER(O25),O25,0),P26/$N24),1)</f>
        <v>0</v>
      </c>
      <c r="Q25" s="144">
        <f t="shared" ca="1" si="13"/>
        <v>1</v>
      </c>
      <c r="R25" s="144">
        <f t="shared" ca="1" si="13"/>
        <v>1</v>
      </c>
      <c r="S25" s="144">
        <f t="shared" ca="1" si="13"/>
        <v>1</v>
      </c>
      <c r="T25" s="144">
        <f t="shared" ca="1" si="13"/>
        <v>1</v>
      </c>
      <c r="U25" s="144">
        <f t="shared" ca="1" si="13"/>
        <v>1</v>
      </c>
      <c r="V25" s="144">
        <f t="shared" ca="1" si="13"/>
        <v>1</v>
      </c>
      <c r="W25" s="144">
        <f t="shared" ca="1" si="13"/>
        <v>1</v>
      </c>
      <c r="X25" s="164"/>
      <c r="AC25" s="144">
        <f ca="1">MIN(IF($B26,AC24+IF(ISNUMBER(AB25),AB25,0),AC26/$N24),1)</f>
        <v>0</v>
      </c>
    </row>
    <row r="26" spans="1:29" customFormat="1" ht="14.25" x14ac:dyDescent="0.2">
      <c r="A26" s="11">
        <f ca="1">OFFSET(A26,-CFF.NumLinha,0)+1</f>
        <v>3</v>
      </c>
      <c r="B26" s="11" t="b">
        <f ca="1">$C26&gt;=OFFSET($C26,CFF.NumLinha,0)</f>
        <v>1</v>
      </c>
      <c r="C26" s="11">
        <f ca="1">INDEX(PO!A$12:A$96,MATCH($A26,PO!$V$12:$V$96,0))</f>
        <v>2</v>
      </c>
      <c r="D26" s="11">
        <f ca="1">IF(ISERROR(J26),I26,SMALL(I26:J26,1))-1</f>
        <v>2</v>
      </c>
      <c r="E26" s="11">
        <f ca="1">IF($C26=1,OFFSET(E26,-CFF.NumLinha,0)+1,OFFSET(E26,-CFF.NumLinha,0))</f>
        <v>1</v>
      </c>
      <c r="F26" s="11">
        <f ca="1">IF($C26=1,0,IF($C26=2,OFFSET(F26,-CFF.NumLinha,0)+1,OFFSET(F26,-CFF.NumLinha,0)))</f>
        <v>2</v>
      </c>
      <c r="G26" s="11">
        <f ca="1">IF(AND($C26&lt;=2,$C26&lt;&gt;0),0,IF($C26=3,OFFSET(G26,-CFF.NumLinha,0)+1,OFFSET(G26,-CFF.NumLinha,0)))</f>
        <v>0</v>
      </c>
      <c r="H26" s="11">
        <f ca="1">IF(AND($C26&lt;=3,$C26&lt;&gt;0),0,IF($C26=4,OFFSET(H26,-CFF.NumLinha,0)+1,OFFSET(H26,-CFF.NumLinha,0)))</f>
        <v>0</v>
      </c>
      <c r="I26" s="11">
        <f ca="1">MATCH(0,OFFSET($D26,1,$C26,ROW($A$60)-ROW($A26)),0)</f>
        <v>27</v>
      </c>
      <c r="J26" s="11">
        <f ca="1">MATCH(OFFSET($D26,0,$C26)+1,OFFSET($D26,1,$C26,ROW($A$60)-ROW($A26)),0)</f>
        <v>3</v>
      </c>
      <c r="K26" s="157">
        <f ca="1">ROUND(INDEX(PO!T$12:T$96,MATCH($A26,PO!$V$12:$V$96,0)),2)+10^-12</f>
        <v>29052.44</v>
      </c>
      <c r="L26" s="334"/>
      <c r="M26" s="336"/>
      <c r="N26" s="347"/>
      <c r="O26" s="172" t="s">
        <v>20</v>
      </c>
      <c r="P26" s="167">
        <f t="shared" ref="P26:W26" ca="1" si="14">IF($B26,ROUND(P25*$N24,2),ROUND(SUMIF(OFFSET($B26,1,0,$D26),TRUE,OFFSET(P26,1,0,$D26))/SUMIF(OFFSET($B26,1,0,$D26),TRUE,OFFSET($K26,1,0,$D26))*$N24,2))</f>
        <v>0</v>
      </c>
      <c r="Q26" s="145">
        <f t="shared" ca="1" si="14"/>
        <v>29052.44</v>
      </c>
      <c r="R26" s="145">
        <f t="shared" ca="1" si="14"/>
        <v>29052.44</v>
      </c>
      <c r="S26" s="145">
        <f t="shared" ca="1" si="14"/>
        <v>29052.44</v>
      </c>
      <c r="T26" s="145">
        <f t="shared" ca="1" si="14"/>
        <v>29052.44</v>
      </c>
      <c r="U26" s="145">
        <f t="shared" ca="1" si="14"/>
        <v>29052.44</v>
      </c>
      <c r="V26" s="145">
        <f t="shared" ca="1" si="14"/>
        <v>29052.44</v>
      </c>
      <c r="W26" s="175">
        <f t="shared" ca="1" si="14"/>
        <v>29052.44</v>
      </c>
      <c r="X26" s="164"/>
      <c r="AC26" s="145">
        <f ca="1">IF($B26,ROUND(AC25*$N24,2),ROUND(SUMIF(OFFSET($B26,1,0,$D26),TRUE,OFFSET(AC26,1,0,$D26))/SUMIF(OFFSET($B26,1,0,$D26),TRUE,OFFSET($K26,1,0,$D26))*$N24,2))</f>
        <v>0</v>
      </c>
    </row>
    <row r="27" spans="1:29" customFormat="1" ht="14.25" customHeight="1" x14ac:dyDescent="0.2">
      <c r="A27" s="1"/>
      <c r="B27" s="1"/>
      <c r="C27" s="1"/>
      <c r="D27" s="1"/>
      <c r="E27" s="1"/>
      <c r="F27" s="1"/>
      <c r="G27" s="1"/>
      <c r="H27" s="1"/>
      <c r="I27" s="1"/>
      <c r="J27" s="1"/>
      <c r="K27" s="1"/>
      <c r="L27" s="333" t="str">
        <f ca="1">INDEX(PO!K$12:K$96,MATCH($A29,PO!$V$12:$V$96,0))</f>
        <v>1.3.</v>
      </c>
      <c r="M27" s="335" t="str">
        <f ca="1">INDEX(PO!N$12:N$96,MATCH($A29,PO!$V$12:$V$96,0))</f>
        <v>TELHADO, FORROS E BEIRAIS</v>
      </c>
      <c r="N27" s="346">
        <f ca="1">IF(ROUND(K29,2)=0,K29,ROUND(K29,2))</f>
        <v>64480.38</v>
      </c>
      <c r="O27" s="188" t="s">
        <v>143</v>
      </c>
      <c r="P27" s="194">
        <v>0.25</v>
      </c>
      <c r="Q27" s="195">
        <v>0.75</v>
      </c>
      <c r="R27" s="195">
        <v>1</v>
      </c>
      <c r="S27" s="195">
        <f ca="1">IF($B29,0,S28-IF(ISNUMBER(R28),R28,0))</f>
        <v>0</v>
      </c>
      <c r="T27" s="195">
        <f ca="1">IF($B29,0,T28-IF(ISNUMBER(S28),S28,0))</f>
        <v>0</v>
      </c>
      <c r="U27" s="195">
        <f ca="1">IF($B29,0,U28-IF(ISNUMBER(T28),T28,0))</f>
        <v>0</v>
      </c>
      <c r="V27" s="195">
        <f ca="1">IF($B29,0,V28-IF(ISNUMBER(U28),U28,0))</f>
        <v>0</v>
      </c>
      <c r="W27" s="196">
        <f ca="1">IF($B29,0,W28-IF(ISNUMBER(V28),V28,0))</f>
        <v>0</v>
      </c>
      <c r="X27" s="164"/>
      <c r="AC27" s="189">
        <f ca="1">IF($B29,0,AC28-IF(ISNUMBER(AB28),AB28,0))</f>
        <v>0</v>
      </c>
    </row>
    <row r="28" spans="1:29" customFormat="1" ht="14.25" x14ac:dyDescent="0.2">
      <c r="A28" s="11"/>
      <c r="B28" s="11"/>
      <c r="C28" s="11"/>
      <c r="D28" s="11"/>
      <c r="E28" s="11"/>
      <c r="F28" s="11"/>
      <c r="G28" s="11"/>
      <c r="H28" s="11"/>
      <c r="I28" s="11"/>
      <c r="J28" s="11"/>
      <c r="K28" s="11"/>
      <c r="L28" s="334"/>
      <c r="M28" s="336"/>
      <c r="N28" s="347"/>
      <c r="O28" s="146" t="s">
        <v>145</v>
      </c>
      <c r="P28" s="166">
        <f t="shared" ref="P28:W28" ca="1" si="15">MIN(IF($B29,P27+IF(ISNUMBER(O28),O28,0),P29/$N27),1)</f>
        <v>0.25</v>
      </c>
      <c r="Q28" s="144">
        <f t="shared" ca="1" si="15"/>
        <v>1</v>
      </c>
      <c r="R28" s="144">
        <f t="shared" ca="1" si="15"/>
        <v>1</v>
      </c>
      <c r="S28" s="144">
        <f t="shared" ca="1" si="15"/>
        <v>1</v>
      </c>
      <c r="T28" s="144">
        <f t="shared" ca="1" si="15"/>
        <v>1</v>
      </c>
      <c r="U28" s="144">
        <f t="shared" ca="1" si="15"/>
        <v>1</v>
      </c>
      <c r="V28" s="144">
        <f t="shared" ca="1" si="15"/>
        <v>1</v>
      </c>
      <c r="W28" s="144">
        <f t="shared" ca="1" si="15"/>
        <v>1</v>
      </c>
      <c r="X28" s="164"/>
      <c r="AC28" s="144">
        <f ca="1">MIN(IF($B29,AC27+IF(ISNUMBER(AB28),AB28,0),AC29/$N27),1)</f>
        <v>0</v>
      </c>
    </row>
    <row r="29" spans="1:29" customFormat="1" ht="14.25" x14ac:dyDescent="0.2">
      <c r="A29" s="11">
        <f ca="1">OFFSET(A29,-CFF.NumLinha,0)+1</f>
        <v>4</v>
      </c>
      <c r="B29" s="11" t="b">
        <f ca="1">$C29&gt;=OFFSET($C29,CFF.NumLinha,0)</f>
        <v>1</v>
      </c>
      <c r="C29" s="11">
        <f ca="1">INDEX(PO!A$12:A$96,MATCH($A29,PO!$V$12:$V$96,0))</f>
        <v>2</v>
      </c>
      <c r="D29" s="11">
        <f ca="1">IF(ISERROR(J29),I29,SMALL(I29:J29,1))-1</f>
        <v>2</v>
      </c>
      <c r="E29" s="11">
        <f ca="1">IF($C29=1,OFFSET(E29,-CFF.NumLinha,0)+1,OFFSET(E29,-CFF.NumLinha,0))</f>
        <v>1</v>
      </c>
      <c r="F29" s="11">
        <f ca="1">IF($C29=1,0,IF($C29=2,OFFSET(F29,-CFF.NumLinha,0)+1,OFFSET(F29,-CFF.NumLinha,0)))</f>
        <v>3</v>
      </c>
      <c r="G29" s="11">
        <f ca="1">IF(AND($C29&lt;=2,$C29&lt;&gt;0),0,IF($C29=3,OFFSET(G29,-CFF.NumLinha,0)+1,OFFSET(G29,-CFF.NumLinha,0)))</f>
        <v>0</v>
      </c>
      <c r="H29" s="11">
        <f ca="1">IF(AND($C29&lt;=3,$C29&lt;&gt;0),0,IF($C29=4,OFFSET(H29,-CFF.NumLinha,0)+1,OFFSET(H29,-CFF.NumLinha,0)))</f>
        <v>0</v>
      </c>
      <c r="I29" s="11">
        <f ca="1">MATCH(0,OFFSET($D29,1,$C29,ROW($A$60)-ROW($A29)),0)</f>
        <v>24</v>
      </c>
      <c r="J29" s="11">
        <f ca="1">MATCH(OFFSET($D29,0,$C29)+1,OFFSET($D29,1,$C29,ROW($A$60)-ROW($A29)),0)</f>
        <v>3</v>
      </c>
      <c r="K29" s="157">
        <f ca="1">ROUND(INDEX(PO!T$12:T$96,MATCH($A29,PO!$V$12:$V$96,0)),2)+10^-12</f>
        <v>64480.38</v>
      </c>
      <c r="L29" s="334"/>
      <c r="M29" s="336"/>
      <c r="N29" s="347"/>
      <c r="O29" s="172" t="s">
        <v>20</v>
      </c>
      <c r="P29" s="167">
        <f t="shared" ref="P29:W29" ca="1" si="16">IF($B29,ROUND(P28*$N27,2),ROUND(SUMIF(OFFSET($B29,1,0,$D29),TRUE,OFFSET(P29,1,0,$D29))/SUMIF(OFFSET($B29,1,0,$D29),TRUE,OFFSET($K29,1,0,$D29))*$N27,2))</f>
        <v>16120.1</v>
      </c>
      <c r="Q29" s="145">
        <f t="shared" ca="1" si="16"/>
        <v>64480.38</v>
      </c>
      <c r="R29" s="145">
        <f t="shared" ca="1" si="16"/>
        <v>64480.38</v>
      </c>
      <c r="S29" s="145">
        <f t="shared" ca="1" si="16"/>
        <v>64480.38</v>
      </c>
      <c r="T29" s="145">
        <f t="shared" ca="1" si="16"/>
        <v>64480.38</v>
      </c>
      <c r="U29" s="145">
        <f t="shared" ca="1" si="16"/>
        <v>64480.38</v>
      </c>
      <c r="V29" s="145">
        <f t="shared" ca="1" si="16"/>
        <v>64480.38</v>
      </c>
      <c r="W29" s="175">
        <f t="shared" ca="1" si="16"/>
        <v>64480.38</v>
      </c>
      <c r="X29" s="164"/>
      <c r="AC29" s="145">
        <f ca="1">IF($B29,ROUND(AC28*$N27,2),ROUND(SUMIF(OFFSET($B29,1,0,$D29),TRUE,OFFSET(AC29,1,0,$D29))/SUMIF(OFFSET($B29,1,0,$D29),TRUE,OFFSET($K29,1,0,$D29))*$N27,2))</f>
        <v>0</v>
      </c>
    </row>
    <row r="30" spans="1:29" customFormat="1" ht="14.25" customHeight="1" x14ac:dyDescent="0.2">
      <c r="A30" s="1"/>
      <c r="B30" s="1"/>
      <c r="C30" s="1"/>
      <c r="D30" s="1"/>
      <c r="E30" s="1"/>
      <c r="F30" s="1"/>
      <c r="G30" s="1"/>
      <c r="H30" s="1"/>
      <c r="I30" s="1"/>
      <c r="J30" s="1"/>
      <c r="K30" s="1"/>
      <c r="L30" s="333" t="str">
        <f ca="1">INDEX(PO!K$12:K$96,MATCH($A32,PO!$V$12:$V$96,0))</f>
        <v>1.4.</v>
      </c>
      <c r="M30" s="335" t="str">
        <f ca="1">INDEX(PO!N$12:N$96,MATCH($A32,PO!$V$12:$V$96,0))</f>
        <v>REVESTIMENTO INTERNO</v>
      </c>
      <c r="N30" s="346">
        <f t="shared" ref="N30" ca="1" si="17">IF(ROUND(K32,2)=0,K32,ROUND(K32,2))</f>
        <v>51783.040000000001</v>
      </c>
      <c r="O30" s="188" t="s">
        <v>143</v>
      </c>
      <c r="P30" s="194">
        <f t="shared" ref="P30" ca="1" si="18">IF($B32,0,P31-IF(ISNUMBER(O31),O31,0))</f>
        <v>0</v>
      </c>
      <c r="Q30" s="195">
        <v>0.5</v>
      </c>
      <c r="R30" s="195">
        <f t="shared" ref="R30" ca="1" si="19">IF($B32,0,R31-IF(ISNUMBER(Q31),Q31,0))</f>
        <v>0</v>
      </c>
      <c r="S30" s="195">
        <v>0.5</v>
      </c>
      <c r="T30" s="195">
        <f t="shared" ref="T30" ca="1" si="20">IF($B32,0,T31-IF(ISNUMBER(S31),S31,0))</f>
        <v>0</v>
      </c>
      <c r="U30" s="195">
        <f t="shared" ref="U30" ca="1" si="21">IF($B32,0,U31-IF(ISNUMBER(T31),T31,0))</f>
        <v>0</v>
      </c>
      <c r="V30" s="195">
        <f t="shared" ref="V30" ca="1" si="22">IF($B32,0,V31-IF(ISNUMBER(U31),U31,0))</f>
        <v>0</v>
      </c>
      <c r="W30" s="196">
        <f t="shared" ref="W30" ca="1" si="23">IF($B32,0,W31-IF(ISNUMBER(V31),V31,0))</f>
        <v>0</v>
      </c>
      <c r="X30" s="164"/>
      <c r="AC30" s="189">
        <f t="shared" ref="AC30" ca="1" si="24">IF($B32,0,AC31-IF(ISNUMBER(AB31),AB31,0))</f>
        <v>0</v>
      </c>
    </row>
    <row r="31" spans="1:29" customFormat="1" ht="14.25" x14ac:dyDescent="0.2">
      <c r="A31" s="11"/>
      <c r="B31" s="11"/>
      <c r="C31" s="11"/>
      <c r="D31" s="11"/>
      <c r="E31" s="11"/>
      <c r="F31" s="11"/>
      <c r="G31" s="11"/>
      <c r="H31" s="11"/>
      <c r="I31" s="11"/>
      <c r="J31" s="11"/>
      <c r="K31" s="11"/>
      <c r="L31" s="334"/>
      <c r="M31" s="336"/>
      <c r="N31" s="347"/>
      <c r="O31" s="146" t="s">
        <v>145</v>
      </c>
      <c r="P31" s="166">
        <f t="shared" ref="P31" ca="1" si="25">MIN(IF($B32,P30+IF(ISNUMBER(O31),O31,0),P32/$N30),1)</f>
        <v>0</v>
      </c>
      <c r="Q31" s="144">
        <f t="shared" ref="Q31" ca="1" si="26">MIN(IF($B32,Q30+IF(ISNUMBER(P31),P31,0),Q32/$N30),1)</f>
        <v>0.5</v>
      </c>
      <c r="R31" s="144">
        <f t="shared" ref="R31" ca="1" si="27">MIN(IF($B32,R30+IF(ISNUMBER(Q31),Q31,0),R32/$N30),1)</f>
        <v>0.5</v>
      </c>
      <c r="S31" s="144">
        <f t="shared" ref="S31" ca="1" si="28">MIN(IF($B32,S30+IF(ISNUMBER(R31),R31,0),S32/$N30),1)</f>
        <v>1</v>
      </c>
      <c r="T31" s="144">
        <f t="shared" ref="T31" ca="1" si="29">MIN(IF($B32,T30+IF(ISNUMBER(S31),S31,0),T32/$N30),1)</f>
        <v>1</v>
      </c>
      <c r="U31" s="144">
        <f t="shared" ref="U31" ca="1" si="30">MIN(IF($B32,U30+IF(ISNUMBER(T31),T31,0),U32/$N30),1)</f>
        <v>1</v>
      </c>
      <c r="V31" s="144">
        <f t="shared" ref="V31" ca="1" si="31">MIN(IF($B32,V30+IF(ISNUMBER(U31),U31,0),V32/$N30),1)</f>
        <v>1</v>
      </c>
      <c r="W31" s="144">
        <f t="shared" ref="W31" ca="1" si="32">MIN(IF($B32,W30+IF(ISNUMBER(V31),V31,0),W32/$N30),1)</f>
        <v>1</v>
      </c>
      <c r="X31" s="164"/>
      <c r="AC31" s="144">
        <f t="shared" ref="AC31" ca="1" si="33">MIN(IF($B32,AC30+IF(ISNUMBER(AB31),AB31,0),AC32/$N30),1)</f>
        <v>0</v>
      </c>
    </row>
    <row r="32" spans="1:29" customFormat="1" ht="14.25" x14ac:dyDescent="0.2">
      <c r="A32" s="11">
        <f ca="1">OFFSET(A32,-CFF.NumLinha,0)+1</f>
        <v>5</v>
      </c>
      <c r="B32" s="11" t="b">
        <f ca="1">$C32&gt;=OFFSET($C32,CFF.NumLinha,0)</f>
        <v>1</v>
      </c>
      <c r="C32" s="11">
        <f ca="1">INDEX(PO!A$12:A$96,MATCH($A32,PO!$V$12:$V$96,0))</f>
        <v>2</v>
      </c>
      <c r="D32" s="11">
        <f t="shared" ref="D32" ca="1" si="34">IF(ISERROR(J32),I32,SMALL(I32:J32,1))-1</f>
        <v>2</v>
      </c>
      <c r="E32" s="11">
        <f ca="1">IF($C32=1,OFFSET(E32,-CFF.NumLinha,0)+1,OFFSET(E32,-CFF.NumLinha,0))</f>
        <v>1</v>
      </c>
      <c r="F32" s="11">
        <f ca="1">IF($C32=1,0,IF($C32=2,OFFSET(F32,-CFF.NumLinha,0)+1,OFFSET(F32,-CFF.NumLinha,0)))</f>
        <v>4</v>
      </c>
      <c r="G32" s="11">
        <f ca="1">IF(AND($C32&lt;=2,$C32&lt;&gt;0),0,IF($C32=3,OFFSET(G32,-CFF.NumLinha,0)+1,OFFSET(G32,-CFF.NumLinha,0)))</f>
        <v>0</v>
      </c>
      <c r="H32" s="11">
        <f ca="1">IF(AND($C32&lt;=3,$C32&lt;&gt;0),0,IF($C32=4,OFFSET(H32,-CFF.NumLinha,0)+1,OFFSET(H32,-CFF.NumLinha,0)))</f>
        <v>0</v>
      </c>
      <c r="I32" s="11">
        <f t="shared" ref="I32" ca="1" si="35">MATCH(0,OFFSET($D32,1,$C32,ROW($A$60)-ROW($A32)),0)</f>
        <v>21</v>
      </c>
      <c r="J32" s="11">
        <f t="shared" ref="J32" ca="1" si="36">MATCH(OFFSET($D32,0,$C32)+1,OFFSET($D32,1,$C32,ROW($A$60)-ROW($A32)),0)</f>
        <v>3</v>
      </c>
      <c r="K32" s="157">
        <f ca="1">ROUND(INDEX(PO!T$12:T$96,MATCH($A32,PO!$V$12:$V$96,0)),2)+10^-12</f>
        <v>51783.040000000001</v>
      </c>
      <c r="L32" s="334"/>
      <c r="M32" s="336"/>
      <c r="N32" s="347"/>
      <c r="O32" s="172" t="s">
        <v>20</v>
      </c>
      <c r="P32" s="167">
        <f t="shared" ref="P32:W32" ca="1" si="37">IF($B32,ROUND(P31*$N30,2),ROUND(SUMIF(OFFSET($B32,1,0,$D32),TRUE,OFFSET(P32,1,0,$D32))/SUMIF(OFFSET($B32,1,0,$D32),TRUE,OFFSET($K32,1,0,$D32))*$N30,2))</f>
        <v>0</v>
      </c>
      <c r="Q32" s="145">
        <f t="shared" ca="1" si="37"/>
        <v>25891.52</v>
      </c>
      <c r="R32" s="145">
        <f t="shared" ca="1" si="37"/>
        <v>25891.52</v>
      </c>
      <c r="S32" s="145">
        <f t="shared" ca="1" si="37"/>
        <v>51783.040000000001</v>
      </c>
      <c r="T32" s="145">
        <f t="shared" ca="1" si="37"/>
        <v>51783.040000000001</v>
      </c>
      <c r="U32" s="145">
        <f t="shared" ca="1" si="37"/>
        <v>51783.040000000001</v>
      </c>
      <c r="V32" s="145">
        <f t="shared" ca="1" si="37"/>
        <v>51783.040000000001</v>
      </c>
      <c r="W32" s="175">
        <f t="shared" ca="1" si="37"/>
        <v>51783.040000000001</v>
      </c>
      <c r="X32" s="164"/>
      <c r="AC32" s="145">
        <f t="shared" ref="AC32" ca="1" si="38">IF($B32,ROUND(AC31*$N30,2),ROUND(SUMIF(OFFSET($B32,1,0,$D32),TRUE,OFFSET(AC32,1,0,$D32))/SUMIF(OFFSET($B32,1,0,$D32),TRUE,OFFSET($K32,1,0,$D32))*$N30,2))</f>
        <v>0</v>
      </c>
    </row>
    <row r="33" spans="1:29" customFormat="1" ht="14.25" customHeight="1" x14ac:dyDescent="0.2">
      <c r="A33" s="1"/>
      <c r="B33" s="1"/>
      <c r="C33" s="1"/>
      <c r="D33" s="1"/>
      <c r="E33" s="1"/>
      <c r="F33" s="1"/>
      <c r="G33" s="1"/>
      <c r="H33" s="1"/>
      <c r="I33" s="1"/>
      <c r="J33" s="1"/>
      <c r="K33" s="1"/>
      <c r="L33" s="333" t="str">
        <f ca="1">INDEX(PO!K$12:K$96,MATCH($A35,PO!$V$12:$V$96,0))</f>
        <v>1.5.</v>
      </c>
      <c r="M33" s="335" t="str">
        <f ca="1">INDEX(PO!N$12:N$96,MATCH($A35,PO!$V$12:$V$96,0))</f>
        <v>PISOS</v>
      </c>
      <c r="N33" s="346">
        <f t="shared" ref="N33" ca="1" si="39">IF(ROUND(K35,2)=0,K35,ROUND(K35,2))</f>
        <v>28276.44</v>
      </c>
      <c r="O33" s="188" t="s">
        <v>143</v>
      </c>
      <c r="P33" s="194">
        <f t="shared" ref="P33" ca="1" si="40">IF($B35,0,P34-IF(ISNUMBER(O34),O34,0))</f>
        <v>0</v>
      </c>
      <c r="Q33" s="195">
        <v>0.25</v>
      </c>
      <c r="R33" s="195">
        <v>0.75</v>
      </c>
      <c r="S33" s="195">
        <f t="shared" ref="S33" ca="1" si="41">IF($B35,0,S34-IF(ISNUMBER(R34),R34,0))</f>
        <v>0</v>
      </c>
      <c r="T33" s="195">
        <f t="shared" ref="T33" ca="1" si="42">IF($B35,0,T34-IF(ISNUMBER(S34),S34,0))</f>
        <v>0</v>
      </c>
      <c r="U33" s="195">
        <f t="shared" ref="U33" ca="1" si="43">IF($B35,0,U34-IF(ISNUMBER(T34),T34,0))</f>
        <v>0</v>
      </c>
      <c r="V33" s="195">
        <f t="shared" ref="V33" ca="1" si="44">IF($B35,0,V34-IF(ISNUMBER(U34),U34,0))</f>
        <v>0</v>
      </c>
      <c r="W33" s="196">
        <f t="shared" ref="W33" ca="1" si="45">IF($B35,0,W34-IF(ISNUMBER(V34),V34,0))</f>
        <v>0</v>
      </c>
      <c r="X33" s="164"/>
      <c r="AC33" s="189">
        <f t="shared" ref="AC33" ca="1" si="46">IF($B35,0,AC34-IF(ISNUMBER(AB34),AB34,0))</f>
        <v>0</v>
      </c>
    </row>
    <row r="34" spans="1:29" customFormat="1" ht="14.25" x14ac:dyDescent="0.2">
      <c r="A34" s="11"/>
      <c r="B34" s="11"/>
      <c r="C34" s="11"/>
      <c r="D34" s="11"/>
      <c r="E34" s="11"/>
      <c r="F34" s="11"/>
      <c r="G34" s="11"/>
      <c r="H34" s="11"/>
      <c r="I34" s="11"/>
      <c r="J34" s="11"/>
      <c r="K34" s="11"/>
      <c r="L34" s="334"/>
      <c r="M34" s="336"/>
      <c r="N34" s="347"/>
      <c r="O34" s="146" t="s">
        <v>145</v>
      </c>
      <c r="P34" s="166">
        <f t="shared" ref="P34" ca="1" si="47">MIN(IF($B35,P33+IF(ISNUMBER(O34),O34,0),P35/$N33),1)</f>
        <v>0</v>
      </c>
      <c r="Q34" s="144">
        <f t="shared" ref="Q34" ca="1" si="48">MIN(IF($B35,Q33+IF(ISNUMBER(P34),P34,0),Q35/$N33),1)</f>
        <v>0.25</v>
      </c>
      <c r="R34" s="144">
        <f t="shared" ref="R34" ca="1" si="49">MIN(IF($B35,R33+IF(ISNUMBER(Q34),Q34,0),R35/$N33),1)</f>
        <v>1</v>
      </c>
      <c r="S34" s="144">
        <f t="shared" ref="S34" ca="1" si="50">MIN(IF($B35,S33+IF(ISNUMBER(R34),R34,0),S35/$N33),1)</f>
        <v>1</v>
      </c>
      <c r="T34" s="144">
        <f t="shared" ref="T34" ca="1" si="51">MIN(IF($B35,T33+IF(ISNUMBER(S34),S34,0),T35/$N33),1)</f>
        <v>1</v>
      </c>
      <c r="U34" s="144">
        <f t="shared" ref="U34" ca="1" si="52">MIN(IF($B35,U33+IF(ISNUMBER(T34),T34,0),U35/$N33),1)</f>
        <v>1</v>
      </c>
      <c r="V34" s="144">
        <f t="shared" ref="V34" ca="1" si="53">MIN(IF($B35,V33+IF(ISNUMBER(U34),U34,0),V35/$N33),1)</f>
        <v>1</v>
      </c>
      <c r="W34" s="144">
        <f t="shared" ref="W34" ca="1" si="54">MIN(IF($B35,W33+IF(ISNUMBER(V34),V34,0),W35/$N33),1)</f>
        <v>1</v>
      </c>
      <c r="X34" s="164"/>
      <c r="AC34" s="144">
        <f t="shared" ref="AC34" ca="1" si="55">MIN(IF($B35,AC33+IF(ISNUMBER(AB34),AB34,0),AC35/$N33),1)</f>
        <v>0</v>
      </c>
    </row>
    <row r="35" spans="1:29" customFormat="1" ht="14.25" x14ac:dyDescent="0.2">
      <c r="A35" s="11">
        <f ca="1">OFFSET(A35,-CFF.NumLinha,0)+1</f>
        <v>6</v>
      </c>
      <c r="B35" s="11" t="b">
        <f ca="1">$C35&gt;=OFFSET($C35,CFF.NumLinha,0)</f>
        <v>1</v>
      </c>
      <c r="C35" s="11">
        <f ca="1">INDEX(PO!A$12:A$96,MATCH($A35,PO!$V$12:$V$96,0))</f>
        <v>2</v>
      </c>
      <c r="D35" s="11">
        <f t="shared" ref="D35" ca="1" si="56">IF(ISERROR(J35),I35,SMALL(I35:J35,1))-1</f>
        <v>2</v>
      </c>
      <c r="E35" s="11">
        <f ca="1">IF($C35=1,OFFSET(E35,-CFF.NumLinha,0)+1,OFFSET(E35,-CFF.NumLinha,0))</f>
        <v>1</v>
      </c>
      <c r="F35" s="11">
        <f ca="1">IF($C35=1,0,IF($C35=2,OFFSET(F35,-CFF.NumLinha,0)+1,OFFSET(F35,-CFF.NumLinha,0)))</f>
        <v>5</v>
      </c>
      <c r="G35" s="11">
        <f ca="1">IF(AND($C35&lt;=2,$C35&lt;&gt;0),0,IF($C35=3,OFFSET(G35,-CFF.NumLinha,0)+1,OFFSET(G35,-CFF.NumLinha,0)))</f>
        <v>0</v>
      </c>
      <c r="H35" s="11">
        <f ca="1">IF(AND($C35&lt;=3,$C35&lt;&gt;0),0,IF($C35=4,OFFSET(H35,-CFF.NumLinha,0)+1,OFFSET(H35,-CFF.NumLinha,0)))</f>
        <v>0</v>
      </c>
      <c r="I35" s="11">
        <f t="shared" ref="I35" ca="1" si="57">MATCH(0,OFFSET($D35,1,$C35,ROW($A$60)-ROW($A35)),0)</f>
        <v>18</v>
      </c>
      <c r="J35" s="11">
        <f t="shared" ref="J35" ca="1" si="58">MATCH(OFFSET($D35,0,$C35)+1,OFFSET($D35,1,$C35,ROW($A$60)-ROW($A35)),0)</f>
        <v>3</v>
      </c>
      <c r="K35" s="157">
        <f ca="1">ROUND(INDEX(PO!T$12:T$96,MATCH($A35,PO!$V$12:$V$96,0)),2)+10^-12</f>
        <v>28276.44</v>
      </c>
      <c r="L35" s="334"/>
      <c r="M35" s="336"/>
      <c r="N35" s="347"/>
      <c r="O35" s="172" t="s">
        <v>20</v>
      </c>
      <c r="P35" s="167">
        <f t="shared" ref="P35:W35" ca="1" si="59">IF($B35,ROUND(P34*$N33,2),ROUND(SUMIF(OFFSET($B35,1,0,$D35),TRUE,OFFSET(P35,1,0,$D35))/SUMIF(OFFSET($B35,1,0,$D35),TRUE,OFFSET($K35,1,0,$D35))*$N33,2))</f>
        <v>0</v>
      </c>
      <c r="Q35" s="145">
        <f t="shared" ca="1" si="59"/>
        <v>7069.11</v>
      </c>
      <c r="R35" s="145">
        <f t="shared" ca="1" si="59"/>
        <v>28276.44</v>
      </c>
      <c r="S35" s="145">
        <f t="shared" ca="1" si="59"/>
        <v>28276.44</v>
      </c>
      <c r="T35" s="145">
        <f t="shared" ca="1" si="59"/>
        <v>28276.44</v>
      </c>
      <c r="U35" s="145">
        <f t="shared" ca="1" si="59"/>
        <v>28276.44</v>
      </c>
      <c r="V35" s="145">
        <f t="shared" ca="1" si="59"/>
        <v>28276.44</v>
      </c>
      <c r="W35" s="175">
        <f t="shared" ca="1" si="59"/>
        <v>28276.44</v>
      </c>
      <c r="X35" s="164"/>
      <c r="AC35" s="145">
        <f t="shared" ref="AC35" ca="1" si="60">IF($B35,ROUND(AC34*$N33,2),ROUND(SUMIF(OFFSET($B35,1,0,$D35),TRUE,OFFSET(AC35,1,0,$D35))/SUMIF(OFFSET($B35,1,0,$D35),TRUE,OFFSET($K35,1,0,$D35))*$N33,2))</f>
        <v>0</v>
      </c>
    </row>
    <row r="36" spans="1:29" customFormat="1" ht="14.25" customHeight="1" x14ac:dyDescent="0.2">
      <c r="A36" s="1"/>
      <c r="B36" s="1"/>
      <c r="C36" s="1"/>
      <c r="D36" s="1"/>
      <c r="E36" s="1"/>
      <c r="F36" s="1"/>
      <c r="G36" s="1"/>
      <c r="H36" s="1"/>
      <c r="I36" s="1"/>
      <c r="J36" s="1"/>
      <c r="K36" s="1"/>
      <c r="L36" s="333" t="str">
        <f ca="1">INDEX(PO!K$12:K$96,MATCH($A38,PO!$V$12:$V$96,0))</f>
        <v>1.6.</v>
      </c>
      <c r="M36" s="335" t="str">
        <f ca="1">INDEX(PO!N$12:N$96,MATCH($A38,PO!$V$12:$V$96,0))</f>
        <v>REVESTIMENTOS CERÂMICOS</v>
      </c>
      <c r="N36" s="346">
        <f t="shared" ref="N36" ca="1" si="61">IF(ROUND(K38,2)=0,K38,ROUND(K38,2))</f>
        <v>9744.39</v>
      </c>
      <c r="O36" s="188" t="s">
        <v>143</v>
      </c>
      <c r="P36" s="194">
        <f t="shared" ref="P36" ca="1" si="62">IF($B38,0,P37-IF(ISNUMBER(O37),O37,0))</f>
        <v>0</v>
      </c>
      <c r="Q36" s="195">
        <f t="shared" ref="Q36" ca="1" si="63">IF($B38,0,Q37-IF(ISNUMBER(P37),P37,0))</f>
        <v>0</v>
      </c>
      <c r="R36" s="195">
        <v>1</v>
      </c>
      <c r="S36" s="195">
        <f t="shared" ref="S36" ca="1" si="64">IF($B38,0,S37-IF(ISNUMBER(R37),R37,0))</f>
        <v>0</v>
      </c>
      <c r="T36" s="195">
        <f t="shared" ref="T36" ca="1" si="65">IF($B38,0,T37-IF(ISNUMBER(S37),S37,0))</f>
        <v>0</v>
      </c>
      <c r="U36" s="195">
        <f t="shared" ref="U36" ca="1" si="66">IF($B38,0,U37-IF(ISNUMBER(T37),T37,0))</f>
        <v>0</v>
      </c>
      <c r="V36" s="195">
        <f t="shared" ref="V36" ca="1" si="67">IF($B38,0,V37-IF(ISNUMBER(U37),U37,0))</f>
        <v>0</v>
      </c>
      <c r="W36" s="196">
        <f t="shared" ref="W36" ca="1" si="68">IF($B38,0,W37-IF(ISNUMBER(V37),V37,0))</f>
        <v>0</v>
      </c>
      <c r="X36" s="164"/>
      <c r="AC36" s="189">
        <f t="shared" ref="AC36" ca="1" si="69">IF($B38,0,AC37-IF(ISNUMBER(AB37),AB37,0))</f>
        <v>0</v>
      </c>
    </row>
    <row r="37" spans="1:29" customFormat="1" ht="14.25" x14ac:dyDescent="0.2">
      <c r="A37" s="11"/>
      <c r="B37" s="11"/>
      <c r="C37" s="11"/>
      <c r="D37" s="11"/>
      <c r="E37" s="11"/>
      <c r="F37" s="11"/>
      <c r="G37" s="11"/>
      <c r="H37" s="11"/>
      <c r="I37" s="11"/>
      <c r="J37" s="11"/>
      <c r="K37" s="11"/>
      <c r="L37" s="334"/>
      <c r="M37" s="336"/>
      <c r="N37" s="347"/>
      <c r="O37" s="146" t="s">
        <v>145</v>
      </c>
      <c r="P37" s="166">
        <f t="shared" ref="P37" ca="1" si="70">MIN(IF($B38,P36+IF(ISNUMBER(O37),O37,0),P38/$N36),1)</f>
        <v>0</v>
      </c>
      <c r="Q37" s="144">
        <f t="shared" ref="Q37" ca="1" si="71">MIN(IF($B38,Q36+IF(ISNUMBER(P37),P37,0),Q38/$N36),1)</f>
        <v>0</v>
      </c>
      <c r="R37" s="144">
        <f t="shared" ref="R37" ca="1" si="72">MIN(IF($B38,R36+IF(ISNUMBER(Q37),Q37,0),R38/$N36),1)</f>
        <v>1</v>
      </c>
      <c r="S37" s="144">
        <f t="shared" ref="S37" ca="1" si="73">MIN(IF($B38,S36+IF(ISNUMBER(R37),R37,0),S38/$N36),1)</f>
        <v>1</v>
      </c>
      <c r="T37" s="144">
        <f t="shared" ref="T37" ca="1" si="74">MIN(IF($B38,T36+IF(ISNUMBER(S37),S37,0),T38/$N36),1)</f>
        <v>1</v>
      </c>
      <c r="U37" s="144">
        <f t="shared" ref="U37" ca="1" si="75">MIN(IF($B38,U36+IF(ISNUMBER(T37),T37,0),U38/$N36),1)</f>
        <v>1</v>
      </c>
      <c r="V37" s="144">
        <f t="shared" ref="V37" ca="1" si="76">MIN(IF($B38,V36+IF(ISNUMBER(U37),U37,0),V38/$N36),1)</f>
        <v>1</v>
      </c>
      <c r="W37" s="144">
        <f t="shared" ref="W37" ca="1" si="77">MIN(IF($B38,W36+IF(ISNUMBER(V37),V37,0),W38/$N36),1)</f>
        <v>1</v>
      </c>
      <c r="X37" s="164"/>
      <c r="AC37" s="144">
        <f t="shared" ref="AC37" ca="1" si="78">MIN(IF($B38,AC36+IF(ISNUMBER(AB37),AB37,0),AC38/$N36),1)</f>
        <v>0</v>
      </c>
    </row>
    <row r="38" spans="1:29" customFormat="1" ht="14.25" x14ac:dyDescent="0.2">
      <c r="A38" s="11">
        <f ca="1">OFFSET(A38,-CFF.NumLinha,0)+1</f>
        <v>7</v>
      </c>
      <c r="B38" s="11" t="b">
        <f ca="1">$C38&gt;=OFFSET($C38,CFF.NumLinha,0)</f>
        <v>1</v>
      </c>
      <c r="C38" s="11">
        <f ca="1">INDEX(PO!A$12:A$96,MATCH($A38,PO!$V$12:$V$96,0))</f>
        <v>2</v>
      </c>
      <c r="D38" s="11">
        <f t="shared" ref="D38" ca="1" si="79">IF(ISERROR(J38),I38,SMALL(I38:J38,1))-1</f>
        <v>2</v>
      </c>
      <c r="E38" s="11">
        <f ca="1">IF($C38=1,OFFSET(E38,-CFF.NumLinha,0)+1,OFFSET(E38,-CFF.NumLinha,0))</f>
        <v>1</v>
      </c>
      <c r="F38" s="11">
        <f ca="1">IF($C38=1,0,IF($C38=2,OFFSET(F38,-CFF.NumLinha,0)+1,OFFSET(F38,-CFF.NumLinha,0)))</f>
        <v>6</v>
      </c>
      <c r="G38" s="11">
        <f ca="1">IF(AND($C38&lt;=2,$C38&lt;&gt;0),0,IF($C38=3,OFFSET(G38,-CFF.NumLinha,0)+1,OFFSET(G38,-CFF.NumLinha,0)))</f>
        <v>0</v>
      </c>
      <c r="H38" s="11">
        <f ca="1">IF(AND($C38&lt;=3,$C38&lt;&gt;0),0,IF($C38=4,OFFSET(H38,-CFF.NumLinha,0)+1,OFFSET(H38,-CFF.NumLinha,0)))</f>
        <v>0</v>
      </c>
      <c r="I38" s="11">
        <f t="shared" ref="I38" ca="1" si="80">MATCH(0,OFFSET($D38,1,$C38,ROW($A$60)-ROW($A38)),0)</f>
        <v>15</v>
      </c>
      <c r="J38" s="11">
        <f t="shared" ref="J38" ca="1" si="81">MATCH(OFFSET($D38,0,$C38)+1,OFFSET($D38,1,$C38,ROW($A$60)-ROW($A38)),0)</f>
        <v>3</v>
      </c>
      <c r="K38" s="157">
        <f ca="1">ROUND(INDEX(PO!T$12:T$96,MATCH($A38,PO!$V$12:$V$96,0)),2)+10^-12</f>
        <v>9744.3900000000012</v>
      </c>
      <c r="L38" s="334"/>
      <c r="M38" s="336"/>
      <c r="N38" s="347"/>
      <c r="O38" s="172" t="s">
        <v>20</v>
      </c>
      <c r="P38" s="167">
        <f t="shared" ref="P38:W38" ca="1" si="82">IF($B38,ROUND(P37*$N36,2),ROUND(SUMIF(OFFSET($B38,1,0,$D38),TRUE,OFFSET(P38,1,0,$D38))/SUMIF(OFFSET($B38,1,0,$D38),TRUE,OFFSET($K38,1,0,$D38))*$N36,2))</f>
        <v>0</v>
      </c>
      <c r="Q38" s="145">
        <f t="shared" ca="1" si="82"/>
        <v>0</v>
      </c>
      <c r="R38" s="145">
        <f t="shared" ca="1" si="82"/>
        <v>9744.39</v>
      </c>
      <c r="S38" s="145">
        <f t="shared" ca="1" si="82"/>
        <v>9744.39</v>
      </c>
      <c r="T38" s="145">
        <f t="shared" ca="1" si="82"/>
        <v>9744.39</v>
      </c>
      <c r="U38" s="145">
        <f t="shared" ca="1" si="82"/>
        <v>9744.39</v>
      </c>
      <c r="V38" s="145">
        <f t="shared" ca="1" si="82"/>
        <v>9744.39</v>
      </c>
      <c r="W38" s="175">
        <f t="shared" ca="1" si="82"/>
        <v>9744.39</v>
      </c>
      <c r="X38" s="164"/>
      <c r="AC38" s="145">
        <f t="shared" ref="AC38" ca="1" si="83">IF($B38,ROUND(AC37*$N36,2),ROUND(SUMIF(OFFSET($B38,1,0,$D38),TRUE,OFFSET(AC38,1,0,$D38))/SUMIF(OFFSET($B38,1,0,$D38),TRUE,OFFSET($K38,1,0,$D38))*$N36,2))</f>
        <v>0</v>
      </c>
    </row>
    <row r="39" spans="1:29" customFormat="1" ht="14.25" customHeight="1" x14ac:dyDescent="0.2">
      <c r="A39" s="1"/>
      <c r="B39" s="1"/>
      <c r="C39" s="1"/>
      <c r="D39" s="1"/>
      <c r="E39" s="1"/>
      <c r="F39" s="1"/>
      <c r="G39" s="1"/>
      <c r="H39" s="1"/>
      <c r="I39" s="1"/>
      <c r="J39" s="1"/>
      <c r="K39" s="1"/>
      <c r="L39" s="333" t="str">
        <f ca="1">INDEX(PO!K$12:K$96,MATCH($A41,PO!$V$12:$V$96,0))</f>
        <v>1.7.</v>
      </c>
      <c r="M39" s="335" t="str">
        <f ca="1">INDEX(PO!N$12:N$96,MATCH($A41,PO!$V$12:$V$96,0))</f>
        <v>INSTALAÇÃO SANITÁRIAS E EQUIPAMENTOS</v>
      </c>
      <c r="N39" s="346">
        <f t="shared" ref="N39" ca="1" si="84">IF(ROUND(K41,2)=0,K41,ROUND(K41,2))</f>
        <v>10587.25</v>
      </c>
      <c r="O39" s="188" t="s">
        <v>143</v>
      </c>
      <c r="P39" s="194">
        <v>0.25</v>
      </c>
      <c r="Q39" s="195">
        <v>0.25</v>
      </c>
      <c r="R39" s="195">
        <v>0.5</v>
      </c>
      <c r="S39" s="195">
        <f t="shared" ref="S39" ca="1" si="85">IF($B41,0,S40-IF(ISNUMBER(R40),R40,0))</f>
        <v>0</v>
      </c>
      <c r="T39" s="195">
        <f t="shared" ref="T39" ca="1" si="86">IF($B41,0,T40-IF(ISNUMBER(S40),S40,0))</f>
        <v>0</v>
      </c>
      <c r="U39" s="195">
        <f t="shared" ref="U39" ca="1" si="87">IF($B41,0,U40-IF(ISNUMBER(T40),T40,0))</f>
        <v>0</v>
      </c>
      <c r="V39" s="195">
        <f t="shared" ref="V39" ca="1" si="88">IF($B41,0,V40-IF(ISNUMBER(U40),U40,0))</f>
        <v>0</v>
      </c>
      <c r="W39" s="196">
        <f t="shared" ref="W39" ca="1" si="89">IF($B41,0,W40-IF(ISNUMBER(V40),V40,0))</f>
        <v>0</v>
      </c>
      <c r="X39" s="164"/>
      <c r="AC39" s="189">
        <f t="shared" ref="AC39" ca="1" si="90">IF($B41,0,AC40-IF(ISNUMBER(AB40),AB40,0))</f>
        <v>0</v>
      </c>
    </row>
    <row r="40" spans="1:29" customFormat="1" ht="14.25" x14ac:dyDescent="0.2">
      <c r="A40" s="11"/>
      <c r="B40" s="11"/>
      <c r="C40" s="11"/>
      <c r="D40" s="11"/>
      <c r="E40" s="11"/>
      <c r="F40" s="11"/>
      <c r="G40" s="11"/>
      <c r="H40" s="11"/>
      <c r="I40" s="11"/>
      <c r="J40" s="11"/>
      <c r="K40" s="11"/>
      <c r="L40" s="334"/>
      <c r="M40" s="336"/>
      <c r="N40" s="347"/>
      <c r="O40" s="146" t="s">
        <v>145</v>
      </c>
      <c r="P40" s="166">
        <f t="shared" ref="P40" ca="1" si="91">MIN(IF($B41,P39+IF(ISNUMBER(O40),O40,0),P41/$N39),1)</f>
        <v>0.25</v>
      </c>
      <c r="Q40" s="144">
        <f t="shared" ref="Q40" ca="1" si="92">MIN(IF($B41,Q39+IF(ISNUMBER(P40),P40,0),Q41/$N39),1)</f>
        <v>0.5</v>
      </c>
      <c r="R40" s="144">
        <f t="shared" ref="R40" ca="1" si="93">MIN(IF($B41,R39+IF(ISNUMBER(Q40),Q40,0),R41/$N39),1)</f>
        <v>1</v>
      </c>
      <c r="S40" s="144">
        <f t="shared" ref="S40" ca="1" si="94">MIN(IF($B41,S39+IF(ISNUMBER(R40),R40,0),S41/$N39),1)</f>
        <v>1</v>
      </c>
      <c r="T40" s="144">
        <f t="shared" ref="T40" ca="1" si="95">MIN(IF($B41,T39+IF(ISNUMBER(S40),S40,0),T41/$N39),1)</f>
        <v>1</v>
      </c>
      <c r="U40" s="144">
        <f t="shared" ref="U40" ca="1" si="96">MIN(IF($B41,U39+IF(ISNUMBER(T40),T40,0),U41/$N39),1)</f>
        <v>1</v>
      </c>
      <c r="V40" s="144">
        <f t="shared" ref="V40" ca="1" si="97">MIN(IF($B41,V39+IF(ISNUMBER(U40),U40,0),V41/$N39),1)</f>
        <v>1</v>
      </c>
      <c r="W40" s="144">
        <f t="shared" ref="W40" ca="1" si="98">MIN(IF($B41,W39+IF(ISNUMBER(V40),V40,0),W41/$N39),1)</f>
        <v>1</v>
      </c>
      <c r="X40" s="164"/>
      <c r="AC40" s="144">
        <f t="shared" ref="AC40" ca="1" si="99">MIN(IF($B41,AC39+IF(ISNUMBER(AB40),AB40,0),AC41/$N39),1)</f>
        <v>0</v>
      </c>
    </row>
    <row r="41" spans="1:29" customFormat="1" ht="14.25" x14ac:dyDescent="0.2">
      <c r="A41" s="11">
        <f ca="1">OFFSET(A41,-CFF.NumLinha,0)+1</f>
        <v>8</v>
      </c>
      <c r="B41" s="11" t="b">
        <f ca="1">$C41&gt;=OFFSET($C41,CFF.NumLinha,0)</f>
        <v>1</v>
      </c>
      <c r="C41" s="11">
        <f ca="1">INDEX(PO!A$12:A$96,MATCH($A41,PO!$V$12:$V$96,0))</f>
        <v>2</v>
      </c>
      <c r="D41" s="11">
        <f t="shared" ref="D41" ca="1" si="100">IF(ISERROR(J41),I41,SMALL(I41:J41,1))-1</f>
        <v>2</v>
      </c>
      <c r="E41" s="11">
        <f ca="1">IF($C41=1,OFFSET(E41,-CFF.NumLinha,0)+1,OFFSET(E41,-CFF.NumLinha,0))</f>
        <v>1</v>
      </c>
      <c r="F41" s="11">
        <f ca="1">IF($C41=1,0,IF($C41=2,OFFSET(F41,-CFF.NumLinha,0)+1,OFFSET(F41,-CFF.NumLinha,0)))</f>
        <v>7</v>
      </c>
      <c r="G41" s="11">
        <f ca="1">IF(AND($C41&lt;=2,$C41&lt;&gt;0),0,IF($C41=3,OFFSET(G41,-CFF.NumLinha,0)+1,OFFSET(G41,-CFF.NumLinha,0)))</f>
        <v>0</v>
      </c>
      <c r="H41" s="11">
        <f ca="1">IF(AND($C41&lt;=3,$C41&lt;&gt;0),0,IF($C41=4,OFFSET(H41,-CFF.NumLinha,0)+1,OFFSET(H41,-CFF.NumLinha,0)))</f>
        <v>0</v>
      </c>
      <c r="I41" s="11">
        <f t="shared" ref="I41" ca="1" si="101">MATCH(0,OFFSET($D41,1,$C41,ROW($A$60)-ROW($A41)),0)</f>
        <v>12</v>
      </c>
      <c r="J41" s="11">
        <f t="shared" ref="J41" ca="1" si="102">MATCH(OFFSET($D41,0,$C41)+1,OFFSET($D41,1,$C41,ROW($A$60)-ROW($A41)),0)</f>
        <v>3</v>
      </c>
      <c r="K41" s="157">
        <f ca="1">ROUND(INDEX(PO!T$12:T$96,MATCH($A41,PO!$V$12:$V$96,0)),2)+10^-12</f>
        <v>10587.250000000002</v>
      </c>
      <c r="L41" s="334"/>
      <c r="M41" s="336"/>
      <c r="N41" s="347"/>
      <c r="O41" s="172" t="s">
        <v>20</v>
      </c>
      <c r="P41" s="167">
        <f t="shared" ref="P41:W41" ca="1" si="103">IF($B41,ROUND(P40*$N39,2),ROUND(SUMIF(OFFSET($B41,1,0,$D41),TRUE,OFFSET(P41,1,0,$D41))/SUMIF(OFFSET($B41,1,0,$D41),TRUE,OFFSET($K41,1,0,$D41))*$N39,2))</f>
        <v>2646.81</v>
      </c>
      <c r="Q41" s="145">
        <f t="shared" ca="1" si="103"/>
        <v>5293.63</v>
      </c>
      <c r="R41" s="145">
        <f t="shared" ca="1" si="103"/>
        <v>10587.25</v>
      </c>
      <c r="S41" s="145">
        <f t="shared" ca="1" si="103"/>
        <v>10587.25</v>
      </c>
      <c r="T41" s="145">
        <f t="shared" ca="1" si="103"/>
        <v>10587.25</v>
      </c>
      <c r="U41" s="145">
        <f t="shared" ca="1" si="103"/>
        <v>10587.25</v>
      </c>
      <c r="V41" s="145">
        <f t="shared" ca="1" si="103"/>
        <v>10587.25</v>
      </c>
      <c r="W41" s="175">
        <f t="shared" ca="1" si="103"/>
        <v>10587.25</v>
      </c>
      <c r="X41" s="164"/>
      <c r="AC41" s="145">
        <f t="shared" ref="AC41" ca="1" si="104">IF($B41,ROUND(AC40*$N39,2),ROUND(SUMIF(OFFSET($B41,1,0,$D41),TRUE,OFFSET(AC41,1,0,$D41))/SUMIF(OFFSET($B41,1,0,$D41),TRUE,OFFSET($K41,1,0,$D41))*$N39,2))</f>
        <v>0</v>
      </c>
    </row>
    <row r="42" spans="1:29" customFormat="1" ht="14.25" customHeight="1" x14ac:dyDescent="0.2">
      <c r="A42" s="1"/>
      <c r="B42" s="1"/>
      <c r="C42" s="1"/>
      <c r="D42" s="1"/>
      <c r="E42" s="1"/>
      <c r="F42" s="1"/>
      <c r="G42" s="1"/>
      <c r="H42" s="1"/>
      <c r="I42" s="1"/>
      <c r="J42" s="1"/>
      <c r="K42" s="1"/>
      <c r="L42" s="333" t="str">
        <f ca="1">INDEX(PO!K$12:K$96,MATCH($A44,PO!$V$12:$V$96,0))</f>
        <v>1.8.</v>
      </c>
      <c r="M42" s="335" t="str">
        <f ca="1">INDEX(PO!N$12:N$96,MATCH($A44,PO!$V$12:$V$96,0))</f>
        <v>ESQUADRIAS</v>
      </c>
      <c r="N42" s="346">
        <f t="shared" ref="N42" ca="1" si="105">IF(ROUND(K44,2)=0,K44,ROUND(K44,2))</f>
        <v>17317.75</v>
      </c>
      <c r="O42" s="188" t="s">
        <v>143</v>
      </c>
      <c r="P42" s="194">
        <f t="shared" ref="P42" ca="1" si="106">IF($B44,0,P43-IF(ISNUMBER(O43),O43,0))</f>
        <v>0</v>
      </c>
      <c r="Q42" s="195">
        <f t="shared" ref="Q42" ca="1" si="107">IF($B44,0,Q43-IF(ISNUMBER(P43),P43,0))</f>
        <v>0</v>
      </c>
      <c r="R42" s="195">
        <f t="shared" ref="R42" ca="1" si="108">IF($B44,0,R43-IF(ISNUMBER(Q43),Q43,0))</f>
        <v>0</v>
      </c>
      <c r="S42" s="195">
        <v>1</v>
      </c>
      <c r="T42" s="195">
        <f t="shared" ref="T42" ca="1" si="109">IF($B44,0,T43-IF(ISNUMBER(S43),S43,0))</f>
        <v>0</v>
      </c>
      <c r="U42" s="195">
        <f t="shared" ref="U42" ca="1" si="110">IF($B44,0,U43-IF(ISNUMBER(T43),T43,0))</f>
        <v>0</v>
      </c>
      <c r="V42" s="195">
        <f t="shared" ref="V42" ca="1" si="111">IF($B44,0,V43-IF(ISNUMBER(U43),U43,0))</f>
        <v>0</v>
      </c>
      <c r="W42" s="196">
        <f t="shared" ref="W42" ca="1" si="112">IF($B44,0,W43-IF(ISNUMBER(V43),V43,0))</f>
        <v>0</v>
      </c>
      <c r="X42" s="164"/>
      <c r="AC42" s="189">
        <f t="shared" ref="AC42" ca="1" si="113">IF($B44,0,AC43-IF(ISNUMBER(AB43),AB43,0))</f>
        <v>0</v>
      </c>
    </row>
    <row r="43" spans="1:29" customFormat="1" ht="14.25" x14ac:dyDescent="0.2">
      <c r="A43" s="11"/>
      <c r="B43" s="11"/>
      <c r="C43" s="11"/>
      <c r="D43" s="11"/>
      <c r="E43" s="11"/>
      <c r="F43" s="11"/>
      <c r="G43" s="11"/>
      <c r="H43" s="11"/>
      <c r="I43" s="11"/>
      <c r="J43" s="11"/>
      <c r="K43" s="11"/>
      <c r="L43" s="334"/>
      <c r="M43" s="336"/>
      <c r="N43" s="347"/>
      <c r="O43" s="146" t="s">
        <v>145</v>
      </c>
      <c r="P43" s="166">
        <f t="shared" ref="P43" ca="1" si="114">MIN(IF($B44,P42+IF(ISNUMBER(O43),O43,0),P44/$N42),1)</f>
        <v>0</v>
      </c>
      <c r="Q43" s="144">
        <f t="shared" ref="Q43" ca="1" si="115">MIN(IF($B44,Q42+IF(ISNUMBER(P43),P43,0),Q44/$N42),1)</f>
        <v>0</v>
      </c>
      <c r="R43" s="144">
        <f t="shared" ref="R43" ca="1" si="116">MIN(IF($B44,R42+IF(ISNUMBER(Q43),Q43,0),R44/$N42),1)</f>
        <v>0</v>
      </c>
      <c r="S43" s="144">
        <f t="shared" ref="S43" ca="1" si="117">MIN(IF($B44,S42+IF(ISNUMBER(R43),R43,0),S44/$N42),1)</f>
        <v>1</v>
      </c>
      <c r="T43" s="144">
        <f t="shared" ref="T43" ca="1" si="118">MIN(IF($B44,T42+IF(ISNUMBER(S43),S43,0),T44/$N42),1)</f>
        <v>1</v>
      </c>
      <c r="U43" s="144">
        <f t="shared" ref="U43" ca="1" si="119">MIN(IF($B44,U42+IF(ISNUMBER(T43),T43,0),U44/$N42),1)</f>
        <v>1</v>
      </c>
      <c r="V43" s="144">
        <f t="shared" ref="V43" ca="1" si="120">MIN(IF($B44,V42+IF(ISNUMBER(U43),U43,0),V44/$N42),1)</f>
        <v>1</v>
      </c>
      <c r="W43" s="144">
        <f t="shared" ref="W43" ca="1" si="121">MIN(IF($B44,W42+IF(ISNUMBER(V43),V43,0),W44/$N42),1)</f>
        <v>1</v>
      </c>
      <c r="X43" s="164"/>
      <c r="AC43" s="144">
        <f t="shared" ref="AC43" ca="1" si="122">MIN(IF($B44,AC42+IF(ISNUMBER(AB43),AB43,0),AC44/$N42),1)</f>
        <v>0</v>
      </c>
    </row>
    <row r="44" spans="1:29" customFormat="1" ht="14.25" x14ac:dyDescent="0.2">
      <c r="A44" s="11">
        <f ca="1">OFFSET(A44,-CFF.NumLinha,0)+1</f>
        <v>9</v>
      </c>
      <c r="B44" s="11" t="b">
        <f ca="1">$C44&gt;=OFFSET($C44,CFF.NumLinha,0)</f>
        <v>1</v>
      </c>
      <c r="C44" s="11">
        <f ca="1">INDEX(PO!A$12:A$96,MATCH($A44,PO!$V$12:$V$96,0))</f>
        <v>2</v>
      </c>
      <c r="D44" s="11">
        <f t="shared" ref="D44" ca="1" si="123">IF(ISERROR(J44),I44,SMALL(I44:J44,1))-1</f>
        <v>2</v>
      </c>
      <c r="E44" s="11">
        <f ca="1">IF($C44=1,OFFSET(E44,-CFF.NumLinha,0)+1,OFFSET(E44,-CFF.NumLinha,0))</f>
        <v>1</v>
      </c>
      <c r="F44" s="11">
        <f ca="1">IF($C44=1,0,IF($C44=2,OFFSET(F44,-CFF.NumLinha,0)+1,OFFSET(F44,-CFF.NumLinha,0)))</f>
        <v>8</v>
      </c>
      <c r="G44" s="11">
        <f ca="1">IF(AND($C44&lt;=2,$C44&lt;&gt;0),0,IF($C44=3,OFFSET(G44,-CFF.NumLinha,0)+1,OFFSET(G44,-CFF.NumLinha,0)))</f>
        <v>0</v>
      </c>
      <c r="H44" s="11">
        <f ca="1">IF(AND($C44&lt;=3,$C44&lt;&gt;0),0,IF($C44=4,OFFSET(H44,-CFF.NumLinha,0)+1,OFFSET(H44,-CFF.NumLinha,0)))</f>
        <v>0</v>
      </c>
      <c r="I44" s="11">
        <f t="shared" ref="I44" ca="1" si="124">MATCH(0,OFFSET($D44,1,$C44,ROW($A$60)-ROW($A44)),0)</f>
        <v>9</v>
      </c>
      <c r="J44" s="11">
        <f t="shared" ref="J44" ca="1" si="125">MATCH(OFFSET($D44,0,$C44)+1,OFFSET($D44,1,$C44,ROW($A$60)-ROW($A44)),0)</f>
        <v>3</v>
      </c>
      <c r="K44" s="157">
        <f ca="1">ROUND(INDEX(PO!T$12:T$96,MATCH($A44,PO!$V$12:$V$96,0)),2)+10^-12</f>
        <v>17317.75</v>
      </c>
      <c r="L44" s="334"/>
      <c r="M44" s="336"/>
      <c r="N44" s="347"/>
      <c r="O44" s="172" t="s">
        <v>20</v>
      </c>
      <c r="P44" s="167">
        <f t="shared" ref="P44:W44" ca="1" si="126">IF($B44,ROUND(P43*$N42,2),ROUND(SUMIF(OFFSET($B44,1,0,$D44),TRUE,OFFSET(P44,1,0,$D44))/SUMIF(OFFSET($B44,1,0,$D44),TRUE,OFFSET($K44,1,0,$D44))*$N42,2))</f>
        <v>0</v>
      </c>
      <c r="Q44" s="145">
        <f t="shared" ca="1" si="126"/>
        <v>0</v>
      </c>
      <c r="R44" s="145">
        <f t="shared" ca="1" si="126"/>
        <v>0</v>
      </c>
      <c r="S44" s="145">
        <f t="shared" ca="1" si="126"/>
        <v>17317.75</v>
      </c>
      <c r="T44" s="145">
        <f t="shared" ca="1" si="126"/>
        <v>17317.75</v>
      </c>
      <c r="U44" s="145">
        <f t="shared" ca="1" si="126"/>
        <v>17317.75</v>
      </c>
      <c r="V44" s="145">
        <f t="shared" ca="1" si="126"/>
        <v>17317.75</v>
      </c>
      <c r="W44" s="175">
        <f t="shared" ca="1" si="126"/>
        <v>17317.75</v>
      </c>
      <c r="X44" s="164"/>
      <c r="AC44" s="145">
        <f t="shared" ref="AC44" ca="1" si="127">IF($B44,ROUND(AC43*$N42,2),ROUND(SUMIF(OFFSET($B44,1,0,$D44),TRUE,OFFSET(AC44,1,0,$D44))/SUMIF(OFFSET($B44,1,0,$D44),TRUE,OFFSET($K44,1,0,$D44))*$N42,2))</f>
        <v>0</v>
      </c>
    </row>
    <row r="45" spans="1:29" customFormat="1" ht="14.25" customHeight="1" x14ac:dyDescent="0.2">
      <c r="A45" s="1"/>
      <c r="B45" s="1"/>
      <c r="C45" s="1"/>
      <c r="D45" s="1"/>
      <c r="E45" s="1"/>
      <c r="F45" s="1"/>
      <c r="G45" s="1"/>
      <c r="H45" s="1"/>
      <c r="I45" s="1"/>
      <c r="J45" s="1"/>
      <c r="K45" s="1"/>
      <c r="L45" s="333" t="str">
        <f ca="1">INDEX(PO!K$12:K$96,MATCH($A47,PO!$V$12:$V$96,0))</f>
        <v>1.9.</v>
      </c>
      <c r="M45" s="335" t="str">
        <f ca="1">INDEX(PO!N$12:N$96,MATCH($A47,PO!$V$12:$V$96,0))</f>
        <v>INSTALAÇÕES ELÉTRICAS (MÃO DE OBRA)</v>
      </c>
      <c r="N45" s="346">
        <f t="shared" ref="N45" ca="1" si="128">IF(ROUND(K47,2)=0,K47,ROUND(K47,2))</f>
        <v>14905.52</v>
      </c>
      <c r="O45" s="188" t="s">
        <v>143</v>
      </c>
      <c r="P45" s="194">
        <f t="shared" ref="P45" ca="1" si="129">IF($B47,0,P46-IF(ISNUMBER(O46),O46,0))</f>
        <v>0</v>
      </c>
      <c r="Q45" s="195">
        <v>1</v>
      </c>
      <c r="R45" s="195">
        <f t="shared" ref="R45" ca="1" si="130">IF($B47,0,R46-IF(ISNUMBER(Q46),Q46,0))</f>
        <v>0</v>
      </c>
      <c r="S45" s="195">
        <f t="shared" ref="S45" ca="1" si="131">IF($B47,0,S46-IF(ISNUMBER(R46),R46,0))</f>
        <v>0</v>
      </c>
      <c r="T45" s="195">
        <f t="shared" ref="T45" ca="1" si="132">IF($B47,0,T46-IF(ISNUMBER(S46),S46,0))</f>
        <v>0</v>
      </c>
      <c r="U45" s="195">
        <f t="shared" ref="U45" ca="1" si="133">IF($B47,0,U46-IF(ISNUMBER(T46),T46,0))</f>
        <v>0</v>
      </c>
      <c r="V45" s="195">
        <f t="shared" ref="V45" ca="1" si="134">IF($B47,0,V46-IF(ISNUMBER(U46),U46,0))</f>
        <v>0</v>
      </c>
      <c r="W45" s="196">
        <f t="shared" ref="W45" ca="1" si="135">IF($B47,0,W46-IF(ISNUMBER(V46),V46,0))</f>
        <v>0</v>
      </c>
      <c r="X45" s="164"/>
      <c r="AC45" s="189">
        <f t="shared" ref="AC45" ca="1" si="136">IF($B47,0,AC46-IF(ISNUMBER(AB46),AB46,0))</f>
        <v>0</v>
      </c>
    </row>
    <row r="46" spans="1:29" customFormat="1" ht="14.25" x14ac:dyDescent="0.2">
      <c r="A46" s="11"/>
      <c r="B46" s="11"/>
      <c r="C46" s="11"/>
      <c r="D46" s="11"/>
      <c r="E46" s="11"/>
      <c r="F46" s="11"/>
      <c r="G46" s="11"/>
      <c r="H46" s="11"/>
      <c r="I46" s="11"/>
      <c r="J46" s="11"/>
      <c r="K46" s="11"/>
      <c r="L46" s="334"/>
      <c r="M46" s="336"/>
      <c r="N46" s="347"/>
      <c r="O46" s="146" t="s">
        <v>145</v>
      </c>
      <c r="P46" s="166">
        <f t="shared" ref="P46" ca="1" si="137">MIN(IF($B47,P45+IF(ISNUMBER(O46),O46,0),P47/$N45),1)</f>
        <v>0</v>
      </c>
      <c r="Q46" s="144">
        <f t="shared" ref="Q46" ca="1" si="138">MIN(IF($B47,Q45+IF(ISNUMBER(P46),P46,0),Q47/$N45),1)</f>
        <v>1</v>
      </c>
      <c r="R46" s="144">
        <f t="shared" ref="R46" ca="1" si="139">MIN(IF($B47,R45+IF(ISNUMBER(Q46),Q46,0),R47/$N45),1)</f>
        <v>1</v>
      </c>
      <c r="S46" s="144">
        <f t="shared" ref="S46" ca="1" si="140">MIN(IF($B47,S45+IF(ISNUMBER(R46),R46,0),S47/$N45),1)</f>
        <v>1</v>
      </c>
      <c r="T46" s="144">
        <f t="shared" ref="T46" ca="1" si="141">MIN(IF($B47,T45+IF(ISNUMBER(S46),S46,0),T47/$N45),1)</f>
        <v>1</v>
      </c>
      <c r="U46" s="144">
        <f t="shared" ref="U46" ca="1" si="142">MIN(IF($B47,U45+IF(ISNUMBER(T46),T46,0),U47/$N45),1)</f>
        <v>1</v>
      </c>
      <c r="V46" s="144">
        <f t="shared" ref="V46" ca="1" si="143">MIN(IF($B47,V45+IF(ISNUMBER(U46),U46,0),V47/$N45),1)</f>
        <v>1</v>
      </c>
      <c r="W46" s="144">
        <f t="shared" ref="W46" ca="1" si="144">MIN(IF($B47,W45+IF(ISNUMBER(V46),V46,0),W47/$N45),1)</f>
        <v>1</v>
      </c>
      <c r="X46" s="164"/>
      <c r="AC46" s="144">
        <f t="shared" ref="AC46" ca="1" si="145">MIN(IF($B47,AC45+IF(ISNUMBER(AB46),AB46,0),AC47/$N45),1)</f>
        <v>0</v>
      </c>
    </row>
    <row r="47" spans="1:29" customFormat="1" ht="14.25" x14ac:dyDescent="0.2">
      <c r="A47" s="11">
        <f ca="1">OFFSET(A47,-CFF.NumLinha,0)+1</f>
        <v>10</v>
      </c>
      <c r="B47" s="11" t="b">
        <f ca="1">$C47&gt;=OFFSET($C47,CFF.NumLinha,0)</f>
        <v>1</v>
      </c>
      <c r="C47" s="11">
        <f ca="1">INDEX(PO!A$12:A$96,MATCH($A47,PO!$V$12:$V$96,0))</f>
        <v>2</v>
      </c>
      <c r="D47" s="11">
        <f t="shared" ref="D47" ca="1" si="146">IF(ISERROR(J47),I47,SMALL(I47:J47,1))-1</f>
        <v>2</v>
      </c>
      <c r="E47" s="11">
        <f ca="1">IF($C47=1,OFFSET(E47,-CFF.NumLinha,0)+1,OFFSET(E47,-CFF.NumLinha,0))</f>
        <v>1</v>
      </c>
      <c r="F47" s="11">
        <f ca="1">IF($C47=1,0,IF($C47=2,OFFSET(F47,-CFF.NumLinha,0)+1,OFFSET(F47,-CFF.NumLinha,0)))</f>
        <v>9</v>
      </c>
      <c r="G47" s="11">
        <f ca="1">IF(AND($C47&lt;=2,$C47&lt;&gt;0),0,IF($C47=3,OFFSET(G47,-CFF.NumLinha,0)+1,OFFSET(G47,-CFF.NumLinha,0)))</f>
        <v>0</v>
      </c>
      <c r="H47" s="11">
        <f ca="1">IF(AND($C47&lt;=3,$C47&lt;&gt;0),0,IF($C47=4,OFFSET(H47,-CFF.NumLinha,0)+1,OFFSET(H47,-CFF.NumLinha,0)))</f>
        <v>0</v>
      </c>
      <c r="I47" s="11">
        <f t="shared" ref="I47" ca="1" si="147">MATCH(0,OFFSET($D47,1,$C47,ROW($A$60)-ROW($A47)),0)</f>
        <v>6</v>
      </c>
      <c r="J47" s="11">
        <f t="shared" ref="J47" ca="1" si="148">MATCH(OFFSET($D47,0,$C47)+1,OFFSET($D47,1,$C47,ROW($A$60)-ROW($A47)),0)</f>
        <v>3</v>
      </c>
      <c r="K47" s="157">
        <f ca="1">ROUND(INDEX(PO!T$12:T$96,MATCH($A47,PO!$V$12:$V$96,0)),2)+10^-12</f>
        <v>14905.520000000002</v>
      </c>
      <c r="L47" s="334"/>
      <c r="M47" s="336"/>
      <c r="N47" s="347"/>
      <c r="O47" s="172" t="s">
        <v>20</v>
      </c>
      <c r="P47" s="167">
        <f t="shared" ref="P47:W47" ca="1" si="149">IF($B47,ROUND(P46*$N45,2),ROUND(SUMIF(OFFSET($B47,1,0,$D47),TRUE,OFFSET(P47,1,0,$D47))/SUMIF(OFFSET($B47,1,0,$D47),TRUE,OFFSET($K47,1,0,$D47))*$N45,2))</f>
        <v>0</v>
      </c>
      <c r="Q47" s="145">
        <f t="shared" ca="1" si="149"/>
        <v>14905.52</v>
      </c>
      <c r="R47" s="145">
        <f t="shared" ca="1" si="149"/>
        <v>14905.52</v>
      </c>
      <c r="S47" s="145">
        <f t="shared" ca="1" si="149"/>
        <v>14905.52</v>
      </c>
      <c r="T47" s="145">
        <f t="shared" ca="1" si="149"/>
        <v>14905.52</v>
      </c>
      <c r="U47" s="145">
        <f t="shared" ca="1" si="149"/>
        <v>14905.52</v>
      </c>
      <c r="V47" s="145">
        <f t="shared" ca="1" si="149"/>
        <v>14905.52</v>
      </c>
      <c r="W47" s="175">
        <f t="shared" ca="1" si="149"/>
        <v>14905.52</v>
      </c>
      <c r="X47" s="164"/>
      <c r="AC47" s="145">
        <f t="shared" ref="AC47" ca="1" si="150">IF($B47,ROUND(AC46*$N45,2),ROUND(SUMIF(OFFSET($B47,1,0,$D47),TRUE,OFFSET(AC47,1,0,$D47))/SUMIF(OFFSET($B47,1,0,$D47),TRUE,OFFSET($K47,1,0,$D47))*$N45,2))</f>
        <v>0</v>
      </c>
    </row>
    <row r="48" spans="1:29" customFormat="1" ht="14.25" customHeight="1" x14ac:dyDescent="0.2">
      <c r="A48" s="1"/>
      <c r="B48" s="1"/>
      <c r="C48" s="1"/>
      <c r="D48" s="1"/>
      <c r="E48" s="1"/>
      <c r="F48" s="1"/>
      <c r="G48" s="1"/>
      <c r="H48" s="1"/>
      <c r="I48" s="1"/>
      <c r="J48" s="1"/>
      <c r="K48" s="1"/>
      <c r="L48" s="333" t="str">
        <f ca="1">INDEX(PO!K$12:K$96,MATCH($A50,PO!$V$12:$V$96,0))</f>
        <v>1.10.</v>
      </c>
      <c r="M48" s="335" t="str">
        <f ca="1">INDEX(PO!N$12:N$96,MATCH($A50,PO!$V$12:$V$96,0))</f>
        <v>ALVENARIA E TELHADO PARA O ABRIGO PARA RESÍDUOS (2,3mx1,50m)</v>
      </c>
      <c r="N48" s="346">
        <f t="shared" ref="N48" ca="1" si="151">IF(ROUND(K50,2)=0,K50,ROUND(K50,2))</f>
        <v>4679.99</v>
      </c>
      <c r="O48" s="188" t="s">
        <v>143</v>
      </c>
      <c r="P48" s="194">
        <f t="shared" ref="P48" ca="1" si="152">IF($B50,0,P49-IF(ISNUMBER(O49),O49,0))</f>
        <v>0</v>
      </c>
      <c r="Q48" s="195">
        <f t="shared" ref="Q48" ca="1" si="153">IF($B50,0,Q49-IF(ISNUMBER(P49),P49,0))</f>
        <v>0</v>
      </c>
      <c r="R48" s="195">
        <v>1</v>
      </c>
      <c r="S48" s="195">
        <f t="shared" ref="S48" ca="1" si="154">IF($B50,0,S49-IF(ISNUMBER(R49),R49,0))</f>
        <v>0</v>
      </c>
      <c r="T48" s="195">
        <f t="shared" ref="T48" ca="1" si="155">IF($B50,0,T49-IF(ISNUMBER(S49),S49,0))</f>
        <v>0</v>
      </c>
      <c r="U48" s="195">
        <f t="shared" ref="U48" ca="1" si="156">IF($B50,0,U49-IF(ISNUMBER(T49),T49,0))</f>
        <v>0</v>
      </c>
      <c r="V48" s="195">
        <f t="shared" ref="V48" ca="1" si="157">IF($B50,0,V49-IF(ISNUMBER(U49),U49,0))</f>
        <v>0</v>
      </c>
      <c r="W48" s="196">
        <f t="shared" ref="W48" ca="1" si="158">IF($B50,0,W49-IF(ISNUMBER(V49),V49,0))</f>
        <v>0</v>
      </c>
      <c r="X48" s="164"/>
      <c r="AC48" s="189">
        <f t="shared" ref="AC48" ca="1" si="159">IF($B50,0,AC49-IF(ISNUMBER(AB49),AB49,0))</f>
        <v>0</v>
      </c>
    </row>
    <row r="49" spans="1:29" customFormat="1" ht="14.25" x14ac:dyDescent="0.2">
      <c r="A49" s="11"/>
      <c r="B49" s="11"/>
      <c r="C49" s="11"/>
      <c r="D49" s="11"/>
      <c r="E49" s="11"/>
      <c r="F49" s="11"/>
      <c r="G49" s="11"/>
      <c r="H49" s="11"/>
      <c r="I49" s="11"/>
      <c r="J49" s="11"/>
      <c r="K49" s="11"/>
      <c r="L49" s="334"/>
      <c r="M49" s="336"/>
      <c r="N49" s="347"/>
      <c r="O49" s="146" t="s">
        <v>145</v>
      </c>
      <c r="P49" s="166">
        <f t="shared" ref="P49" ca="1" si="160">MIN(IF($B50,P48+IF(ISNUMBER(O49),O49,0),P50/$N48),1)</f>
        <v>0</v>
      </c>
      <c r="Q49" s="144">
        <f t="shared" ref="Q49" ca="1" si="161">MIN(IF($B50,Q48+IF(ISNUMBER(P49),P49,0),Q50/$N48),1)</f>
        <v>0</v>
      </c>
      <c r="R49" s="144">
        <f t="shared" ref="R49" ca="1" si="162">MIN(IF($B50,R48+IF(ISNUMBER(Q49),Q49,0),R50/$N48),1)</f>
        <v>1</v>
      </c>
      <c r="S49" s="144">
        <f t="shared" ref="S49" ca="1" si="163">MIN(IF($B50,S48+IF(ISNUMBER(R49),R49,0),S50/$N48),1)</f>
        <v>1</v>
      </c>
      <c r="T49" s="144">
        <f t="shared" ref="T49" ca="1" si="164">MIN(IF($B50,T48+IF(ISNUMBER(S49),S49,0),T50/$N48),1)</f>
        <v>1</v>
      </c>
      <c r="U49" s="144">
        <f t="shared" ref="U49" ca="1" si="165">MIN(IF($B50,U48+IF(ISNUMBER(T49),T49,0),U50/$N48),1)</f>
        <v>1</v>
      </c>
      <c r="V49" s="144">
        <f t="shared" ref="V49" ca="1" si="166">MIN(IF($B50,V48+IF(ISNUMBER(U49),U49,0),V50/$N48),1)</f>
        <v>1</v>
      </c>
      <c r="W49" s="144">
        <f t="shared" ref="W49" ca="1" si="167">MIN(IF($B50,W48+IF(ISNUMBER(V49),V49,0),W50/$N48),1)</f>
        <v>1</v>
      </c>
      <c r="X49" s="164"/>
      <c r="AC49" s="144">
        <f t="shared" ref="AC49" ca="1" si="168">MIN(IF($B50,AC48+IF(ISNUMBER(AB49),AB49,0),AC50/$N48),1)</f>
        <v>0</v>
      </c>
    </row>
    <row r="50" spans="1:29" customFormat="1" ht="14.25" x14ac:dyDescent="0.2">
      <c r="A50" s="11">
        <f ca="1">OFFSET(A50,-CFF.NumLinha,0)+1</f>
        <v>11</v>
      </c>
      <c r="B50" s="11" t="b">
        <f ca="1">$C50&gt;=OFFSET($C50,CFF.NumLinha,0)</f>
        <v>1</v>
      </c>
      <c r="C50" s="11">
        <f ca="1">INDEX(PO!A$12:A$96,MATCH($A50,PO!$V$12:$V$96,0))</f>
        <v>2</v>
      </c>
      <c r="D50" s="11">
        <f t="shared" ref="D50" ca="1" si="169">IF(ISERROR(J50),I50,SMALL(I50:J50,1))-1</f>
        <v>2</v>
      </c>
      <c r="E50" s="11">
        <f ca="1">IF($C50=1,OFFSET(E50,-CFF.NumLinha,0)+1,OFFSET(E50,-CFF.NumLinha,0))</f>
        <v>1</v>
      </c>
      <c r="F50" s="11">
        <f ca="1">IF($C50=1,0,IF($C50=2,OFFSET(F50,-CFF.NumLinha,0)+1,OFFSET(F50,-CFF.NumLinha,0)))</f>
        <v>10</v>
      </c>
      <c r="G50" s="11">
        <f ca="1">IF(AND($C50&lt;=2,$C50&lt;&gt;0),0,IF($C50=3,OFFSET(G50,-CFF.NumLinha,0)+1,OFFSET(G50,-CFF.NumLinha,0)))</f>
        <v>0</v>
      </c>
      <c r="H50" s="11">
        <f ca="1">IF(AND($C50&lt;=3,$C50&lt;&gt;0),0,IF($C50=4,OFFSET(H50,-CFF.NumLinha,0)+1,OFFSET(H50,-CFF.NumLinha,0)))</f>
        <v>0</v>
      </c>
      <c r="I50" s="11">
        <f t="shared" ref="I50" ca="1" si="170">MATCH(0,OFFSET($D50,1,$C50,ROW($A$60)-ROW($A50)),0)</f>
        <v>3</v>
      </c>
      <c r="J50" s="11" t="e">
        <f t="shared" ref="J50" ca="1" si="171">MATCH(OFFSET($D50,0,$C50)+1,OFFSET($D50,1,$C50,ROW($A$60)-ROW($A50)),0)</f>
        <v>#N/A</v>
      </c>
      <c r="K50" s="157">
        <f ca="1">ROUND(INDEX(PO!T$12:T$96,MATCH($A50,PO!$V$12:$V$96,0)),2)+10^-12</f>
        <v>4679.9900000000007</v>
      </c>
      <c r="L50" s="334"/>
      <c r="M50" s="336"/>
      <c r="N50" s="347"/>
      <c r="O50" s="172" t="s">
        <v>20</v>
      </c>
      <c r="P50" s="167">
        <f t="shared" ref="P50:W50" ca="1" si="172">IF($B50,ROUND(P49*$N48,2),ROUND(SUMIF(OFFSET($B50,1,0,$D50),TRUE,OFFSET(P50,1,0,$D50))/SUMIF(OFFSET($B50,1,0,$D50),TRUE,OFFSET($K50,1,0,$D50))*$N48,2))</f>
        <v>0</v>
      </c>
      <c r="Q50" s="145">
        <f t="shared" ca="1" si="172"/>
        <v>0</v>
      </c>
      <c r="R50" s="145">
        <f t="shared" ca="1" si="172"/>
        <v>4679.99</v>
      </c>
      <c r="S50" s="145">
        <f t="shared" ca="1" si="172"/>
        <v>4679.99</v>
      </c>
      <c r="T50" s="145">
        <f t="shared" ca="1" si="172"/>
        <v>4679.99</v>
      </c>
      <c r="U50" s="145">
        <f t="shared" ca="1" si="172"/>
        <v>4679.99</v>
      </c>
      <c r="V50" s="145">
        <f t="shared" ca="1" si="172"/>
        <v>4679.99</v>
      </c>
      <c r="W50" s="175">
        <f t="shared" ca="1" si="172"/>
        <v>4679.99</v>
      </c>
      <c r="X50" s="164"/>
      <c r="AC50" s="145">
        <f t="shared" ref="AC50" ca="1" si="173">IF($B50,ROUND(AC49*$N48,2),ROUND(SUMIF(OFFSET($B50,1,0,$D50),TRUE,OFFSET(AC50,1,0,$D50))/SUMIF(OFFSET($B50,1,0,$D50),TRUE,OFFSET($K50,1,0,$D50))*$N48,2))</f>
        <v>0</v>
      </c>
    </row>
    <row r="51" spans="1:29" customFormat="1" ht="14.25" customHeight="1" x14ac:dyDescent="0.2">
      <c r="A51" s="1"/>
      <c r="B51" s="1"/>
      <c r="C51" s="1"/>
      <c r="D51" s="1"/>
      <c r="E51" s="1"/>
      <c r="F51" s="1"/>
      <c r="G51" s="1"/>
      <c r="H51" s="1"/>
      <c r="I51" s="1"/>
      <c r="J51" s="1"/>
      <c r="K51" s="1"/>
      <c r="L51" s="333" t="str">
        <f ca="1">INDEX(PO!K$12:K$96,MATCH($A53,PO!$V$12:$V$96,0))</f>
        <v>2.</v>
      </c>
      <c r="M51" s="335" t="str">
        <f ca="1">INDEX(PO!N$12:N$96,MATCH($A53,PO!$V$12:$V$96,0))</f>
        <v>REVITALIZAÇÃO DO PÁTIO</v>
      </c>
      <c r="N51" s="346">
        <f t="shared" ref="N51" ca="1" si="174">IF(ROUND(K53,2)=0,K53,ROUND(K53,2))</f>
        <v>113600.31</v>
      </c>
      <c r="O51" s="188" t="s">
        <v>143</v>
      </c>
      <c r="P51" s="194">
        <f t="shared" ref="P51" ca="1" si="175">IF($B53,0,P52-IF(ISNUMBER(O52),O52,0))</f>
        <v>8.4483396216084278E-2</v>
      </c>
      <c r="Q51" s="195">
        <f t="shared" ref="Q51" ca="1" si="176">IF($B53,0,Q52-IF(ISNUMBER(P52),P52,0))</f>
        <v>8.4483396216084278E-2</v>
      </c>
      <c r="R51" s="195">
        <f t="shared" ref="R51" ca="1" si="177">IF($B53,0,R52-IF(ISNUMBER(Q52),Q52,0))</f>
        <v>0.41551664779788017</v>
      </c>
      <c r="S51" s="195">
        <f t="shared" ref="S51" ca="1" si="178">IF($B53,0,S52-IF(ISNUMBER(R52),R52,0))</f>
        <v>0.41551655976995128</v>
      </c>
      <c r="T51" s="195">
        <f t="shared" ref="T51" ca="1" si="179">IF($B53,0,T52-IF(ISNUMBER(S52),S52,0))</f>
        <v>0</v>
      </c>
      <c r="U51" s="195">
        <f t="shared" ref="U51" ca="1" si="180">IF($B53,0,U52-IF(ISNUMBER(T52),T52,0))</f>
        <v>0</v>
      </c>
      <c r="V51" s="195">
        <f t="shared" ref="V51" ca="1" si="181">IF($B53,0,V52-IF(ISNUMBER(U52),U52,0))</f>
        <v>0</v>
      </c>
      <c r="W51" s="196">
        <f t="shared" ref="W51" ca="1" si="182">IF($B53,0,W52-IF(ISNUMBER(V52),V52,0))</f>
        <v>0</v>
      </c>
      <c r="X51" s="164"/>
      <c r="AC51" s="189">
        <f t="shared" ref="AC51" ca="1" si="183">IF($B53,0,AC52-IF(ISNUMBER(AB52),AB52,0))</f>
        <v>0</v>
      </c>
    </row>
    <row r="52" spans="1:29" customFormat="1" ht="14.25" x14ac:dyDescent="0.2">
      <c r="A52" s="11"/>
      <c r="B52" s="11"/>
      <c r="C52" s="11"/>
      <c r="D52" s="11"/>
      <c r="E52" s="11"/>
      <c r="F52" s="11"/>
      <c r="G52" s="11"/>
      <c r="H52" s="11"/>
      <c r="I52" s="11"/>
      <c r="J52" s="11"/>
      <c r="K52" s="11"/>
      <c r="L52" s="334"/>
      <c r="M52" s="336"/>
      <c r="N52" s="347"/>
      <c r="O52" s="146" t="s">
        <v>145</v>
      </c>
      <c r="P52" s="166">
        <f t="shared" ref="P52" ca="1" si="184">MIN(IF($B53,P51+IF(ISNUMBER(O52),O52,0),P53/$N51),1)</f>
        <v>8.4483396216084278E-2</v>
      </c>
      <c r="Q52" s="144">
        <f t="shared" ref="Q52" ca="1" si="185">MIN(IF($B53,Q51+IF(ISNUMBER(P52),P52,0),Q53/$N51),1)</f>
        <v>0.16896679243216856</v>
      </c>
      <c r="R52" s="144">
        <f t="shared" ref="R52" ca="1" si="186">MIN(IF($B53,R51+IF(ISNUMBER(Q52),Q52,0),R53/$N51),1)</f>
        <v>0.58448344023004872</v>
      </c>
      <c r="S52" s="144">
        <f t="shared" ref="S52" ca="1" si="187">MIN(IF($B53,S51+IF(ISNUMBER(R52),R52,0),S53/$N51),1)</f>
        <v>1</v>
      </c>
      <c r="T52" s="144">
        <f t="shared" ref="T52" ca="1" si="188">MIN(IF($B53,T51+IF(ISNUMBER(S52),S52,0),T53/$N51),1)</f>
        <v>1</v>
      </c>
      <c r="U52" s="144">
        <f t="shared" ref="U52" ca="1" si="189">MIN(IF($B53,U51+IF(ISNUMBER(T52),T52,0),U53/$N51),1)</f>
        <v>1</v>
      </c>
      <c r="V52" s="144">
        <f t="shared" ref="V52" ca="1" si="190">MIN(IF($B53,V51+IF(ISNUMBER(U52),U52,0),V53/$N51),1)</f>
        <v>1</v>
      </c>
      <c r="W52" s="144">
        <f t="shared" ref="W52" ca="1" si="191">MIN(IF($B53,W51+IF(ISNUMBER(V52),V52,0),W53/$N51),1)</f>
        <v>1</v>
      </c>
      <c r="X52" s="164"/>
      <c r="AC52" s="144">
        <f t="shared" ref="AC52" ca="1" si="192">MIN(IF($B53,AC51+IF(ISNUMBER(AB52),AB52,0),AC53/$N51),1)</f>
        <v>0</v>
      </c>
    </row>
    <row r="53" spans="1:29" customFormat="1" ht="14.25" x14ac:dyDescent="0.2">
      <c r="A53" s="11">
        <f ca="1">OFFSET(A53,-CFF.NumLinha,0)+1</f>
        <v>12</v>
      </c>
      <c r="B53" s="11" t="b">
        <f ca="1">$C53&gt;=OFFSET($C53,CFF.NumLinha,0)</f>
        <v>0</v>
      </c>
      <c r="C53" s="11">
        <f ca="1">INDEX(PO!A$12:A$96,MATCH($A53,PO!$V$12:$V$96,0))</f>
        <v>1</v>
      </c>
      <c r="D53" s="11">
        <f t="shared" ref="D53" ca="1" si="193">IF(ISERROR(J53),I53,SMALL(I53:J53,1))-1</f>
        <v>6</v>
      </c>
      <c r="E53" s="11">
        <f ca="1">IF($C53=1,OFFSET(E53,-CFF.NumLinha,0)+1,OFFSET(E53,-CFF.NumLinha,0))</f>
        <v>2</v>
      </c>
      <c r="F53" s="11">
        <f ca="1">IF($C53=1,0,IF($C53=2,OFFSET(F53,-CFF.NumLinha,0)+1,OFFSET(F53,-CFF.NumLinha,0)))</f>
        <v>0</v>
      </c>
      <c r="G53" s="11">
        <f ca="1">IF(AND($C53&lt;=2,$C53&lt;&gt;0),0,IF($C53=3,OFFSET(G53,-CFF.NumLinha,0)+1,OFFSET(G53,-CFF.NumLinha,0)))</f>
        <v>0</v>
      </c>
      <c r="H53" s="11">
        <f ca="1">IF(AND($C53&lt;=3,$C53&lt;&gt;0),0,IF($C53=4,OFFSET(H53,-CFF.NumLinha,0)+1,OFFSET(H53,-CFF.NumLinha,0)))</f>
        <v>0</v>
      </c>
      <c r="I53" s="11">
        <f t="shared" ref="I53" ca="1" si="194">MATCH(0,OFFSET($D53,1,$C53,ROW($A$60)-ROW($A53)),0)</f>
        <v>7</v>
      </c>
      <c r="J53" s="11" t="e">
        <f t="shared" ref="J53" ca="1" si="195">MATCH(OFFSET($D53,0,$C53)+1,OFFSET($D53,1,$C53,ROW($A$60)-ROW($A53)),0)</f>
        <v>#N/A</v>
      </c>
      <c r="K53" s="157">
        <f ca="1">ROUND(INDEX(PO!T$12:T$96,MATCH($A53,PO!$V$12:$V$96,0)),2)+10^-12</f>
        <v>113600.31</v>
      </c>
      <c r="L53" s="334"/>
      <c r="M53" s="336"/>
      <c r="N53" s="347"/>
      <c r="O53" s="172" t="s">
        <v>20</v>
      </c>
      <c r="P53" s="167">
        <f t="shared" ref="P53:W53" ca="1" si="196">IF($B53,ROUND(P52*$N51,2),ROUND(SUMIF(OFFSET($B53,1,0,$D53),TRUE,OFFSET(P53,1,0,$D53))/SUMIF(OFFSET($B53,1,0,$D53),TRUE,OFFSET($K53,1,0,$D53))*$N51,2))</f>
        <v>9597.34</v>
      </c>
      <c r="Q53" s="145">
        <f t="shared" ca="1" si="196"/>
        <v>19194.68</v>
      </c>
      <c r="R53" s="145">
        <f t="shared" ca="1" si="196"/>
        <v>66397.5</v>
      </c>
      <c r="S53" s="145">
        <f t="shared" ca="1" si="196"/>
        <v>113600.31</v>
      </c>
      <c r="T53" s="145">
        <f t="shared" ca="1" si="196"/>
        <v>113600.31</v>
      </c>
      <c r="U53" s="145">
        <f t="shared" ca="1" si="196"/>
        <v>113600.31</v>
      </c>
      <c r="V53" s="145">
        <f t="shared" ca="1" si="196"/>
        <v>113600.31</v>
      </c>
      <c r="W53" s="175">
        <f t="shared" ca="1" si="196"/>
        <v>113600.31</v>
      </c>
      <c r="X53" s="164"/>
      <c r="AC53" s="145">
        <f t="shared" ref="AC53" ca="1" si="197">IF($B53,ROUND(AC52*$N51,2),ROUND(SUMIF(OFFSET($B53,1,0,$D53),TRUE,OFFSET(AC53,1,0,$D53))/SUMIF(OFFSET($B53,1,0,$D53),TRUE,OFFSET($K53,1,0,$D53))*$N51,2))</f>
        <v>0</v>
      </c>
    </row>
    <row r="54" spans="1:29" customFormat="1" ht="14.25" customHeight="1" x14ac:dyDescent="0.2">
      <c r="A54" s="1"/>
      <c r="B54" s="1"/>
      <c r="C54" s="1"/>
      <c r="D54" s="1"/>
      <c r="E54" s="1"/>
      <c r="F54" s="1"/>
      <c r="G54" s="1"/>
      <c r="H54" s="1"/>
      <c r="I54" s="1"/>
      <c r="J54" s="1"/>
      <c r="K54" s="1"/>
      <c r="L54" s="333" t="str">
        <f ca="1">INDEX(PO!K$12:K$96,MATCH($A56,PO!$V$12:$V$96,0))</f>
        <v>2.1.</v>
      </c>
      <c r="M54" s="335" t="str">
        <f ca="1">INDEX(PO!N$12:N$96,MATCH($A56,PO!$V$12:$V$96,0))</f>
        <v>ESTACIONAMENTO E CALÇADAS</v>
      </c>
      <c r="N54" s="346">
        <f t="shared" ref="N54" ca="1" si="198">IF(ROUND(K56,2)=0,K56,ROUND(K56,2))</f>
        <v>94405.63</v>
      </c>
      <c r="O54" s="188" t="s">
        <v>143</v>
      </c>
      <c r="P54" s="194">
        <f t="shared" ref="P54" ca="1" si="199">IF($B56,0,P55-IF(ISNUMBER(O55),O55,0))</f>
        <v>0</v>
      </c>
      <c r="Q54" s="195">
        <f t="shared" ref="Q54" ca="1" si="200">IF($B56,0,Q55-IF(ISNUMBER(P55),P55,0))</f>
        <v>0</v>
      </c>
      <c r="R54" s="195">
        <v>0.5</v>
      </c>
      <c r="S54" s="195">
        <v>0.5</v>
      </c>
      <c r="T54" s="195">
        <f t="shared" ref="T54" ca="1" si="201">IF($B56,0,T55-IF(ISNUMBER(S55),S55,0))</f>
        <v>0</v>
      </c>
      <c r="U54" s="195">
        <f t="shared" ref="U54" ca="1" si="202">IF($B56,0,U55-IF(ISNUMBER(T55),T55,0))</f>
        <v>0</v>
      </c>
      <c r="V54" s="195">
        <f t="shared" ref="V54" ca="1" si="203">IF($B56,0,V55-IF(ISNUMBER(U55),U55,0))</f>
        <v>0</v>
      </c>
      <c r="W54" s="196">
        <f t="shared" ref="W54" ca="1" si="204">IF($B56,0,W55-IF(ISNUMBER(V55),V55,0))</f>
        <v>0</v>
      </c>
      <c r="X54" s="164"/>
      <c r="AC54" s="189">
        <f t="shared" ref="AC54" ca="1" si="205">IF($B56,0,AC55-IF(ISNUMBER(AB55),AB55,0))</f>
        <v>0</v>
      </c>
    </row>
    <row r="55" spans="1:29" customFormat="1" ht="14.25" x14ac:dyDescent="0.2">
      <c r="A55" s="11"/>
      <c r="B55" s="11"/>
      <c r="C55" s="11"/>
      <c r="D55" s="11"/>
      <c r="E55" s="11"/>
      <c r="F55" s="11"/>
      <c r="G55" s="11"/>
      <c r="H55" s="11"/>
      <c r="I55" s="11"/>
      <c r="J55" s="11"/>
      <c r="K55" s="11"/>
      <c r="L55" s="334"/>
      <c r="M55" s="336"/>
      <c r="N55" s="347"/>
      <c r="O55" s="146" t="s">
        <v>145</v>
      </c>
      <c r="P55" s="166">
        <f t="shared" ref="P55" ca="1" si="206">MIN(IF($B56,P54+IF(ISNUMBER(O55),O55,0),P56/$N54),1)</f>
        <v>0</v>
      </c>
      <c r="Q55" s="144">
        <f t="shared" ref="Q55" ca="1" si="207">MIN(IF($B56,Q54+IF(ISNUMBER(P55),P55,0),Q56/$N54),1)</f>
        <v>0</v>
      </c>
      <c r="R55" s="144">
        <f t="shared" ref="R55" ca="1" si="208">MIN(IF($B56,R54+IF(ISNUMBER(Q55),Q55,0),R56/$N54),1)</f>
        <v>0.5</v>
      </c>
      <c r="S55" s="144">
        <f t="shared" ref="S55" ca="1" si="209">MIN(IF($B56,S54+IF(ISNUMBER(R55),R55,0),S56/$N54),1)</f>
        <v>1</v>
      </c>
      <c r="T55" s="144">
        <f t="shared" ref="T55" ca="1" si="210">MIN(IF($B56,T54+IF(ISNUMBER(S55),S55,0),T56/$N54),1)</f>
        <v>1</v>
      </c>
      <c r="U55" s="144">
        <f t="shared" ref="U55" ca="1" si="211">MIN(IF($B56,U54+IF(ISNUMBER(T55),T55,0),U56/$N54),1)</f>
        <v>1</v>
      </c>
      <c r="V55" s="144">
        <f t="shared" ref="V55" ca="1" si="212">MIN(IF($B56,V54+IF(ISNUMBER(U55),U55,0),V56/$N54),1)</f>
        <v>1</v>
      </c>
      <c r="W55" s="144">
        <f t="shared" ref="W55" ca="1" si="213">MIN(IF($B56,W54+IF(ISNUMBER(V55),V55,0),W56/$N54),1)</f>
        <v>1</v>
      </c>
      <c r="X55" s="164"/>
      <c r="AC55" s="144">
        <f t="shared" ref="AC55" ca="1" si="214">MIN(IF($B56,AC54+IF(ISNUMBER(AB55),AB55,0),AC56/$N54),1)</f>
        <v>0</v>
      </c>
    </row>
    <row r="56" spans="1:29" customFormat="1" ht="14.25" x14ac:dyDescent="0.2">
      <c r="A56" s="11">
        <f ca="1">OFFSET(A56,-CFF.NumLinha,0)+1</f>
        <v>13</v>
      </c>
      <c r="B56" s="11" t="b">
        <f ca="1">$C56&gt;=OFFSET($C56,CFF.NumLinha,0)</f>
        <v>1</v>
      </c>
      <c r="C56" s="11">
        <f ca="1">INDEX(PO!A$12:A$96,MATCH($A56,PO!$V$12:$V$96,0))</f>
        <v>2</v>
      </c>
      <c r="D56" s="11">
        <f t="shared" ref="D56" ca="1" si="215">IF(ISERROR(J56),I56,SMALL(I56:J56,1))-1</f>
        <v>2</v>
      </c>
      <c r="E56" s="11">
        <f ca="1">IF($C56=1,OFFSET(E56,-CFF.NumLinha,0)+1,OFFSET(E56,-CFF.NumLinha,0))</f>
        <v>2</v>
      </c>
      <c r="F56" s="11">
        <f ca="1">IF($C56=1,0,IF($C56=2,OFFSET(F56,-CFF.NumLinha,0)+1,OFFSET(F56,-CFF.NumLinha,0)))</f>
        <v>1</v>
      </c>
      <c r="G56" s="11">
        <f ca="1">IF(AND($C56&lt;=2,$C56&lt;&gt;0),0,IF($C56=3,OFFSET(G56,-CFF.NumLinha,0)+1,OFFSET(G56,-CFF.NumLinha,0)))</f>
        <v>0</v>
      </c>
      <c r="H56" s="11">
        <f ca="1">IF(AND($C56&lt;=3,$C56&lt;&gt;0),0,IF($C56=4,OFFSET(H56,-CFF.NumLinha,0)+1,OFFSET(H56,-CFF.NumLinha,0)))</f>
        <v>0</v>
      </c>
      <c r="I56" s="11">
        <f t="shared" ref="I56" ca="1" si="216">MATCH(0,OFFSET($D56,1,$C56,ROW($A$60)-ROW($A56)),0)</f>
        <v>4</v>
      </c>
      <c r="J56" s="11">
        <f t="shared" ref="J56" ca="1" si="217">MATCH(OFFSET($D56,0,$C56)+1,OFFSET($D56,1,$C56,ROW($A$60)-ROW($A56)),0)</f>
        <v>3</v>
      </c>
      <c r="K56" s="157">
        <f ca="1">ROUND(INDEX(PO!T$12:T$96,MATCH($A56,PO!$V$12:$V$96,0)),2)+10^-12</f>
        <v>94405.63</v>
      </c>
      <c r="L56" s="334"/>
      <c r="M56" s="336"/>
      <c r="N56" s="347"/>
      <c r="O56" s="172" t="s">
        <v>20</v>
      </c>
      <c r="P56" s="167">
        <f t="shared" ref="P56:W56" ca="1" si="218">IF($B56,ROUND(P55*$N54,2),ROUND(SUMIF(OFFSET($B56,1,0,$D56),TRUE,OFFSET(P56,1,0,$D56))/SUMIF(OFFSET($B56,1,0,$D56),TRUE,OFFSET($K56,1,0,$D56))*$N54,2))</f>
        <v>0</v>
      </c>
      <c r="Q56" s="145">
        <f t="shared" ca="1" si="218"/>
        <v>0</v>
      </c>
      <c r="R56" s="145">
        <f t="shared" ca="1" si="218"/>
        <v>47202.82</v>
      </c>
      <c r="S56" s="145">
        <f t="shared" ca="1" si="218"/>
        <v>94405.63</v>
      </c>
      <c r="T56" s="145">
        <f t="shared" ca="1" si="218"/>
        <v>94405.63</v>
      </c>
      <c r="U56" s="145">
        <f t="shared" ca="1" si="218"/>
        <v>94405.63</v>
      </c>
      <c r="V56" s="145">
        <f t="shared" ca="1" si="218"/>
        <v>94405.63</v>
      </c>
      <c r="W56" s="175">
        <f t="shared" ca="1" si="218"/>
        <v>94405.63</v>
      </c>
      <c r="X56" s="164"/>
      <c r="AC56" s="145">
        <f t="shared" ref="AC56" ca="1" si="219">IF($B56,ROUND(AC55*$N54,2),ROUND(SUMIF(OFFSET($B56,1,0,$D56),TRUE,OFFSET(AC56,1,0,$D56))/SUMIF(OFFSET($B56,1,0,$D56),TRUE,OFFSET($K56,1,0,$D56))*$N54,2))</f>
        <v>0</v>
      </c>
    </row>
    <row r="57" spans="1:29" customFormat="1" ht="14.25" customHeight="1" x14ac:dyDescent="0.2">
      <c r="A57" s="1"/>
      <c r="B57" s="1"/>
      <c r="C57" s="1"/>
      <c r="D57" s="1"/>
      <c r="E57" s="1"/>
      <c r="F57" s="1"/>
      <c r="G57" s="1"/>
      <c r="H57" s="1"/>
      <c r="I57" s="1"/>
      <c r="J57" s="1"/>
      <c r="K57" s="1"/>
      <c r="L57" s="333" t="str">
        <f ca="1">INDEX(PO!K$12:K$96,MATCH($A59,PO!$V$12:$V$96,0))</f>
        <v>2.2.</v>
      </c>
      <c r="M57" s="335" t="str">
        <f ca="1">INDEX(PO!N$12:N$96,MATCH($A59,PO!$V$12:$V$96,0))</f>
        <v>DRENAGEM PLUVIAL</v>
      </c>
      <c r="N57" s="346">
        <f t="shared" ref="N57" ca="1" si="220">IF(ROUND(K59,2)=0,K59,ROUND(K59,2))</f>
        <v>19194.68</v>
      </c>
      <c r="O57" s="188" t="s">
        <v>143</v>
      </c>
      <c r="P57" s="194">
        <v>0.5</v>
      </c>
      <c r="Q57" s="195">
        <v>0.5</v>
      </c>
      <c r="R57" s="195">
        <f t="shared" ref="R57" ca="1" si="221">IF($B59,0,R58-IF(ISNUMBER(Q58),Q58,0))</f>
        <v>0</v>
      </c>
      <c r="S57" s="195">
        <f t="shared" ref="S57" ca="1" si="222">IF($B59,0,S58-IF(ISNUMBER(R58),R58,0))</f>
        <v>0</v>
      </c>
      <c r="T57" s="195">
        <f t="shared" ref="T57" ca="1" si="223">IF($B59,0,T58-IF(ISNUMBER(S58),S58,0))</f>
        <v>0</v>
      </c>
      <c r="U57" s="195">
        <f t="shared" ref="U57" ca="1" si="224">IF($B59,0,U58-IF(ISNUMBER(T58),T58,0))</f>
        <v>0</v>
      </c>
      <c r="V57" s="195">
        <f t="shared" ref="V57" ca="1" si="225">IF($B59,0,V58-IF(ISNUMBER(U58),U58,0))</f>
        <v>0</v>
      </c>
      <c r="W57" s="196">
        <f t="shared" ref="W57" ca="1" si="226">IF($B59,0,W58-IF(ISNUMBER(V58),V58,0))</f>
        <v>0</v>
      </c>
      <c r="X57" s="164"/>
      <c r="AC57" s="189">
        <f t="shared" ref="AC57" ca="1" si="227">IF($B59,0,AC58-IF(ISNUMBER(AB58),AB58,0))</f>
        <v>0</v>
      </c>
    </row>
    <row r="58" spans="1:29" customFormat="1" ht="14.25" x14ac:dyDescent="0.2">
      <c r="A58" s="11"/>
      <c r="B58" s="11"/>
      <c r="C58" s="11"/>
      <c r="D58" s="11"/>
      <c r="E58" s="11"/>
      <c r="F58" s="11"/>
      <c r="G58" s="11"/>
      <c r="H58" s="11"/>
      <c r="I58" s="11"/>
      <c r="J58" s="11"/>
      <c r="K58" s="11"/>
      <c r="L58" s="334"/>
      <c r="M58" s="336"/>
      <c r="N58" s="347"/>
      <c r="O58" s="146" t="s">
        <v>145</v>
      </c>
      <c r="P58" s="166">
        <f t="shared" ref="P58" ca="1" si="228">MIN(IF($B59,P57+IF(ISNUMBER(O58),O58,0),P59/$N57),1)</f>
        <v>0.5</v>
      </c>
      <c r="Q58" s="144">
        <f t="shared" ref="Q58" ca="1" si="229">MIN(IF($B59,Q57+IF(ISNUMBER(P58),P58,0),Q59/$N57),1)</f>
        <v>1</v>
      </c>
      <c r="R58" s="144">
        <f t="shared" ref="R58" ca="1" si="230">MIN(IF($B59,R57+IF(ISNUMBER(Q58),Q58,0),R59/$N57),1)</f>
        <v>1</v>
      </c>
      <c r="S58" s="144">
        <f t="shared" ref="S58" ca="1" si="231">MIN(IF($B59,S57+IF(ISNUMBER(R58),R58,0),S59/$N57),1)</f>
        <v>1</v>
      </c>
      <c r="T58" s="144">
        <f t="shared" ref="T58" ca="1" si="232">MIN(IF($B59,T57+IF(ISNUMBER(S58),S58,0),T59/$N57),1)</f>
        <v>1</v>
      </c>
      <c r="U58" s="144">
        <f t="shared" ref="U58" ca="1" si="233">MIN(IF($B59,U57+IF(ISNUMBER(T58),T58,0),U59/$N57),1)</f>
        <v>1</v>
      </c>
      <c r="V58" s="144">
        <f t="shared" ref="V58" ca="1" si="234">MIN(IF($B59,V57+IF(ISNUMBER(U58),U58,0),V59/$N57),1)</f>
        <v>1</v>
      </c>
      <c r="W58" s="144">
        <f t="shared" ref="W58" ca="1" si="235">MIN(IF($B59,W57+IF(ISNUMBER(V58),V58,0),W59/$N57),1)</f>
        <v>1</v>
      </c>
      <c r="X58" s="164"/>
      <c r="AC58" s="144">
        <f t="shared" ref="AC58" ca="1" si="236">MIN(IF($B59,AC57+IF(ISNUMBER(AB58),AB58,0),AC59/$N57),1)</f>
        <v>0</v>
      </c>
    </row>
    <row r="59" spans="1:29" customFormat="1" ht="14.25" x14ac:dyDescent="0.2">
      <c r="A59" s="11">
        <f ca="1">OFFSET(A59,-CFF.NumLinha,0)+1</f>
        <v>14</v>
      </c>
      <c r="B59" s="11" t="b">
        <f ca="1">$C59&gt;=OFFSET($C59,CFF.NumLinha,0)</f>
        <v>1</v>
      </c>
      <c r="C59" s="11">
        <f ca="1">INDEX(PO!A$12:A$96,MATCH($A59,PO!$V$12:$V$96,0))</f>
        <v>2</v>
      </c>
      <c r="D59" s="11">
        <f t="shared" ref="D59" ca="1" si="237">IF(ISERROR(J59),I59,SMALL(I59:J59,1))-1</f>
        <v>0</v>
      </c>
      <c r="E59" s="11">
        <f ca="1">IF($C59=1,OFFSET(E59,-CFF.NumLinha,0)+1,OFFSET(E59,-CFF.NumLinha,0))</f>
        <v>2</v>
      </c>
      <c r="F59" s="11">
        <f ca="1">IF($C59=1,0,IF($C59=2,OFFSET(F59,-CFF.NumLinha,0)+1,OFFSET(F59,-CFF.NumLinha,0)))</f>
        <v>2</v>
      </c>
      <c r="G59" s="11">
        <f ca="1">IF(AND($C59&lt;=2,$C59&lt;&gt;0),0,IF($C59=3,OFFSET(G59,-CFF.NumLinha,0)+1,OFFSET(G59,-CFF.NumLinha,0)))</f>
        <v>0</v>
      </c>
      <c r="H59" s="11">
        <f ca="1">IF(AND($C59&lt;=3,$C59&lt;&gt;0),0,IF($C59=4,OFFSET(H59,-CFF.NumLinha,0)+1,OFFSET(H59,-CFF.NumLinha,0)))</f>
        <v>0</v>
      </c>
      <c r="I59" s="11">
        <f t="shared" ref="I59" ca="1" si="238">MATCH(0,OFFSET($D59,1,$C59,ROW($A$60)-ROW($A59)),0)</f>
        <v>1</v>
      </c>
      <c r="J59" s="11" t="e">
        <f t="shared" ref="J59" ca="1" si="239">MATCH(OFFSET($D59,0,$C59)+1,OFFSET($D59,1,$C59,ROW($A$60)-ROW($A59)),0)</f>
        <v>#N/A</v>
      </c>
      <c r="K59" s="157">
        <f ca="1">ROUND(INDEX(PO!T$12:T$96,MATCH($A59,PO!$V$12:$V$96,0)),2)+10^-12</f>
        <v>19194.68</v>
      </c>
      <c r="L59" s="334"/>
      <c r="M59" s="336"/>
      <c r="N59" s="347"/>
      <c r="O59" s="172" t="s">
        <v>20</v>
      </c>
      <c r="P59" s="167">
        <f t="shared" ref="P59:W59" ca="1" si="240">IF($B59,ROUND(P58*$N57,2),ROUND(SUMIF(OFFSET($B59,1,0,$D59),TRUE,OFFSET(P59,1,0,$D59))/SUMIF(OFFSET($B59,1,0,$D59),TRUE,OFFSET($K59,1,0,$D59))*$N57,2))</f>
        <v>9597.34</v>
      </c>
      <c r="Q59" s="145">
        <f t="shared" ca="1" si="240"/>
        <v>19194.68</v>
      </c>
      <c r="R59" s="145">
        <f t="shared" ca="1" si="240"/>
        <v>19194.68</v>
      </c>
      <c r="S59" s="145">
        <f t="shared" ca="1" si="240"/>
        <v>19194.68</v>
      </c>
      <c r="T59" s="145">
        <f t="shared" ca="1" si="240"/>
        <v>19194.68</v>
      </c>
      <c r="U59" s="145">
        <f t="shared" ca="1" si="240"/>
        <v>19194.68</v>
      </c>
      <c r="V59" s="145">
        <f t="shared" ca="1" si="240"/>
        <v>19194.68</v>
      </c>
      <c r="W59" s="175">
        <f t="shared" ca="1" si="240"/>
        <v>19194.68</v>
      </c>
      <c r="X59" s="164"/>
      <c r="AC59" s="145">
        <f t="shared" ref="AC59" ca="1" si="241">IF($B59,ROUND(AC58*$N57,2),ROUND(SUMIF(OFFSET($B59,1,0,$D59),TRUE,OFFSET(AC59,1,0,$D59))/SUMIF(OFFSET($B59,1,0,$D59),TRUE,OFFSET($K59,1,0,$D59))*$N57,2))</f>
        <v>0</v>
      </c>
    </row>
    <row r="60" spans="1:29" ht="12.75" customHeight="1" x14ac:dyDescent="0.2">
      <c r="A60"/>
      <c r="B60"/>
      <c r="C60" s="11">
        <v>-1</v>
      </c>
      <c r="D60" s="11"/>
      <c r="E60" s="11">
        <v>0</v>
      </c>
      <c r="F60" s="11">
        <v>0</v>
      </c>
      <c r="G60" s="11">
        <v>0</v>
      </c>
      <c r="H60" s="11">
        <v>0</v>
      </c>
      <c r="I60"/>
      <c r="J60"/>
      <c r="K60"/>
      <c r="L60" s="69"/>
      <c r="M60" s="69"/>
      <c r="N60" s="131"/>
      <c r="O60" s="69"/>
      <c r="P60" s="69"/>
      <c r="Q60" s="131"/>
      <c r="R60" s="69"/>
      <c r="S60" s="69"/>
      <c r="T60" s="69"/>
      <c r="U60" s="69"/>
      <c r="V60" s="69"/>
      <c r="W60" s="69"/>
      <c r="X60" s="158"/>
      <c r="AC60" s="69"/>
    </row>
    <row r="61" spans="1:29" ht="12" customHeight="1" x14ac:dyDescent="0.2">
      <c r="A61"/>
      <c r="B61"/>
      <c r="C61"/>
      <c r="D61"/>
      <c r="E61"/>
      <c r="F61"/>
      <c r="G61"/>
      <c r="H61"/>
      <c r="I61"/>
      <c r="J61"/>
      <c r="K61"/>
      <c r="L61" s="1"/>
      <c r="M61" s="1"/>
      <c r="N61" s="1"/>
      <c r="O61" s="1"/>
      <c r="P61" s="1"/>
      <c r="Q61" s="1"/>
      <c r="R61" s="1"/>
      <c r="S61" s="1"/>
      <c r="T61" s="1"/>
      <c r="U61" s="1"/>
      <c r="V61" s="1"/>
      <c r="W61" s="1"/>
      <c r="X61" s="158"/>
      <c r="AC61" s="1"/>
    </row>
    <row r="62" spans="1:29" x14ac:dyDescent="0.2">
      <c r="A62"/>
      <c r="B62"/>
      <c r="C62"/>
      <c r="D62"/>
      <c r="E62"/>
      <c r="F62"/>
      <c r="G62"/>
      <c r="H62"/>
      <c r="I62"/>
      <c r="J62"/>
      <c r="K62"/>
      <c r="L62" s="352">
        <f>DADOS!I32</f>
        <v>0</v>
      </c>
      <c r="M62" s="352"/>
      <c r="N62" s="352"/>
      <c r="O62" s="1"/>
      <c r="P62" s="159"/>
      <c r="Q62" s="349"/>
      <c r="R62" s="349"/>
      <c r="S62" s="349"/>
      <c r="T62" s="1"/>
      <c r="U62" s="1"/>
      <c r="V62" s="1"/>
      <c r="W62" s="1"/>
      <c r="X62" s="158"/>
      <c r="AC62" s="1"/>
    </row>
    <row r="63" spans="1:29" x14ac:dyDescent="0.2">
      <c r="A63"/>
      <c r="B63"/>
      <c r="C63"/>
      <c r="D63"/>
      <c r="E63"/>
      <c r="F63"/>
      <c r="G63"/>
      <c r="H63"/>
      <c r="I63"/>
      <c r="J63"/>
      <c r="K63"/>
      <c r="L63" s="160" t="s">
        <v>120</v>
      </c>
      <c r="M63" s="351"/>
      <c r="N63" s="351"/>
      <c r="O63" s="1"/>
      <c r="P63" s="159"/>
      <c r="Q63" s="349"/>
      <c r="R63" s="349"/>
      <c r="S63" s="349"/>
      <c r="T63" s="1"/>
      <c r="U63" s="1"/>
      <c r="V63" s="1"/>
      <c r="W63" s="1"/>
      <c r="X63" s="158"/>
      <c r="AC63" s="1"/>
    </row>
    <row r="64" spans="1:29" x14ac:dyDescent="0.2">
      <c r="A64"/>
      <c r="B64"/>
      <c r="C64"/>
      <c r="D64"/>
      <c r="E64"/>
      <c r="F64"/>
      <c r="G64"/>
      <c r="H64"/>
      <c r="I64"/>
      <c r="J64"/>
      <c r="K64"/>
      <c r="L64" s="159"/>
      <c r="M64" s="350"/>
      <c r="N64" s="351"/>
      <c r="O64" s="1"/>
      <c r="P64" s="159"/>
      <c r="Q64" s="349"/>
      <c r="R64" s="349"/>
      <c r="S64" s="349"/>
      <c r="T64" s="1"/>
      <c r="U64" s="1"/>
      <c r="V64" s="1"/>
      <c r="W64" s="1"/>
      <c r="X64" s="158"/>
      <c r="AC64" s="1"/>
    </row>
    <row r="65" spans="1:29" x14ac:dyDescent="0.2">
      <c r="A65"/>
      <c r="B65"/>
      <c r="C65"/>
      <c r="D65"/>
      <c r="E65"/>
      <c r="F65"/>
      <c r="G65"/>
      <c r="H65"/>
      <c r="I65"/>
      <c r="J65"/>
      <c r="K65"/>
      <c r="L65" s="332">
        <f ca="1">PO!K110</f>
        <v>46149</v>
      </c>
      <c r="M65" s="332"/>
      <c r="N65" s="332"/>
      <c r="O65" s="1"/>
      <c r="P65" s="1"/>
      <c r="Q65" s="1"/>
      <c r="R65" s="1"/>
      <c r="S65" s="1"/>
      <c r="T65" s="1"/>
      <c r="U65" s="1"/>
      <c r="V65" s="1"/>
      <c r="W65" s="1"/>
      <c r="X65" s="161"/>
      <c r="AC65" s="1"/>
    </row>
    <row r="66" spans="1:29" x14ac:dyDescent="0.2">
      <c r="A66"/>
      <c r="B66"/>
      <c r="C66"/>
      <c r="D66"/>
      <c r="E66"/>
      <c r="F66"/>
      <c r="G66"/>
      <c r="H66"/>
      <c r="I66"/>
      <c r="J66"/>
      <c r="K66"/>
      <c r="L66" s="162" t="s">
        <v>121</v>
      </c>
      <c r="M66" s="69"/>
      <c r="N66" s="69"/>
      <c r="O66" s="1"/>
      <c r="P66" s="1"/>
      <c r="Q66" s="1"/>
      <c r="R66" s="1"/>
      <c r="S66" s="1"/>
      <c r="T66" s="1"/>
      <c r="U66" s="1"/>
      <c r="V66" s="1"/>
      <c r="W66" s="1"/>
      <c r="X66" s="161"/>
      <c r="AC66" s="1"/>
    </row>
    <row r="67" spans="1:29" x14ac:dyDescent="0.2">
      <c r="A67"/>
      <c r="B67"/>
      <c r="C67"/>
      <c r="D67"/>
      <c r="E67"/>
      <c r="F67"/>
      <c r="G67"/>
      <c r="H67"/>
      <c r="I67"/>
      <c r="J67"/>
      <c r="K67"/>
      <c r="L67" s="1"/>
      <c r="M67" s="1"/>
      <c r="N67" s="1"/>
      <c r="O67" s="1"/>
      <c r="P67" s="1"/>
      <c r="Q67" s="1"/>
      <c r="R67" s="1"/>
      <c r="S67" s="1"/>
      <c r="T67" s="1"/>
      <c r="U67" s="1"/>
      <c r="V67" s="1"/>
      <c r="W67" s="1"/>
      <c r="X67" s="161"/>
      <c r="AC67" s="1"/>
    </row>
    <row r="68" spans="1:29" x14ac:dyDescent="0.2">
      <c r="A68"/>
      <c r="B68"/>
      <c r="C68"/>
      <c r="D68"/>
      <c r="E68"/>
      <c r="F68"/>
      <c r="G68"/>
      <c r="H68"/>
      <c r="I68"/>
      <c r="J68"/>
      <c r="K68"/>
      <c r="L68" s="1"/>
      <c r="M68" s="1"/>
      <c r="N68" s="4"/>
      <c r="O68" s="1"/>
      <c r="P68" s="1"/>
      <c r="Q68" s="1"/>
      <c r="R68" s="1"/>
      <c r="S68" s="1"/>
      <c r="T68" s="1"/>
      <c r="U68" s="1"/>
      <c r="V68" s="1"/>
      <c r="W68" s="1"/>
      <c r="X68" s="158"/>
      <c r="AC68" s="1"/>
    </row>
    <row r="69" spans="1:29" x14ac:dyDescent="0.2">
      <c r="A69"/>
      <c r="B69"/>
      <c r="C69"/>
      <c r="D69"/>
      <c r="E69"/>
      <c r="F69"/>
      <c r="G69"/>
      <c r="H69"/>
      <c r="I69"/>
      <c r="J69"/>
      <c r="K69"/>
      <c r="L69" s="1"/>
      <c r="M69" s="1"/>
      <c r="N69" s="4"/>
      <c r="O69" s="1"/>
      <c r="P69" s="1"/>
      <c r="Q69" s="1"/>
      <c r="R69" s="1"/>
      <c r="S69" s="1"/>
      <c r="T69" s="1"/>
      <c r="U69" s="1"/>
      <c r="V69" s="1"/>
      <c r="W69" s="1"/>
      <c r="X69" s="158"/>
      <c r="AC69" s="1"/>
    </row>
    <row r="70" spans="1:29" x14ac:dyDescent="0.2">
      <c r="A70"/>
      <c r="B70"/>
      <c r="C70"/>
      <c r="D70"/>
      <c r="E70"/>
      <c r="F70"/>
      <c r="G70"/>
      <c r="H70"/>
      <c r="I70"/>
      <c r="J70"/>
      <c r="K70"/>
      <c r="L70" s="1"/>
      <c r="M70" s="1"/>
      <c r="N70" s="4"/>
      <c r="O70" s="1"/>
      <c r="P70" s="1"/>
      <c r="Q70" s="1"/>
      <c r="R70" s="1"/>
      <c r="S70" s="1"/>
      <c r="T70" s="1"/>
      <c r="U70" s="1"/>
      <c r="V70" s="1"/>
      <c r="W70" s="1"/>
      <c r="X70" s="158"/>
      <c r="AC70" s="1"/>
    </row>
  </sheetData>
  <sheetProtection algorithmName="SHA-512" hashValue="EmQBqFVnk6fZBLN4pSkl3lc9og+/8aMShY/BxwR0PoMKLXAU9uCh+MqshBEORN6FVOTe9PdeFt4QAQYM23pNDg==" saltValue="7FidiflHFuNDo4SBOqLRRw==" spinCount="100000" sheet="1" objects="1" scenarios="1"/>
  <mergeCells count="55">
    <mergeCell ref="L54:L56"/>
    <mergeCell ref="M54:M56"/>
    <mergeCell ref="N54:N56"/>
    <mergeCell ref="L57:L59"/>
    <mergeCell ref="M57:M59"/>
    <mergeCell ref="N57:N59"/>
    <mergeCell ref="L48:L50"/>
    <mergeCell ref="M48:M50"/>
    <mergeCell ref="N48:N50"/>
    <mergeCell ref="L51:L53"/>
    <mergeCell ref="M51:M53"/>
    <mergeCell ref="N51:N53"/>
    <mergeCell ref="L42:L44"/>
    <mergeCell ref="M42:M44"/>
    <mergeCell ref="N42:N44"/>
    <mergeCell ref="L45:L47"/>
    <mergeCell ref="M45:M47"/>
    <mergeCell ref="N45:N47"/>
    <mergeCell ref="M36:M38"/>
    <mergeCell ref="N36:N38"/>
    <mergeCell ref="L39:L41"/>
    <mergeCell ref="M39:M41"/>
    <mergeCell ref="N39:N41"/>
    <mergeCell ref="L8:M8"/>
    <mergeCell ref="N11:N13"/>
    <mergeCell ref="M18:M20"/>
    <mergeCell ref="N18:N20"/>
    <mergeCell ref="Q64:S64"/>
    <mergeCell ref="M64:N64"/>
    <mergeCell ref="Q63:S63"/>
    <mergeCell ref="Q62:S62"/>
    <mergeCell ref="L62:N62"/>
    <mergeCell ref="M63:N63"/>
    <mergeCell ref="L21:L23"/>
    <mergeCell ref="M21:M23"/>
    <mergeCell ref="N21:N23"/>
    <mergeCell ref="L24:L26"/>
    <mergeCell ref="M24:M26"/>
    <mergeCell ref="N24:N26"/>
    <mergeCell ref="L65:N65"/>
    <mergeCell ref="L11:L13"/>
    <mergeCell ref="M11:M13"/>
    <mergeCell ref="L14:M17"/>
    <mergeCell ref="N14:N17"/>
    <mergeCell ref="L18:L20"/>
    <mergeCell ref="L27:L29"/>
    <mergeCell ref="M27:M29"/>
    <mergeCell ref="N27:N29"/>
    <mergeCell ref="L30:L32"/>
    <mergeCell ref="M30:M32"/>
    <mergeCell ref="N30:N32"/>
    <mergeCell ref="L33:L35"/>
    <mergeCell ref="M33:M35"/>
    <mergeCell ref="N33:N35"/>
    <mergeCell ref="L36:L38"/>
  </mergeCells>
  <phoneticPr fontId="21" type="noConversion"/>
  <conditionalFormatting sqref="L11:N11 L12:M13 L18:N18">
    <cfRule type="expression" dxfId="82" priority="1035" stopIfTrue="1">
      <formula>$C13=1</formula>
    </cfRule>
  </conditionalFormatting>
  <conditionalFormatting sqref="O11 O18">
    <cfRule type="expression" dxfId="81" priority="1107" stopIfTrue="1">
      <formula>$B13=FALSE</formula>
    </cfRule>
    <cfRule type="expression" dxfId="80" priority="1108" stopIfTrue="1">
      <formula>$C13=1</formula>
    </cfRule>
  </conditionalFormatting>
  <conditionalFormatting sqref="P12:W12">
    <cfRule type="expression" dxfId="79" priority="1097" stopIfTrue="1">
      <formula>AND(ISNUMBER(O13),O13&gt;=$N11)</formula>
    </cfRule>
    <cfRule type="cellIs" dxfId="78" priority="1098" stopIfTrue="1" operator="notBetween">
      <formula>0</formula>
      <formula>1</formula>
    </cfRule>
  </conditionalFormatting>
  <conditionalFormatting sqref="P13:W13">
    <cfRule type="expression" dxfId="77" priority="1099" stopIfTrue="1">
      <formula>AND(ISNUMBER(O13),O13&gt;=$N11)</formula>
    </cfRule>
    <cfRule type="cellIs" dxfId="76" priority="1100" stopIfTrue="1" operator="notBetween">
      <formula>0</formula>
      <formula>$N11</formula>
    </cfRule>
  </conditionalFormatting>
  <conditionalFormatting sqref="P14:W14">
    <cfRule type="expression" dxfId="75" priority="1101" stopIfTrue="1">
      <formula>AND(ISNUMBER(O17),O17&gt;=$N14)</formula>
    </cfRule>
  </conditionalFormatting>
  <conditionalFormatting sqref="P15:W15">
    <cfRule type="expression" dxfId="74" priority="1102" stopIfTrue="1">
      <formula>AND(ISNUMBER(O17),O17&gt;=$N14)</formula>
    </cfRule>
  </conditionalFormatting>
  <conditionalFormatting sqref="P16:W16">
    <cfRule type="expression" dxfId="73" priority="1103" stopIfTrue="1">
      <formula>AND(ISNUMBER(O17),O17&gt;=$N14)</formula>
    </cfRule>
    <cfRule type="cellIs" dxfId="72" priority="1104" stopIfTrue="1" operator="notBetween">
      <formula>0</formula>
      <formula>1</formula>
    </cfRule>
  </conditionalFormatting>
  <conditionalFormatting sqref="P17:W17">
    <cfRule type="expression" dxfId="71" priority="1105" stopIfTrue="1">
      <formula>AND(ISNUMBER(O17),O17&gt;=$N14)</formula>
    </cfRule>
    <cfRule type="cellIs" dxfId="70" priority="1106" stopIfTrue="1" operator="notBetween">
      <formula>0</formula>
      <formula>$N14</formula>
    </cfRule>
  </conditionalFormatting>
  <conditionalFormatting sqref="L8">
    <cfRule type="cellIs" dxfId="69" priority="1092" stopIfTrue="1" operator="notEqual">
      <formula>""</formula>
    </cfRule>
  </conditionalFormatting>
  <conditionalFormatting sqref="N9">
    <cfRule type="expression" dxfId="68" priority="1091" stopIfTrue="1">
      <formula>TipoOrçamento&lt;&gt;"REPROGRAMADOAC"</formula>
    </cfRule>
  </conditionalFormatting>
  <conditionalFormatting sqref="L19:M20">
    <cfRule type="expression" dxfId="67" priority="1926" stopIfTrue="1">
      <formula>#REF!=1</formula>
    </cfRule>
  </conditionalFormatting>
  <conditionalFormatting sqref="P11:W11">
    <cfRule type="expression" dxfId="66" priority="246" stopIfTrue="1">
      <formula>AND(ISNUMBER(O13),O13&gt;=$N11)</formula>
    </cfRule>
    <cfRule type="expression" dxfId="65" priority="247" stopIfTrue="1">
      <formula>$B13=FALSE</formula>
    </cfRule>
    <cfRule type="expression" dxfId="64" priority="248" stopIfTrue="1">
      <formula>$C13=1</formula>
    </cfRule>
  </conditionalFormatting>
  <conditionalFormatting sqref="P19:W19">
    <cfRule type="expression" dxfId="63" priority="197" stopIfTrue="1">
      <formula>AND(ISNUMBER(O20),O20&gt;=$N18)</formula>
    </cfRule>
    <cfRule type="cellIs" dxfId="62" priority="198" stopIfTrue="1" operator="notBetween">
      <formula>0</formula>
      <formula>1</formula>
    </cfRule>
  </conditionalFormatting>
  <conditionalFormatting sqref="P20:W20">
    <cfRule type="expression" dxfId="61" priority="199" stopIfTrue="1">
      <formula>AND(ISNUMBER(O20),O20&gt;=$N18)</formula>
    </cfRule>
    <cfRule type="cellIs" dxfId="60" priority="200" stopIfTrue="1" operator="notBetween">
      <formula>0</formula>
      <formula>$N18</formula>
    </cfRule>
  </conditionalFormatting>
  <conditionalFormatting sqref="O10:W10">
    <cfRule type="expression" dxfId="59" priority="169" stopIfTrue="1">
      <formula>1=1</formula>
    </cfRule>
  </conditionalFormatting>
  <conditionalFormatting sqref="P18:W18">
    <cfRule type="expression" dxfId="58" priority="124" stopIfTrue="1">
      <formula>AND(ISNUMBER(O20),O20&gt;=$N18)</formula>
    </cfRule>
    <cfRule type="expression" dxfId="57" priority="125" stopIfTrue="1">
      <formula>$B20=FALSE</formula>
    </cfRule>
    <cfRule type="expression" dxfId="56" priority="126" stopIfTrue="1">
      <formula>$C20=1</formula>
    </cfRule>
  </conditionalFormatting>
  <conditionalFormatting sqref="AC18">
    <cfRule type="expression" dxfId="55" priority="44" stopIfTrue="1">
      <formula>AND(ISNUMBER(AB20),AB20&gt;=$N18)</formula>
    </cfRule>
    <cfRule type="expression" dxfId="54" priority="45" stopIfTrue="1">
      <formula>$B20=FALSE</formula>
    </cfRule>
    <cfRule type="expression" dxfId="53" priority="46" stopIfTrue="1">
      <formula>$C20=1</formula>
    </cfRule>
  </conditionalFormatting>
  <conditionalFormatting sqref="AC12">
    <cfRule type="expression" dxfId="52" priority="59" stopIfTrue="1">
      <formula>AND(ISNUMBER(AB13),AB13&gt;=$N11)</formula>
    </cfRule>
    <cfRule type="cellIs" dxfId="51" priority="60" stopIfTrue="1" operator="notBetween">
      <formula>0</formula>
      <formula>1</formula>
    </cfRule>
  </conditionalFormatting>
  <conditionalFormatting sqref="AC13">
    <cfRule type="expression" dxfId="50" priority="61" stopIfTrue="1">
      <formula>AND(ISNUMBER(AB13),AB13&gt;=$N11)</formula>
    </cfRule>
    <cfRule type="cellIs" dxfId="49" priority="62" stopIfTrue="1" operator="notBetween">
      <formula>0</formula>
      <formula>$N11</formula>
    </cfRule>
  </conditionalFormatting>
  <conditionalFormatting sqref="AC14">
    <cfRule type="expression" dxfId="48" priority="63" stopIfTrue="1">
      <formula>AND(ISNUMBER(AB17),AB17&gt;=$N14)</formula>
    </cfRule>
  </conditionalFormatting>
  <conditionalFormatting sqref="AC15">
    <cfRule type="expression" dxfId="47" priority="64" stopIfTrue="1">
      <formula>AND(ISNUMBER(AB17),AB17&gt;=$N14)</formula>
    </cfRule>
  </conditionalFormatting>
  <conditionalFormatting sqref="AC16">
    <cfRule type="expression" dxfId="46" priority="65" stopIfTrue="1">
      <formula>AND(ISNUMBER(AB17),AB17&gt;=$N14)</formula>
    </cfRule>
    <cfRule type="cellIs" dxfId="45" priority="66" stopIfTrue="1" operator="notBetween">
      <formula>0</formula>
      <formula>1</formula>
    </cfRule>
  </conditionalFormatting>
  <conditionalFormatting sqref="AC17">
    <cfRule type="expression" dxfId="44" priority="67" stopIfTrue="1">
      <formula>AND(ISNUMBER(AB17),AB17&gt;=$N14)</formula>
    </cfRule>
    <cfRule type="cellIs" dxfId="43" priority="68" stopIfTrue="1" operator="notBetween">
      <formula>0</formula>
      <formula>$N14</formula>
    </cfRule>
  </conditionalFormatting>
  <conditionalFormatting sqref="AC11">
    <cfRule type="expression" dxfId="42" priority="56" stopIfTrue="1">
      <formula>AND(ISNUMBER(AB13),AB13&gt;=$N11)</formula>
    </cfRule>
    <cfRule type="expression" dxfId="41" priority="57" stopIfTrue="1">
      <formula>$B13=FALSE</formula>
    </cfRule>
    <cfRule type="expression" dxfId="40" priority="58" stopIfTrue="1">
      <formula>$C13=1</formula>
    </cfRule>
  </conditionalFormatting>
  <conditionalFormatting sqref="AC19">
    <cfRule type="expression" dxfId="39" priority="52" stopIfTrue="1">
      <formula>AND(ISNUMBER(AB20),AB20&gt;=$N18)</formula>
    </cfRule>
    <cfRule type="cellIs" dxfId="38" priority="53" stopIfTrue="1" operator="notBetween">
      <formula>0</formula>
      <formula>1</formula>
    </cfRule>
  </conditionalFormatting>
  <conditionalFormatting sqref="AC20">
    <cfRule type="expression" dxfId="37" priority="54" stopIfTrue="1">
      <formula>AND(ISNUMBER(AB20),AB20&gt;=$N18)</formula>
    </cfRule>
    <cfRule type="cellIs" dxfId="36" priority="55" stopIfTrue="1" operator="notBetween">
      <formula>0</formula>
      <formula>$N18</formula>
    </cfRule>
  </conditionalFormatting>
  <conditionalFormatting sqref="AC10">
    <cfRule type="expression" dxfId="35" priority="47" stopIfTrue="1">
      <formula>1=1</formula>
    </cfRule>
  </conditionalFormatting>
  <conditionalFormatting sqref="L21:N21 L24:N24 L27:N27 L22:M23 L25:M26">
    <cfRule type="expression" dxfId="34" priority="28" stopIfTrue="1">
      <formula>$C23=1</formula>
    </cfRule>
  </conditionalFormatting>
  <conditionalFormatting sqref="O21 O24 O27">
    <cfRule type="expression" dxfId="33" priority="33" stopIfTrue="1">
      <formula>$B23=FALSE</formula>
    </cfRule>
    <cfRule type="expression" dxfId="32" priority="34" stopIfTrue="1">
      <formula>$C23=1</formula>
    </cfRule>
  </conditionalFormatting>
  <conditionalFormatting sqref="P22:W22 P25:W25 P28:W28">
    <cfRule type="expression" dxfId="31" priority="29" stopIfTrue="1">
      <formula>AND(ISNUMBER(O23),O23&gt;=$N21)</formula>
    </cfRule>
    <cfRule type="cellIs" dxfId="30" priority="30" stopIfTrue="1" operator="notBetween">
      <formula>0</formula>
      <formula>1</formula>
    </cfRule>
  </conditionalFormatting>
  <conditionalFormatting sqref="P23:W23 P26:W26 P29:W29">
    <cfRule type="expression" dxfId="29" priority="31" stopIfTrue="1">
      <formula>AND(ISNUMBER(O23),O23&gt;=$N21)</formula>
    </cfRule>
    <cfRule type="cellIs" dxfId="28" priority="32" stopIfTrue="1" operator="notBetween">
      <formula>0</formula>
      <formula>$N21</formula>
    </cfRule>
  </conditionalFormatting>
  <conditionalFormatting sqref="P21:W21 P24:W24 P27:W27">
    <cfRule type="expression" dxfId="27" priority="25" stopIfTrue="1">
      <formula>AND(ISNUMBER(O23),O23&gt;=$N21)</formula>
    </cfRule>
    <cfRule type="expression" dxfId="26" priority="26" stopIfTrue="1">
      <formula>$B23=FALSE</formula>
    </cfRule>
    <cfRule type="expression" dxfId="25" priority="27" stopIfTrue="1">
      <formula>$C23=1</formula>
    </cfRule>
  </conditionalFormatting>
  <conditionalFormatting sqref="AC22 AC25 AC28">
    <cfRule type="expression" dxfId="24" priority="21" stopIfTrue="1">
      <formula>AND(ISNUMBER(AB23),AB23&gt;=$N21)</formula>
    </cfRule>
    <cfRule type="cellIs" dxfId="23" priority="22" stopIfTrue="1" operator="notBetween">
      <formula>0</formula>
      <formula>1</formula>
    </cfRule>
  </conditionalFormatting>
  <conditionalFormatting sqref="AC23 AC26 AC29">
    <cfRule type="expression" dxfId="22" priority="23" stopIfTrue="1">
      <formula>AND(ISNUMBER(AB23),AB23&gt;=$N21)</formula>
    </cfRule>
    <cfRule type="cellIs" dxfId="21" priority="24" stopIfTrue="1" operator="notBetween">
      <formula>0</formula>
      <formula>$N21</formula>
    </cfRule>
  </conditionalFormatting>
  <conditionalFormatting sqref="AC21 AC24 AC27">
    <cfRule type="expression" dxfId="20" priority="18" stopIfTrue="1">
      <formula>AND(ISNUMBER(AB23),AB23&gt;=$N21)</formula>
    </cfRule>
    <cfRule type="expression" dxfId="19" priority="19" stopIfTrue="1">
      <formula>$B23=FALSE</formula>
    </cfRule>
    <cfRule type="expression" dxfId="18" priority="20" stopIfTrue="1">
      <formula>$C23=1</formula>
    </cfRule>
  </conditionalFormatting>
  <conditionalFormatting sqref="L28:M29">
    <cfRule type="expression" dxfId="17" priority="2320" stopIfTrue="1">
      <formula>#REF!=1</formula>
    </cfRule>
  </conditionalFormatting>
  <conditionalFormatting sqref="L30:N30 L33:N33 L36:N36 L39:N39 L42:N42 L45:N45 L48:N48 L51:N51 L54:N54 L57:N57 L31:M32 L34:M35 L37:M38 L40:M41 L43:M44 L46:M47 L49:M50 L52:M53 L55:M56 L58:M59">
    <cfRule type="expression" dxfId="16" priority="11" stopIfTrue="1">
      <formula>$C32=1</formula>
    </cfRule>
  </conditionalFormatting>
  <conditionalFormatting sqref="O30 O33 O36 O39 O42 O45 O48 O51 O54 O57">
    <cfRule type="expression" dxfId="15" priority="16" stopIfTrue="1">
      <formula>$B32=FALSE</formula>
    </cfRule>
    <cfRule type="expression" dxfId="14" priority="17" stopIfTrue="1">
      <formula>$C32=1</formula>
    </cfRule>
  </conditionalFormatting>
  <conditionalFormatting sqref="P31:W31 P34:W34 P37:W37 P40:W40 P43:W43 P46:W46 P49:W49 P52:W52 P55:W55 P58:W58">
    <cfRule type="expression" dxfId="13" priority="12" stopIfTrue="1">
      <formula>AND(ISNUMBER(O32),O32&gt;=$N30)</formula>
    </cfRule>
    <cfRule type="cellIs" dxfId="12" priority="13" stopIfTrue="1" operator="notBetween">
      <formula>0</formula>
      <formula>1</formula>
    </cfRule>
  </conditionalFormatting>
  <conditionalFormatting sqref="P32:W32 P35:W35 P38:W38 P41:W41 P44:W44 P47:W47 P50:W50 P53:W53 P56:W56 P59:W59">
    <cfRule type="expression" dxfId="11" priority="14" stopIfTrue="1">
      <formula>AND(ISNUMBER(O32),O32&gt;=$N30)</formula>
    </cfRule>
    <cfRule type="cellIs" dxfId="10" priority="15" stopIfTrue="1" operator="notBetween">
      <formula>0</formula>
      <formula>$N30</formula>
    </cfRule>
  </conditionalFormatting>
  <conditionalFormatting sqref="P30:W30 P33:W33 P36:W36 P39:W39 P42:W42 P45:W45 P48:W48 P51:W51 P54:W54 P57:W57">
    <cfRule type="expression" dxfId="9" priority="8" stopIfTrue="1">
      <formula>AND(ISNUMBER(O32),O32&gt;=$N30)</formula>
    </cfRule>
    <cfRule type="expression" dxfId="8" priority="9" stopIfTrue="1">
      <formula>$B32=FALSE</formula>
    </cfRule>
    <cfRule type="expression" dxfId="7" priority="10" stopIfTrue="1">
      <formula>$C32=1</formula>
    </cfRule>
  </conditionalFormatting>
  <conditionalFormatting sqref="AC31 AC34 AC37 AC40 AC43 AC46 AC49 AC52 AC55 AC58">
    <cfRule type="expression" dxfId="6" priority="4" stopIfTrue="1">
      <formula>AND(ISNUMBER(AB32),AB32&gt;=$N30)</formula>
    </cfRule>
    <cfRule type="cellIs" dxfId="5" priority="5" stopIfTrue="1" operator="notBetween">
      <formula>0</formula>
      <formula>1</formula>
    </cfRule>
  </conditionalFormatting>
  <conditionalFormatting sqref="AC32 AC35 AC38 AC41 AC44 AC47 AC50 AC53 AC56 AC59">
    <cfRule type="expression" dxfId="4" priority="6" stopIfTrue="1">
      <formula>AND(ISNUMBER(AB32),AB32&gt;=$N30)</formula>
    </cfRule>
    <cfRule type="cellIs" dxfId="3" priority="7" stopIfTrue="1" operator="notBetween">
      <formula>0</formula>
      <formula>$N30</formula>
    </cfRule>
  </conditionalFormatting>
  <conditionalFormatting sqref="AC30 AC33 AC36 AC39 AC42 AC45 AC48 AC51 AC54 AC57">
    <cfRule type="expression" dxfId="2" priority="1" stopIfTrue="1">
      <formula>AND(ISNUMBER(AB32),AB32&gt;=$N30)</formula>
    </cfRule>
    <cfRule type="expression" dxfId="1" priority="2" stopIfTrue="1">
      <formula>$B32=FALSE</formula>
    </cfRule>
    <cfRule type="expression" dxfId="0" priority="3" stopIfTrue="1">
      <formula>$C32=1</formula>
    </cfRule>
  </conditionalFormatting>
  <dataValidations count="2">
    <dataValidation type="whole" operator="greaterThanOrEqual" allowBlank="1" showInputMessage="1" showErrorMessage="1" errorTitle="Erro de Valor" error="Digite somente números inteiros positivos." promptTitle="Qtde de Medições já realizadas:" prompt="Digite a quantidade de medições já realizadas para o CTEF antes da Reprogramação." sqref="N9" xr:uid="{00000000-0002-0000-0400-000000000000}">
      <formula1>0</formula1>
    </dataValidation>
    <dataValidation type="decimal" allowBlank="1" showInputMessage="1" showErrorMessage="1" errorTitle="Erro de Dados" error="Digite valores maiores ou iguais à 0%. O % acumulado não deve ultrapassar 100%." sqref="P11:W11 P18:W18 AC11 AC18 P21:W21 P24:W24 P27:W27 AC21 AC24 AC27 P30:W30 P33:W33 P36:W36 P39:W39 P42:W42 P45:W45 P48:W48 P51:W51 P54:W54 P57:W57 AC30 AC33 AC36 AC39 AC42 AC45 AC48 AC51 AC54 AC57" xr:uid="{00000000-0002-0000-0400-000001000000}">
      <formula1>0</formula1>
      <formula2>1-SUM($P11:P11)+P11</formula2>
    </dataValidation>
  </dataValidations>
  <printOptions horizontalCentered="1"/>
  <pageMargins left="0.25" right="0.25" top="0.75" bottom="0.75" header="0.3" footer="0.3"/>
  <pageSetup paperSize="9" scale="51" fitToWidth="0" orientation="landscape" r:id="rId1"/>
  <headerFooter alignWithMargins="0">
    <oddHeader>&amp;C&amp;14I</oddHeader>
    <oddFooter>&amp;R&amp;P&amp;L27.476 v008   micro</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59</vt:i4>
      </vt:variant>
    </vt:vector>
  </HeadingPairs>
  <TitlesOfParts>
    <vt:vector size="64" baseType="lpstr">
      <vt:lpstr>DADOS</vt:lpstr>
      <vt:lpstr>BDI (1)</vt:lpstr>
      <vt:lpstr>PO</vt:lpstr>
      <vt:lpstr>PLQ</vt:lpstr>
      <vt:lpstr>CFF</vt:lpstr>
      <vt:lpstr>PLQ!_FiltrarBancodeDados</vt:lpstr>
      <vt:lpstr>PO!_FiltrarBancodeDados</vt:lpstr>
      <vt:lpstr>'BDI (1)'!Area_de_impressao</vt:lpstr>
      <vt:lpstr>CFF!Area_de_impressao</vt:lpstr>
      <vt:lpstr>DADOS!Area_de_impressao</vt:lpstr>
      <vt:lpstr>PLQ!Area_de_impressao</vt:lpstr>
      <vt:lpstr>PO!Area_de_impressao</vt:lpstr>
      <vt:lpstr>CFF.ColunaPadrão</vt:lpstr>
      <vt:lpstr>CFF.Colunas</vt:lpstr>
      <vt:lpstr>CFF.LinhaPadrão</vt:lpstr>
      <vt:lpstr>PO!Código</vt:lpstr>
      <vt:lpstr>Dados.Assinatura1</vt:lpstr>
      <vt:lpstr>Dados.Assinatura2</vt:lpstr>
      <vt:lpstr>Dados.Lista.Acompanhamento</vt:lpstr>
      <vt:lpstr>Dados.Lista.BDI</vt:lpstr>
      <vt:lpstr>Dados.Lista.Localidade</vt:lpstr>
      <vt:lpstr>Dados.Lista.RegimeExecução</vt:lpstr>
      <vt:lpstr>PO!Fonte</vt:lpstr>
      <vt:lpstr>Import.Ação</vt:lpstr>
      <vt:lpstr>Import.Apelido</vt:lpstr>
      <vt:lpstr>Import.CNPJ</vt:lpstr>
      <vt:lpstr>Import.CR</vt:lpstr>
      <vt:lpstr>Import.CTEF</vt:lpstr>
      <vt:lpstr>Import.DadosBDI</vt:lpstr>
      <vt:lpstr>Import.DataAssinaturaCTEF</vt:lpstr>
      <vt:lpstr>Import.DataBase</vt:lpstr>
      <vt:lpstr>Import.DataBaseLicit</vt:lpstr>
      <vt:lpstr>Import.DataInícioObra</vt:lpstr>
      <vt:lpstr>Import.DescLote</vt:lpstr>
      <vt:lpstr>Import.Desoneracao</vt:lpstr>
      <vt:lpstr>Import.DesoneracaoLicit</vt:lpstr>
      <vt:lpstr>Import.Empresa</vt:lpstr>
      <vt:lpstr>Import.Gestor</vt:lpstr>
      <vt:lpstr>Import.Localidade</vt:lpstr>
      <vt:lpstr>Import.LocalSINAPI</vt:lpstr>
      <vt:lpstr>Import.Município</vt:lpstr>
      <vt:lpstr>Import.ObjetoCR</vt:lpstr>
      <vt:lpstr>Import.ObjetoCTEF</vt:lpstr>
      <vt:lpstr>Import.POArred</vt:lpstr>
      <vt:lpstr>Import.Programa</vt:lpstr>
      <vt:lpstr>Import.Proponente</vt:lpstr>
      <vt:lpstr>Import.RegimeExecução</vt:lpstr>
      <vt:lpstr>Import.Vigência</vt:lpstr>
      <vt:lpstr>Linhacabeçalhodados</vt:lpstr>
      <vt:lpstr>LinhaEncargosSociais</vt:lpstr>
      <vt:lpstr>PO!linhaSINAPIxls</vt:lpstr>
      <vt:lpstr>NMaxCrono</vt:lpstr>
      <vt:lpstr>Objeto</vt:lpstr>
      <vt:lpstr>ORÇAMENTO.OpcaoCusto</vt:lpstr>
      <vt:lpstr>PLQ.ColunaPadrão</vt:lpstr>
      <vt:lpstr>PLQ.Colunas</vt:lpstr>
      <vt:lpstr>PLQ.FormulaQuant</vt:lpstr>
      <vt:lpstr>PLQ.LinhaPadrão</vt:lpstr>
      <vt:lpstr>PO.FormulaQuant</vt:lpstr>
      <vt:lpstr>PO.LinhaPadrão</vt:lpstr>
      <vt:lpstr>CFF!Titulos_de_impressao</vt:lpstr>
      <vt:lpstr>PLQ!Titulos_de_impressao</vt:lpstr>
      <vt:lpstr>PO!Titulos_de_impressao</vt:lpstr>
      <vt:lpstr>Versao</vt:lpstr>
    </vt:vector>
  </TitlesOfParts>
  <Company>caixa econômica federal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Deoli</dc:creator>
  <cp:lastModifiedBy>Usuario</cp:lastModifiedBy>
  <cp:lastPrinted>2026-02-25T14:53:31Z</cp:lastPrinted>
  <dcterms:created xsi:type="dcterms:W3CDTF">1998-03-27T18:43:07Z</dcterms:created>
  <dcterms:modified xsi:type="dcterms:W3CDTF">2026-05-07T13:28:42Z</dcterms:modified>
</cp:coreProperties>
</file>