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720" activeTab="2"/>
  </bookViews>
  <sheets>
    <sheet name="Rua Russa" sheetId="2" r:id="rId1"/>
    <sheet name="Calcadao &amp; Passeio" sheetId="3" r:id="rId2"/>
    <sheet name="Cronograma" sheetId="4" r:id="rId3"/>
  </sheets>
  <externalReferences>
    <externalReference r:id="rId4"/>
  </externalReferences>
  <definedNames>
    <definedName name="_xlnm.Database">TEXT(Import.DataBase,"mm-aaaa")</definedName>
    <definedName name="PO.CustoUnitario">ROUND('Calcadao &amp; Passeio'!$O1,15-13*'Calcadao &amp; Passeio'!$V$4)</definedName>
    <definedName name="PO.PrecoUnitario">ROUND('Calcadao &amp; Passeio'!$Q1,15-13*'Calcadao &amp; Passeio'!$V$6)</definedName>
    <definedName name="PO.Quantidade">ROUND('Calcadao &amp; Passeio'!$N1,15-13*'Calcadao &amp; Passeio'!$V$3)</definedName>
    <definedName name="SomaAgrup">SUMIF(OFFSET('Calcadao &amp; Passeio'!#REF!,1,0,'Calcadao &amp; Passeio'!#REF!),"S",OFFSET('Calcadao &amp; Passeio'!A1,1,0,'Calcadao &amp; Passeio'!#REF!))</definedName>
    <definedName name="TipoOrçamento">"BASE"</definedName>
    <definedName name="VTOTAL1">ROUND(PO.Quantidade*PO.PrecoUnitario,15-13*'Calcadao &amp; Passeio'!$V$7)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04" i="4"/>
  <c r="Q104" s="1"/>
  <c r="P75"/>
  <c r="Q75" s="1"/>
  <c r="P70"/>
  <c r="Q70" s="1"/>
  <c r="P65"/>
  <c r="Q65" s="1"/>
  <c r="P58"/>
  <c r="Q58" s="1"/>
  <c r="P36"/>
  <c r="Q36" s="1"/>
  <c r="P32"/>
  <c r="Q32" s="1"/>
  <c r="P26"/>
  <c r="Q26" s="1"/>
  <c r="P20"/>
  <c r="Q20" s="1"/>
  <c r="P10"/>
  <c r="Q10" s="1"/>
  <c r="E120"/>
  <c r="E13"/>
  <c r="E14"/>
  <c r="E15"/>
  <c r="E16"/>
  <c r="E17"/>
  <c r="E18"/>
  <c r="E21"/>
  <c r="E22"/>
  <c r="E23"/>
  <c r="E24"/>
  <c r="E27"/>
  <c r="E28"/>
  <c r="E29"/>
  <c r="E30"/>
  <c r="E33"/>
  <c r="E34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9"/>
  <c r="E60"/>
  <c r="E61"/>
  <c r="E62"/>
  <c r="E63"/>
  <c r="E66"/>
  <c r="E67"/>
  <c r="E68"/>
  <c r="E71"/>
  <c r="E72"/>
  <c r="E73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6"/>
  <c r="E107"/>
  <c r="E108"/>
  <c r="E109"/>
  <c r="E110"/>
  <c r="E111"/>
  <c r="E112"/>
  <c r="E11"/>
  <c r="E12"/>
  <c r="D10"/>
  <c r="D11"/>
  <c r="D12"/>
  <c r="D13"/>
  <c r="D14"/>
  <c r="D15"/>
  <c r="D16"/>
  <c r="D17"/>
  <c r="D18"/>
  <c r="D20"/>
  <c r="D21"/>
  <c r="D22"/>
  <c r="D23"/>
  <c r="D24"/>
  <c r="D26"/>
  <c r="D27"/>
  <c r="D28"/>
  <c r="D29"/>
  <c r="D30"/>
  <c r="D32"/>
  <c r="D33"/>
  <c r="D34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6"/>
  <c r="D58"/>
  <c r="D59"/>
  <c r="D60"/>
  <c r="D61"/>
  <c r="D62"/>
  <c r="D63"/>
  <c r="D65"/>
  <c r="D66"/>
  <c r="D67"/>
  <c r="D68"/>
  <c r="D70"/>
  <c r="D71"/>
  <c r="D72"/>
  <c r="D73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4"/>
  <c r="D105"/>
  <c r="D106"/>
  <c r="D107"/>
  <c r="D108"/>
  <c r="D109"/>
  <c r="D110"/>
  <c r="D111"/>
  <c r="D112"/>
  <c r="D8"/>
  <c r="L15" i="3"/>
  <c r="L20"/>
  <c r="L21"/>
  <c r="L22"/>
  <c r="L23"/>
  <c r="L24"/>
  <c r="L25"/>
  <c r="L28"/>
  <c r="L29"/>
  <c r="L32"/>
  <c r="L33"/>
  <c r="L34"/>
  <c r="L35"/>
  <c r="L36"/>
  <c r="L37"/>
  <c r="L38"/>
  <c r="L39"/>
  <c r="L40"/>
  <c r="L41"/>
  <c r="L42"/>
  <c r="L44"/>
  <c r="L45"/>
  <c r="L46"/>
  <c r="L47"/>
  <c r="L48"/>
  <c r="L51"/>
  <c r="L52"/>
  <c r="L54"/>
  <c r="L55"/>
  <c r="L58"/>
  <c r="L59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3"/>
  <c r="L94"/>
  <c r="L97"/>
  <c r="K15"/>
  <c r="K20"/>
  <c r="K21"/>
  <c r="K22"/>
  <c r="K23"/>
  <c r="K24"/>
  <c r="K25"/>
  <c r="K28"/>
  <c r="K29"/>
  <c r="K32"/>
  <c r="K33"/>
  <c r="K34"/>
  <c r="K35"/>
  <c r="K36"/>
  <c r="K37"/>
  <c r="K38"/>
  <c r="K39"/>
  <c r="K40"/>
  <c r="K41"/>
  <c r="K42"/>
  <c r="K44"/>
  <c r="K45"/>
  <c r="K46"/>
  <c r="K47"/>
  <c r="K48"/>
  <c r="K51"/>
  <c r="K52"/>
  <c r="K54"/>
  <c r="K55"/>
  <c r="K58"/>
  <c r="K59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3"/>
  <c r="K94"/>
  <c r="K97"/>
  <c r="L9"/>
  <c r="L10"/>
  <c r="L13"/>
  <c r="K9"/>
  <c r="K10"/>
  <c r="K13"/>
  <c r="L7"/>
  <c r="K7"/>
  <c r="L4"/>
  <c r="K4"/>
  <c r="E32" i="4" l="1"/>
  <c r="E58"/>
  <c r="E65"/>
  <c r="E70"/>
  <c r="E75"/>
  <c r="E105"/>
  <c r="E104" s="1"/>
  <c r="E10"/>
  <c r="E26"/>
  <c r="E36"/>
  <c r="E20"/>
  <c r="F96" i="3"/>
  <c r="F95"/>
  <c r="F12"/>
  <c r="F11"/>
  <c r="I89"/>
  <c r="J89" s="1"/>
  <c r="I88"/>
  <c r="J88" s="1"/>
  <c r="I87"/>
  <c r="J87" s="1"/>
  <c r="I86"/>
  <c r="J86" s="1"/>
  <c r="I85"/>
  <c r="J85" s="1"/>
  <c r="I84"/>
  <c r="J84" s="1"/>
  <c r="I83"/>
  <c r="J83" s="1"/>
  <c r="I82"/>
  <c r="J82" s="1"/>
  <c r="I81"/>
  <c r="J81" s="1"/>
  <c r="I77"/>
  <c r="J77" s="1"/>
  <c r="I78"/>
  <c r="J78" s="1"/>
  <c r="I79"/>
  <c r="J79" s="1"/>
  <c r="I80"/>
  <c r="J80" s="1"/>
  <c r="I76"/>
  <c r="J76" s="1"/>
  <c r="I75"/>
  <c r="J75" s="1"/>
  <c r="I74"/>
  <c r="J74" s="1"/>
  <c r="I63"/>
  <c r="J63" s="1"/>
  <c r="F60"/>
  <c r="F56"/>
  <c r="F57"/>
  <c r="F53"/>
  <c r="F50"/>
  <c r="F49"/>
  <c r="F31"/>
  <c r="F30"/>
  <c r="F27"/>
  <c r="F26"/>
  <c r="F19"/>
  <c r="F18"/>
  <c r="F17"/>
  <c r="F16"/>
  <c r="F98"/>
  <c r="F14"/>
  <c r="F92"/>
  <c r="F8"/>
  <c r="F35" i="4" l="1"/>
  <c r="G35"/>
  <c r="O35"/>
  <c r="N35"/>
  <c r="L35"/>
  <c r="K35"/>
  <c r="I35"/>
  <c r="H35"/>
  <c r="M35"/>
  <c r="J35"/>
  <c r="J64"/>
  <c r="K64"/>
  <c r="L64"/>
  <c r="F64"/>
  <c r="M64"/>
  <c r="N64"/>
  <c r="O64"/>
  <c r="I64"/>
  <c r="G64"/>
  <c r="H64"/>
  <c r="F69"/>
  <c r="G69"/>
  <c r="H69"/>
  <c r="I69"/>
  <c r="J69"/>
  <c r="K69"/>
  <c r="L69"/>
  <c r="M69"/>
  <c r="N69"/>
  <c r="O69"/>
  <c r="J74"/>
  <c r="K74"/>
  <c r="L74"/>
  <c r="F74"/>
  <c r="N74"/>
  <c r="O74"/>
  <c r="G74"/>
  <c r="H74"/>
  <c r="M74"/>
  <c r="I74"/>
  <c r="J103"/>
  <c r="F103"/>
  <c r="G103"/>
  <c r="H103"/>
  <c r="I103"/>
  <c r="K103"/>
  <c r="L103"/>
  <c r="M103"/>
  <c r="N103"/>
  <c r="O103"/>
  <c r="H113"/>
  <c r="I113"/>
  <c r="J113"/>
  <c r="K113"/>
  <c r="L113"/>
  <c r="M113"/>
  <c r="F113"/>
  <c r="G113"/>
  <c r="O113"/>
  <c r="N113"/>
  <c r="M19"/>
  <c r="O19"/>
  <c r="F19"/>
  <c r="L19"/>
  <c r="I19"/>
  <c r="J19"/>
  <c r="H19"/>
  <c r="G19"/>
  <c r="K19"/>
  <c r="N19"/>
  <c r="I31"/>
  <c r="J31"/>
  <c r="K31"/>
  <c r="L31"/>
  <c r="M31"/>
  <c r="H31"/>
  <c r="O31"/>
  <c r="F31"/>
  <c r="G31"/>
  <c r="N31"/>
  <c r="G55"/>
  <c r="H55"/>
  <c r="M55"/>
  <c r="I55"/>
  <c r="J55"/>
  <c r="F55"/>
  <c r="K55"/>
  <c r="O55"/>
  <c r="N55"/>
  <c r="L55"/>
  <c r="J25"/>
  <c r="K25"/>
  <c r="L25"/>
  <c r="M25"/>
  <c r="N25"/>
  <c r="O25"/>
  <c r="G25"/>
  <c r="F25"/>
  <c r="H25"/>
  <c r="I25"/>
  <c r="E56"/>
  <c r="E8"/>
  <c r="K57" i="3"/>
  <c r="L57"/>
  <c r="K56"/>
  <c r="L56"/>
  <c r="K60"/>
  <c r="L60"/>
  <c r="K8"/>
  <c r="L8"/>
  <c r="L92"/>
  <c r="K92"/>
  <c r="K14"/>
  <c r="L14"/>
  <c r="K98"/>
  <c r="L98"/>
  <c r="K16"/>
  <c r="L16"/>
  <c r="K17"/>
  <c r="L17"/>
  <c r="K18"/>
  <c r="L18"/>
  <c r="L19"/>
  <c r="K19"/>
  <c r="L26"/>
  <c r="K26"/>
  <c r="K27"/>
  <c r="L27"/>
  <c r="L30"/>
  <c r="K30"/>
  <c r="K31"/>
  <c r="L31"/>
  <c r="L11"/>
  <c r="K11"/>
  <c r="K49"/>
  <c r="L49"/>
  <c r="L12"/>
  <c r="K12"/>
  <c r="K50"/>
  <c r="L50"/>
  <c r="L95"/>
  <c r="K95"/>
  <c r="K53"/>
  <c r="L53"/>
  <c r="L96"/>
  <c r="K96"/>
  <c r="G59"/>
  <c r="H57" i="4" l="1"/>
  <c r="H56" s="1"/>
  <c r="N9"/>
  <c r="N8" s="1"/>
  <c r="I57"/>
  <c r="I56" s="1"/>
  <c r="G57"/>
  <c r="G56" s="1"/>
  <c r="J57"/>
  <c r="I9"/>
  <c r="I8" s="1"/>
  <c r="J9"/>
  <c r="J8" s="1"/>
  <c r="K9"/>
  <c r="K8" s="1"/>
  <c r="L9"/>
  <c r="L8" s="1"/>
  <c r="H9"/>
  <c r="H8" s="1"/>
  <c r="M9"/>
  <c r="M8" s="1"/>
  <c r="K57"/>
  <c r="G9"/>
  <c r="G8" s="1"/>
  <c r="M57"/>
  <c r="L57"/>
  <c r="L56" s="1"/>
  <c r="N57"/>
  <c r="O57"/>
  <c r="O9"/>
  <c r="O8" s="1"/>
  <c r="F9"/>
  <c r="F8" s="1"/>
  <c r="F57"/>
  <c r="F56" s="1"/>
  <c r="E119"/>
  <c r="I45" i="3"/>
  <c r="J45" s="1"/>
  <c r="I46"/>
  <c r="J46" s="1"/>
  <c r="I47"/>
  <c r="J47" s="1"/>
  <c r="I48"/>
  <c r="J48" s="1"/>
  <c r="I49"/>
  <c r="J49" s="1"/>
  <c r="I50"/>
  <c r="J50" s="1"/>
  <c r="I51"/>
  <c r="J51" s="1"/>
  <c r="I52"/>
  <c r="J52" s="1"/>
  <c r="I53"/>
  <c r="J53" s="1"/>
  <c r="I54"/>
  <c r="J54" s="1"/>
  <c r="I55"/>
  <c r="J55" s="1"/>
  <c r="I56"/>
  <c r="J56" s="1"/>
  <c r="I57"/>
  <c r="I58"/>
  <c r="J58" s="1"/>
  <c r="I59"/>
  <c r="I60"/>
  <c r="I61"/>
  <c r="J61" s="1"/>
  <c r="I62"/>
  <c r="J62" s="1"/>
  <c r="I64"/>
  <c r="J64" s="1"/>
  <c r="I65"/>
  <c r="J65" s="1"/>
  <c r="I66"/>
  <c r="J66" s="1"/>
  <c r="I67"/>
  <c r="J67" s="1"/>
  <c r="I68"/>
  <c r="J68" s="1"/>
  <c r="I69"/>
  <c r="J69" s="1"/>
  <c r="I70"/>
  <c r="J70" s="1"/>
  <c r="I71"/>
  <c r="J71" s="1"/>
  <c r="I72"/>
  <c r="J72" s="1"/>
  <c r="I73"/>
  <c r="J73" s="1"/>
  <c r="I90"/>
  <c r="J90" s="1"/>
  <c r="I91"/>
  <c r="J91" s="1"/>
  <c r="I92"/>
  <c r="J92" s="1"/>
  <c r="I93"/>
  <c r="J93" s="1"/>
  <c r="I94"/>
  <c r="J94" s="1"/>
  <c r="I95"/>
  <c r="I96"/>
  <c r="I97"/>
  <c r="J97" s="1"/>
  <c r="I98"/>
  <c r="J98" s="1"/>
  <c r="F116" i="4" l="1"/>
  <c r="G116"/>
  <c r="G115" s="1"/>
  <c r="H116"/>
  <c r="H115" s="1"/>
  <c r="L116"/>
  <c r="L115" s="1"/>
  <c r="I116"/>
  <c r="I115" s="1"/>
  <c r="J56"/>
  <c r="J116"/>
  <c r="O56"/>
  <c r="O116"/>
  <c r="O115" s="1"/>
  <c r="K56"/>
  <c r="K116"/>
  <c r="M56"/>
  <c r="M116"/>
  <c r="N56"/>
  <c r="N116"/>
  <c r="P8"/>
  <c r="Q8" s="1"/>
  <c r="I42" i="3"/>
  <c r="J42" s="1"/>
  <c r="I43"/>
  <c r="I44"/>
  <c r="J44" s="1"/>
  <c r="F43"/>
  <c r="I41"/>
  <c r="J41" s="1"/>
  <c r="I30"/>
  <c r="I31"/>
  <c r="I32"/>
  <c r="I33"/>
  <c r="J33" s="1"/>
  <c r="I34"/>
  <c r="J34" s="1"/>
  <c r="I35"/>
  <c r="I36"/>
  <c r="J36" s="1"/>
  <c r="I37"/>
  <c r="J37" s="1"/>
  <c r="I38"/>
  <c r="J38" s="1"/>
  <c r="I39"/>
  <c r="I40"/>
  <c r="J40" s="1"/>
  <c r="I28"/>
  <c r="J28" s="1"/>
  <c r="I29"/>
  <c r="J2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15"/>
  <c r="J15" s="1"/>
  <c r="I16"/>
  <c r="J16" s="1"/>
  <c r="I17"/>
  <c r="J17" s="1"/>
  <c r="I18"/>
  <c r="J18" s="1"/>
  <c r="I19"/>
  <c r="J19" s="1"/>
  <c r="F118" i="4" l="1"/>
  <c r="G118" s="1"/>
  <c r="H118" s="1"/>
  <c r="I118" s="1"/>
  <c r="J118" s="1"/>
  <c r="K118" s="1"/>
  <c r="L118" s="1"/>
  <c r="M118" s="1"/>
  <c r="N118" s="1"/>
  <c r="O118" s="1"/>
  <c r="F115"/>
  <c r="F117" s="1"/>
  <c r="G117" s="1"/>
  <c r="H117" s="1"/>
  <c r="I117" s="1"/>
  <c r="J115"/>
  <c r="K115"/>
  <c r="M115"/>
  <c r="N115"/>
  <c r="K43" i="3"/>
  <c r="L43"/>
  <c r="J31"/>
  <c r="J30"/>
  <c r="J39"/>
  <c r="J43"/>
  <c r="J32"/>
  <c r="J35"/>
  <c r="I8"/>
  <c r="J8" s="1"/>
  <c r="I9"/>
  <c r="J9" s="1"/>
  <c r="I10"/>
  <c r="J10" s="1"/>
  <c r="I11"/>
  <c r="I12"/>
  <c r="I13"/>
  <c r="J13" s="1"/>
  <c r="I14"/>
  <c r="J14" s="1"/>
  <c r="I7"/>
  <c r="J7" s="1"/>
  <c r="J117" i="4" l="1"/>
  <c r="K117" s="1"/>
  <c r="L117" s="1"/>
  <c r="M117" s="1"/>
  <c r="N117" s="1"/>
  <c r="O117" s="1"/>
  <c r="J12" i="3"/>
  <c r="J96"/>
  <c r="J95"/>
  <c r="J11"/>
  <c r="J60" l="1"/>
  <c r="J59"/>
  <c r="J57"/>
  <c r="J99" l="1"/>
  <c r="G3"/>
  <c r="D15" i="2"/>
  <c r="E15" s="1"/>
  <c r="F15" s="1"/>
  <c r="F8"/>
  <c r="F4" l="1"/>
  <c r="E20" l="1"/>
  <c r="F20" s="1"/>
  <c r="G20" s="1"/>
  <c r="H8" l="1"/>
  <c r="D4" l="1"/>
  <c r="G18" l="1"/>
  <c r="F18"/>
  <c r="F14" s="1"/>
  <c r="P56" i="4"/>
  <c r="Q56" s="1"/>
</calcChain>
</file>

<file path=xl/sharedStrings.xml><?xml version="1.0" encoding="utf-8"?>
<sst xmlns="http://schemas.openxmlformats.org/spreadsheetml/2006/main" count="573" uniqueCount="238">
  <si>
    <t>Rua Uruguaiana</t>
  </si>
  <si>
    <t>Comprimento</t>
  </si>
  <si>
    <t>Largura</t>
  </si>
  <si>
    <t>Total</t>
  </si>
  <si>
    <t>Valor R$ (m²)</t>
  </si>
  <si>
    <t>Total R$</t>
  </si>
  <si>
    <t>Lado</t>
  </si>
  <si>
    <t>m³ de concreto</t>
  </si>
  <si>
    <t>1 m³</t>
  </si>
  <si>
    <t>Concreto Usinado</t>
  </si>
  <si>
    <t xml:space="preserve">Área (m²) </t>
  </si>
  <si>
    <t>m³ de pó de brita</t>
  </si>
  <si>
    <t>Pó de brita</t>
  </si>
  <si>
    <t>Ton. de pó de brita</t>
  </si>
  <si>
    <t>Trecho 1 a 8</t>
  </si>
  <si>
    <t>Meio fio com sarjeta</t>
  </si>
  <si>
    <t>Item</t>
  </si>
  <si>
    <t>Fonte</t>
  </si>
  <si>
    <t>Código</t>
  </si>
  <si>
    <t>Descrição</t>
  </si>
  <si>
    <t>Unidade</t>
  </si>
  <si>
    <t>Quantidade</t>
  </si>
  <si>
    <t>BDI
(%)</t>
  </si>
  <si>
    <t>Preço Unitário (R$)</t>
  </si>
  <si>
    <t>Preço Total
(R$)</t>
  </si>
  <si>
    <t>BDI 1</t>
  </si>
  <si>
    <t>SINAPI</t>
  </si>
  <si>
    <t>1.1</t>
  </si>
  <si>
    <t>Calçadão de 5,0 m</t>
  </si>
  <si>
    <t>Repaginação Rua Uruguaiana</t>
  </si>
  <si>
    <t>M²</t>
  </si>
  <si>
    <t>M³</t>
  </si>
  <si>
    <t>2.1</t>
  </si>
  <si>
    <t>FUNDAÇÃO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</si>
  <si>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</si>
  <si>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</si>
  <si>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</si>
  <si>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</si>
  <si>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</si>
  <si>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</si>
  <si>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</si>
  <si>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</si>
  <si>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2.1.1</t>
  </si>
  <si>
    <t>2.1.2</t>
  </si>
  <si>
    <t>Lastro com Material Granular (Pedra britada N° 3) aplicado em pisos ou lajes sobre bloco, espessura de 10 cm)</t>
  </si>
  <si>
    <t>Concreto Ciclópico FCK = 15 MPA, 30% Pedra de mão em volume real, inclusive lançamento</t>
  </si>
  <si>
    <t>Repaginação Passeio Rua Uruguaiana</t>
  </si>
  <si>
    <t>Unid</t>
  </si>
  <si>
    <t>Revestimento de Pilares com Pedra Basalto 270 cm de altura x 4 lados (40 x 10 x 10 cm)</t>
  </si>
  <si>
    <t>KG</t>
  </si>
  <si>
    <t>REVESTIMENTO DE PILARES EM PEDRA BASALTO</t>
  </si>
  <si>
    <t>PILARES (ARMAÇÃO DE AÇO E CONCRETAGEM)</t>
  </si>
  <si>
    <t>Kg</t>
  </si>
  <si>
    <t>Armação de Pilar ou Viga de Estrutura Convencional de Concreto Armado utilizando AÇO CA-50 de 10,0 mm</t>
  </si>
  <si>
    <t>COBERTURA COM TELHA TERMO ACÚSTICA</t>
  </si>
  <si>
    <t>Cobertura em telha termoisolante colonial (0,5 mm e 30 mm de isopor) na cor xx com parafusos, fornecimento e instalação</t>
  </si>
  <si>
    <t>Lambrequins (fornecimento e instalação)</t>
  </si>
  <si>
    <t>Unid.</t>
  </si>
  <si>
    <t>Auxiliar de Eletricista com encargos complementares</t>
  </si>
  <si>
    <t>Eletricista com encargos complementares</t>
  </si>
  <si>
    <t>H</t>
  </si>
  <si>
    <t>Elétrico: Postes de Luz Ornamentais, Pergolados e Artesanatos de Natal</t>
  </si>
  <si>
    <t>1.2</t>
  </si>
  <si>
    <t>1.4</t>
  </si>
  <si>
    <t>1.4.1</t>
  </si>
  <si>
    <t>1.4.2</t>
  </si>
  <si>
    <t>1.5</t>
  </si>
  <si>
    <t>1.5.1</t>
  </si>
  <si>
    <t>1.5.2</t>
  </si>
  <si>
    <t>ARTES, POSTES DE LUZ, BANCOS, VASOS</t>
  </si>
  <si>
    <t>Samovar com 150 cm de altura</t>
  </si>
  <si>
    <t>Menina russa carregando Samovar com 140 cm de altura</t>
  </si>
  <si>
    <t>Ursa mãe com 170 cm de comprimento</t>
  </si>
  <si>
    <t>Urso filhote caminhando com 90 cm de comprimento</t>
  </si>
  <si>
    <t>Urso filhote de pé com 90 cm de altura</t>
  </si>
  <si>
    <t>Urso com bandoneón 180 cm de altura</t>
  </si>
  <si>
    <t xml:space="preserve">Matrioska: 158,0 cm altura x 79,0 cm de base </t>
  </si>
  <si>
    <t xml:space="preserve">Matrioska: 112,0 cm altura x 48,0 cm de base </t>
  </si>
  <si>
    <t>Matrioska: 88,0 cm altura x 36,0 cm de base</t>
  </si>
  <si>
    <t>Matrioska: 63,0 cm altura x 24,0 cm de base</t>
  </si>
  <si>
    <t>Matrioska: 40,0 cm altura x 18,0 cm de base</t>
  </si>
  <si>
    <t>Matrioskas em Silhueta para fotos com 160 cm de altura</t>
  </si>
  <si>
    <t>Camponesa russa com 170 cm de altura</t>
  </si>
  <si>
    <t>Casa da Sibéria 300 cm x 300 cm x 340 cm (C, L, H c/ telhado)</t>
  </si>
  <si>
    <t>Dançarino Russo 170 cm de altura</t>
  </si>
  <si>
    <t>Dançararina Russa 170 cm de altura</t>
  </si>
  <si>
    <t>M</t>
  </si>
  <si>
    <t>Poste Veneza em alumínio fundido, 3,04 m de altura, 108 cm de diâmetro dos braços, 22 cm e base e duas luminárias.</t>
  </si>
  <si>
    <t>Poste Kansas em alumínio fundido, 3,20 m de altura, 84 cm de braço e 28 cm de base</t>
  </si>
  <si>
    <t>M3</t>
  </si>
  <si>
    <t>Passeio de 2,50 m</t>
  </si>
  <si>
    <t>Conjunto de artes</t>
  </si>
  <si>
    <t>Pintura artística de: 1 Samovar, 1 menina carregando samovar, família de 5 matrioskas, casal de dançarinos, camponesa russa. Inclui a criação e/ou adaptação de arte para as esculturas, inclui os materiais: tintas e pincéis, Inclui a aplicação de verniz acrílico após a finalização das pinturas, para garantir maior durabilidade.</t>
  </si>
  <si>
    <t xml:space="preserve">Flâmula da Rússia com dimensões de 80 cm x 30 cm, em tecido poliéster, com impressão em ambos os lados, ponta triangular e franja dourada na parte inferior </t>
  </si>
  <si>
    <t>FORNECIMENTO E INSTALAÇÃO DE PLACA DE OBRA COM CHAPA GALVANIZADA E ESTRUTURA DE MADEIRA. AF_03/2022_PS</t>
  </si>
  <si>
    <t>ARGAMASSA TRAÇO 1:3 (EM VOLUME DE CIMENTO E AREIA MÉDIA ÚMIDA) PARA CONTRAPISO, PREPARO MECÂNICO COM BETONEIRA 400 L. AF_08/2019</t>
  </si>
  <si>
    <t>COTAÇÃO</t>
  </si>
  <si>
    <t>PEDRA BASALTO IRREGULAR</t>
  </si>
  <si>
    <t>APLICAÇÃO DE LONA PLÁSTICA PARA EXECUÇÃO DE PAVIMENTOS DE CONCRETO. AF_04/2022</t>
  </si>
  <si>
    <t>FORNECIMENTO E EXECUÇÃO DE PASSEIO COM PEDRA DOLOMITA Nº2 BRANCA</t>
  </si>
  <si>
    <t>FORNECIMENTO E EXECUÇÃO DE PASSEIO COM PEDRA DOLOMITA Nº3 BRANCA</t>
  </si>
  <si>
    <t>COMPOSIÇÃO</t>
  </si>
  <si>
    <t>FORNECIMENTO E INSTALAÇÃO DE PISO TÁTIL DIRECIONAL E DE ALERTA EM CONCRETO (20 x 20 x 6 cm)</t>
  </si>
  <si>
    <t>EXECUÇÃO DAS RAMPAS DE ACESSIBILIDADE COM CONCRETO FCK=25 MPA TRAÇO   1:2, 2;2, 2, (EM MASSA SECA DE CIMENTO/ AREIA MÉDIA/ SEIXO ROLADO) PREPARO MECÂNICO COM BETONEIRA</t>
  </si>
  <si>
    <t>VIGAS DE CONTENÇÃO</t>
  </si>
  <si>
    <t xml:space="preserve">Concretagem de bloco de coroamento ou Viga baldrame, FCK 30 MPA, COM USO DE JERICA - LANÇAMENTO, ADENSAMENTO E ACABAMENTO. AF_01/2024 </t>
  </si>
  <si>
    <t>LASTRO COM MATERIAL GRANULAR (PEDRA BRITADA N.3), APLICADO EM PISOS OU LAJES SOBRE SOLO, ESPESSURA DE *10 CM*. AF_01/2024</t>
  </si>
  <si>
    <t>ESCAVAÇÃO MANUAL PARA BLOCO DE COROAMENTO OU SAPATA (INCLUINDO ESCAVAÇÃO PARA COLOCAÇÃO DE FÔRMAS). AF_01/2024</t>
  </si>
  <si>
    <t xml:space="preserve">Armação de Pilar ou Viga de Estrutura Convencional de concreto armado utilizando AÇO CA-50 DE 6,3 MM - MONTAGEM. AF_06/2022 </t>
  </si>
  <si>
    <t xml:space="preserve">Escavação manual para bloco de coroamento ou sapata (Incluindo escavação para colocação de fôrmas). AF_01/2024 </t>
  </si>
  <si>
    <t xml:space="preserve">ARMAÇÃO DE BLOCO UTILIZANDO AÇO CA-50 DE 10 MM - MONTAGEM. AF_01/2024 </t>
  </si>
  <si>
    <t>CONCRETAGEM DE BLOCO DE COROAMENTO OU VIGA BALDRAME, FCK 30 MPA, COM USO DE JERICA - LANÇAMENTO, ADENSAMENTO E ACABAMENTO. AF_01/2024</t>
  </si>
  <si>
    <t>BASES PARA MASTROS DAS BANDEIRAS</t>
  </si>
  <si>
    <t xml:space="preserve">PINTURA COM TINTA ALQUÍDICA DE ACABAMENTO (ESMALTE SINTÉTICO BRILHANTE) PULVERIZADA SOBRE SUPERFÍCIES METÁLICAS (EXCETO PERFIL) EXECUTADO EM OBRA (02 DEMÃOS). AF_01/2020_PE </t>
  </si>
  <si>
    <t>UNID</t>
  </si>
  <si>
    <t>DIJUNTORES DE 20 AMP</t>
  </si>
  <si>
    <t>SUPORTE PARA DIJUNTOR</t>
  </si>
  <si>
    <t>TUBO PRÉ ZINCADO 32MMX3</t>
  </si>
  <si>
    <t xml:space="preserve">PRESILHA METALICA PARA CINTA PERFURADA </t>
  </si>
  <si>
    <t>CINTA PERFURADA</t>
  </si>
  <si>
    <t>ELETRODUTO CORRUGADO PEAD COM FIO GUIA 40MM</t>
  </si>
  <si>
    <t xml:space="preserve">BASE DE FERRO GIRATÓRIA PARA RELÉ COM FOTOCÉLULA </t>
  </si>
  <si>
    <t>ARANDELAS</t>
  </si>
  <si>
    <t>LAMPADA RETRO ARANDELA 220V BULBO LED VINTAGE FILAMENTO BRANCO QUENTE 4W BASE E27</t>
  </si>
  <si>
    <t>LAMPADAS LED PARA OS POSTES 30W BRANCA QUENTE 3.000K BULBO LED VINTAGE FILAMENTO BRANCO QUENTE 4W BASE E27</t>
  </si>
  <si>
    <t>Conjunto Girassol: 2 Banco Girassol de 120 cm e 1 Mesinha de 70 cm x 43 cm. Madeira ipê, espessura mínima de 2,2 cm, pintados com cetol deck; pés em alumínio fundido, com pintura eletroestática preto brilho.</t>
  </si>
  <si>
    <t>Conjunto Francês: 1 Banco Francês de 150 cm, 2 Poltronas de 65 cm e 1 Mesinha de 70 cm x 43 cm. Madeira ipê, espessura mínima de 2,2 cm, pintados com cetol deck; pés em alumínio fundido, com pintura eletroestática preto brilho.</t>
  </si>
  <si>
    <t>Conjunto Lyon: 2 Banco Lyon de 120 cm e Mesinha de 70 cm x 43 cm. Madeira ipê, espessura mínima de 2,2 cm, pintados com cetol deck; pés em alumínio fundido, com pintura eletroestática preto brilho.</t>
  </si>
  <si>
    <t>MASTRO SIMPLES GALVANIZADO DIAMETRO NOMINAL 2"</t>
  </si>
  <si>
    <t>CONCRETAGEM DE PILARES, FCK = 25 MPA, COM USO DE BOMBA - LANÇAMENTO, ADENSAMENTO E ACABAMENTO. AF_02/2022_PS</t>
  </si>
  <si>
    <t>CURVA PRÉ ZINCADA 180º 32MM</t>
  </si>
  <si>
    <t>ARGAMASSA TRAÇO 1:1:6 (EM VOLUME DE CIMENTO, CAL E AREIA MÉDIA ÚMIDA) PARA EMBOÇO/MASSA ÚNICA/ASSENTAMENTO DE ALVENARIA DE VEDAÇÃO, PREPARO MANUAL. AF_08/2019</t>
  </si>
  <si>
    <t>M2</t>
  </si>
  <si>
    <t>INSTALAÇÃO E FORNECIMENTO DE MADEIRA ITAUBA DE BITOLA DE 15X8 E BITOLA DE 15X6 NOS PERGOLADOS</t>
  </si>
  <si>
    <t>Fornecimento e instalação de Treliça 4.2 mm com ferro 10 mm e aranha com ferro 10 mm</t>
  </si>
  <si>
    <t>Quatro (4): PERGOLADOS (3,0 m x 3,0 m x 2,7 m)</t>
  </si>
  <si>
    <t>BASES DE CONCRETO PARA ARTESANATOS</t>
  </si>
  <si>
    <t>Estrutura de cerne de madeira itaúba para Placa de Inauguração</t>
  </si>
  <si>
    <t>Oratório</t>
  </si>
  <si>
    <t>BDI 2</t>
  </si>
  <si>
    <t>FORNECIMENTO E EXECUÇÃO DE PASSEIO EM PEDRA BASALTO IRREGULAR (7 a 9 CM) COM REJUNTE</t>
  </si>
  <si>
    <t>Bandeira oficial da Russia com 1,20 m x 0,90 m</t>
  </si>
  <si>
    <t>RECURSO</t>
  </si>
  <si>
    <t>CONTRAPARTIDA</t>
  </si>
  <si>
    <t>Caixa de Atendimento FTTH - CTO PARA DIJUNTOR</t>
  </si>
  <si>
    <t>LUVAS 32MM PRÉ ZINCADO</t>
  </si>
  <si>
    <t>CABO PP 3X6,00M 1KV CORFIO OU SUL</t>
  </si>
  <si>
    <t>CABO PP 2X1,500M 1KV CORFIO OU SUL</t>
  </si>
  <si>
    <t>RELÉ ACIONAMENTO MECANICO ILUMATIC OU EXATRON</t>
  </si>
  <si>
    <t>1.2.1</t>
  </si>
  <si>
    <t>2.5.2</t>
  </si>
  <si>
    <t>1.2.2</t>
  </si>
  <si>
    <t>1.2.3</t>
  </si>
  <si>
    <t>1.2.4</t>
  </si>
  <si>
    <t>1.3</t>
  </si>
  <si>
    <t>1.3.1</t>
  </si>
  <si>
    <t>1.3.2</t>
  </si>
  <si>
    <t>1.3.3</t>
  </si>
  <si>
    <t>1.3.4</t>
  </si>
  <si>
    <t>1.5.3</t>
  </si>
  <si>
    <t>1.5.4</t>
  </si>
  <si>
    <t>1.5.5</t>
  </si>
  <si>
    <t>1.5.6</t>
  </si>
  <si>
    <t>1.5.7</t>
  </si>
  <si>
    <t>1.5.8</t>
  </si>
  <si>
    <t>1.5.9</t>
  </si>
  <si>
    <t>1.5.10</t>
  </si>
  <si>
    <t>1.5.11</t>
  </si>
  <si>
    <t>1.5.12</t>
  </si>
  <si>
    <t>1.5.13</t>
  </si>
  <si>
    <t>1.5.14</t>
  </si>
  <si>
    <t>1.5.15</t>
  </si>
  <si>
    <t>1.5.16</t>
  </si>
  <si>
    <t>1.5.17</t>
  </si>
  <si>
    <t>1.5.18</t>
  </si>
  <si>
    <t>2.2</t>
  </si>
  <si>
    <t>2.2.1</t>
  </si>
  <si>
    <t>2.2.2</t>
  </si>
  <si>
    <t>2.3</t>
  </si>
  <si>
    <t>2.3.1</t>
  </si>
  <si>
    <t>2.3.2</t>
  </si>
  <si>
    <t>2.3.3</t>
  </si>
  <si>
    <t>2.4</t>
  </si>
  <si>
    <t>2.4.1</t>
  </si>
  <si>
    <t>2.4.2</t>
  </si>
  <si>
    <t>2.4.3</t>
  </si>
  <si>
    <t>2.5</t>
  </si>
  <si>
    <t>2.5.1</t>
  </si>
  <si>
    <t>2.5.3</t>
  </si>
  <si>
    <t>2.5.4</t>
  </si>
  <si>
    <t>2.5.5</t>
  </si>
  <si>
    <t>2.5.6</t>
  </si>
  <si>
    <t>2.5.7</t>
  </si>
  <si>
    <t>2.5.8</t>
  </si>
  <si>
    <t>2.5.9</t>
  </si>
  <si>
    <t>2.5.10</t>
  </si>
  <si>
    <t>2.5.11</t>
  </si>
  <si>
    <t>2.5.12</t>
  </si>
  <si>
    <t>2.5.13</t>
  </si>
  <si>
    <t>2.5.14</t>
  </si>
  <si>
    <t>2.5.15</t>
  </si>
  <si>
    <t>2.5.16</t>
  </si>
  <si>
    <t>2.5.17</t>
  </si>
  <si>
    <t>2.5.18</t>
  </si>
  <si>
    <t>2.5.19</t>
  </si>
  <si>
    <t>2.5.20</t>
  </si>
  <si>
    <t>2.5.21</t>
  </si>
  <si>
    <t>2.5.22</t>
  </si>
  <si>
    <t>2.5.23</t>
  </si>
  <si>
    <t>2.5.24</t>
  </si>
  <si>
    <t>2.5.25</t>
  </si>
  <si>
    <t>2.5.26</t>
  </si>
  <si>
    <t>2.5.27</t>
  </si>
  <si>
    <t>3.1</t>
  </si>
  <si>
    <t>3.1.1</t>
  </si>
  <si>
    <t>3.1.2</t>
  </si>
  <si>
    <t>3.1.3</t>
  </si>
  <si>
    <t>3.1.4</t>
  </si>
  <si>
    <t>3.1.5</t>
  </si>
  <si>
    <t>3.1.6</t>
  </si>
  <si>
    <t>3.1.7</t>
  </si>
  <si>
    <t>Total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</si>
  <si>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</si>
  <si>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</si>
  <si>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</si>
  <si>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</si>
  <si>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</si>
  <si>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</si>
  <si>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</si>
  <si>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</si>
  <si>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</si>
  <si>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</si>
  <si>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Porcentagem mensal</t>
  </si>
  <si>
    <t>Custo Mensal</t>
  </si>
  <si>
    <t>Porcentagem Acumulada</t>
  </si>
  <si>
    <t>Custo Acumulado</t>
  </si>
  <si>
    <t>Total:</t>
  </si>
  <si>
    <t>Total Acumulado</t>
  </si>
</sst>
</file>

<file path=xl/styles.xml><?xml version="1.0" encoding="utf-8"?>
<styleSheet xmlns="http://schemas.openxmlformats.org/spreadsheetml/2006/main">
  <numFmts count="3">
    <numFmt numFmtId="164" formatCode="_-&quot;R$&quot;\ * #,##0.00_-;\-&quot;R$&quot;\ * #,##0.00_-;_-&quot;R$&quot;\ * &quot;-&quot;??_-;_-@_-"/>
    <numFmt numFmtId="165" formatCode="0.0000%"/>
    <numFmt numFmtId="166" formatCode="0.000000000%"/>
  </numFmts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 Black"/>
      <family val="2"/>
    </font>
    <font>
      <sz val="11"/>
      <color rgb="FFC0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rgb="FF0070C0"/>
      <name val="Arial Narrow"/>
      <family val="2"/>
    </font>
    <font>
      <sz val="12"/>
      <color theme="1"/>
      <name val="Calibri"/>
      <family val="2"/>
      <scheme val="minor"/>
    </font>
    <font>
      <sz val="12"/>
      <color theme="1"/>
      <name val="Arial Black"/>
      <family val="2"/>
    </font>
    <font>
      <b/>
      <sz val="12"/>
      <name val="Arial Narrow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Arial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8"/>
      <name val="Calibri"/>
      <family val="2"/>
    </font>
    <font>
      <sz val="9"/>
      <color rgb="FF0070C0"/>
      <name val="Calibri"/>
      <family val="2"/>
      <scheme val="minor"/>
    </font>
    <font>
      <sz val="9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16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137">
    <xf numFmtId="0" fontId="0" fillId="0" borderId="0" xfId="0"/>
    <xf numFmtId="2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" fontId="2" fillId="0" borderId="0" xfId="0" applyNumberFormat="1" applyFont="1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2" fontId="6" fillId="0" borderId="0" xfId="0" applyNumberFormat="1" applyFont="1"/>
    <xf numFmtId="0" fontId="7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/>
    <xf numFmtId="0" fontId="7" fillId="2" borderId="0" xfId="0" applyFont="1" applyFill="1" applyAlignment="1">
      <alignment horizontal="center"/>
    </xf>
    <xf numFmtId="2" fontId="9" fillId="0" borderId="0" xfId="0" applyNumberFormat="1" applyFont="1"/>
    <xf numFmtId="0" fontId="10" fillId="0" borderId="0" xfId="0" applyFont="1"/>
    <xf numFmtId="0" fontId="2" fillId="0" borderId="0" xfId="0" applyFont="1"/>
    <xf numFmtId="0" fontId="2" fillId="5" borderId="0" xfId="0" applyFont="1" applyFill="1" applyAlignment="1">
      <alignment horizontal="center"/>
    </xf>
    <xf numFmtId="2" fontId="2" fillId="5" borderId="0" xfId="0" applyNumberFormat="1" applyFont="1" applyFill="1" applyAlignment="1">
      <alignment horizontal="center"/>
    </xf>
    <xf numFmtId="2" fontId="10" fillId="0" borderId="0" xfId="0" applyNumberFormat="1" applyFont="1"/>
    <xf numFmtId="0" fontId="2" fillId="6" borderId="0" xfId="0" applyFont="1" applyFill="1" applyAlignment="1">
      <alignment horizontal="center"/>
    </xf>
    <xf numFmtId="0" fontId="11" fillId="7" borderId="0" xfId="0" applyFont="1" applyFill="1"/>
    <xf numFmtId="2" fontId="12" fillId="0" borderId="0" xfId="0" applyNumberFormat="1" applyFont="1"/>
    <xf numFmtId="0" fontId="12" fillId="0" borderId="0" xfId="0" applyFont="1"/>
    <xf numFmtId="2" fontId="13" fillId="3" borderId="0" xfId="0" applyNumberFormat="1" applyFont="1" applyFill="1"/>
    <xf numFmtId="0" fontId="14" fillId="0" borderId="0" xfId="0" applyFont="1"/>
    <xf numFmtId="2" fontId="13" fillId="4" borderId="0" xfId="0" applyNumberFormat="1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4" fontId="19" fillId="0" borderId="1" xfId="0" applyNumberFormat="1" applyFont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164" fontId="19" fillId="8" borderId="1" xfId="0" applyNumberFormat="1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vertical="center"/>
    </xf>
    <xf numFmtId="0" fontId="20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/>
    </xf>
    <xf numFmtId="0" fontId="20" fillId="8" borderId="1" xfId="0" applyFont="1" applyFill="1" applyBorder="1" applyAlignment="1">
      <alignment vertical="center"/>
    </xf>
    <xf numFmtId="0" fontId="19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justify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164" fontId="19" fillId="0" borderId="0" xfId="0" applyNumberFormat="1" applyFont="1" applyAlignment="1">
      <alignment horizontal="center" vertical="center"/>
    </xf>
    <xf numFmtId="1" fontId="19" fillId="0" borderId="1" xfId="0" applyNumberFormat="1" applyFont="1" applyBorder="1" applyAlignment="1">
      <alignment horizontal="center" vertical="center"/>
    </xf>
    <xf numFmtId="0" fontId="18" fillId="8" borderId="1" xfId="0" applyFont="1" applyFill="1" applyBorder="1" applyAlignment="1">
      <alignment horizontal="left" vertical="center"/>
    </xf>
    <xf numFmtId="0" fontId="22" fillId="0" borderId="0" xfId="0" applyFont="1" applyAlignment="1">
      <alignment wrapText="1"/>
    </xf>
    <xf numFmtId="0" fontId="22" fillId="0" borderId="0" xfId="0" applyFont="1" applyAlignment="1">
      <alignment horizontal="left" vertical="center" wrapText="1"/>
    </xf>
    <xf numFmtId="0" fontId="20" fillId="8" borderId="1" xfId="0" applyFont="1" applyFill="1" applyBorder="1" applyAlignment="1">
      <alignment horizontal="left" vertical="center"/>
    </xf>
    <xf numFmtId="0" fontId="0" fillId="8" borderId="0" xfId="0" applyFill="1"/>
    <xf numFmtId="0" fontId="10" fillId="8" borderId="0" xfId="0" applyFont="1" applyFill="1"/>
    <xf numFmtId="0" fontId="21" fillId="8" borderId="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1" fontId="17" fillId="8" borderId="1" xfId="0" applyNumberFormat="1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vertical="center" wrapText="1"/>
    </xf>
    <xf numFmtId="0" fontId="20" fillId="8" borderId="1" xfId="0" applyFont="1" applyFill="1" applyBorder="1" applyAlignment="1">
      <alignment vertical="center" wrapText="1"/>
    </xf>
    <xf numFmtId="0" fontId="16" fillId="9" borderId="1" xfId="0" applyFont="1" applyFill="1" applyBorder="1" applyAlignment="1">
      <alignment horizontal="left" vertical="center" wrapText="1"/>
    </xf>
    <xf numFmtId="0" fontId="16" fillId="9" borderId="1" xfId="0" applyFont="1" applyFill="1" applyBorder="1" applyAlignment="1">
      <alignment horizontal="center" vertical="center" wrapText="1"/>
    </xf>
    <xf numFmtId="164" fontId="16" fillId="9" borderId="1" xfId="0" applyNumberFormat="1" applyFont="1" applyFill="1" applyBorder="1" applyAlignment="1">
      <alignment horizontal="center" vertical="center" wrapText="1"/>
    </xf>
    <xf numFmtId="0" fontId="0" fillId="9" borderId="0" xfId="0" applyFill="1"/>
    <xf numFmtId="0" fontId="17" fillId="9" borderId="1" xfId="0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164" fontId="19" fillId="9" borderId="1" xfId="0" applyNumberFormat="1" applyFont="1" applyFill="1" applyBorder="1" applyAlignment="1">
      <alignment horizontal="center" vertical="center"/>
    </xf>
    <xf numFmtId="9" fontId="19" fillId="9" borderId="1" xfId="0" applyNumberFormat="1" applyFont="1" applyFill="1" applyBorder="1" applyAlignment="1">
      <alignment vertical="center"/>
    </xf>
    <xf numFmtId="0" fontId="20" fillId="9" borderId="1" xfId="0" applyFont="1" applyFill="1" applyBorder="1" applyAlignment="1">
      <alignment horizontal="left" vertical="center"/>
    </xf>
    <xf numFmtId="0" fontId="18" fillId="9" borderId="1" xfId="0" applyFont="1" applyFill="1" applyBorder="1" applyAlignment="1">
      <alignment horizontal="center" vertical="center" wrapText="1"/>
    </xf>
    <xf numFmtId="1" fontId="18" fillId="9" borderId="1" xfId="0" applyNumberFormat="1" applyFont="1" applyFill="1" applyBorder="1" applyAlignment="1">
      <alignment horizontal="center" vertical="center"/>
    </xf>
    <xf numFmtId="0" fontId="18" fillId="9" borderId="1" xfId="0" applyFont="1" applyFill="1" applyBorder="1" applyAlignment="1">
      <alignment vertical="center" wrapText="1"/>
    </xf>
    <xf numFmtId="0" fontId="20" fillId="9" borderId="1" xfId="0" applyFont="1" applyFill="1" applyBorder="1" applyAlignment="1">
      <alignment horizontal="center" vertical="center"/>
    </xf>
    <xf numFmtId="164" fontId="20" fillId="9" borderId="1" xfId="0" applyNumberFormat="1" applyFont="1" applyFill="1" applyBorder="1" applyAlignment="1">
      <alignment horizontal="center" vertical="center"/>
    </xf>
    <xf numFmtId="0" fontId="1" fillId="9" borderId="0" xfId="0" applyFont="1" applyFill="1"/>
    <xf numFmtId="164" fontId="20" fillId="8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10" borderId="0" xfId="0" applyFill="1" applyAlignment="1">
      <alignment horizontal="center"/>
    </xf>
    <xf numFmtId="164" fontId="0" fillId="10" borderId="0" xfId="0" applyNumberFormat="1" applyFill="1" applyAlignment="1">
      <alignment horizontal="center"/>
    </xf>
    <xf numFmtId="166" fontId="0" fillId="10" borderId="0" xfId="0" applyNumberFormat="1" applyFill="1" applyAlignment="1">
      <alignment horizontal="center"/>
    </xf>
    <xf numFmtId="165" fontId="0" fillId="10" borderId="0" xfId="0" applyNumberFormat="1" applyFill="1" applyAlignment="1">
      <alignment horizontal="center"/>
    </xf>
    <xf numFmtId="2" fontId="0" fillId="10" borderId="0" xfId="0" applyNumberFormat="1" applyFill="1" applyAlignment="1">
      <alignment horizontal="center" vertical="center"/>
    </xf>
    <xf numFmtId="0" fontId="25" fillId="0" borderId="0" xfId="0" applyFont="1" applyAlignment="1">
      <alignment horizontal="center"/>
    </xf>
    <xf numFmtId="0" fontId="27" fillId="8" borderId="1" xfId="0" applyFont="1" applyFill="1" applyBorder="1" applyAlignment="1">
      <alignment horizontal="left" vertical="center" wrapText="1" shrinkToFit="1"/>
    </xf>
    <xf numFmtId="0" fontId="1" fillId="0" borderId="0" xfId="0" applyFont="1" applyAlignment="1">
      <alignment horizontal="left" vertical="center"/>
    </xf>
    <xf numFmtId="0" fontId="18" fillId="9" borderId="1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4" fillId="0" borderId="0" xfId="0" applyFont="1" applyAlignment="1">
      <alignment horizontal="center"/>
    </xf>
    <xf numFmtId="164" fontId="14" fillId="0" borderId="0" xfId="1" applyFont="1" applyAlignment="1">
      <alignment horizontal="center"/>
    </xf>
    <xf numFmtId="0" fontId="13" fillId="11" borderId="2" xfId="0" applyFont="1" applyFill="1" applyBorder="1" applyAlignment="1">
      <alignment horizontal="center"/>
    </xf>
    <xf numFmtId="164" fontId="13" fillId="11" borderId="3" xfId="1" applyFont="1" applyFill="1" applyBorder="1" applyAlignment="1">
      <alignment horizontal="center"/>
    </xf>
    <xf numFmtId="9" fontId="14" fillId="11" borderId="3" xfId="2" applyFont="1" applyFill="1" applyBorder="1" applyAlignment="1">
      <alignment horizontal="center"/>
    </xf>
    <xf numFmtId="9" fontId="14" fillId="11" borderId="4" xfId="2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164" fontId="13" fillId="0" borderId="8" xfId="1" applyFont="1" applyFill="1" applyBorder="1" applyAlignment="1">
      <alignment horizontal="center"/>
    </xf>
    <xf numFmtId="164" fontId="14" fillId="0" borderId="8" xfId="0" applyNumberFormat="1" applyFont="1" applyBorder="1" applyAlignment="1">
      <alignment horizontal="center"/>
    </xf>
    <xf numFmtId="164" fontId="14" fillId="0" borderId="9" xfId="0" applyNumberFormat="1" applyFont="1" applyBorder="1" applyAlignment="1">
      <alignment horizontal="center"/>
    </xf>
    <xf numFmtId="0" fontId="13" fillId="12" borderId="5" xfId="0" applyFont="1" applyFill="1" applyBorder="1" applyAlignment="1">
      <alignment horizontal="center"/>
    </xf>
    <xf numFmtId="0" fontId="13" fillId="12" borderId="2" xfId="0" applyFont="1" applyFill="1" applyBorder="1" applyAlignment="1">
      <alignment horizontal="center"/>
    </xf>
    <xf numFmtId="164" fontId="13" fillId="12" borderId="3" xfId="1" applyFont="1" applyFill="1" applyBorder="1" applyAlignment="1">
      <alignment horizontal="center"/>
    </xf>
    <xf numFmtId="9" fontId="14" fillId="12" borderId="3" xfId="2" applyFont="1" applyFill="1" applyBorder="1" applyAlignment="1">
      <alignment horizontal="center"/>
    </xf>
    <xf numFmtId="9" fontId="14" fillId="12" borderId="4" xfId="2" applyFont="1" applyFill="1" applyBorder="1" applyAlignment="1">
      <alignment horizontal="center"/>
    </xf>
    <xf numFmtId="0" fontId="14" fillId="0" borderId="5" xfId="0" applyFont="1" applyBorder="1" applyAlignment="1">
      <alignment horizontal="center"/>
    </xf>
    <xf numFmtId="164" fontId="14" fillId="0" borderId="0" xfId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164" fontId="14" fillId="0" borderId="8" xfId="1" applyFont="1" applyBorder="1" applyAlignment="1">
      <alignment horizontal="center"/>
    </xf>
    <xf numFmtId="0" fontId="13" fillId="11" borderId="5" xfId="0" applyFont="1" applyFill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6" xfId="0" applyNumberFormat="1" applyFont="1" applyBorder="1" applyAlignment="1">
      <alignment horizontal="center"/>
    </xf>
    <xf numFmtId="0" fontId="13" fillId="11" borderId="7" xfId="0" applyFont="1" applyFill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164" fontId="13" fillId="0" borderId="0" xfId="1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164" fontId="13" fillId="0" borderId="1" xfId="1" applyFont="1" applyBorder="1" applyAlignment="1">
      <alignment horizontal="center"/>
    </xf>
    <xf numFmtId="10" fontId="13" fillId="0" borderId="1" xfId="2" applyNumberFormat="1" applyFont="1" applyBorder="1" applyAlignment="1">
      <alignment horizontal="center"/>
    </xf>
    <xf numFmtId="164" fontId="13" fillId="0" borderId="1" xfId="0" applyNumberFormat="1" applyFont="1" applyBorder="1" applyAlignment="1">
      <alignment horizontal="center"/>
    </xf>
    <xf numFmtId="10" fontId="13" fillId="0" borderId="1" xfId="0" applyNumberFormat="1" applyFont="1" applyBorder="1" applyAlignment="1">
      <alignment horizontal="center"/>
    </xf>
    <xf numFmtId="9" fontId="14" fillId="0" borderId="0" xfId="2" applyFont="1" applyAlignment="1">
      <alignment horizontal="center"/>
    </xf>
    <xf numFmtId="9" fontId="14" fillId="0" borderId="13" xfId="2" applyFont="1" applyBorder="1" applyAlignment="1">
      <alignment horizontal="center"/>
    </xf>
    <xf numFmtId="9" fontId="14" fillId="0" borderId="14" xfId="2" applyFont="1" applyBorder="1" applyAlignment="1">
      <alignment horizontal="center"/>
    </xf>
    <xf numFmtId="9" fontId="14" fillId="0" borderId="15" xfId="2" applyFont="1" applyBorder="1" applyAlignment="1">
      <alignment horizontal="center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center"/>
    </xf>
  </cellXfs>
  <cellStyles count="3">
    <cellStyle name="Moeda" xfId="1" builtinId="4"/>
    <cellStyle name="Normal" xfId="0" builtinId="0"/>
    <cellStyle name="Porcentagem" xfId="2" builtinId="5"/>
  </cellStyles>
  <dxfs count="13">
    <dxf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b/>
        <i val="0"/>
      </font>
      <fill>
        <patternFill>
          <bgColor indexed="47"/>
        </patternFill>
      </fill>
    </dxf>
    <dxf>
      <font>
        <b/>
        <i val="0"/>
      </font>
      <fill>
        <patternFill>
          <bgColor indexed="55"/>
        </patternFill>
      </fill>
      <border>
        <top style="thin">
          <color indexed="64"/>
        </top>
      </border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&#225;rio\Downloads\Users\carlo\Desktop\Turismo%20e%20Cultura\Banco%20de%20Projetos\4.%20Repaginacao\REPAGINA&#199;&#195;O%20DAS%20RUAS\PROJETO%20EXECUTIVO\Rua%20Uruguaiana\Execucao%202026\Repaginacao_Rua%20Uruguaian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aginação Uruguaiana"/>
      <sheetName val="Repaginação Santa Vitória"/>
      <sheetName val="Repaginação Santa Ana"/>
    </sheetNames>
    <sheetDataSet>
      <sheetData sheetId="0">
        <row r="16">
          <cell r="H16">
            <v>700</v>
          </cell>
          <cell r="I16">
            <v>691</v>
          </cell>
          <cell r="T16">
            <v>7685.65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42"/>
  <sheetViews>
    <sheetView workbookViewId="0">
      <selection activeCell="F8" sqref="F8"/>
    </sheetView>
  </sheetViews>
  <sheetFormatPr defaultRowHeight="15"/>
  <cols>
    <col min="3" max="3" width="41.28515625" bestFit="1" customWidth="1"/>
    <col min="4" max="4" width="17.7109375" customWidth="1"/>
    <col min="5" max="5" width="12.5703125" customWidth="1"/>
    <col min="6" max="6" width="19.140625" customWidth="1"/>
    <col min="7" max="7" width="20" bestFit="1" customWidth="1"/>
    <col min="8" max="8" width="13" customWidth="1"/>
    <col min="9" max="9" width="15.28515625" customWidth="1"/>
    <col min="10" max="10" width="34.42578125" bestFit="1" customWidth="1"/>
    <col min="12" max="12" width="10.7109375" customWidth="1"/>
    <col min="13" max="13" width="17.42578125" customWidth="1"/>
    <col min="14" max="14" width="19.140625" customWidth="1"/>
  </cols>
  <sheetData>
    <row r="2" spans="2:10" ht="18" customHeight="1">
      <c r="D2" s="3"/>
    </row>
    <row r="3" spans="2:10" ht="18.75" customHeight="1">
      <c r="F3" s="3" t="s">
        <v>14</v>
      </c>
    </row>
    <row r="4" spans="2:10" ht="20.25">
      <c r="C4" s="2">
        <v>2025</v>
      </c>
      <c r="D4" s="23">
        <f>SUM(F8:F9)</f>
        <v>7805.0999999999995</v>
      </c>
      <c r="E4" s="24"/>
      <c r="F4" s="25">
        <f>SUM(F8:F9)</f>
        <v>7805.0999999999995</v>
      </c>
    </row>
    <row r="5" spans="2:10" ht="18.75">
      <c r="C5" s="2"/>
      <c r="D5" s="4"/>
    </row>
    <row r="6" spans="2:10" ht="18.75">
      <c r="C6" s="2"/>
      <c r="D6" s="5" t="s">
        <v>1</v>
      </c>
      <c r="E6" s="5" t="s">
        <v>2</v>
      </c>
      <c r="F6" s="5" t="s">
        <v>3</v>
      </c>
      <c r="G6" s="5" t="s">
        <v>4</v>
      </c>
      <c r="H6" s="5" t="s">
        <v>5</v>
      </c>
    </row>
    <row r="8" spans="2:10" ht="15.75">
      <c r="B8" s="12">
        <v>1</v>
      </c>
      <c r="C8" s="22" t="s">
        <v>0</v>
      </c>
      <c r="D8" s="13"/>
      <c r="E8" s="13"/>
      <c r="F8" s="21">
        <f>'[1]Repaginação Uruguaiana'!$T$16+120-0.55</f>
        <v>7805.0999999999995</v>
      </c>
      <c r="G8" s="21">
        <v>82.99</v>
      </c>
      <c r="H8" s="21">
        <f>F8*+G8</f>
        <v>647745.24899999995</v>
      </c>
      <c r="I8" s="3"/>
      <c r="J8" s="3"/>
    </row>
    <row r="9" spans="2:10">
      <c r="B9" s="5"/>
      <c r="C9" s="7"/>
      <c r="D9" s="8"/>
      <c r="E9" s="8"/>
      <c r="F9" s="8"/>
      <c r="G9" s="8"/>
      <c r="H9" s="8"/>
    </row>
    <row r="10" spans="2:10" ht="15.75">
      <c r="B10" s="14"/>
      <c r="C10" s="3" t="s">
        <v>15</v>
      </c>
      <c r="D10" s="14"/>
      <c r="E10" s="14"/>
      <c r="F10" s="14"/>
      <c r="G10" s="14"/>
      <c r="H10" s="14"/>
    </row>
    <row r="11" spans="2:10" ht="15.75">
      <c r="B11" s="3" t="s">
        <v>8</v>
      </c>
      <c r="C11" s="15">
        <v>16</v>
      </c>
      <c r="D11" s="14"/>
      <c r="E11" s="14"/>
      <c r="F11" s="14"/>
      <c r="G11" s="14"/>
      <c r="H11" s="14"/>
    </row>
    <row r="12" spans="2:10" ht="15.75">
      <c r="B12" s="14"/>
      <c r="C12" s="14"/>
      <c r="D12" s="14"/>
      <c r="E12" s="14"/>
      <c r="F12" s="14"/>
      <c r="G12" s="14"/>
      <c r="H12" s="14"/>
    </row>
    <row r="13" spans="2:10" ht="15.75">
      <c r="B13" s="14"/>
      <c r="C13" s="16" t="s">
        <v>9</v>
      </c>
      <c r="D13" s="3" t="s">
        <v>6</v>
      </c>
      <c r="E13" s="3" t="s">
        <v>3</v>
      </c>
      <c r="F13" s="3" t="s">
        <v>7</v>
      </c>
      <c r="G13" s="14"/>
      <c r="H13" s="14"/>
    </row>
    <row r="14" spans="2:10" ht="15.75">
      <c r="B14" s="14"/>
      <c r="C14" s="14"/>
      <c r="D14" s="14"/>
      <c r="E14" s="14"/>
      <c r="F14" s="17">
        <f>SUM(M21:M29)</f>
        <v>0</v>
      </c>
      <c r="G14" s="14"/>
      <c r="H14" s="14"/>
    </row>
    <row r="15" spans="2:10" ht="15.75">
      <c r="B15" s="9">
        <v>1</v>
      </c>
      <c r="C15" s="10" t="s">
        <v>0</v>
      </c>
      <c r="D15" s="11">
        <f>'[1]Repaginação Uruguaiana'!$H$16+'[1]Repaginação Uruguaiana'!$I$16</f>
        <v>1391</v>
      </c>
      <c r="E15" s="11">
        <f>D15</f>
        <v>1391</v>
      </c>
      <c r="F15" s="11">
        <f>E15/$C$11</f>
        <v>86.9375</v>
      </c>
      <c r="G15" s="14"/>
      <c r="H15" s="14"/>
    </row>
    <row r="16" spans="2:10" ht="15.75">
      <c r="B16" s="3"/>
      <c r="C16" s="14"/>
      <c r="D16" s="18"/>
      <c r="E16" s="18"/>
      <c r="F16" s="18"/>
      <c r="G16" s="14"/>
      <c r="H16" s="14"/>
    </row>
    <row r="17" spans="2:13" ht="19.5">
      <c r="B17" s="14"/>
      <c r="C17" s="19" t="s">
        <v>12</v>
      </c>
      <c r="D17" s="3"/>
      <c r="E17" s="3" t="s">
        <v>10</v>
      </c>
      <c r="F17" s="3" t="s">
        <v>11</v>
      </c>
      <c r="G17" s="3" t="s">
        <v>13</v>
      </c>
      <c r="H17" s="20">
        <v>1.6</v>
      </c>
    </row>
    <row r="18" spans="2:13" ht="15.75">
      <c r="B18" s="14"/>
      <c r="C18" s="3">
        <v>0.12</v>
      </c>
      <c r="D18" s="14"/>
      <c r="E18" s="14"/>
      <c r="F18" s="17">
        <f>SUM(M28:M41)</f>
        <v>0</v>
      </c>
      <c r="G18" s="17">
        <f>SUM(N28:N42)</f>
        <v>0</v>
      </c>
      <c r="H18" s="14"/>
    </row>
    <row r="19" spans="2:13" ht="15.75">
      <c r="B19" s="14"/>
      <c r="C19" s="14"/>
      <c r="D19" s="14"/>
      <c r="E19" s="14"/>
      <c r="F19" s="14"/>
      <c r="G19" s="14"/>
      <c r="H19" s="14"/>
    </row>
    <row r="20" spans="2:13" ht="15.75">
      <c r="B20" s="9">
        <v>1</v>
      </c>
      <c r="C20" s="10" t="s">
        <v>0</v>
      </c>
      <c r="D20" s="11"/>
      <c r="E20" s="11">
        <f>F8</f>
        <v>7805.0999999999995</v>
      </c>
      <c r="F20" s="11">
        <f>E20*$C$18</f>
        <v>936.61199999999985</v>
      </c>
      <c r="G20" s="10">
        <f>F20*$H$17</f>
        <v>1498.5791999999999</v>
      </c>
      <c r="H20" s="14"/>
    </row>
    <row r="22" spans="2:13">
      <c r="F22" s="1"/>
      <c r="G22" s="1"/>
    </row>
    <row r="29" spans="2:13">
      <c r="I29" s="5"/>
      <c r="K29" s="1"/>
      <c r="L29" s="1"/>
      <c r="M29" s="1"/>
    </row>
    <row r="36" spans="9:13">
      <c r="I36" s="5"/>
      <c r="K36" s="1"/>
      <c r="L36" s="1"/>
      <c r="M36" s="1"/>
    </row>
    <row r="37" spans="9:13">
      <c r="I37" s="5"/>
      <c r="K37" s="1"/>
      <c r="L37" s="1"/>
      <c r="M37" s="1"/>
    </row>
    <row r="38" spans="9:13">
      <c r="I38" s="5"/>
      <c r="J38" s="6"/>
      <c r="K38" s="1"/>
      <c r="L38" s="1"/>
      <c r="M38" s="1"/>
    </row>
    <row r="39" spans="9:13">
      <c r="I39" s="5"/>
      <c r="K39" s="1"/>
      <c r="L39" s="1"/>
      <c r="M39" s="1"/>
    </row>
    <row r="40" spans="9:13">
      <c r="I40" s="5"/>
      <c r="L40" s="1"/>
      <c r="M40" s="1"/>
    </row>
    <row r="41" spans="9:13">
      <c r="I41" s="5"/>
      <c r="K41" s="1"/>
      <c r="L41" s="1"/>
      <c r="M41" s="1"/>
    </row>
    <row r="42" spans="9:13">
      <c r="I42" s="5"/>
      <c r="L42" s="1"/>
      <c r="M42" s="1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99"/>
  <sheetViews>
    <sheetView topLeftCell="A13" zoomScale="130" zoomScaleNormal="130" workbookViewId="0">
      <selection activeCell="A15" sqref="A15:XFD15"/>
    </sheetView>
  </sheetViews>
  <sheetFormatPr defaultRowHeight="15"/>
  <cols>
    <col min="1" max="1" width="5.7109375" style="92" customWidth="1"/>
    <col min="2" max="2" width="10.5703125" style="26" customWidth="1"/>
    <col min="3" max="3" width="7.28515625" style="26" customWidth="1"/>
    <col min="4" max="4" width="54" style="27" customWidth="1"/>
    <col min="5" max="5" width="4.85546875" style="26" customWidth="1"/>
    <col min="6" max="6" width="6.140625" style="26" customWidth="1"/>
    <col min="7" max="7" width="11.7109375" style="28" bestFit="1" customWidth="1"/>
    <col min="8" max="8" width="4.85546875" style="27" customWidth="1"/>
    <col min="9" max="9" width="11.5703125" style="28" customWidth="1"/>
    <col min="10" max="10" width="13.5703125" style="28" bestFit="1" customWidth="1"/>
    <col min="11" max="11" width="16" style="84" customWidth="1"/>
    <col min="12" max="12" width="16.85546875" style="84" bestFit="1" customWidth="1"/>
  </cols>
  <sheetData>
    <row r="2" spans="1:12">
      <c r="K2" s="90">
        <v>5270</v>
      </c>
      <c r="L2" s="90">
        <v>5812</v>
      </c>
    </row>
    <row r="3" spans="1:12" s="67" customFormat="1" ht="33.75" customHeight="1">
      <c r="A3" s="64" t="s">
        <v>16</v>
      </c>
      <c r="B3" s="65" t="s">
        <v>17</v>
      </c>
      <c r="C3" s="65" t="s">
        <v>18</v>
      </c>
      <c r="D3" s="65" t="s">
        <v>19</v>
      </c>
      <c r="E3" s="65" t="s">
        <v>20</v>
      </c>
      <c r="F3" s="65" t="s">
        <v>21</v>
      </c>
      <c r="G3" s="66" t="str">
        <f>IF(OR(TipoOrçamento="LICITADO",TipoOrçamento="REPROGRAMADOAC"),"Preço Unitário (R$)","Custo Unitário (R$)")</f>
        <v>Custo Unitário (R$)</v>
      </c>
      <c r="H3" s="65" t="s">
        <v>22</v>
      </c>
      <c r="I3" s="66" t="s">
        <v>23</v>
      </c>
      <c r="J3" s="66" t="s">
        <v>24</v>
      </c>
      <c r="K3" s="85"/>
      <c r="L3" s="86">
        <v>1206958.68</v>
      </c>
    </row>
    <row r="4" spans="1:12" s="67" customFormat="1" ht="18.75" customHeight="1">
      <c r="A4" s="93"/>
      <c r="B4" s="68"/>
      <c r="C4" s="68"/>
      <c r="D4" s="69" t="s">
        <v>29</v>
      </c>
      <c r="E4" s="70"/>
      <c r="F4" s="70"/>
      <c r="G4" s="71"/>
      <c r="H4" s="72">
        <v>0.24</v>
      </c>
      <c r="I4" s="71"/>
      <c r="J4" s="71"/>
      <c r="K4" s="86">
        <f>L3*K5</f>
        <v>395999.99999966682</v>
      </c>
      <c r="L4" s="86">
        <f>L3*L5</f>
        <v>810958.68000033312</v>
      </c>
    </row>
    <row r="5" spans="1:12" s="57" customFormat="1" ht="18.75" customHeight="1">
      <c r="A5" s="91">
        <v>1</v>
      </c>
      <c r="B5" s="31"/>
      <c r="C5" s="31"/>
      <c r="D5" s="32" t="s">
        <v>28</v>
      </c>
      <c r="E5" s="33"/>
      <c r="F5" s="33"/>
      <c r="G5" s="34"/>
      <c r="H5" s="35"/>
      <c r="I5" s="34"/>
      <c r="J5" s="34"/>
      <c r="K5" s="87">
        <v>0.32809739600999999</v>
      </c>
      <c r="L5" s="88">
        <v>0.67190260399000001</v>
      </c>
    </row>
    <row r="6" spans="1:12" s="57" customFormat="1" ht="19.5" customHeight="1">
      <c r="A6" s="91" t="s">
        <v>27</v>
      </c>
      <c r="B6" s="31"/>
      <c r="C6" s="31"/>
      <c r="D6" s="32" t="s">
        <v>46</v>
      </c>
      <c r="E6" s="33"/>
      <c r="F6" s="33"/>
      <c r="G6" s="34"/>
      <c r="H6" s="35"/>
      <c r="I6" s="34"/>
      <c r="J6" s="34"/>
      <c r="K6" s="85" t="s">
        <v>142</v>
      </c>
      <c r="L6" s="85" t="s">
        <v>143</v>
      </c>
    </row>
    <row r="7" spans="1:12" s="27" customFormat="1" ht="27">
      <c r="A7" s="36" t="s">
        <v>34</v>
      </c>
      <c r="B7" s="37" t="s">
        <v>26</v>
      </c>
      <c r="C7" s="38">
        <v>103689</v>
      </c>
      <c r="D7" s="39" t="s">
        <v>94</v>
      </c>
      <c r="E7" s="29" t="s">
        <v>30</v>
      </c>
      <c r="F7" s="81">
        <v>4.5</v>
      </c>
      <c r="G7" s="30">
        <v>462.77</v>
      </c>
      <c r="H7" s="29" t="s">
        <v>25</v>
      </c>
      <c r="I7" s="30">
        <f>(G7*$H$4)+G7</f>
        <v>573.83479999999997</v>
      </c>
      <c r="J7" s="30">
        <f>F7*I7</f>
        <v>2582.2565999999997</v>
      </c>
      <c r="K7" s="89">
        <f>F7*$K$5</f>
        <v>1.4764382820449999</v>
      </c>
      <c r="L7" s="89">
        <f>F7*$L$5</f>
        <v>3.0235617179550003</v>
      </c>
    </row>
    <row r="8" spans="1:12" s="27" customFormat="1" ht="40.5">
      <c r="A8" s="36" t="s">
        <v>35</v>
      </c>
      <c r="B8" s="37" t="s">
        <v>26</v>
      </c>
      <c r="C8" s="38">
        <v>87298</v>
      </c>
      <c r="D8" s="39" t="s">
        <v>95</v>
      </c>
      <c r="E8" s="29" t="s">
        <v>31</v>
      </c>
      <c r="F8" s="81">
        <f>F9*0.06</f>
        <v>105</v>
      </c>
      <c r="G8" s="30">
        <v>774.41</v>
      </c>
      <c r="H8" s="29" t="s">
        <v>25</v>
      </c>
      <c r="I8" s="30">
        <f t="shared" ref="I8:I14" si="0">(G8*$H$4)+G8</f>
        <v>960.26839999999993</v>
      </c>
      <c r="J8" s="30">
        <f t="shared" ref="J8:J14" si="1">F8*I8</f>
        <v>100828.18199999999</v>
      </c>
      <c r="K8" s="89">
        <f t="shared" ref="K8:K70" si="2">F8*$K$5</f>
        <v>34.450226581049996</v>
      </c>
      <c r="L8" s="89">
        <f t="shared" ref="L8:L70" si="3">F8*$L$5</f>
        <v>70.549773418949997</v>
      </c>
    </row>
    <row r="9" spans="1:12" ht="27">
      <c r="A9" s="36" t="s">
        <v>36</v>
      </c>
      <c r="B9" s="37" t="s">
        <v>101</v>
      </c>
      <c r="C9" s="52">
        <v>1</v>
      </c>
      <c r="D9" s="40" t="s">
        <v>140</v>
      </c>
      <c r="E9" s="29" t="s">
        <v>30</v>
      </c>
      <c r="F9" s="81">
        <v>1750</v>
      </c>
      <c r="G9" s="30">
        <v>123</v>
      </c>
      <c r="H9" s="29" t="s">
        <v>25</v>
      </c>
      <c r="I9" s="30">
        <f t="shared" si="0"/>
        <v>152.52000000000001</v>
      </c>
      <c r="J9" s="30">
        <f t="shared" si="1"/>
        <v>266910</v>
      </c>
      <c r="K9" s="89">
        <f t="shared" si="2"/>
        <v>574.17044301750002</v>
      </c>
      <c r="L9" s="89">
        <f t="shared" si="3"/>
        <v>1175.8295569825</v>
      </c>
    </row>
    <row r="10" spans="1:12" ht="27">
      <c r="A10" s="36" t="s">
        <v>37</v>
      </c>
      <c r="B10" s="37" t="s">
        <v>26</v>
      </c>
      <c r="C10" s="38">
        <v>97113</v>
      </c>
      <c r="D10" s="39" t="s">
        <v>98</v>
      </c>
      <c r="E10" s="29" t="s">
        <v>30</v>
      </c>
      <c r="F10" s="81">
        <v>312</v>
      </c>
      <c r="G10" s="30">
        <v>2.77</v>
      </c>
      <c r="H10" s="29" t="s">
        <v>25</v>
      </c>
      <c r="I10" s="30">
        <f t="shared" si="0"/>
        <v>3.4348000000000001</v>
      </c>
      <c r="J10" s="30">
        <f t="shared" si="1"/>
        <v>1071.6576</v>
      </c>
      <c r="K10" s="89">
        <f t="shared" si="2"/>
        <v>102.36638755512</v>
      </c>
      <c r="L10" s="89">
        <f t="shared" si="3"/>
        <v>209.63361244488001</v>
      </c>
    </row>
    <row r="11" spans="1:12" ht="27">
      <c r="A11" s="36" t="s">
        <v>38</v>
      </c>
      <c r="B11" s="37" t="s">
        <v>101</v>
      </c>
      <c r="C11" s="52">
        <v>2</v>
      </c>
      <c r="D11" s="39" t="s">
        <v>100</v>
      </c>
      <c r="E11" s="29" t="s">
        <v>31</v>
      </c>
      <c r="F11" s="29">
        <f>F10*0.025</f>
        <v>7.8000000000000007</v>
      </c>
      <c r="G11" s="30">
        <v>2112.5</v>
      </c>
      <c r="H11" s="29" t="s">
        <v>25</v>
      </c>
      <c r="I11" s="30">
        <f t="shared" si="0"/>
        <v>2619.5</v>
      </c>
      <c r="J11" s="30">
        <f t="shared" si="1"/>
        <v>20432.100000000002</v>
      </c>
      <c r="K11" s="89">
        <f t="shared" si="2"/>
        <v>2.5591596888780002</v>
      </c>
      <c r="L11" s="89">
        <f t="shared" si="3"/>
        <v>5.2408403111220005</v>
      </c>
    </row>
    <row r="12" spans="1:12" ht="27">
      <c r="A12" s="36" t="s">
        <v>39</v>
      </c>
      <c r="B12" s="37" t="s">
        <v>101</v>
      </c>
      <c r="C12" s="38">
        <v>3</v>
      </c>
      <c r="D12" s="39" t="s">
        <v>99</v>
      </c>
      <c r="E12" s="29" t="s">
        <v>31</v>
      </c>
      <c r="F12" s="29">
        <f>F10*0.025</f>
        <v>7.8000000000000007</v>
      </c>
      <c r="G12" s="30">
        <v>2112.5</v>
      </c>
      <c r="H12" s="29" t="s">
        <v>25</v>
      </c>
      <c r="I12" s="30">
        <f t="shared" si="0"/>
        <v>2619.5</v>
      </c>
      <c r="J12" s="30">
        <f t="shared" si="1"/>
        <v>20432.100000000002</v>
      </c>
      <c r="K12" s="89">
        <f t="shared" si="2"/>
        <v>2.5591596888780002</v>
      </c>
      <c r="L12" s="89">
        <f t="shared" si="3"/>
        <v>5.2408403111220005</v>
      </c>
    </row>
    <row r="13" spans="1:12" ht="27">
      <c r="A13" s="36" t="s">
        <v>40</v>
      </c>
      <c r="B13" s="37" t="s">
        <v>101</v>
      </c>
      <c r="C13" s="52">
        <v>4</v>
      </c>
      <c r="D13" s="39" t="s">
        <v>102</v>
      </c>
      <c r="E13" s="29" t="s">
        <v>30</v>
      </c>
      <c r="F13" s="81">
        <v>178</v>
      </c>
      <c r="G13" s="30">
        <v>93</v>
      </c>
      <c r="H13" s="29" t="s">
        <v>25</v>
      </c>
      <c r="I13" s="30">
        <f t="shared" si="0"/>
        <v>115.32</v>
      </c>
      <c r="J13" s="30">
        <f t="shared" si="1"/>
        <v>20526.96</v>
      </c>
      <c r="K13" s="89">
        <f t="shared" si="2"/>
        <v>58.40133648978</v>
      </c>
      <c r="L13" s="89">
        <f t="shared" si="3"/>
        <v>119.59866351022001</v>
      </c>
    </row>
    <row r="14" spans="1:12" ht="40.5">
      <c r="A14" s="36" t="s">
        <v>41</v>
      </c>
      <c r="B14" s="37" t="s">
        <v>101</v>
      </c>
      <c r="C14" s="38">
        <v>5</v>
      </c>
      <c r="D14" s="39" t="s">
        <v>103</v>
      </c>
      <c r="E14" s="29" t="s">
        <v>31</v>
      </c>
      <c r="F14" s="81">
        <f>0.38*4</f>
        <v>1.52</v>
      </c>
      <c r="G14" s="30">
        <v>754.47</v>
      </c>
      <c r="H14" s="29" t="s">
        <v>25</v>
      </c>
      <c r="I14" s="30">
        <f t="shared" si="0"/>
        <v>935.54280000000006</v>
      </c>
      <c r="J14" s="30">
        <f t="shared" si="1"/>
        <v>1422.0250560000002</v>
      </c>
      <c r="K14" s="89">
        <f t="shared" si="2"/>
        <v>0.49870804193519996</v>
      </c>
      <c r="L14" s="89">
        <f t="shared" si="3"/>
        <v>1.0212919580648001</v>
      </c>
    </row>
    <row r="15" spans="1:12" s="79" customFormat="1">
      <c r="A15" s="73" t="s">
        <v>62</v>
      </c>
      <c r="B15" s="74"/>
      <c r="C15" s="75"/>
      <c r="D15" s="76" t="s">
        <v>104</v>
      </c>
      <c r="E15" s="77"/>
      <c r="F15" s="77"/>
      <c r="G15" s="78"/>
      <c r="H15" s="77"/>
      <c r="I15" s="71">
        <f t="shared" ref="I15:I19" si="4">(G15*$H$4)+G15</f>
        <v>0</v>
      </c>
      <c r="J15" s="71">
        <f t="shared" ref="J15:J19" si="5">F15*I15</f>
        <v>0</v>
      </c>
      <c r="K15" s="89">
        <f t="shared" si="2"/>
        <v>0</v>
      </c>
      <c r="L15" s="89">
        <f t="shared" si="3"/>
        <v>0</v>
      </c>
    </row>
    <row r="16" spans="1:12" ht="27">
      <c r="A16" s="36" t="s">
        <v>149</v>
      </c>
      <c r="B16" s="37" t="s">
        <v>26</v>
      </c>
      <c r="C16" s="38">
        <v>92760</v>
      </c>
      <c r="D16" s="39" t="s">
        <v>108</v>
      </c>
      <c r="E16" s="29" t="s">
        <v>49</v>
      </c>
      <c r="F16" s="81">
        <f>43*4</f>
        <v>172</v>
      </c>
      <c r="G16" s="30">
        <v>17.03</v>
      </c>
      <c r="H16" s="29" t="s">
        <v>25</v>
      </c>
      <c r="I16" s="30">
        <f t="shared" si="4"/>
        <v>21.1172</v>
      </c>
      <c r="J16" s="30">
        <f t="shared" si="5"/>
        <v>3632.1584000000003</v>
      </c>
      <c r="K16" s="89">
        <f t="shared" si="2"/>
        <v>56.432752113719999</v>
      </c>
      <c r="L16" s="89">
        <f t="shared" si="3"/>
        <v>115.56724788628</v>
      </c>
    </row>
    <row r="17" spans="1:12" ht="40.5">
      <c r="A17" s="36" t="s">
        <v>151</v>
      </c>
      <c r="B17" s="37" t="s">
        <v>26</v>
      </c>
      <c r="C17" s="38">
        <v>96555</v>
      </c>
      <c r="D17" s="39" t="s">
        <v>105</v>
      </c>
      <c r="E17" s="29" t="s">
        <v>89</v>
      </c>
      <c r="F17" s="81">
        <f>2.5*4</f>
        <v>10</v>
      </c>
      <c r="G17" s="30">
        <v>946.09</v>
      </c>
      <c r="H17" s="29" t="s">
        <v>25</v>
      </c>
      <c r="I17" s="30">
        <f t="shared" si="4"/>
        <v>1173.1516000000001</v>
      </c>
      <c r="J17" s="30">
        <f t="shared" si="5"/>
        <v>11731.516000000001</v>
      </c>
      <c r="K17" s="89">
        <f t="shared" si="2"/>
        <v>3.2809739600999999</v>
      </c>
      <c r="L17" s="89">
        <f t="shared" si="3"/>
        <v>6.7190260399000001</v>
      </c>
    </row>
    <row r="18" spans="1:12" ht="27">
      <c r="A18" s="36" t="s">
        <v>152</v>
      </c>
      <c r="B18" s="37" t="s">
        <v>26</v>
      </c>
      <c r="C18" s="38">
        <v>100322</v>
      </c>
      <c r="D18" s="39" t="s">
        <v>106</v>
      </c>
      <c r="E18" s="29" t="s">
        <v>89</v>
      </c>
      <c r="F18" s="81">
        <f>0.45*4</f>
        <v>1.8</v>
      </c>
      <c r="G18" s="30">
        <v>200.45</v>
      </c>
      <c r="H18" s="29" t="s">
        <v>25</v>
      </c>
      <c r="I18" s="30">
        <f t="shared" si="4"/>
        <v>248.55799999999999</v>
      </c>
      <c r="J18" s="30">
        <f t="shared" si="5"/>
        <v>447.40440000000001</v>
      </c>
      <c r="K18" s="89">
        <f t="shared" si="2"/>
        <v>0.59057531281800002</v>
      </c>
      <c r="L18" s="89">
        <f t="shared" si="3"/>
        <v>1.209424687182</v>
      </c>
    </row>
    <row r="19" spans="1:12" ht="27">
      <c r="A19" s="36" t="s">
        <v>153</v>
      </c>
      <c r="B19" s="37" t="s">
        <v>26</v>
      </c>
      <c r="C19" s="38">
        <v>96527</v>
      </c>
      <c r="D19" s="39" t="s">
        <v>107</v>
      </c>
      <c r="E19" s="29" t="s">
        <v>89</v>
      </c>
      <c r="F19" s="81">
        <f>1.6*4</f>
        <v>6.4</v>
      </c>
      <c r="G19" s="30">
        <v>122.15</v>
      </c>
      <c r="H19" s="29" t="s">
        <v>25</v>
      </c>
      <c r="I19" s="30">
        <f t="shared" si="4"/>
        <v>151.46600000000001</v>
      </c>
      <c r="J19" s="30">
        <f t="shared" si="5"/>
        <v>969.38240000000008</v>
      </c>
      <c r="K19" s="89">
        <f t="shared" si="2"/>
        <v>2.0998233344639998</v>
      </c>
      <c r="L19" s="89">
        <f t="shared" si="3"/>
        <v>4.3001766655360001</v>
      </c>
    </row>
    <row r="20" spans="1:12" s="57" customFormat="1" ht="24" customHeight="1">
      <c r="A20" s="56" t="s">
        <v>154</v>
      </c>
      <c r="B20" s="60"/>
      <c r="C20" s="61"/>
      <c r="D20" s="62" t="s">
        <v>136</v>
      </c>
      <c r="E20" s="33"/>
      <c r="F20" s="33"/>
      <c r="G20" s="34"/>
      <c r="H20" s="33"/>
      <c r="I20" s="34">
        <f t="shared" ref="I20:I27" si="6">(G20*$H$4)+G20</f>
        <v>0</v>
      </c>
      <c r="J20" s="34">
        <f t="shared" ref="J20:J27" si="7">F20*I20</f>
        <v>0</v>
      </c>
      <c r="K20" s="89">
        <f t="shared" si="2"/>
        <v>0</v>
      </c>
      <c r="L20" s="89">
        <f t="shared" si="3"/>
        <v>0</v>
      </c>
    </row>
    <row r="21" spans="1:12" ht="27">
      <c r="A21" s="36" t="s">
        <v>155</v>
      </c>
      <c r="B21" s="37" t="s">
        <v>26</v>
      </c>
      <c r="C21" s="38">
        <v>96527</v>
      </c>
      <c r="D21" s="41" t="s">
        <v>109</v>
      </c>
      <c r="E21" s="29" t="s">
        <v>89</v>
      </c>
      <c r="F21" s="81">
        <v>4.12</v>
      </c>
      <c r="G21" s="30">
        <v>114.94</v>
      </c>
      <c r="H21" s="29" t="s">
        <v>25</v>
      </c>
      <c r="I21" s="30">
        <f t="shared" si="6"/>
        <v>142.5256</v>
      </c>
      <c r="J21" s="30">
        <f t="shared" si="7"/>
        <v>587.20547199999999</v>
      </c>
      <c r="K21" s="89">
        <f t="shared" si="2"/>
        <v>1.3517612715612</v>
      </c>
      <c r="L21" s="89">
        <f t="shared" si="3"/>
        <v>2.7682387284388001</v>
      </c>
    </row>
    <row r="22" spans="1:12" ht="24">
      <c r="A22" s="36" t="s">
        <v>156</v>
      </c>
      <c r="B22" s="37" t="s">
        <v>26</v>
      </c>
      <c r="C22" s="38">
        <v>100322</v>
      </c>
      <c r="D22" s="42" t="s">
        <v>106</v>
      </c>
      <c r="E22" s="29" t="s">
        <v>89</v>
      </c>
      <c r="F22" s="81">
        <v>0.15</v>
      </c>
      <c r="G22" s="30">
        <v>168.38</v>
      </c>
      <c r="H22" s="29" t="s">
        <v>25</v>
      </c>
      <c r="I22" s="30">
        <f t="shared" si="6"/>
        <v>208.7912</v>
      </c>
      <c r="J22" s="30">
        <f t="shared" si="7"/>
        <v>31.318680000000001</v>
      </c>
      <c r="K22" s="89">
        <f t="shared" si="2"/>
        <v>4.9214609401499999E-2</v>
      </c>
      <c r="L22" s="89">
        <f t="shared" si="3"/>
        <v>0.1007853905985</v>
      </c>
    </row>
    <row r="23" spans="1:12" ht="24">
      <c r="A23" s="36" t="s">
        <v>157</v>
      </c>
      <c r="B23" s="37" t="s">
        <v>26</v>
      </c>
      <c r="C23" s="38">
        <v>92760</v>
      </c>
      <c r="D23" s="42" t="s">
        <v>110</v>
      </c>
      <c r="E23" s="29" t="s">
        <v>49</v>
      </c>
      <c r="F23" s="81">
        <v>151.49</v>
      </c>
      <c r="G23" s="30">
        <v>13.26</v>
      </c>
      <c r="H23" s="29" t="s">
        <v>25</v>
      </c>
      <c r="I23" s="30">
        <f t="shared" si="6"/>
        <v>16.442399999999999</v>
      </c>
      <c r="J23" s="30">
        <f t="shared" si="7"/>
        <v>2490.8591759999999</v>
      </c>
      <c r="K23" s="89">
        <f t="shared" si="2"/>
        <v>49.703474521554902</v>
      </c>
      <c r="L23" s="89">
        <f t="shared" si="3"/>
        <v>101.78652547844511</v>
      </c>
    </row>
    <row r="24" spans="1:12" ht="36">
      <c r="A24" s="36" t="s">
        <v>158</v>
      </c>
      <c r="B24" s="37" t="s">
        <v>26</v>
      </c>
      <c r="C24" s="38">
        <v>96555</v>
      </c>
      <c r="D24" s="42" t="s">
        <v>111</v>
      </c>
      <c r="E24" s="29" t="s">
        <v>89</v>
      </c>
      <c r="F24" s="81">
        <v>1.5</v>
      </c>
      <c r="G24" s="30">
        <v>693.47</v>
      </c>
      <c r="H24" s="29" t="s">
        <v>25</v>
      </c>
      <c r="I24" s="30">
        <f t="shared" si="6"/>
        <v>859.90280000000007</v>
      </c>
      <c r="J24" s="30">
        <f t="shared" si="7"/>
        <v>1289.8542000000002</v>
      </c>
      <c r="K24" s="89">
        <f t="shared" si="2"/>
        <v>0.49214609401499998</v>
      </c>
      <c r="L24" s="89">
        <f t="shared" si="3"/>
        <v>1.007853905985</v>
      </c>
    </row>
    <row r="25" spans="1:12" s="57" customFormat="1" ht="24.95" customHeight="1">
      <c r="A25" s="56" t="s">
        <v>63</v>
      </c>
      <c r="B25" s="60"/>
      <c r="C25" s="61"/>
      <c r="D25" s="63" t="s">
        <v>112</v>
      </c>
      <c r="E25" s="33"/>
      <c r="F25" s="33"/>
      <c r="G25" s="34"/>
      <c r="H25" s="33"/>
      <c r="I25" s="34">
        <f t="shared" si="6"/>
        <v>0</v>
      </c>
      <c r="J25" s="34">
        <f t="shared" si="7"/>
        <v>0</v>
      </c>
      <c r="K25" s="89">
        <f t="shared" si="2"/>
        <v>0</v>
      </c>
      <c r="L25" s="89">
        <f t="shared" si="3"/>
        <v>0</v>
      </c>
    </row>
    <row r="26" spans="1:12" ht="36">
      <c r="A26" s="36" t="s">
        <v>64</v>
      </c>
      <c r="B26" s="37" t="s">
        <v>26</v>
      </c>
      <c r="C26" s="38">
        <v>96555</v>
      </c>
      <c r="D26" s="42" t="s">
        <v>111</v>
      </c>
      <c r="E26" s="29" t="s">
        <v>89</v>
      </c>
      <c r="F26" s="81">
        <f>0.14*4</f>
        <v>0.56000000000000005</v>
      </c>
      <c r="G26" s="30">
        <v>793.02</v>
      </c>
      <c r="H26" s="29" t="s">
        <v>25</v>
      </c>
      <c r="I26" s="30">
        <f t="shared" si="6"/>
        <v>983.34479999999996</v>
      </c>
      <c r="J26" s="30">
        <f t="shared" si="7"/>
        <v>550.67308800000001</v>
      </c>
      <c r="K26" s="89">
        <f t="shared" si="2"/>
        <v>0.1837345417656</v>
      </c>
      <c r="L26" s="89">
        <f t="shared" si="3"/>
        <v>0.37626545823440005</v>
      </c>
    </row>
    <row r="27" spans="1:12" ht="36">
      <c r="A27" s="36" t="s">
        <v>65</v>
      </c>
      <c r="B27" s="37" t="s">
        <v>26</v>
      </c>
      <c r="C27" s="38">
        <v>100743</v>
      </c>
      <c r="D27" s="42" t="s">
        <v>113</v>
      </c>
      <c r="E27" s="29" t="s">
        <v>89</v>
      </c>
      <c r="F27" s="81">
        <f>1.9*4</f>
        <v>7.6</v>
      </c>
      <c r="G27" s="30">
        <v>52.21</v>
      </c>
      <c r="H27" s="29" t="s">
        <v>25</v>
      </c>
      <c r="I27" s="30">
        <f t="shared" si="6"/>
        <v>64.740399999999994</v>
      </c>
      <c r="J27" s="30">
        <f t="shared" si="7"/>
        <v>492.02703999999994</v>
      </c>
      <c r="K27" s="89">
        <f t="shared" si="2"/>
        <v>2.493540209676</v>
      </c>
      <c r="L27" s="89">
        <f t="shared" si="3"/>
        <v>5.1064597903240001</v>
      </c>
    </row>
    <row r="28" spans="1:12" s="57" customFormat="1" ht="24.95" customHeight="1">
      <c r="A28" s="91" t="s">
        <v>66</v>
      </c>
      <c r="B28" s="59"/>
      <c r="C28" s="33"/>
      <c r="D28" s="44" t="s">
        <v>61</v>
      </c>
      <c r="E28" s="33"/>
      <c r="F28" s="33"/>
      <c r="G28" s="34"/>
      <c r="H28" s="33" t="s">
        <v>25</v>
      </c>
      <c r="I28" s="34">
        <f t="shared" ref="I28:I29" si="8">(G28*$H$4)+G28</f>
        <v>0</v>
      </c>
      <c r="J28" s="34">
        <f t="shared" ref="J28:J29" si="9">F28*I28</f>
        <v>0</v>
      </c>
      <c r="K28" s="89">
        <f t="shared" si="2"/>
        <v>0</v>
      </c>
      <c r="L28" s="89">
        <f t="shared" si="3"/>
        <v>0</v>
      </c>
    </row>
    <row r="29" spans="1:12" ht="24.95" customHeight="1">
      <c r="A29" s="36" t="s">
        <v>67</v>
      </c>
      <c r="B29" s="43" t="s">
        <v>96</v>
      </c>
      <c r="C29" s="29">
        <v>1</v>
      </c>
      <c r="D29" s="42" t="s">
        <v>144</v>
      </c>
      <c r="E29" s="29" t="s">
        <v>114</v>
      </c>
      <c r="F29" s="81">
        <v>4</v>
      </c>
      <c r="G29" s="30">
        <v>100</v>
      </c>
      <c r="H29" s="29" t="s">
        <v>25</v>
      </c>
      <c r="I29" s="30">
        <f t="shared" si="8"/>
        <v>124</v>
      </c>
      <c r="J29" s="30">
        <f t="shared" si="9"/>
        <v>496</v>
      </c>
      <c r="K29" s="89">
        <f t="shared" si="2"/>
        <v>1.3123895840399999</v>
      </c>
      <c r="L29" s="89">
        <f t="shared" si="3"/>
        <v>2.6876104159600001</v>
      </c>
    </row>
    <row r="30" spans="1:12" ht="24.95" customHeight="1">
      <c r="A30" s="36" t="s">
        <v>68</v>
      </c>
      <c r="B30" s="43" t="s">
        <v>96</v>
      </c>
      <c r="C30" s="29">
        <v>2</v>
      </c>
      <c r="D30" s="41" t="s">
        <v>115</v>
      </c>
      <c r="E30" s="29" t="s">
        <v>114</v>
      </c>
      <c r="F30" s="81">
        <f>F29*2</f>
        <v>8</v>
      </c>
      <c r="G30" s="30">
        <v>18</v>
      </c>
      <c r="H30" s="29" t="s">
        <v>25</v>
      </c>
      <c r="I30" s="30">
        <f t="shared" ref="I30:I41" si="10">(G30*$H$4)+G30</f>
        <v>22.32</v>
      </c>
      <c r="J30" s="30">
        <f t="shared" ref="J30:J41" si="11">F30*I30</f>
        <v>178.56</v>
      </c>
      <c r="K30" s="89">
        <f t="shared" si="2"/>
        <v>2.6247791680799999</v>
      </c>
      <c r="L30" s="89">
        <f t="shared" si="3"/>
        <v>5.3752208319200001</v>
      </c>
    </row>
    <row r="31" spans="1:12" ht="24.95" customHeight="1">
      <c r="A31" s="36" t="s">
        <v>159</v>
      </c>
      <c r="B31" s="43" t="s">
        <v>96</v>
      </c>
      <c r="C31" s="29">
        <v>3</v>
      </c>
      <c r="D31" s="41" t="s">
        <v>116</v>
      </c>
      <c r="E31" s="29" t="s">
        <v>114</v>
      </c>
      <c r="F31" s="81">
        <f>F29</f>
        <v>4</v>
      </c>
      <c r="G31" s="30">
        <v>20</v>
      </c>
      <c r="H31" s="29" t="s">
        <v>25</v>
      </c>
      <c r="I31" s="30">
        <f t="shared" si="10"/>
        <v>24.8</v>
      </c>
      <c r="J31" s="30">
        <f t="shared" si="11"/>
        <v>99.2</v>
      </c>
      <c r="K31" s="89">
        <f t="shared" si="2"/>
        <v>1.3123895840399999</v>
      </c>
      <c r="L31" s="89">
        <f t="shared" si="3"/>
        <v>2.6876104159600001</v>
      </c>
    </row>
    <row r="32" spans="1:12" ht="24.95" customHeight="1">
      <c r="A32" s="36" t="s">
        <v>160</v>
      </c>
      <c r="B32" s="43" t="s">
        <v>96</v>
      </c>
      <c r="C32" s="29">
        <v>4</v>
      </c>
      <c r="D32" s="41" t="s">
        <v>117</v>
      </c>
      <c r="E32" s="29" t="s">
        <v>86</v>
      </c>
      <c r="F32" s="82">
        <v>30</v>
      </c>
      <c r="G32" s="30">
        <v>49.5</v>
      </c>
      <c r="H32" s="29" t="s">
        <v>25</v>
      </c>
      <c r="I32" s="30">
        <f t="shared" si="10"/>
        <v>61.379999999999995</v>
      </c>
      <c r="J32" s="30">
        <f t="shared" si="11"/>
        <v>1841.3999999999999</v>
      </c>
      <c r="K32" s="89">
        <f t="shared" si="2"/>
        <v>9.8429218803000005</v>
      </c>
      <c r="L32" s="89">
        <f t="shared" si="3"/>
        <v>20.1570781197</v>
      </c>
    </row>
    <row r="33" spans="1:12" ht="24.95" customHeight="1">
      <c r="A33" s="36" t="s">
        <v>161</v>
      </c>
      <c r="B33" s="43" t="s">
        <v>96</v>
      </c>
      <c r="C33" s="29">
        <v>5</v>
      </c>
      <c r="D33" s="41" t="s">
        <v>130</v>
      </c>
      <c r="E33" s="29" t="s">
        <v>114</v>
      </c>
      <c r="F33" s="82">
        <v>4</v>
      </c>
      <c r="G33" s="30">
        <v>12</v>
      </c>
      <c r="H33" s="29" t="s">
        <v>25</v>
      </c>
      <c r="I33" s="30">
        <f t="shared" si="10"/>
        <v>14.879999999999999</v>
      </c>
      <c r="J33" s="30">
        <f t="shared" si="11"/>
        <v>59.519999999999996</v>
      </c>
      <c r="K33" s="89">
        <f t="shared" si="2"/>
        <v>1.3123895840399999</v>
      </c>
      <c r="L33" s="89">
        <f t="shared" si="3"/>
        <v>2.6876104159600001</v>
      </c>
    </row>
    <row r="34" spans="1:12" ht="24.95" customHeight="1">
      <c r="A34" s="36" t="s">
        <v>162</v>
      </c>
      <c r="B34" s="43" t="s">
        <v>96</v>
      </c>
      <c r="C34" s="29">
        <v>6</v>
      </c>
      <c r="D34" s="41" t="s">
        <v>118</v>
      </c>
      <c r="E34" s="29" t="s">
        <v>114</v>
      </c>
      <c r="F34" s="82">
        <v>20</v>
      </c>
      <c r="G34" s="30">
        <v>0.56999999999999995</v>
      </c>
      <c r="H34" s="29" t="s">
        <v>25</v>
      </c>
      <c r="I34" s="30">
        <f t="shared" si="10"/>
        <v>0.70679999999999987</v>
      </c>
      <c r="J34" s="30">
        <f t="shared" si="11"/>
        <v>14.135999999999997</v>
      </c>
      <c r="K34" s="89">
        <f t="shared" si="2"/>
        <v>6.5619479201999997</v>
      </c>
      <c r="L34" s="89">
        <f t="shared" si="3"/>
        <v>13.4380520798</v>
      </c>
    </row>
    <row r="35" spans="1:12" ht="24.95" customHeight="1">
      <c r="A35" s="36" t="s">
        <v>163</v>
      </c>
      <c r="B35" s="43" t="s">
        <v>96</v>
      </c>
      <c r="C35" s="29">
        <v>7</v>
      </c>
      <c r="D35" s="41" t="s">
        <v>119</v>
      </c>
      <c r="E35" s="29" t="s">
        <v>114</v>
      </c>
      <c r="F35" s="82">
        <v>28</v>
      </c>
      <c r="G35" s="30">
        <v>1.59</v>
      </c>
      <c r="H35" s="29" t="s">
        <v>25</v>
      </c>
      <c r="I35" s="30">
        <f t="shared" si="10"/>
        <v>1.9716</v>
      </c>
      <c r="J35" s="30">
        <f t="shared" si="11"/>
        <v>55.204799999999999</v>
      </c>
      <c r="K35" s="89">
        <f t="shared" si="2"/>
        <v>9.1867270882799996</v>
      </c>
      <c r="L35" s="89">
        <f t="shared" si="3"/>
        <v>18.813272911719999</v>
      </c>
    </row>
    <row r="36" spans="1:12" ht="24.95" customHeight="1">
      <c r="A36" s="36" t="s">
        <v>164</v>
      </c>
      <c r="B36" s="43" t="s">
        <v>96</v>
      </c>
      <c r="C36" s="29">
        <v>8</v>
      </c>
      <c r="D36" s="41" t="s">
        <v>145</v>
      </c>
      <c r="E36" s="29" t="s">
        <v>114</v>
      </c>
      <c r="F36" s="82">
        <v>15</v>
      </c>
      <c r="G36" s="30">
        <v>4</v>
      </c>
      <c r="H36" s="29" t="s">
        <v>25</v>
      </c>
      <c r="I36" s="30">
        <f t="shared" si="10"/>
        <v>4.96</v>
      </c>
      <c r="J36" s="30">
        <f t="shared" si="11"/>
        <v>74.400000000000006</v>
      </c>
      <c r="K36" s="89">
        <f t="shared" si="2"/>
        <v>4.9214609401500002</v>
      </c>
      <c r="L36" s="89">
        <f t="shared" si="3"/>
        <v>10.07853905985</v>
      </c>
    </row>
    <row r="37" spans="1:12" ht="24.95" customHeight="1">
      <c r="A37" s="36" t="s">
        <v>165</v>
      </c>
      <c r="B37" s="43" t="s">
        <v>96</v>
      </c>
      <c r="C37" s="29">
        <v>9</v>
      </c>
      <c r="D37" s="41" t="s">
        <v>146</v>
      </c>
      <c r="E37" s="29" t="s">
        <v>86</v>
      </c>
      <c r="F37" s="82">
        <v>506.26</v>
      </c>
      <c r="G37" s="30">
        <v>20</v>
      </c>
      <c r="H37" s="29" t="s">
        <v>25</v>
      </c>
      <c r="I37" s="30">
        <f t="shared" si="10"/>
        <v>24.8</v>
      </c>
      <c r="J37" s="30">
        <f t="shared" si="11"/>
        <v>12555.248</v>
      </c>
      <c r="K37" s="89">
        <f t="shared" si="2"/>
        <v>166.1025877040226</v>
      </c>
      <c r="L37" s="89">
        <f t="shared" si="3"/>
        <v>340.15741229597739</v>
      </c>
    </row>
    <row r="38" spans="1:12" ht="24.95" customHeight="1">
      <c r="A38" s="36" t="s">
        <v>166</v>
      </c>
      <c r="B38" s="43" t="s">
        <v>96</v>
      </c>
      <c r="C38" s="29">
        <v>10</v>
      </c>
      <c r="D38" s="41" t="s">
        <v>120</v>
      </c>
      <c r="E38" s="29" t="s">
        <v>114</v>
      </c>
      <c r="F38" s="82">
        <v>466.26</v>
      </c>
      <c r="G38" s="30">
        <v>2.5</v>
      </c>
      <c r="H38" s="29" t="s">
        <v>25</v>
      </c>
      <c r="I38" s="30">
        <f t="shared" si="10"/>
        <v>3.1</v>
      </c>
      <c r="J38" s="30">
        <f t="shared" si="11"/>
        <v>1445.4059999999999</v>
      </c>
      <c r="K38" s="89">
        <f t="shared" si="2"/>
        <v>152.9786918636226</v>
      </c>
      <c r="L38" s="89">
        <f t="shared" si="3"/>
        <v>313.28130813637739</v>
      </c>
    </row>
    <row r="39" spans="1:12" ht="24.95" customHeight="1">
      <c r="A39" s="36" t="s">
        <v>167</v>
      </c>
      <c r="B39" s="43" t="s">
        <v>96</v>
      </c>
      <c r="C39" s="29">
        <v>11</v>
      </c>
      <c r="D39" s="41" t="s">
        <v>147</v>
      </c>
      <c r="E39" s="29" t="s">
        <v>86</v>
      </c>
      <c r="F39" s="82">
        <v>93.33</v>
      </c>
      <c r="G39" s="30">
        <v>6.4</v>
      </c>
      <c r="H39" s="29" t="s">
        <v>25</v>
      </c>
      <c r="I39" s="30">
        <f t="shared" si="10"/>
        <v>7.9359999999999999</v>
      </c>
      <c r="J39" s="30">
        <f t="shared" si="11"/>
        <v>740.66687999999999</v>
      </c>
      <c r="K39" s="89">
        <f t="shared" si="2"/>
        <v>30.621329969613299</v>
      </c>
      <c r="L39" s="89">
        <f t="shared" si="3"/>
        <v>62.708670030386699</v>
      </c>
    </row>
    <row r="40" spans="1:12" ht="24.95" customHeight="1">
      <c r="A40" s="36" t="s">
        <v>168</v>
      </c>
      <c r="B40" s="43" t="s">
        <v>96</v>
      </c>
      <c r="C40" s="29">
        <v>12</v>
      </c>
      <c r="D40" s="41" t="s">
        <v>121</v>
      </c>
      <c r="E40" s="29" t="s">
        <v>114</v>
      </c>
      <c r="F40" s="82">
        <v>4</v>
      </c>
      <c r="G40" s="30">
        <v>60</v>
      </c>
      <c r="H40" s="29" t="s">
        <v>25</v>
      </c>
      <c r="I40" s="30">
        <f t="shared" si="10"/>
        <v>74.400000000000006</v>
      </c>
      <c r="J40" s="30">
        <f t="shared" si="11"/>
        <v>297.60000000000002</v>
      </c>
      <c r="K40" s="89">
        <f t="shared" si="2"/>
        <v>1.3123895840399999</v>
      </c>
      <c r="L40" s="89">
        <f t="shared" si="3"/>
        <v>2.6876104159600001</v>
      </c>
    </row>
    <row r="41" spans="1:12" ht="24.95" customHeight="1">
      <c r="A41" s="36" t="s">
        <v>169</v>
      </c>
      <c r="B41" s="43" t="s">
        <v>96</v>
      </c>
      <c r="C41" s="29">
        <v>13</v>
      </c>
      <c r="D41" s="42" t="s">
        <v>148</v>
      </c>
      <c r="E41" s="29" t="s">
        <v>114</v>
      </c>
      <c r="F41" s="82">
        <v>4</v>
      </c>
      <c r="G41" s="30">
        <v>55</v>
      </c>
      <c r="H41" s="29" t="s">
        <v>25</v>
      </c>
      <c r="I41" s="30">
        <f t="shared" si="10"/>
        <v>68.2</v>
      </c>
      <c r="J41" s="30">
        <f t="shared" si="11"/>
        <v>272.8</v>
      </c>
      <c r="K41" s="89">
        <f t="shared" si="2"/>
        <v>1.3123895840399999</v>
      </c>
      <c r="L41" s="89">
        <f t="shared" si="3"/>
        <v>2.6876104159600001</v>
      </c>
    </row>
    <row r="42" spans="1:12" ht="24.95" customHeight="1">
      <c r="A42" s="36" t="s">
        <v>170</v>
      </c>
      <c r="B42" s="43" t="s">
        <v>96</v>
      </c>
      <c r="C42" s="29">
        <v>14</v>
      </c>
      <c r="D42" s="45" t="s">
        <v>122</v>
      </c>
      <c r="E42" s="29" t="s">
        <v>114</v>
      </c>
      <c r="F42" s="82">
        <v>20</v>
      </c>
      <c r="G42" s="30">
        <v>650</v>
      </c>
      <c r="H42" s="29" t="s">
        <v>25</v>
      </c>
      <c r="I42" s="30">
        <f t="shared" ref="I42:I44" si="12">(G42*$H$4)+G42</f>
        <v>806</v>
      </c>
      <c r="J42" s="30">
        <f t="shared" ref="J42:J44" si="13">F42*I42</f>
        <v>16120</v>
      </c>
      <c r="K42" s="89">
        <f t="shared" si="2"/>
        <v>6.5619479201999997</v>
      </c>
      <c r="L42" s="89">
        <f t="shared" si="3"/>
        <v>13.4380520798</v>
      </c>
    </row>
    <row r="43" spans="1:12" ht="24">
      <c r="A43" s="36" t="s">
        <v>171</v>
      </c>
      <c r="B43" s="43" t="s">
        <v>96</v>
      </c>
      <c r="C43" s="29">
        <v>15</v>
      </c>
      <c r="D43" s="42" t="s">
        <v>123</v>
      </c>
      <c r="E43" s="29" t="s">
        <v>114</v>
      </c>
      <c r="F43" s="82">
        <f>5*4</f>
        <v>20</v>
      </c>
      <c r="G43" s="30">
        <v>19</v>
      </c>
      <c r="H43" s="29" t="s">
        <v>25</v>
      </c>
      <c r="I43" s="30">
        <f t="shared" si="12"/>
        <v>23.56</v>
      </c>
      <c r="J43" s="30">
        <f t="shared" si="13"/>
        <v>471.2</v>
      </c>
      <c r="K43" s="89">
        <f t="shared" si="2"/>
        <v>6.5619479201999997</v>
      </c>
      <c r="L43" s="89">
        <f t="shared" si="3"/>
        <v>13.4380520798</v>
      </c>
    </row>
    <row r="44" spans="1:12" ht="24">
      <c r="A44" s="36" t="s">
        <v>172</v>
      </c>
      <c r="B44" s="43" t="s">
        <v>96</v>
      </c>
      <c r="C44" s="29">
        <v>16</v>
      </c>
      <c r="D44" s="42" t="s">
        <v>124</v>
      </c>
      <c r="E44" s="29" t="s">
        <v>114</v>
      </c>
      <c r="F44" s="82">
        <v>20</v>
      </c>
      <c r="G44" s="30">
        <v>15</v>
      </c>
      <c r="H44" s="29" t="s">
        <v>25</v>
      </c>
      <c r="I44" s="30">
        <f t="shared" si="12"/>
        <v>18.600000000000001</v>
      </c>
      <c r="J44" s="30">
        <f t="shared" si="13"/>
        <v>372</v>
      </c>
      <c r="K44" s="89">
        <f t="shared" si="2"/>
        <v>6.5619479201999997</v>
      </c>
      <c r="L44" s="89">
        <f t="shared" si="3"/>
        <v>13.4380520798</v>
      </c>
    </row>
    <row r="45" spans="1:12" ht="24.95" customHeight="1">
      <c r="A45" s="36" t="s">
        <v>173</v>
      </c>
      <c r="B45" s="29" t="s">
        <v>26</v>
      </c>
      <c r="C45" s="29">
        <v>88247</v>
      </c>
      <c r="D45" s="42" t="s">
        <v>58</v>
      </c>
      <c r="E45" s="29" t="s">
        <v>60</v>
      </c>
      <c r="F45" s="82">
        <v>42.67</v>
      </c>
      <c r="G45" s="30">
        <v>26.13</v>
      </c>
      <c r="H45" s="29" t="s">
        <v>25</v>
      </c>
      <c r="I45" s="30">
        <f t="shared" ref="I45:I73" si="14">(G45*$H$4)+G45</f>
        <v>32.401199999999996</v>
      </c>
      <c r="J45" s="30">
        <f t="shared" ref="J45:J98" si="15">F45*I45</f>
        <v>1382.5592039999999</v>
      </c>
      <c r="K45" s="89">
        <f t="shared" si="2"/>
        <v>13.999915887746701</v>
      </c>
      <c r="L45" s="89">
        <f t="shared" si="3"/>
        <v>28.670084112253303</v>
      </c>
    </row>
    <row r="46" spans="1:12" ht="24.95" customHeight="1">
      <c r="A46" s="36" t="s">
        <v>174</v>
      </c>
      <c r="B46" s="29" t="s">
        <v>26</v>
      </c>
      <c r="C46" s="29">
        <v>88264</v>
      </c>
      <c r="D46" s="42" t="s">
        <v>59</v>
      </c>
      <c r="E46" s="29" t="s">
        <v>60</v>
      </c>
      <c r="F46" s="82">
        <v>42.67</v>
      </c>
      <c r="G46" s="30">
        <v>31.45</v>
      </c>
      <c r="H46" s="29" t="s">
        <v>25</v>
      </c>
      <c r="I46" s="30">
        <f t="shared" si="14"/>
        <v>38.997999999999998</v>
      </c>
      <c r="J46" s="30">
        <f t="shared" si="15"/>
        <v>1664.04466</v>
      </c>
      <c r="K46" s="89">
        <f t="shared" si="2"/>
        <v>13.999915887746701</v>
      </c>
      <c r="L46" s="89">
        <f t="shared" si="3"/>
        <v>28.670084112253303</v>
      </c>
    </row>
    <row r="47" spans="1:12" s="57" customFormat="1" ht="24.95" customHeight="1">
      <c r="A47" s="91">
        <v>2</v>
      </c>
      <c r="B47" s="33"/>
      <c r="C47" s="33"/>
      <c r="D47" s="56" t="s">
        <v>135</v>
      </c>
      <c r="E47" s="33"/>
      <c r="F47" s="33"/>
      <c r="G47" s="34"/>
      <c r="H47" s="33" t="s">
        <v>25</v>
      </c>
      <c r="I47" s="34">
        <f t="shared" si="14"/>
        <v>0</v>
      </c>
      <c r="J47" s="34">
        <f t="shared" si="15"/>
        <v>0</v>
      </c>
      <c r="K47" s="89">
        <f t="shared" si="2"/>
        <v>0</v>
      </c>
      <c r="L47" s="89">
        <f t="shared" si="3"/>
        <v>0</v>
      </c>
    </row>
    <row r="48" spans="1:12" s="57" customFormat="1" ht="24.95" customHeight="1">
      <c r="A48" s="56" t="s">
        <v>32</v>
      </c>
      <c r="B48" s="33"/>
      <c r="C48" s="33"/>
      <c r="D48" s="46" t="s">
        <v>33</v>
      </c>
      <c r="E48" s="33"/>
      <c r="F48" s="33"/>
      <c r="G48" s="34"/>
      <c r="H48" s="33" t="s">
        <v>25</v>
      </c>
      <c r="I48" s="34">
        <f t="shared" si="14"/>
        <v>0</v>
      </c>
      <c r="J48" s="34">
        <f t="shared" si="15"/>
        <v>0</v>
      </c>
      <c r="K48" s="89">
        <f t="shared" si="2"/>
        <v>0</v>
      </c>
      <c r="L48" s="89">
        <f t="shared" si="3"/>
        <v>0</v>
      </c>
    </row>
    <row r="49" spans="1:12" ht="24">
      <c r="A49" s="36" t="s">
        <v>42</v>
      </c>
      <c r="B49" s="29" t="s">
        <v>26</v>
      </c>
      <c r="C49" s="29">
        <v>100323</v>
      </c>
      <c r="D49" s="47" t="s">
        <v>44</v>
      </c>
      <c r="E49" s="29" t="s">
        <v>89</v>
      </c>
      <c r="F49" s="81">
        <f>0.56*4</f>
        <v>2.2400000000000002</v>
      </c>
      <c r="G49" s="30">
        <v>175.22</v>
      </c>
      <c r="H49" s="29" t="s">
        <v>25</v>
      </c>
      <c r="I49" s="30">
        <f t="shared" si="14"/>
        <v>217.27279999999999</v>
      </c>
      <c r="J49" s="30">
        <f t="shared" si="15"/>
        <v>486.69107200000002</v>
      </c>
      <c r="K49" s="89">
        <f t="shared" si="2"/>
        <v>0.73493816706240001</v>
      </c>
      <c r="L49" s="89">
        <f t="shared" si="3"/>
        <v>1.5050618329376002</v>
      </c>
    </row>
    <row r="50" spans="1:12" ht="24">
      <c r="A50" s="36" t="s">
        <v>43</v>
      </c>
      <c r="B50" s="29" t="s">
        <v>26</v>
      </c>
      <c r="C50" s="29">
        <v>102487</v>
      </c>
      <c r="D50" s="47" t="s">
        <v>45</v>
      </c>
      <c r="E50" s="29" t="s">
        <v>89</v>
      </c>
      <c r="F50" s="81">
        <f>0.53*4</f>
        <v>2.12</v>
      </c>
      <c r="G50" s="30">
        <v>632.35</v>
      </c>
      <c r="H50" s="29" t="s">
        <v>25</v>
      </c>
      <c r="I50" s="30">
        <f t="shared" si="14"/>
        <v>784.11400000000003</v>
      </c>
      <c r="J50" s="30">
        <f t="shared" si="15"/>
        <v>1662.3216800000002</v>
      </c>
      <c r="K50" s="89">
        <f t="shared" si="2"/>
        <v>0.69556647954119999</v>
      </c>
      <c r="L50" s="89">
        <f t="shared" si="3"/>
        <v>1.4244335204588001</v>
      </c>
    </row>
    <row r="51" spans="1:12" s="57" customFormat="1" ht="24.95" customHeight="1">
      <c r="A51" s="56" t="s">
        <v>175</v>
      </c>
      <c r="B51" s="33"/>
      <c r="C51" s="33"/>
      <c r="D51" s="46" t="s">
        <v>50</v>
      </c>
      <c r="E51" s="33"/>
      <c r="F51" s="33"/>
      <c r="G51" s="34"/>
      <c r="H51" s="33" t="s">
        <v>25</v>
      </c>
      <c r="I51" s="34">
        <f t="shared" si="14"/>
        <v>0</v>
      </c>
      <c r="J51" s="34">
        <f t="shared" si="15"/>
        <v>0</v>
      </c>
      <c r="K51" s="89">
        <f t="shared" si="2"/>
        <v>0</v>
      </c>
      <c r="L51" s="89">
        <f t="shared" si="3"/>
        <v>0</v>
      </c>
    </row>
    <row r="52" spans="1:12" ht="24">
      <c r="A52" s="36" t="s">
        <v>176</v>
      </c>
      <c r="B52" s="29" t="s">
        <v>101</v>
      </c>
      <c r="C52" s="29"/>
      <c r="D52" s="42" t="s">
        <v>48</v>
      </c>
      <c r="E52" s="29" t="s">
        <v>47</v>
      </c>
      <c r="F52" s="81">
        <v>1536</v>
      </c>
      <c r="G52" s="83">
        <v>15</v>
      </c>
      <c r="H52" s="29" t="s">
        <v>25</v>
      </c>
      <c r="I52" s="30">
        <f t="shared" si="14"/>
        <v>18.600000000000001</v>
      </c>
      <c r="J52" s="30">
        <f t="shared" si="15"/>
        <v>28569.600000000002</v>
      </c>
      <c r="K52" s="89">
        <f t="shared" si="2"/>
        <v>503.95760027135998</v>
      </c>
      <c r="L52" s="89">
        <f t="shared" si="3"/>
        <v>1032.04239972864</v>
      </c>
    </row>
    <row r="53" spans="1:12" ht="34.5">
      <c r="A53" s="36" t="s">
        <v>177</v>
      </c>
      <c r="B53" s="29" t="s">
        <v>26</v>
      </c>
      <c r="C53" s="29">
        <v>87367</v>
      </c>
      <c r="D53" s="54" t="s">
        <v>131</v>
      </c>
      <c r="E53" s="29" t="s">
        <v>132</v>
      </c>
      <c r="F53" s="81">
        <f>0.52*4</f>
        <v>2.08</v>
      </c>
      <c r="G53" s="30">
        <v>740.53</v>
      </c>
      <c r="H53" s="29" t="s">
        <v>25</v>
      </c>
      <c r="I53" s="30">
        <f t="shared" si="14"/>
        <v>918.25720000000001</v>
      </c>
      <c r="J53" s="30">
        <f t="shared" si="15"/>
        <v>1909.9749760000002</v>
      </c>
      <c r="K53" s="89">
        <f t="shared" si="2"/>
        <v>0.68244258370080002</v>
      </c>
      <c r="L53" s="89">
        <f t="shared" si="3"/>
        <v>1.3975574162992002</v>
      </c>
    </row>
    <row r="54" spans="1:12" s="57" customFormat="1" ht="24.95" customHeight="1">
      <c r="A54" s="56" t="s">
        <v>178</v>
      </c>
      <c r="B54" s="33"/>
      <c r="C54" s="33"/>
      <c r="D54" s="46" t="s">
        <v>51</v>
      </c>
      <c r="E54" s="33"/>
      <c r="F54" s="33"/>
      <c r="G54" s="34"/>
      <c r="H54" s="33" t="s">
        <v>25</v>
      </c>
      <c r="I54" s="34">
        <f t="shared" si="14"/>
        <v>0</v>
      </c>
      <c r="J54" s="34">
        <f t="shared" si="15"/>
        <v>0</v>
      </c>
      <c r="K54" s="89">
        <f t="shared" si="2"/>
        <v>0</v>
      </c>
      <c r="L54" s="89">
        <f t="shared" si="3"/>
        <v>0</v>
      </c>
    </row>
    <row r="55" spans="1:12" ht="24.95" customHeight="1">
      <c r="A55" s="36" t="s">
        <v>179</v>
      </c>
      <c r="B55" s="29" t="s">
        <v>101</v>
      </c>
      <c r="C55" s="29"/>
      <c r="D55" s="45" t="s">
        <v>134</v>
      </c>
      <c r="E55" s="29" t="s">
        <v>47</v>
      </c>
      <c r="F55" s="81">
        <v>16</v>
      </c>
      <c r="G55" s="30">
        <v>341</v>
      </c>
      <c r="H55" s="29" t="s">
        <v>25</v>
      </c>
      <c r="I55" s="30">
        <f t="shared" si="14"/>
        <v>422.84000000000003</v>
      </c>
      <c r="J55" s="30">
        <f t="shared" si="15"/>
        <v>6765.4400000000005</v>
      </c>
      <c r="K55" s="89">
        <f t="shared" si="2"/>
        <v>5.2495583361599998</v>
      </c>
      <c r="L55" s="89">
        <f t="shared" si="3"/>
        <v>10.75044166384</v>
      </c>
    </row>
    <row r="56" spans="1:12" ht="24">
      <c r="A56" s="36" t="s">
        <v>180</v>
      </c>
      <c r="B56" s="29" t="s">
        <v>26</v>
      </c>
      <c r="C56" s="29">
        <v>92762</v>
      </c>
      <c r="D56" s="42" t="s">
        <v>53</v>
      </c>
      <c r="E56" s="29" t="s">
        <v>52</v>
      </c>
      <c r="F56" s="81">
        <f>23.05*4</f>
        <v>92.2</v>
      </c>
      <c r="G56" s="30">
        <v>10.96</v>
      </c>
      <c r="H56" s="29" t="s">
        <v>25</v>
      </c>
      <c r="I56" s="30">
        <f t="shared" si="14"/>
        <v>13.590400000000001</v>
      </c>
      <c r="J56" s="30">
        <f t="shared" si="15"/>
        <v>1253.0348800000002</v>
      </c>
      <c r="K56" s="89">
        <f t="shared" si="2"/>
        <v>30.250579912121999</v>
      </c>
      <c r="L56" s="89">
        <f t="shared" si="3"/>
        <v>61.949420087878003</v>
      </c>
    </row>
    <row r="57" spans="1:12" ht="23.25">
      <c r="A57" s="36" t="s">
        <v>181</v>
      </c>
      <c r="B57" s="29" t="s">
        <v>26</v>
      </c>
      <c r="C57" s="29">
        <v>103672</v>
      </c>
      <c r="D57" s="54" t="s">
        <v>129</v>
      </c>
      <c r="E57" s="29" t="s">
        <v>31</v>
      </c>
      <c r="F57" s="81">
        <f>(2.7*0.2*0.2*4)*4</f>
        <v>1.7280000000000002</v>
      </c>
      <c r="G57" s="30">
        <v>709.4</v>
      </c>
      <c r="H57" s="29" t="s">
        <v>25</v>
      </c>
      <c r="I57" s="30">
        <f t="shared" si="14"/>
        <v>879.65599999999995</v>
      </c>
      <c r="J57" s="30">
        <f t="shared" si="15"/>
        <v>1520.045568</v>
      </c>
      <c r="K57" s="89">
        <f t="shared" si="2"/>
        <v>0.56695230030527999</v>
      </c>
      <c r="L57" s="89">
        <f t="shared" si="3"/>
        <v>1.1610476996947201</v>
      </c>
    </row>
    <row r="58" spans="1:12" s="57" customFormat="1" ht="24.95" customHeight="1">
      <c r="A58" s="56" t="s">
        <v>182</v>
      </c>
      <c r="B58" s="33"/>
      <c r="C58" s="33"/>
      <c r="D58" s="46" t="s">
        <v>54</v>
      </c>
      <c r="E58" s="33"/>
      <c r="F58" s="33"/>
      <c r="G58" s="34"/>
      <c r="H58" s="33" t="s">
        <v>25</v>
      </c>
      <c r="I58" s="34">
        <f t="shared" si="14"/>
        <v>0</v>
      </c>
      <c r="J58" s="34">
        <f t="shared" si="15"/>
        <v>0</v>
      </c>
      <c r="K58" s="89">
        <f t="shared" si="2"/>
        <v>0</v>
      </c>
      <c r="L58" s="89">
        <f t="shared" si="3"/>
        <v>0</v>
      </c>
    </row>
    <row r="59" spans="1:12" ht="24">
      <c r="A59" s="36" t="s">
        <v>183</v>
      </c>
      <c r="B59" s="29" t="s">
        <v>101</v>
      </c>
      <c r="C59" s="29"/>
      <c r="D59" s="42" t="s">
        <v>133</v>
      </c>
      <c r="E59" s="29" t="s">
        <v>114</v>
      </c>
      <c r="F59" s="81">
        <v>4</v>
      </c>
      <c r="G59" s="30">
        <f>5000+6700</f>
        <v>11700</v>
      </c>
      <c r="H59" s="29" t="s">
        <v>25</v>
      </c>
      <c r="I59" s="30">
        <f t="shared" si="14"/>
        <v>14508</v>
      </c>
      <c r="J59" s="30">
        <f t="shared" si="15"/>
        <v>58032</v>
      </c>
      <c r="K59" s="89">
        <f t="shared" si="2"/>
        <v>1.3123895840399999</v>
      </c>
      <c r="L59" s="89">
        <f t="shared" si="3"/>
        <v>2.6876104159600001</v>
      </c>
    </row>
    <row r="60" spans="1:12" ht="24">
      <c r="A60" s="36" t="s">
        <v>184</v>
      </c>
      <c r="B60" s="29" t="s">
        <v>101</v>
      </c>
      <c r="C60" s="29"/>
      <c r="D60" s="42" t="s">
        <v>55</v>
      </c>
      <c r="E60" s="29" t="s">
        <v>30</v>
      </c>
      <c r="F60" s="81">
        <f>(3.6*3*2)*4</f>
        <v>86.4</v>
      </c>
      <c r="G60" s="30">
        <v>117.76</v>
      </c>
      <c r="H60" s="29" t="s">
        <v>25</v>
      </c>
      <c r="I60" s="30">
        <f t="shared" si="14"/>
        <v>146.0224</v>
      </c>
      <c r="J60" s="30">
        <f t="shared" si="15"/>
        <v>12616.335360000001</v>
      </c>
      <c r="K60" s="89">
        <f t="shared" si="2"/>
        <v>28.347615015264001</v>
      </c>
      <c r="L60" s="89">
        <f t="shared" si="3"/>
        <v>58.052384984736008</v>
      </c>
    </row>
    <row r="61" spans="1:12" ht="24.95" customHeight="1">
      <c r="A61" s="36" t="s">
        <v>185</v>
      </c>
      <c r="B61" s="29" t="s">
        <v>101</v>
      </c>
      <c r="C61" s="29"/>
      <c r="D61" s="42" t="s">
        <v>56</v>
      </c>
      <c r="E61" s="29" t="s">
        <v>57</v>
      </c>
      <c r="F61" s="81">
        <v>384</v>
      </c>
      <c r="G61" s="30">
        <v>50.8</v>
      </c>
      <c r="H61" s="29" t="s">
        <v>25</v>
      </c>
      <c r="I61" s="30">
        <f t="shared" si="14"/>
        <v>62.991999999999997</v>
      </c>
      <c r="J61" s="30">
        <f t="shared" si="15"/>
        <v>24188.928</v>
      </c>
      <c r="K61" s="89">
        <f t="shared" si="2"/>
        <v>125.98940006783999</v>
      </c>
      <c r="L61" s="89">
        <f t="shared" si="3"/>
        <v>258.01059993216001</v>
      </c>
    </row>
    <row r="62" spans="1:12" s="57" customFormat="1" ht="24.95" customHeight="1">
      <c r="A62" s="56" t="s">
        <v>186</v>
      </c>
      <c r="B62" s="33"/>
      <c r="C62" s="33"/>
      <c r="D62" s="46" t="s">
        <v>69</v>
      </c>
      <c r="E62" s="33"/>
      <c r="F62" s="33"/>
      <c r="G62" s="34"/>
      <c r="H62" s="33" t="s">
        <v>25</v>
      </c>
      <c r="I62" s="34">
        <f t="shared" si="14"/>
        <v>0</v>
      </c>
      <c r="J62" s="34">
        <f>F62*I62</f>
        <v>0</v>
      </c>
      <c r="K62" s="89">
        <f t="shared" si="2"/>
        <v>0</v>
      </c>
      <c r="L62" s="89">
        <f t="shared" si="3"/>
        <v>0</v>
      </c>
    </row>
    <row r="63" spans="1:12" ht="24.95" customHeight="1">
      <c r="A63" s="36" t="s">
        <v>187</v>
      </c>
      <c r="B63" s="29" t="s">
        <v>96</v>
      </c>
      <c r="C63" s="29">
        <v>17</v>
      </c>
      <c r="D63" s="45" t="s">
        <v>82</v>
      </c>
      <c r="E63" s="29" t="s">
        <v>57</v>
      </c>
      <c r="F63" s="29">
        <v>1</v>
      </c>
      <c r="G63" s="30">
        <v>16000</v>
      </c>
      <c r="H63" s="29" t="s">
        <v>25</v>
      </c>
      <c r="I63" s="30">
        <f t="shared" ref="I63" si="16">(G63*$H$4)+G63</f>
        <v>19840</v>
      </c>
      <c r="J63" s="30">
        <f t="shared" ref="J63" si="17">F63*I63</f>
        <v>19840</v>
      </c>
      <c r="K63" s="89">
        <f t="shared" si="2"/>
        <v>0.32809739600999999</v>
      </c>
      <c r="L63" s="89">
        <f t="shared" si="3"/>
        <v>0.67190260399000001</v>
      </c>
    </row>
    <row r="64" spans="1:12" ht="24.95" customHeight="1">
      <c r="A64" s="36" t="s">
        <v>150</v>
      </c>
      <c r="B64" s="29" t="s">
        <v>96</v>
      </c>
      <c r="C64" s="29">
        <v>18</v>
      </c>
      <c r="D64" s="45" t="s">
        <v>71</v>
      </c>
      <c r="E64" s="29" t="s">
        <v>57</v>
      </c>
      <c r="F64" s="29">
        <v>1</v>
      </c>
      <c r="G64" s="30">
        <v>12000</v>
      </c>
      <c r="H64" s="29" t="s">
        <v>25</v>
      </c>
      <c r="I64" s="30">
        <f t="shared" si="14"/>
        <v>14880</v>
      </c>
      <c r="J64" s="30">
        <f t="shared" si="15"/>
        <v>14880</v>
      </c>
      <c r="K64" s="89">
        <f t="shared" si="2"/>
        <v>0.32809739600999999</v>
      </c>
      <c r="L64" s="89">
        <f t="shared" si="3"/>
        <v>0.67190260399000001</v>
      </c>
    </row>
    <row r="65" spans="1:12" ht="24.95" customHeight="1">
      <c r="A65" s="36" t="s">
        <v>188</v>
      </c>
      <c r="B65" s="29" t="s">
        <v>96</v>
      </c>
      <c r="C65" s="29">
        <v>19</v>
      </c>
      <c r="D65" s="45" t="s">
        <v>72</v>
      </c>
      <c r="E65" s="29" t="s">
        <v>57</v>
      </c>
      <c r="F65" s="29">
        <v>1</v>
      </c>
      <c r="G65" s="30">
        <v>20000</v>
      </c>
      <c r="H65" s="29" t="s">
        <v>25</v>
      </c>
      <c r="I65" s="30">
        <f t="shared" si="14"/>
        <v>24800</v>
      </c>
      <c r="J65" s="30">
        <f t="shared" si="15"/>
        <v>24800</v>
      </c>
      <c r="K65" s="89">
        <f t="shared" si="2"/>
        <v>0.32809739600999999</v>
      </c>
      <c r="L65" s="89">
        <f t="shared" si="3"/>
        <v>0.67190260399000001</v>
      </c>
    </row>
    <row r="66" spans="1:12" ht="24.95" customHeight="1">
      <c r="A66" s="36" t="s">
        <v>189</v>
      </c>
      <c r="B66" s="29" t="s">
        <v>96</v>
      </c>
      <c r="C66" s="29">
        <v>20</v>
      </c>
      <c r="D66" s="45" t="s">
        <v>73</v>
      </c>
      <c r="E66" s="29" t="s">
        <v>57</v>
      </c>
      <c r="F66" s="29">
        <v>2</v>
      </c>
      <c r="G66" s="30">
        <v>5000</v>
      </c>
      <c r="H66" s="29" t="s">
        <v>25</v>
      </c>
      <c r="I66" s="30">
        <f t="shared" si="14"/>
        <v>6200</v>
      </c>
      <c r="J66" s="30">
        <f t="shared" si="15"/>
        <v>12400</v>
      </c>
      <c r="K66" s="89">
        <f t="shared" si="2"/>
        <v>0.65619479201999997</v>
      </c>
      <c r="L66" s="89">
        <f t="shared" si="3"/>
        <v>1.34380520798</v>
      </c>
    </row>
    <row r="67" spans="1:12" ht="24.95" customHeight="1">
      <c r="A67" s="36" t="s">
        <v>190</v>
      </c>
      <c r="B67" s="29" t="s">
        <v>96</v>
      </c>
      <c r="C67" s="29">
        <v>21</v>
      </c>
      <c r="D67" s="45" t="s">
        <v>74</v>
      </c>
      <c r="E67" s="29" t="s">
        <v>57</v>
      </c>
      <c r="F67" s="29">
        <v>1</v>
      </c>
      <c r="G67" s="30">
        <v>5000</v>
      </c>
      <c r="H67" s="29" t="s">
        <v>25</v>
      </c>
      <c r="I67" s="30">
        <f t="shared" si="14"/>
        <v>6200</v>
      </c>
      <c r="J67" s="30">
        <f t="shared" si="15"/>
        <v>6200</v>
      </c>
      <c r="K67" s="89">
        <f t="shared" si="2"/>
        <v>0.32809739600999999</v>
      </c>
      <c r="L67" s="89">
        <f t="shared" si="3"/>
        <v>0.67190260399000001</v>
      </c>
    </row>
    <row r="68" spans="1:12" ht="24.95" customHeight="1">
      <c r="A68" s="36" t="s">
        <v>191</v>
      </c>
      <c r="B68" s="29" t="s">
        <v>96</v>
      </c>
      <c r="C68" s="29">
        <v>22</v>
      </c>
      <c r="D68" s="45" t="s">
        <v>75</v>
      </c>
      <c r="E68" s="29" t="s">
        <v>57</v>
      </c>
      <c r="F68" s="29">
        <v>1</v>
      </c>
      <c r="G68" s="30">
        <v>18000</v>
      </c>
      <c r="H68" s="29" t="s">
        <v>25</v>
      </c>
      <c r="I68" s="30">
        <f t="shared" si="14"/>
        <v>22320</v>
      </c>
      <c r="J68" s="30">
        <f t="shared" si="15"/>
        <v>22320</v>
      </c>
      <c r="K68" s="89">
        <f t="shared" si="2"/>
        <v>0.32809739600999999</v>
      </c>
      <c r="L68" s="89">
        <f t="shared" si="3"/>
        <v>0.67190260399000001</v>
      </c>
    </row>
    <row r="69" spans="1:12" ht="24.95" customHeight="1">
      <c r="A69" s="36" t="s">
        <v>192</v>
      </c>
      <c r="B69" s="29" t="s">
        <v>96</v>
      </c>
      <c r="C69" s="29">
        <v>23</v>
      </c>
      <c r="D69" s="45" t="s">
        <v>76</v>
      </c>
      <c r="E69" s="29" t="s">
        <v>57</v>
      </c>
      <c r="F69" s="29">
        <v>1</v>
      </c>
      <c r="G69" s="30">
        <v>11000</v>
      </c>
      <c r="H69" s="29" t="s">
        <v>25</v>
      </c>
      <c r="I69" s="30">
        <f t="shared" si="14"/>
        <v>13640</v>
      </c>
      <c r="J69" s="30">
        <f t="shared" si="15"/>
        <v>13640</v>
      </c>
      <c r="K69" s="89">
        <f t="shared" si="2"/>
        <v>0.32809739600999999</v>
      </c>
      <c r="L69" s="89">
        <f t="shared" si="3"/>
        <v>0.67190260399000001</v>
      </c>
    </row>
    <row r="70" spans="1:12" ht="24.95" customHeight="1">
      <c r="A70" s="36" t="s">
        <v>193</v>
      </c>
      <c r="B70" s="29" t="s">
        <v>96</v>
      </c>
      <c r="C70" s="29">
        <v>24</v>
      </c>
      <c r="D70" s="45" t="s">
        <v>77</v>
      </c>
      <c r="E70" s="29" t="s">
        <v>57</v>
      </c>
      <c r="F70" s="29">
        <v>1</v>
      </c>
      <c r="G70" s="30">
        <v>5000</v>
      </c>
      <c r="H70" s="29" t="s">
        <v>25</v>
      </c>
      <c r="I70" s="30">
        <f t="shared" si="14"/>
        <v>6200</v>
      </c>
      <c r="J70" s="30">
        <f t="shared" si="15"/>
        <v>6200</v>
      </c>
      <c r="K70" s="89">
        <f t="shared" si="2"/>
        <v>0.32809739600999999</v>
      </c>
      <c r="L70" s="89">
        <f t="shared" si="3"/>
        <v>0.67190260399000001</v>
      </c>
    </row>
    <row r="71" spans="1:12" ht="24.95" customHeight="1">
      <c r="A71" s="36" t="s">
        <v>194</v>
      </c>
      <c r="B71" s="29" t="s">
        <v>96</v>
      </c>
      <c r="C71" s="29">
        <v>25</v>
      </c>
      <c r="D71" s="45" t="s">
        <v>78</v>
      </c>
      <c r="E71" s="29" t="s">
        <v>57</v>
      </c>
      <c r="F71" s="29">
        <v>1</v>
      </c>
      <c r="G71" s="30">
        <v>4500</v>
      </c>
      <c r="H71" s="29" t="s">
        <v>25</v>
      </c>
      <c r="I71" s="30">
        <f t="shared" si="14"/>
        <v>5580</v>
      </c>
      <c r="J71" s="30">
        <f t="shared" si="15"/>
        <v>5580</v>
      </c>
      <c r="K71" s="89">
        <f t="shared" ref="K71:K98" si="18">F71*$K$5</f>
        <v>0.32809739600999999</v>
      </c>
      <c r="L71" s="89">
        <f t="shared" ref="L71:L98" si="19">F71*$L$5</f>
        <v>0.67190260399000001</v>
      </c>
    </row>
    <row r="72" spans="1:12" ht="24.95" customHeight="1">
      <c r="A72" s="36" t="s">
        <v>195</v>
      </c>
      <c r="B72" s="29" t="s">
        <v>96</v>
      </c>
      <c r="C72" s="29">
        <v>26</v>
      </c>
      <c r="D72" s="45" t="s">
        <v>79</v>
      </c>
      <c r="E72" s="29" t="s">
        <v>57</v>
      </c>
      <c r="F72" s="29">
        <v>1</v>
      </c>
      <c r="G72" s="30">
        <v>4000</v>
      </c>
      <c r="H72" s="29" t="s">
        <v>25</v>
      </c>
      <c r="I72" s="30">
        <f t="shared" si="14"/>
        <v>4960</v>
      </c>
      <c r="J72" s="30">
        <f t="shared" si="15"/>
        <v>4960</v>
      </c>
      <c r="K72" s="89">
        <f t="shared" si="18"/>
        <v>0.32809739600999999</v>
      </c>
      <c r="L72" s="89">
        <f t="shared" si="19"/>
        <v>0.67190260399000001</v>
      </c>
    </row>
    <row r="73" spans="1:12" ht="24.95" customHeight="1">
      <c r="A73" s="36" t="s">
        <v>196</v>
      </c>
      <c r="B73" s="29" t="s">
        <v>96</v>
      </c>
      <c r="C73" s="29">
        <v>27</v>
      </c>
      <c r="D73" s="45" t="s">
        <v>80</v>
      </c>
      <c r="E73" s="29" t="s">
        <v>57</v>
      </c>
      <c r="F73" s="29">
        <v>1</v>
      </c>
      <c r="G73" s="30">
        <v>3500</v>
      </c>
      <c r="H73" s="29" t="s">
        <v>25</v>
      </c>
      <c r="I73" s="30">
        <f t="shared" si="14"/>
        <v>4340</v>
      </c>
      <c r="J73" s="30">
        <f t="shared" si="15"/>
        <v>4340</v>
      </c>
      <c r="K73" s="89">
        <f t="shared" si="18"/>
        <v>0.32809739600999999</v>
      </c>
      <c r="L73" s="89">
        <f t="shared" si="19"/>
        <v>0.67190260399000001</v>
      </c>
    </row>
    <row r="74" spans="1:12" ht="24.95" customHeight="1">
      <c r="A74" s="36" t="s">
        <v>197</v>
      </c>
      <c r="B74" s="29" t="s">
        <v>96</v>
      </c>
      <c r="C74" s="29">
        <v>28</v>
      </c>
      <c r="D74" s="45" t="s">
        <v>81</v>
      </c>
      <c r="E74" s="29" t="s">
        <v>57</v>
      </c>
      <c r="F74" s="29">
        <v>2</v>
      </c>
      <c r="G74" s="30">
        <v>1000</v>
      </c>
      <c r="H74" s="29" t="s">
        <v>25</v>
      </c>
      <c r="I74" s="30">
        <f t="shared" ref="I74:I77" si="20">(G74*$H$4)+G74</f>
        <v>1240</v>
      </c>
      <c r="J74" s="30">
        <f t="shared" ref="J74:J77" si="21">F74*I74</f>
        <v>2480</v>
      </c>
      <c r="K74" s="89">
        <f t="shared" si="18"/>
        <v>0.65619479201999997</v>
      </c>
      <c r="L74" s="89">
        <f t="shared" si="19"/>
        <v>1.34380520798</v>
      </c>
    </row>
    <row r="75" spans="1:12" ht="24.95" customHeight="1">
      <c r="A75" s="36" t="s">
        <v>198</v>
      </c>
      <c r="B75" s="29" t="s">
        <v>96</v>
      </c>
      <c r="C75" s="29">
        <v>29</v>
      </c>
      <c r="D75" s="45" t="s">
        <v>84</v>
      </c>
      <c r="E75" s="29" t="s">
        <v>57</v>
      </c>
      <c r="F75" s="29">
        <v>1</v>
      </c>
      <c r="G75" s="30">
        <v>16000</v>
      </c>
      <c r="H75" s="29" t="s">
        <v>25</v>
      </c>
      <c r="I75" s="30">
        <f t="shared" si="20"/>
        <v>19840</v>
      </c>
      <c r="J75" s="30">
        <f t="shared" si="21"/>
        <v>19840</v>
      </c>
      <c r="K75" s="89">
        <f t="shared" si="18"/>
        <v>0.32809739600999999</v>
      </c>
      <c r="L75" s="89">
        <f t="shared" si="19"/>
        <v>0.67190260399000001</v>
      </c>
    </row>
    <row r="76" spans="1:12" ht="24.95" customHeight="1">
      <c r="A76" s="36" t="s">
        <v>199</v>
      </c>
      <c r="B76" s="29" t="s">
        <v>96</v>
      </c>
      <c r="C76" s="29">
        <v>30</v>
      </c>
      <c r="D76" s="45" t="s">
        <v>85</v>
      </c>
      <c r="E76" s="29" t="s">
        <v>57</v>
      </c>
      <c r="F76" s="29">
        <v>1</v>
      </c>
      <c r="G76" s="30">
        <v>16000</v>
      </c>
      <c r="H76" s="29" t="s">
        <v>25</v>
      </c>
      <c r="I76" s="30">
        <f t="shared" si="20"/>
        <v>19840</v>
      </c>
      <c r="J76" s="30">
        <f t="shared" si="21"/>
        <v>19840</v>
      </c>
      <c r="K76" s="89">
        <f t="shared" si="18"/>
        <v>0.32809739600999999</v>
      </c>
      <c r="L76" s="89">
        <f t="shared" si="19"/>
        <v>0.67190260399000001</v>
      </c>
    </row>
    <row r="77" spans="1:12" ht="24.95" customHeight="1">
      <c r="A77" s="36" t="s">
        <v>200</v>
      </c>
      <c r="B77" s="29" t="s">
        <v>96</v>
      </c>
      <c r="C77" s="29">
        <v>31</v>
      </c>
      <c r="D77" s="40" t="s">
        <v>138</v>
      </c>
      <c r="E77" s="29" t="s">
        <v>57</v>
      </c>
      <c r="F77" s="29">
        <v>1</v>
      </c>
      <c r="G77" s="30">
        <v>6000</v>
      </c>
      <c r="H77" s="29" t="s">
        <v>139</v>
      </c>
      <c r="I77" s="30">
        <f t="shared" si="20"/>
        <v>7440</v>
      </c>
      <c r="J77" s="30">
        <f t="shared" si="21"/>
        <v>7440</v>
      </c>
      <c r="K77" s="89">
        <f t="shared" si="18"/>
        <v>0.32809739600999999</v>
      </c>
      <c r="L77" s="89">
        <f t="shared" si="19"/>
        <v>0.67190260399000001</v>
      </c>
    </row>
    <row r="78" spans="1:12" ht="24.95" customHeight="1">
      <c r="A78" s="36" t="s">
        <v>201</v>
      </c>
      <c r="B78" s="29" t="s">
        <v>96</v>
      </c>
      <c r="C78" s="29">
        <v>32</v>
      </c>
      <c r="D78" s="40" t="s">
        <v>70</v>
      </c>
      <c r="E78" s="29" t="s">
        <v>57</v>
      </c>
      <c r="F78" s="29">
        <v>1</v>
      </c>
      <c r="G78" s="30">
        <v>15000</v>
      </c>
      <c r="H78" s="29" t="s">
        <v>25</v>
      </c>
      <c r="I78" s="30">
        <f>(G78*$H$4)+G78</f>
        <v>18600</v>
      </c>
      <c r="J78" s="30">
        <f>F78*I78</f>
        <v>18600</v>
      </c>
      <c r="K78" s="89">
        <f t="shared" si="18"/>
        <v>0.32809739600999999</v>
      </c>
      <c r="L78" s="89">
        <f t="shared" si="19"/>
        <v>0.67190260399000001</v>
      </c>
    </row>
    <row r="79" spans="1:12" ht="24.95" customHeight="1">
      <c r="A79" s="36" t="s">
        <v>202</v>
      </c>
      <c r="B79" s="29" t="s">
        <v>96</v>
      </c>
      <c r="C79" s="29">
        <v>33</v>
      </c>
      <c r="D79" s="45" t="s">
        <v>83</v>
      </c>
      <c r="E79" s="29" t="s">
        <v>57</v>
      </c>
      <c r="F79" s="29">
        <v>1</v>
      </c>
      <c r="G79" s="30">
        <v>45000</v>
      </c>
      <c r="H79" s="29" t="s">
        <v>25</v>
      </c>
      <c r="I79" s="30">
        <f t="shared" ref="I79:I89" si="22">(G79*$H$4)+G79</f>
        <v>55800</v>
      </c>
      <c r="J79" s="30">
        <f t="shared" ref="J79:J89" si="23">F79*I79</f>
        <v>55800</v>
      </c>
      <c r="K79" s="89">
        <f t="shared" si="18"/>
        <v>0.32809739600999999</v>
      </c>
      <c r="L79" s="89">
        <f t="shared" si="19"/>
        <v>0.67190260399000001</v>
      </c>
    </row>
    <row r="80" spans="1:12" ht="24.95" customHeight="1">
      <c r="A80" s="36" t="s">
        <v>203</v>
      </c>
      <c r="B80" s="29" t="s">
        <v>96</v>
      </c>
      <c r="C80" s="29">
        <v>34</v>
      </c>
      <c r="D80" s="45" t="s">
        <v>137</v>
      </c>
      <c r="E80" s="29" t="s">
        <v>57</v>
      </c>
      <c r="F80" s="29">
        <v>1</v>
      </c>
      <c r="G80" s="30">
        <v>6100</v>
      </c>
      <c r="H80" s="29"/>
      <c r="I80" s="30">
        <f t="shared" si="22"/>
        <v>7564</v>
      </c>
      <c r="J80" s="30">
        <f t="shared" si="23"/>
        <v>7564</v>
      </c>
      <c r="K80" s="89">
        <f t="shared" si="18"/>
        <v>0.32809739600999999</v>
      </c>
      <c r="L80" s="89">
        <f t="shared" si="19"/>
        <v>0.67190260399000001</v>
      </c>
    </row>
    <row r="81" spans="1:12" ht="72">
      <c r="A81" s="36" t="s">
        <v>204</v>
      </c>
      <c r="B81" s="29" t="s">
        <v>96</v>
      </c>
      <c r="C81" s="29">
        <v>35</v>
      </c>
      <c r="D81" s="42" t="s">
        <v>92</v>
      </c>
      <c r="E81" s="29" t="s">
        <v>91</v>
      </c>
      <c r="F81" s="29">
        <v>1</v>
      </c>
      <c r="G81" s="30">
        <v>7820</v>
      </c>
      <c r="H81" s="29" t="s">
        <v>25</v>
      </c>
      <c r="I81" s="30">
        <f t="shared" si="22"/>
        <v>9696.7999999999993</v>
      </c>
      <c r="J81" s="30">
        <f t="shared" si="23"/>
        <v>9696.7999999999993</v>
      </c>
      <c r="K81" s="89">
        <f t="shared" si="18"/>
        <v>0.32809739600999999</v>
      </c>
      <c r="L81" s="89">
        <f t="shared" si="19"/>
        <v>0.67190260399000001</v>
      </c>
    </row>
    <row r="82" spans="1:12">
      <c r="A82" s="36" t="s">
        <v>205</v>
      </c>
      <c r="B82" s="29" t="s">
        <v>96</v>
      </c>
      <c r="C82" s="29">
        <v>36</v>
      </c>
      <c r="D82" s="55" t="s">
        <v>128</v>
      </c>
      <c r="E82" s="29" t="s">
        <v>86</v>
      </c>
      <c r="F82" s="29">
        <v>72</v>
      </c>
      <c r="G82" s="30">
        <v>65.510000000000005</v>
      </c>
      <c r="H82" s="29" t="s">
        <v>25</v>
      </c>
      <c r="I82" s="30">
        <f t="shared" si="22"/>
        <v>81.232400000000013</v>
      </c>
      <c r="J82" s="30">
        <f t="shared" si="23"/>
        <v>5848.7328000000007</v>
      </c>
      <c r="K82" s="89">
        <f t="shared" si="18"/>
        <v>23.623012512719999</v>
      </c>
      <c r="L82" s="89">
        <f t="shared" si="19"/>
        <v>48.376987487280005</v>
      </c>
    </row>
    <row r="83" spans="1:12" ht="24.95" customHeight="1">
      <c r="A83" s="36" t="s">
        <v>206</v>
      </c>
      <c r="B83" s="29" t="s">
        <v>26</v>
      </c>
      <c r="C83" s="29">
        <v>41388</v>
      </c>
      <c r="D83" s="45" t="s">
        <v>141</v>
      </c>
      <c r="E83" s="29" t="s">
        <v>57</v>
      </c>
      <c r="F83" s="29">
        <v>18</v>
      </c>
      <c r="G83" s="30">
        <v>150</v>
      </c>
      <c r="H83" s="29" t="s">
        <v>25</v>
      </c>
      <c r="I83" s="30">
        <f t="shared" si="22"/>
        <v>186</v>
      </c>
      <c r="J83" s="30">
        <f t="shared" si="23"/>
        <v>3348</v>
      </c>
      <c r="K83" s="89">
        <f t="shared" si="18"/>
        <v>5.9057531281799998</v>
      </c>
      <c r="L83" s="89">
        <f t="shared" si="19"/>
        <v>12.094246871820001</v>
      </c>
    </row>
    <row r="84" spans="1:12" ht="24.95" customHeight="1">
      <c r="A84" s="36" t="s">
        <v>207</v>
      </c>
      <c r="B84" s="29" t="s">
        <v>101</v>
      </c>
      <c r="C84" s="29"/>
      <c r="D84" s="42" t="s">
        <v>87</v>
      </c>
      <c r="E84" s="29" t="s">
        <v>57</v>
      </c>
      <c r="F84" s="29">
        <v>4</v>
      </c>
      <c r="G84" s="30">
        <v>3108.35</v>
      </c>
      <c r="H84" s="29" t="s">
        <v>25</v>
      </c>
      <c r="I84" s="30">
        <f t="shared" si="22"/>
        <v>3854.3539999999998</v>
      </c>
      <c r="J84" s="30">
        <f t="shared" si="23"/>
        <v>15417.415999999999</v>
      </c>
      <c r="K84" s="89">
        <f t="shared" si="18"/>
        <v>1.3123895840399999</v>
      </c>
      <c r="L84" s="89">
        <f t="shared" si="19"/>
        <v>2.6876104159600001</v>
      </c>
    </row>
    <row r="85" spans="1:12" ht="24">
      <c r="A85" s="36" t="s">
        <v>208</v>
      </c>
      <c r="B85" s="29" t="s">
        <v>101</v>
      </c>
      <c r="C85" s="29"/>
      <c r="D85" s="42" t="s">
        <v>88</v>
      </c>
      <c r="E85" s="29" t="s">
        <v>57</v>
      </c>
      <c r="F85" s="29">
        <v>8</v>
      </c>
      <c r="G85" s="30">
        <v>3654.05</v>
      </c>
      <c r="H85" s="29" t="s">
        <v>25</v>
      </c>
      <c r="I85" s="30">
        <f t="shared" si="22"/>
        <v>4531.0219999999999</v>
      </c>
      <c r="J85" s="30">
        <f t="shared" si="23"/>
        <v>36248.175999999999</v>
      </c>
      <c r="K85" s="89">
        <f t="shared" si="18"/>
        <v>2.6247791680799999</v>
      </c>
      <c r="L85" s="89">
        <f t="shared" si="19"/>
        <v>5.3752208319200001</v>
      </c>
    </row>
    <row r="86" spans="1:12" ht="36">
      <c r="A86" s="36" t="s">
        <v>209</v>
      </c>
      <c r="B86" s="29" t="s">
        <v>101</v>
      </c>
      <c r="C86" s="29"/>
      <c r="D86" s="42" t="s">
        <v>93</v>
      </c>
      <c r="E86" s="29" t="s">
        <v>57</v>
      </c>
      <c r="F86" s="29">
        <v>24</v>
      </c>
      <c r="G86" s="30">
        <v>90</v>
      </c>
      <c r="H86" s="29" t="s">
        <v>25</v>
      </c>
      <c r="I86" s="30">
        <f t="shared" si="22"/>
        <v>111.6</v>
      </c>
      <c r="J86" s="30">
        <f t="shared" si="23"/>
        <v>2678.3999999999996</v>
      </c>
      <c r="K86" s="89">
        <f t="shared" si="18"/>
        <v>7.8743375042399997</v>
      </c>
      <c r="L86" s="89">
        <f t="shared" si="19"/>
        <v>16.12566249576</v>
      </c>
    </row>
    <row r="87" spans="1:12" ht="40.5">
      <c r="A87" s="36" t="s">
        <v>210</v>
      </c>
      <c r="B87" s="29" t="s">
        <v>96</v>
      </c>
      <c r="C87" s="29">
        <v>36</v>
      </c>
      <c r="D87" s="39" t="s">
        <v>125</v>
      </c>
      <c r="E87" s="29" t="s">
        <v>57</v>
      </c>
      <c r="F87" s="29">
        <v>2</v>
      </c>
      <c r="G87" s="30">
        <v>4770</v>
      </c>
      <c r="H87" s="29" t="s">
        <v>25</v>
      </c>
      <c r="I87" s="30">
        <f t="shared" si="22"/>
        <v>5914.8</v>
      </c>
      <c r="J87" s="30">
        <f t="shared" si="23"/>
        <v>11829.6</v>
      </c>
      <c r="K87" s="89">
        <f t="shared" si="18"/>
        <v>0.65619479201999997</v>
      </c>
      <c r="L87" s="89">
        <f t="shared" si="19"/>
        <v>1.34380520798</v>
      </c>
    </row>
    <row r="88" spans="1:12" ht="40.5">
      <c r="A88" s="36" t="s">
        <v>211</v>
      </c>
      <c r="B88" s="29" t="s">
        <v>96</v>
      </c>
      <c r="C88" s="29">
        <v>37</v>
      </c>
      <c r="D88" s="48" t="s">
        <v>126</v>
      </c>
      <c r="E88" s="29" t="s">
        <v>57</v>
      </c>
      <c r="F88" s="29">
        <v>1</v>
      </c>
      <c r="G88" s="30">
        <v>4600</v>
      </c>
      <c r="H88" s="29" t="s">
        <v>25</v>
      </c>
      <c r="I88" s="30">
        <f t="shared" si="22"/>
        <v>5704</v>
      </c>
      <c r="J88" s="30">
        <f t="shared" si="23"/>
        <v>5704</v>
      </c>
      <c r="K88" s="89">
        <f t="shared" si="18"/>
        <v>0.32809739600999999</v>
      </c>
      <c r="L88" s="89">
        <f t="shared" si="19"/>
        <v>0.67190260399000001</v>
      </c>
    </row>
    <row r="89" spans="1:12" ht="48">
      <c r="A89" s="36" t="s">
        <v>212</v>
      </c>
      <c r="B89" s="29" t="s">
        <v>96</v>
      </c>
      <c r="C89" s="29">
        <v>38</v>
      </c>
      <c r="D89" s="42" t="s">
        <v>127</v>
      </c>
      <c r="E89" s="29" t="s">
        <v>57</v>
      </c>
      <c r="F89" s="29">
        <v>1</v>
      </c>
      <c r="G89" s="30">
        <v>4547</v>
      </c>
      <c r="H89" s="29" t="s">
        <v>25</v>
      </c>
      <c r="I89" s="30">
        <f t="shared" si="22"/>
        <v>5638.28</v>
      </c>
      <c r="J89" s="30">
        <f t="shared" si="23"/>
        <v>5638.28</v>
      </c>
      <c r="K89" s="89">
        <f t="shared" si="18"/>
        <v>0.32809739600999999</v>
      </c>
      <c r="L89" s="89">
        <f t="shared" si="19"/>
        <v>0.67190260399000001</v>
      </c>
    </row>
    <row r="90" spans="1:12" s="58" customFormat="1" ht="24.95" customHeight="1">
      <c r="A90" s="91">
        <v>3</v>
      </c>
      <c r="B90" s="31"/>
      <c r="C90" s="31"/>
      <c r="D90" s="53" t="s">
        <v>90</v>
      </c>
      <c r="E90" s="33"/>
      <c r="F90" s="33"/>
      <c r="G90" s="34"/>
      <c r="H90" s="33" t="s">
        <v>25</v>
      </c>
      <c r="I90" s="34">
        <f t="shared" ref="I90:I98" si="24">(G90*$H$4)+G90</f>
        <v>0</v>
      </c>
      <c r="J90" s="34">
        <f t="shared" si="15"/>
        <v>0</v>
      </c>
      <c r="K90" s="89">
        <f t="shared" si="18"/>
        <v>0</v>
      </c>
      <c r="L90" s="89">
        <f t="shared" si="19"/>
        <v>0</v>
      </c>
    </row>
    <row r="91" spans="1:12" s="58" customFormat="1" ht="24.95" customHeight="1">
      <c r="A91" s="91" t="s">
        <v>213</v>
      </c>
      <c r="B91" s="31"/>
      <c r="C91" s="31"/>
      <c r="D91" s="53" t="s">
        <v>46</v>
      </c>
      <c r="E91" s="33"/>
      <c r="F91" s="33"/>
      <c r="G91" s="34"/>
      <c r="H91" s="33" t="s">
        <v>25</v>
      </c>
      <c r="I91" s="34">
        <f t="shared" si="24"/>
        <v>0</v>
      </c>
      <c r="J91" s="34">
        <f>F91*I91</f>
        <v>0</v>
      </c>
      <c r="K91" s="89">
        <f t="shared" si="18"/>
        <v>0</v>
      </c>
      <c r="L91" s="89">
        <f t="shared" si="19"/>
        <v>0</v>
      </c>
    </row>
    <row r="92" spans="1:12" s="26" customFormat="1" ht="24.95" customHeight="1">
      <c r="A92" s="94" t="s">
        <v>214</v>
      </c>
      <c r="B92" s="37" t="s">
        <v>26</v>
      </c>
      <c r="C92" s="38">
        <v>87298</v>
      </c>
      <c r="D92" s="41" t="s">
        <v>95</v>
      </c>
      <c r="E92" s="29" t="s">
        <v>31</v>
      </c>
      <c r="F92" s="81">
        <f>F93*0.06</f>
        <v>48.6</v>
      </c>
      <c r="G92" s="30">
        <v>774.41</v>
      </c>
      <c r="H92" s="29" t="s">
        <v>25</v>
      </c>
      <c r="I92" s="30">
        <f t="shared" si="24"/>
        <v>960.26839999999993</v>
      </c>
      <c r="J92" s="30">
        <f t="shared" si="15"/>
        <v>46669.044239999996</v>
      </c>
      <c r="K92" s="89">
        <f t="shared" si="18"/>
        <v>15.945533446085999</v>
      </c>
      <c r="L92" s="89">
        <f t="shared" si="19"/>
        <v>32.654466553913998</v>
      </c>
    </row>
    <row r="93" spans="1:12" ht="24.95" customHeight="1">
      <c r="A93" s="36" t="s">
        <v>215</v>
      </c>
      <c r="B93" s="29" t="s">
        <v>101</v>
      </c>
      <c r="C93" s="29"/>
      <c r="D93" s="40" t="s">
        <v>97</v>
      </c>
      <c r="E93" s="29" t="s">
        <v>30</v>
      </c>
      <c r="F93" s="81">
        <v>810</v>
      </c>
      <c r="G93" s="30">
        <v>123</v>
      </c>
      <c r="H93" s="29" t="s">
        <v>25</v>
      </c>
      <c r="I93" s="30">
        <f t="shared" si="24"/>
        <v>152.52000000000001</v>
      </c>
      <c r="J93" s="30">
        <f t="shared" si="15"/>
        <v>123541.20000000001</v>
      </c>
      <c r="K93" s="89">
        <f t="shared" si="18"/>
        <v>265.7588907681</v>
      </c>
      <c r="L93" s="89">
        <f t="shared" si="19"/>
        <v>544.24110923190005</v>
      </c>
    </row>
    <row r="94" spans="1:12" ht="24.95" customHeight="1">
      <c r="A94" s="94" t="s">
        <v>216</v>
      </c>
      <c r="B94" s="37" t="s">
        <v>26</v>
      </c>
      <c r="C94" s="38">
        <v>97113</v>
      </c>
      <c r="D94" s="39" t="s">
        <v>98</v>
      </c>
      <c r="E94" s="29" t="s">
        <v>30</v>
      </c>
      <c r="F94" s="81">
        <v>225</v>
      </c>
      <c r="G94" s="30">
        <v>2.77</v>
      </c>
      <c r="H94" s="29" t="s">
        <v>25</v>
      </c>
      <c r="I94" s="30">
        <f t="shared" si="24"/>
        <v>3.4348000000000001</v>
      </c>
      <c r="J94" s="30">
        <f t="shared" si="15"/>
        <v>772.83</v>
      </c>
      <c r="K94" s="89">
        <f t="shared" si="18"/>
        <v>73.821914102249991</v>
      </c>
      <c r="L94" s="89">
        <f t="shared" si="19"/>
        <v>151.17808589775001</v>
      </c>
    </row>
    <row r="95" spans="1:12" ht="24.95" customHeight="1">
      <c r="A95" s="36" t="s">
        <v>217</v>
      </c>
      <c r="B95" s="37" t="s">
        <v>101</v>
      </c>
      <c r="C95" s="52">
        <v>2</v>
      </c>
      <c r="D95" s="39" t="s">
        <v>100</v>
      </c>
      <c r="E95" s="29" t="s">
        <v>31</v>
      </c>
      <c r="F95" s="29">
        <f>F94*0.025</f>
        <v>5.625</v>
      </c>
      <c r="G95" s="30">
        <v>2112.5</v>
      </c>
      <c r="H95" s="29" t="s">
        <v>25</v>
      </c>
      <c r="I95" s="30">
        <f t="shared" si="24"/>
        <v>2619.5</v>
      </c>
      <c r="J95" s="30">
        <f t="shared" si="15"/>
        <v>14734.6875</v>
      </c>
      <c r="K95" s="89">
        <f t="shared" si="18"/>
        <v>1.8455478525562499</v>
      </c>
      <c r="L95" s="89">
        <f t="shared" si="19"/>
        <v>3.7794521474437501</v>
      </c>
    </row>
    <row r="96" spans="1:12" ht="24.95" customHeight="1">
      <c r="A96" s="94" t="s">
        <v>218</v>
      </c>
      <c r="B96" s="37" t="s">
        <v>101</v>
      </c>
      <c r="C96" s="38">
        <v>3</v>
      </c>
      <c r="D96" s="39" t="s">
        <v>99</v>
      </c>
      <c r="E96" s="29" t="s">
        <v>31</v>
      </c>
      <c r="F96" s="29">
        <f>F94*0.025</f>
        <v>5.625</v>
      </c>
      <c r="G96" s="30">
        <v>2112.5</v>
      </c>
      <c r="H96" s="29" t="s">
        <v>25</v>
      </c>
      <c r="I96" s="30">
        <f t="shared" si="24"/>
        <v>2619.5</v>
      </c>
      <c r="J96" s="30">
        <f t="shared" si="15"/>
        <v>14734.6875</v>
      </c>
      <c r="K96" s="89">
        <f t="shared" si="18"/>
        <v>1.8455478525562499</v>
      </c>
      <c r="L96" s="89">
        <f t="shared" si="19"/>
        <v>3.7794521474437501</v>
      </c>
    </row>
    <row r="97" spans="1:12" ht="24.95" customHeight="1">
      <c r="A97" s="36" t="s">
        <v>219</v>
      </c>
      <c r="B97" s="37" t="s">
        <v>101</v>
      </c>
      <c r="C97" s="52">
        <v>4</v>
      </c>
      <c r="D97" s="39" t="s">
        <v>102</v>
      </c>
      <c r="E97" s="29" t="s">
        <v>30</v>
      </c>
      <c r="F97" s="81">
        <v>90</v>
      </c>
      <c r="G97" s="30">
        <v>93</v>
      </c>
      <c r="H97" s="29" t="s">
        <v>25</v>
      </c>
      <c r="I97" s="30">
        <f t="shared" si="24"/>
        <v>115.32</v>
      </c>
      <c r="J97" s="30">
        <f t="shared" si="15"/>
        <v>10378.799999999999</v>
      </c>
      <c r="K97" s="89">
        <f t="shared" si="18"/>
        <v>29.528765640899998</v>
      </c>
      <c r="L97" s="89">
        <f t="shared" si="19"/>
        <v>60.471234359100002</v>
      </c>
    </row>
    <row r="98" spans="1:12" ht="40.5">
      <c r="A98" s="94" t="s">
        <v>220</v>
      </c>
      <c r="B98" s="37" t="s">
        <v>101</v>
      </c>
      <c r="C98" s="38">
        <v>5</v>
      </c>
      <c r="D98" s="39" t="s">
        <v>103</v>
      </c>
      <c r="E98" s="29" t="s">
        <v>31</v>
      </c>
      <c r="F98" s="81">
        <f>0.38*4</f>
        <v>1.52</v>
      </c>
      <c r="G98" s="30">
        <v>754.47</v>
      </c>
      <c r="H98" s="29" t="s">
        <v>25</v>
      </c>
      <c r="I98" s="30">
        <f t="shared" si="24"/>
        <v>935.54280000000006</v>
      </c>
      <c r="J98" s="30">
        <f t="shared" si="15"/>
        <v>1422.0250560000002</v>
      </c>
      <c r="K98" s="89">
        <f t="shared" si="18"/>
        <v>0.49870804193519996</v>
      </c>
      <c r="L98" s="89">
        <f t="shared" si="19"/>
        <v>1.0212919580648001</v>
      </c>
    </row>
    <row r="99" spans="1:12" ht="30" customHeight="1">
      <c r="A99" s="95"/>
      <c r="B99" s="49"/>
      <c r="C99" s="49"/>
      <c r="D99" s="50"/>
      <c r="E99" s="49"/>
      <c r="F99" s="49"/>
      <c r="G99" s="51"/>
      <c r="H99" s="50"/>
      <c r="I99" s="51"/>
      <c r="J99" s="80">
        <f>SUM(J7:J98)</f>
        <v>1206958.6762880003</v>
      </c>
    </row>
  </sheetData>
  <phoneticPr fontId="15" type="noConversion"/>
  <conditionalFormatting sqref="A5:A6 A91">
    <cfRule type="expression" dxfId="12" priority="47" stopIfTrue="1">
      <formula>$H4=$A$2</formula>
    </cfRule>
    <cfRule type="expression" dxfId="11" priority="48" stopIfTrue="1">
      <formula>AND($H4&lt;&gt;"",$H4&lt;&gt;"Serviço")</formula>
    </cfRule>
    <cfRule type="expression" dxfId="10" priority="49" stopIfTrue="1">
      <formula>$H4=""</formula>
    </cfRule>
  </conditionalFormatting>
  <conditionalFormatting sqref="A28">
    <cfRule type="expression" dxfId="9" priority="57" stopIfTrue="1">
      <formula>#REF!=$A$2</formula>
    </cfRule>
    <cfRule type="expression" dxfId="8" priority="58" stopIfTrue="1">
      <formula>AND(#REF!&lt;&gt;"",#REF!&lt;&gt;"Serviço")</formula>
    </cfRule>
    <cfRule type="expression" dxfId="7" priority="59" stopIfTrue="1">
      <formula>#REF!=""</formula>
    </cfRule>
  </conditionalFormatting>
  <conditionalFormatting sqref="A47 A90">
    <cfRule type="expression" dxfId="6" priority="63" stopIfTrue="1">
      <formula>#REF!=$A$2</formula>
    </cfRule>
    <cfRule type="expression" dxfId="5" priority="64" stopIfTrue="1">
      <formula>AND(#REF!&lt;&gt;"",#REF!&lt;&gt;"Serviço")</formula>
    </cfRule>
    <cfRule type="expression" dxfId="4" priority="65" stopIfTrue="1">
      <formula>#REF!=""</formula>
    </cfRule>
  </conditionalFormatting>
  <conditionalFormatting sqref="D53">
    <cfRule type="expression" dxfId="3" priority="2">
      <formula>AND($B53&lt;&gt;"",$C53&lt;&gt;"",$C53&lt;&gt;0,D53="CÓDIGO REPETIDO")</formula>
    </cfRule>
  </conditionalFormatting>
  <conditionalFormatting sqref="D57">
    <cfRule type="expression" dxfId="2" priority="3">
      <formula>AND($B57&lt;&gt;"",$C57&lt;&gt;"",$C57&lt;&gt;0,D57="CÓDIGO REPETIDO")</formula>
    </cfRule>
  </conditionalFormatting>
  <conditionalFormatting sqref="D82:D83">
    <cfRule type="expression" dxfId="1" priority="1">
      <formula>AND($B82&lt;&gt;"",$C82&lt;&gt;"",$C82&lt;&gt;0,D82="CÓDIGO REPETIDO")</formula>
    </cfRule>
  </conditionalFormatting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7:Q120"/>
  <sheetViews>
    <sheetView tabSelected="1" topLeftCell="A19" zoomScale="70" zoomScaleNormal="70" workbookViewId="0">
      <selection activeCell="G133" sqref="G132:G133"/>
    </sheetView>
  </sheetViews>
  <sheetFormatPr defaultRowHeight="18.75"/>
  <cols>
    <col min="1" max="3" width="9.140625" style="96"/>
    <col min="4" max="4" width="85.5703125" style="96" customWidth="1"/>
    <col min="5" max="5" width="30.28515625" style="97" customWidth="1"/>
    <col min="6" max="15" width="25.5703125" style="96" customWidth="1"/>
    <col min="16" max="16" width="22.5703125" style="131" customWidth="1"/>
    <col min="17" max="17" width="0" style="96" hidden="1" customWidth="1"/>
    <col min="18" max="16384" width="9.140625" style="96"/>
  </cols>
  <sheetData>
    <row r="7" spans="3:17" ht="19.5" thickBot="1">
      <c r="C7" s="96" t="s">
        <v>16</v>
      </c>
      <c r="E7" s="97" t="s">
        <v>221</v>
      </c>
      <c r="F7" s="96" t="s">
        <v>222</v>
      </c>
      <c r="G7" s="96" t="s">
        <v>223</v>
      </c>
      <c r="H7" s="96" t="s">
        <v>224</v>
      </c>
      <c r="I7" s="96" t="s">
        <v>225</v>
      </c>
      <c r="J7" s="96" t="s">
        <v>226</v>
      </c>
      <c r="K7" s="96" t="s">
        <v>227</v>
      </c>
      <c r="L7" s="96" t="s">
        <v>228</v>
      </c>
      <c r="M7" s="96" t="s">
        <v>229</v>
      </c>
      <c r="N7" s="96" t="s">
        <v>230</v>
      </c>
      <c r="O7" s="96" t="s">
        <v>231</v>
      </c>
      <c r="P7" s="131" t="s">
        <v>237</v>
      </c>
    </row>
    <row r="8" spans="3:17" ht="30" customHeight="1">
      <c r="C8" s="98">
        <v>1</v>
      </c>
      <c r="D8" s="98" t="str">
        <f>VLOOKUP(C8,'Calcadao &amp; Passeio'!$A$5:$J$98,4,0)</f>
        <v>Calçadão de 5,0 m</v>
      </c>
      <c r="E8" s="99">
        <f>E10+E20+E26+E32+E36</f>
        <v>494567.62565599999</v>
      </c>
      <c r="F8" s="100">
        <f>F9/$E$8</f>
        <v>0.10475970532215413</v>
      </c>
      <c r="G8" s="100">
        <f>G9/$E$8</f>
        <v>0.19255463138106574</v>
      </c>
      <c r="H8" s="100">
        <f t="shared" ref="H8:O8" si="0">H9/$E$8</f>
        <v>0.13169238908836742</v>
      </c>
      <c r="I8" s="100">
        <f t="shared" si="0"/>
        <v>0.13169238908836742</v>
      </c>
      <c r="J8" s="100">
        <f t="shared" si="0"/>
        <v>0.13169238908836742</v>
      </c>
      <c r="K8" s="100">
        <f t="shared" si="0"/>
        <v>0.13169238908836742</v>
      </c>
      <c r="L8" s="100">
        <f t="shared" si="0"/>
        <v>8.7794926058911607E-2</v>
      </c>
      <c r="M8" s="100">
        <f t="shared" si="0"/>
        <v>4.2166129520384638E-4</v>
      </c>
      <c r="N8" s="100">
        <f t="shared" si="0"/>
        <v>5.0800510831405235E-3</v>
      </c>
      <c r="O8" s="101">
        <f t="shared" si="0"/>
        <v>8.2619468506054394E-2</v>
      </c>
      <c r="P8" s="132">
        <f>SUM(F8:O8)</f>
        <v>0.99999999999999989</v>
      </c>
      <c r="Q8" s="96" t="str">
        <f>IF(P8=1,"OK';""FALTA")</f>
        <v>OK';"FALTA</v>
      </c>
    </row>
    <row r="9" spans="3:17" ht="30" customHeight="1" thickBot="1">
      <c r="C9" s="102"/>
      <c r="D9" s="103"/>
      <c r="E9" s="104"/>
      <c r="F9" s="105">
        <f>F19+F25+F31+F35+F55</f>
        <v>51810.758725599997</v>
      </c>
      <c r="G9" s="105">
        <f t="shared" ref="G9:O9" si="1">G19+G25+G31+G35+G55</f>
        <v>95231.286851199984</v>
      </c>
      <c r="H9" s="105">
        <f t="shared" si="1"/>
        <v>65130.792188399988</v>
      </c>
      <c r="I9" s="105">
        <f t="shared" si="1"/>
        <v>65130.792188399988</v>
      </c>
      <c r="J9" s="105">
        <f t="shared" si="1"/>
        <v>65130.792188399988</v>
      </c>
      <c r="K9" s="105">
        <f t="shared" si="1"/>
        <v>65130.792188399988</v>
      </c>
      <c r="L9" s="105">
        <f t="shared" si="1"/>
        <v>43420.528125599994</v>
      </c>
      <c r="M9" s="105">
        <f t="shared" si="1"/>
        <v>208.54002560000001</v>
      </c>
      <c r="N9" s="105">
        <f t="shared" si="1"/>
        <v>2512.4288023999998</v>
      </c>
      <c r="O9" s="106">
        <f t="shared" si="1"/>
        <v>40860.914371999992</v>
      </c>
      <c r="P9" s="133"/>
    </row>
    <row r="10" spans="3:17" ht="30" customHeight="1">
      <c r="C10" s="107" t="s">
        <v>27</v>
      </c>
      <c r="D10" s="108" t="str">
        <f>VLOOKUP(C10,'Calcadao &amp; Passeio'!$A$5:$J$98,4,0)</f>
        <v>Repaginação Passeio Rua Uruguaiana</v>
      </c>
      <c r="E10" s="109">
        <f>SUM(E11:E18)</f>
        <v>434205.28125599993</v>
      </c>
      <c r="F10" s="110">
        <v>0.1</v>
      </c>
      <c r="G10" s="110">
        <v>0.2</v>
      </c>
      <c r="H10" s="110">
        <v>0.15</v>
      </c>
      <c r="I10" s="110">
        <v>0.15</v>
      </c>
      <c r="J10" s="110">
        <v>0.15</v>
      </c>
      <c r="K10" s="110">
        <v>0.15</v>
      </c>
      <c r="L10" s="110">
        <v>0.1</v>
      </c>
      <c r="M10" s="110"/>
      <c r="N10" s="110"/>
      <c r="O10" s="111"/>
      <c r="P10" s="132">
        <f>SUM(F10:O10)</f>
        <v>1.0000000000000002</v>
      </c>
      <c r="Q10" s="96" t="str">
        <f>IF(P10=1,"OK';""FALTA")</f>
        <v>OK';"FALTA</v>
      </c>
    </row>
    <row r="11" spans="3:17" ht="30" hidden="1" customHeight="1">
      <c r="C11" s="112" t="s">
        <v>34</v>
      </c>
      <c r="D11" s="112" t="str">
        <f>VLOOKUP(C11,'Calcadao &amp; Passeio'!$A$5:$J$98,4,0)</f>
        <v>FORNECIMENTO E INSTALAÇÃO DE PLACA DE OBRA COM CHAPA GALVANIZADA E ESTRUTURA DE MADEIRA. AF_03/2022_PS</v>
      </c>
      <c r="E11" s="113">
        <f>VLOOKUP(C11,'Calcadao &amp; Passeio'!$A$5:$J$98,10,0)</f>
        <v>2582.2565999999997</v>
      </c>
      <c r="F11" s="114"/>
      <c r="G11" s="114"/>
      <c r="H11" s="114"/>
      <c r="I11" s="114"/>
      <c r="J11" s="114"/>
      <c r="K11" s="114"/>
      <c r="L11" s="114"/>
      <c r="M11" s="114"/>
      <c r="N11" s="114"/>
      <c r="O11" s="115"/>
      <c r="P11" s="134"/>
    </row>
    <row r="12" spans="3:17" ht="30" hidden="1" customHeight="1">
      <c r="C12" s="112" t="s">
        <v>35</v>
      </c>
      <c r="D12" s="112" t="str">
        <f>VLOOKUP(C12,'Calcadao &amp; Passeio'!$A$5:$J$98,4,0)</f>
        <v>ARGAMASSA TRAÇO 1:3 (EM VOLUME DE CIMENTO E AREIA MÉDIA ÚMIDA) PARA CONTRAPISO, PREPARO MECÂNICO COM BETONEIRA 400 L. AF_08/2019</v>
      </c>
      <c r="E12" s="113">
        <f>VLOOKUP(C12,'Calcadao &amp; Passeio'!$A$5:$J$98,10,0)</f>
        <v>100828.18199999999</v>
      </c>
      <c r="F12" s="114"/>
      <c r="G12" s="114"/>
      <c r="H12" s="114"/>
      <c r="I12" s="114"/>
      <c r="J12" s="114"/>
      <c r="K12" s="114"/>
      <c r="L12" s="114"/>
      <c r="M12" s="114"/>
      <c r="N12" s="114"/>
      <c r="O12" s="115"/>
      <c r="P12" s="134"/>
    </row>
    <row r="13" spans="3:17" ht="30" hidden="1" customHeight="1">
      <c r="C13" s="112" t="s">
        <v>36</v>
      </c>
      <c r="D13" s="112" t="str">
        <f>VLOOKUP(C13,'Calcadao &amp; Passeio'!$A$5:$J$98,4,0)</f>
        <v>FORNECIMENTO E EXECUÇÃO DE PASSEIO EM PEDRA BASALTO IRREGULAR (7 a 9 CM) COM REJUNTE</v>
      </c>
      <c r="E13" s="113">
        <f>VLOOKUP(C13,'Calcadao &amp; Passeio'!$A$5:$J$98,10,0)</f>
        <v>266910</v>
      </c>
      <c r="F13" s="114"/>
      <c r="G13" s="114"/>
      <c r="H13" s="114"/>
      <c r="I13" s="114"/>
      <c r="J13" s="114"/>
      <c r="K13" s="114"/>
      <c r="L13" s="114"/>
      <c r="M13" s="114"/>
      <c r="N13" s="114"/>
      <c r="O13" s="115"/>
      <c r="P13" s="134"/>
    </row>
    <row r="14" spans="3:17" ht="30" hidden="1" customHeight="1">
      <c r="C14" s="112" t="s">
        <v>37</v>
      </c>
      <c r="D14" s="112" t="str">
        <f>VLOOKUP(C14,'Calcadao &amp; Passeio'!$A$5:$J$98,4,0)</f>
        <v>APLICAÇÃO DE LONA PLÁSTICA PARA EXECUÇÃO DE PAVIMENTOS DE CONCRETO. AF_04/2022</v>
      </c>
      <c r="E14" s="113">
        <f>VLOOKUP(C14,'Calcadao &amp; Passeio'!$A$5:$J$98,10,0)</f>
        <v>1071.6576</v>
      </c>
      <c r="F14" s="114"/>
      <c r="G14" s="114"/>
      <c r="H14" s="114"/>
      <c r="I14" s="114"/>
      <c r="J14" s="114"/>
      <c r="K14" s="114"/>
      <c r="L14" s="114"/>
      <c r="M14" s="114"/>
      <c r="N14" s="114"/>
      <c r="O14" s="115"/>
      <c r="P14" s="134"/>
    </row>
    <row r="15" spans="3:17" ht="30" hidden="1" customHeight="1">
      <c r="C15" s="112" t="s">
        <v>38</v>
      </c>
      <c r="D15" s="112" t="str">
        <f>VLOOKUP(C15,'Calcadao &amp; Passeio'!$A$5:$J$98,4,0)</f>
        <v>FORNECIMENTO E EXECUÇÃO DE PASSEIO COM PEDRA DOLOMITA Nº3 BRANCA</v>
      </c>
      <c r="E15" s="113">
        <f>VLOOKUP(C15,'Calcadao &amp; Passeio'!$A$5:$J$98,10,0)</f>
        <v>20432.100000000002</v>
      </c>
      <c r="F15" s="114"/>
      <c r="G15" s="114"/>
      <c r="H15" s="114"/>
      <c r="I15" s="114"/>
      <c r="J15" s="114"/>
      <c r="K15" s="114"/>
      <c r="L15" s="114"/>
      <c r="M15" s="114"/>
      <c r="N15" s="114"/>
      <c r="O15" s="115"/>
      <c r="P15" s="134"/>
    </row>
    <row r="16" spans="3:17" ht="30" hidden="1" customHeight="1">
      <c r="C16" s="112" t="s">
        <v>39</v>
      </c>
      <c r="D16" s="112" t="str">
        <f>VLOOKUP(C16,'Calcadao &amp; Passeio'!$A$5:$J$98,4,0)</f>
        <v>FORNECIMENTO E EXECUÇÃO DE PASSEIO COM PEDRA DOLOMITA Nº2 BRANCA</v>
      </c>
      <c r="E16" s="113">
        <f>VLOOKUP(C16,'Calcadao &amp; Passeio'!$A$5:$J$98,10,0)</f>
        <v>20432.100000000002</v>
      </c>
      <c r="F16" s="114"/>
      <c r="G16" s="114"/>
      <c r="H16" s="114"/>
      <c r="I16" s="114"/>
      <c r="J16" s="114"/>
      <c r="K16" s="114"/>
      <c r="L16" s="114"/>
      <c r="M16" s="114"/>
      <c r="N16" s="114"/>
      <c r="O16" s="115"/>
      <c r="P16" s="134"/>
    </row>
    <row r="17" spans="3:17" ht="30" hidden="1" customHeight="1">
      <c r="C17" s="112" t="s">
        <v>40</v>
      </c>
      <c r="D17" s="112" t="str">
        <f>VLOOKUP(C17,'Calcadao &amp; Passeio'!$A$5:$J$98,4,0)</f>
        <v>FORNECIMENTO E INSTALAÇÃO DE PISO TÁTIL DIRECIONAL E DE ALERTA EM CONCRETO (20 x 20 x 6 cm)</v>
      </c>
      <c r="E17" s="113">
        <f>VLOOKUP(C17,'Calcadao &amp; Passeio'!$A$5:$J$98,10,0)</f>
        <v>20526.96</v>
      </c>
      <c r="F17" s="114"/>
      <c r="G17" s="114"/>
      <c r="H17" s="114"/>
      <c r="I17" s="114"/>
      <c r="J17" s="114"/>
      <c r="K17" s="114"/>
      <c r="L17" s="114"/>
      <c r="M17" s="114"/>
      <c r="N17" s="114"/>
      <c r="O17" s="115"/>
      <c r="P17" s="134"/>
    </row>
    <row r="18" spans="3:17" ht="30" hidden="1" customHeight="1">
      <c r="C18" s="112" t="s">
        <v>41</v>
      </c>
      <c r="D18" s="112" t="str">
        <f>VLOOKUP(C18,'Calcadao &amp; Passeio'!$A$5:$J$98,4,0)</f>
        <v>EXECUÇÃO DAS RAMPAS DE ACESSIBILIDADE COM CONCRETO FCK=25 MPA TRAÇO   1:2, 2;2, 2, (EM MASSA SECA DE CIMENTO/ AREIA MÉDIA/ SEIXO ROLADO) PREPARO MECÂNICO COM BETONEIRA</v>
      </c>
      <c r="E18" s="113">
        <f>VLOOKUP(C18,'Calcadao &amp; Passeio'!$A$5:$J$98,10,0)</f>
        <v>1422.0250560000002</v>
      </c>
      <c r="F18" s="114"/>
      <c r="G18" s="114"/>
      <c r="H18" s="114"/>
      <c r="I18" s="114"/>
      <c r="J18" s="114"/>
      <c r="K18" s="114"/>
      <c r="L18" s="114"/>
      <c r="M18" s="114"/>
      <c r="N18" s="114"/>
      <c r="O18" s="115"/>
      <c r="P18" s="134"/>
    </row>
    <row r="19" spans="3:17" ht="30" customHeight="1" thickBot="1">
      <c r="C19" s="112"/>
      <c r="D19" s="116"/>
      <c r="E19" s="117"/>
      <c r="F19" s="105">
        <f>F10*$E$10</f>
        <v>43420.528125599994</v>
      </c>
      <c r="G19" s="105">
        <f>G10*$E$10</f>
        <v>86841.056251199989</v>
      </c>
      <c r="H19" s="105">
        <f t="shared" ref="H19:O19" si="2">H10*$E$10</f>
        <v>65130.792188399988</v>
      </c>
      <c r="I19" s="105">
        <f t="shared" si="2"/>
        <v>65130.792188399988</v>
      </c>
      <c r="J19" s="105">
        <f t="shared" si="2"/>
        <v>65130.792188399988</v>
      </c>
      <c r="K19" s="105">
        <f t="shared" si="2"/>
        <v>65130.792188399988</v>
      </c>
      <c r="L19" s="105">
        <f t="shared" si="2"/>
        <v>43420.528125599994</v>
      </c>
      <c r="M19" s="105">
        <f t="shared" si="2"/>
        <v>0</v>
      </c>
      <c r="N19" s="105">
        <f t="shared" si="2"/>
        <v>0</v>
      </c>
      <c r="O19" s="106">
        <f t="shared" si="2"/>
        <v>0</v>
      </c>
      <c r="P19" s="133"/>
    </row>
    <row r="20" spans="3:17" ht="30" customHeight="1">
      <c r="C20" s="107" t="s">
        <v>62</v>
      </c>
      <c r="D20" s="108" t="str">
        <f>VLOOKUP(C20,'Calcadao &amp; Passeio'!$A$5:$J$98,4,0)</f>
        <v>VIGAS DE CONTENÇÃO</v>
      </c>
      <c r="E20" s="109">
        <f>SUM(E21:E24)</f>
        <v>16780.461200000002</v>
      </c>
      <c r="F20" s="110">
        <v>0.5</v>
      </c>
      <c r="G20" s="110">
        <v>0.5</v>
      </c>
      <c r="H20" s="110"/>
      <c r="I20" s="110"/>
      <c r="J20" s="110"/>
      <c r="K20" s="110"/>
      <c r="L20" s="110"/>
      <c r="M20" s="110"/>
      <c r="N20" s="110"/>
      <c r="O20" s="111"/>
      <c r="P20" s="132">
        <f>SUM(F20:O20)</f>
        <v>1</v>
      </c>
      <c r="Q20" s="96" t="str">
        <f>IF(P20=1,"OK';""FALTA")</f>
        <v>OK';"FALTA</v>
      </c>
    </row>
    <row r="21" spans="3:17" ht="30" hidden="1" customHeight="1">
      <c r="C21" s="112" t="s">
        <v>149</v>
      </c>
      <c r="D21" s="112" t="str">
        <f>VLOOKUP(C21,'Calcadao &amp; Passeio'!$A$5:$J$98,4,0)</f>
        <v xml:space="preserve">Armação de Pilar ou Viga de Estrutura Convencional de concreto armado utilizando AÇO CA-50 DE 6,3 MM - MONTAGEM. AF_06/2022 </v>
      </c>
      <c r="E21" s="113">
        <f>VLOOKUP(C21,'Calcadao &amp; Passeio'!$A$5:$J$98,10,0)</f>
        <v>3632.1584000000003</v>
      </c>
      <c r="F21" s="114"/>
      <c r="G21" s="114"/>
      <c r="H21" s="114"/>
      <c r="I21" s="114"/>
      <c r="J21" s="114"/>
      <c r="K21" s="114"/>
      <c r="L21" s="114"/>
      <c r="M21" s="114"/>
      <c r="N21" s="114"/>
      <c r="O21" s="115"/>
      <c r="P21" s="134"/>
    </row>
    <row r="22" spans="3:17" ht="30" hidden="1" customHeight="1">
      <c r="C22" s="112" t="s">
        <v>151</v>
      </c>
      <c r="D22" s="112" t="str">
        <f>VLOOKUP(C22,'Calcadao &amp; Passeio'!$A$5:$J$98,4,0)</f>
        <v xml:space="preserve">Concretagem de bloco de coroamento ou Viga baldrame, FCK 30 MPA, COM USO DE JERICA - LANÇAMENTO, ADENSAMENTO E ACABAMENTO. AF_01/2024 </v>
      </c>
      <c r="E22" s="113">
        <f>VLOOKUP(C22,'Calcadao &amp; Passeio'!$A$5:$J$98,10,0)</f>
        <v>11731.516000000001</v>
      </c>
      <c r="F22" s="114"/>
      <c r="G22" s="114"/>
      <c r="H22" s="114"/>
      <c r="I22" s="114"/>
      <c r="J22" s="114"/>
      <c r="K22" s="114"/>
      <c r="L22" s="114"/>
      <c r="M22" s="114"/>
      <c r="N22" s="114"/>
      <c r="O22" s="115"/>
      <c r="P22" s="134"/>
    </row>
    <row r="23" spans="3:17" ht="30" hidden="1" customHeight="1">
      <c r="C23" s="112" t="s">
        <v>152</v>
      </c>
      <c r="D23" s="112" t="str">
        <f>VLOOKUP(C23,'Calcadao &amp; Passeio'!$A$5:$J$98,4,0)</f>
        <v>LASTRO COM MATERIAL GRANULAR (PEDRA BRITADA N.3), APLICADO EM PISOS OU LAJES SOBRE SOLO, ESPESSURA DE *10 CM*. AF_01/2024</v>
      </c>
      <c r="E23" s="113">
        <f>VLOOKUP(C23,'Calcadao &amp; Passeio'!$A$5:$J$98,10,0)</f>
        <v>447.40440000000001</v>
      </c>
      <c r="F23" s="114"/>
      <c r="G23" s="114"/>
      <c r="H23" s="114"/>
      <c r="I23" s="114"/>
      <c r="J23" s="114"/>
      <c r="K23" s="114"/>
      <c r="L23" s="114"/>
      <c r="M23" s="114"/>
      <c r="N23" s="114"/>
      <c r="O23" s="115"/>
      <c r="P23" s="134"/>
    </row>
    <row r="24" spans="3:17" ht="30" hidden="1" customHeight="1">
      <c r="C24" s="112" t="s">
        <v>153</v>
      </c>
      <c r="D24" s="112" t="str">
        <f>VLOOKUP(C24,'Calcadao &amp; Passeio'!$A$5:$J$98,4,0)</f>
        <v>ESCAVAÇÃO MANUAL PARA BLOCO DE COROAMENTO OU SAPATA (INCLUINDO ESCAVAÇÃO PARA COLOCAÇÃO DE FÔRMAS). AF_01/2024</v>
      </c>
      <c r="E24" s="113">
        <f>VLOOKUP(C24,'Calcadao &amp; Passeio'!$A$5:$J$98,10,0)</f>
        <v>969.38240000000008</v>
      </c>
      <c r="F24" s="114"/>
      <c r="G24" s="114"/>
      <c r="H24" s="114"/>
      <c r="I24" s="114"/>
      <c r="J24" s="114"/>
      <c r="K24" s="114"/>
      <c r="L24" s="114"/>
      <c r="M24" s="114"/>
      <c r="N24" s="114"/>
      <c r="O24" s="115"/>
      <c r="P24" s="134"/>
    </row>
    <row r="25" spans="3:17" ht="30" customHeight="1" thickBot="1">
      <c r="C25" s="112"/>
      <c r="D25" s="116"/>
      <c r="E25" s="117"/>
      <c r="F25" s="105">
        <f>$E$20*F20</f>
        <v>8390.2306000000008</v>
      </c>
      <c r="G25" s="105">
        <f t="shared" ref="G25:O25" si="3">$E$20*G20</f>
        <v>8390.2306000000008</v>
      </c>
      <c r="H25" s="105">
        <f t="shared" si="3"/>
        <v>0</v>
      </c>
      <c r="I25" s="105">
        <f t="shared" si="3"/>
        <v>0</v>
      </c>
      <c r="J25" s="105">
        <f t="shared" si="3"/>
        <v>0</v>
      </c>
      <c r="K25" s="105">
        <f t="shared" si="3"/>
        <v>0</v>
      </c>
      <c r="L25" s="105">
        <f t="shared" si="3"/>
        <v>0</v>
      </c>
      <c r="M25" s="105">
        <f t="shared" si="3"/>
        <v>0</v>
      </c>
      <c r="N25" s="105">
        <f t="shared" si="3"/>
        <v>0</v>
      </c>
      <c r="O25" s="106">
        <f t="shared" si="3"/>
        <v>0</v>
      </c>
      <c r="P25" s="133"/>
    </row>
    <row r="26" spans="3:17" ht="30" customHeight="1">
      <c r="C26" s="107" t="s">
        <v>154</v>
      </c>
      <c r="D26" s="108" t="str">
        <f>VLOOKUP(C26,'Calcadao &amp; Passeio'!$A$5:$J$98,4,0)</f>
        <v>BASES DE CONCRETO PARA ARTESANATOS</v>
      </c>
      <c r="E26" s="109">
        <f>SUM(E27:E30)</f>
        <v>4399.2375279999997</v>
      </c>
      <c r="F26" s="110"/>
      <c r="G26" s="110"/>
      <c r="H26" s="110"/>
      <c r="I26" s="110"/>
      <c r="J26" s="110"/>
      <c r="K26" s="110"/>
      <c r="L26" s="110"/>
      <c r="M26" s="110"/>
      <c r="N26" s="110">
        <v>0.5</v>
      </c>
      <c r="O26" s="111">
        <v>0.5</v>
      </c>
      <c r="P26" s="132">
        <f>SUM(F26:O26)</f>
        <v>1</v>
      </c>
      <c r="Q26" s="96" t="str">
        <f>IF(P26=1,"OK';""FALTA")</f>
        <v>OK';"FALTA</v>
      </c>
    </row>
    <row r="27" spans="3:17" ht="30" hidden="1" customHeight="1">
      <c r="C27" s="112" t="s">
        <v>155</v>
      </c>
      <c r="D27" s="112" t="str">
        <f>VLOOKUP(C27,'Calcadao &amp; Passeio'!$A$5:$J$98,4,0)</f>
        <v xml:space="preserve">Escavação manual para bloco de coroamento ou sapata (Incluindo escavação para colocação de fôrmas). AF_01/2024 </v>
      </c>
      <c r="E27" s="113">
        <f>VLOOKUP(C27,'Calcadao &amp; Passeio'!$A$5:$J$98,10,0)</f>
        <v>587.20547199999999</v>
      </c>
      <c r="F27" s="114"/>
      <c r="G27" s="114"/>
      <c r="H27" s="114"/>
      <c r="I27" s="114"/>
      <c r="J27" s="114"/>
      <c r="K27" s="114"/>
      <c r="L27" s="114"/>
      <c r="M27" s="114"/>
      <c r="N27" s="114"/>
      <c r="O27" s="115"/>
      <c r="P27" s="134"/>
    </row>
    <row r="28" spans="3:17" ht="30" hidden="1" customHeight="1">
      <c r="C28" s="112" t="s">
        <v>156</v>
      </c>
      <c r="D28" s="112" t="str">
        <f>VLOOKUP(C28,'Calcadao &amp; Passeio'!$A$5:$J$98,4,0)</f>
        <v>LASTRO COM MATERIAL GRANULAR (PEDRA BRITADA N.3), APLICADO EM PISOS OU LAJES SOBRE SOLO, ESPESSURA DE *10 CM*. AF_01/2024</v>
      </c>
      <c r="E28" s="113">
        <f>VLOOKUP(C28,'Calcadao &amp; Passeio'!$A$5:$J$98,10,0)</f>
        <v>31.318680000000001</v>
      </c>
      <c r="F28" s="114"/>
      <c r="G28" s="114"/>
      <c r="H28" s="114"/>
      <c r="I28" s="114"/>
      <c r="J28" s="114"/>
      <c r="K28" s="114"/>
      <c r="L28" s="114"/>
      <c r="M28" s="114"/>
      <c r="N28" s="114"/>
      <c r="O28" s="115"/>
      <c r="P28" s="134"/>
    </row>
    <row r="29" spans="3:17" ht="30" hidden="1" customHeight="1">
      <c r="C29" s="112" t="s">
        <v>157</v>
      </c>
      <c r="D29" s="112" t="str">
        <f>VLOOKUP(C29,'Calcadao &amp; Passeio'!$A$5:$J$98,4,0)</f>
        <v xml:space="preserve">ARMAÇÃO DE BLOCO UTILIZANDO AÇO CA-50 DE 10 MM - MONTAGEM. AF_01/2024 </v>
      </c>
      <c r="E29" s="113">
        <f>VLOOKUP(C29,'Calcadao &amp; Passeio'!$A$5:$J$98,10,0)</f>
        <v>2490.8591759999999</v>
      </c>
      <c r="F29" s="114"/>
      <c r="G29" s="114"/>
      <c r="H29" s="114"/>
      <c r="I29" s="114"/>
      <c r="J29" s="114"/>
      <c r="K29" s="114"/>
      <c r="L29" s="114"/>
      <c r="M29" s="114"/>
      <c r="N29" s="114"/>
      <c r="O29" s="115"/>
      <c r="P29" s="134"/>
    </row>
    <row r="30" spans="3:17" ht="30" hidden="1" customHeight="1">
      <c r="C30" s="112" t="s">
        <v>158</v>
      </c>
      <c r="D30" s="112" t="str">
        <f>VLOOKUP(C30,'Calcadao &amp; Passeio'!$A$5:$J$98,4,0)</f>
        <v>CONCRETAGEM DE BLOCO DE COROAMENTO OU VIGA BALDRAME, FCK 30 MPA, COM USO DE JERICA - LANÇAMENTO, ADENSAMENTO E ACABAMENTO. AF_01/2024</v>
      </c>
      <c r="E30" s="113">
        <f>VLOOKUP(C30,'Calcadao &amp; Passeio'!$A$5:$J$98,10,0)</f>
        <v>1289.8542000000002</v>
      </c>
      <c r="F30" s="114"/>
      <c r="G30" s="114"/>
      <c r="H30" s="114"/>
      <c r="I30" s="114"/>
      <c r="J30" s="114"/>
      <c r="K30" s="114"/>
      <c r="L30" s="114"/>
      <c r="M30" s="114"/>
      <c r="N30" s="114"/>
      <c r="O30" s="115"/>
      <c r="P30" s="134"/>
    </row>
    <row r="31" spans="3:17" ht="30" customHeight="1" thickBot="1">
      <c r="C31" s="112"/>
      <c r="D31" s="116"/>
      <c r="E31" s="117"/>
      <c r="F31" s="105">
        <f>$E$26*F26</f>
        <v>0</v>
      </c>
      <c r="G31" s="105">
        <f t="shared" ref="G31:O31" si="4">$E$26*G26</f>
        <v>0</v>
      </c>
      <c r="H31" s="105">
        <f t="shared" si="4"/>
        <v>0</v>
      </c>
      <c r="I31" s="105">
        <f t="shared" si="4"/>
        <v>0</v>
      </c>
      <c r="J31" s="105">
        <f t="shared" si="4"/>
        <v>0</v>
      </c>
      <c r="K31" s="105">
        <f t="shared" si="4"/>
        <v>0</v>
      </c>
      <c r="L31" s="105">
        <f t="shared" si="4"/>
        <v>0</v>
      </c>
      <c r="M31" s="105">
        <f t="shared" si="4"/>
        <v>0</v>
      </c>
      <c r="N31" s="105">
        <f t="shared" si="4"/>
        <v>2199.6187639999998</v>
      </c>
      <c r="O31" s="106">
        <f t="shared" si="4"/>
        <v>2199.6187639999998</v>
      </c>
      <c r="P31" s="133"/>
    </row>
    <row r="32" spans="3:17" ht="30" customHeight="1">
      <c r="C32" s="107" t="s">
        <v>63</v>
      </c>
      <c r="D32" s="108" t="str">
        <f>VLOOKUP(C32,'Calcadao &amp; Passeio'!$A$5:$J$98,4,0)</f>
        <v>BASES PARA MASTROS DAS BANDEIRAS</v>
      </c>
      <c r="E32" s="109">
        <f>SUM(E33:E34)</f>
        <v>1042.7001279999999</v>
      </c>
      <c r="F32" s="110"/>
      <c r="G32" s="110"/>
      <c r="H32" s="110"/>
      <c r="I32" s="110"/>
      <c r="J32" s="110"/>
      <c r="K32" s="110"/>
      <c r="L32" s="110"/>
      <c r="M32" s="110">
        <v>0.2</v>
      </c>
      <c r="N32" s="110">
        <v>0.3</v>
      </c>
      <c r="O32" s="111">
        <v>0.5</v>
      </c>
      <c r="P32" s="132">
        <f>SUM(F32:O32)</f>
        <v>1</v>
      </c>
      <c r="Q32" s="96" t="str">
        <f>IF(P32=1,"OK';""FALTA")</f>
        <v>OK';"FALTA</v>
      </c>
    </row>
    <row r="33" spans="3:17" ht="30" hidden="1" customHeight="1">
      <c r="C33" s="112" t="s">
        <v>64</v>
      </c>
      <c r="D33" s="112" t="str">
        <f>VLOOKUP(C33,'Calcadao &amp; Passeio'!$A$5:$J$98,4,0)</f>
        <v>CONCRETAGEM DE BLOCO DE COROAMENTO OU VIGA BALDRAME, FCK 30 MPA, COM USO DE JERICA - LANÇAMENTO, ADENSAMENTO E ACABAMENTO. AF_01/2024</v>
      </c>
      <c r="E33" s="113">
        <f>VLOOKUP(C33,'Calcadao &amp; Passeio'!$A$5:$J$98,10,0)</f>
        <v>550.67308800000001</v>
      </c>
      <c r="F33" s="114"/>
      <c r="G33" s="114"/>
      <c r="H33" s="114"/>
      <c r="I33" s="114"/>
      <c r="J33" s="114"/>
      <c r="K33" s="114"/>
      <c r="L33" s="114"/>
      <c r="M33" s="114"/>
      <c r="N33" s="114"/>
      <c r="O33" s="115"/>
      <c r="P33" s="134"/>
    </row>
    <row r="34" spans="3:17" ht="30" hidden="1" customHeight="1">
      <c r="C34" s="112" t="s">
        <v>65</v>
      </c>
      <c r="D34" s="112" t="str">
        <f>VLOOKUP(C34,'Calcadao &amp; Passeio'!$A$5:$J$98,4,0)</f>
        <v xml:space="preserve">PINTURA COM TINTA ALQUÍDICA DE ACABAMENTO (ESMALTE SINTÉTICO BRILHANTE) PULVERIZADA SOBRE SUPERFÍCIES METÁLICAS (EXCETO PERFIL) EXECUTADO EM OBRA (02 DEMÃOS). AF_01/2020_PE </v>
      </c>
      <c r="E34" s="113">
        <f>VLOOKUP(C34,'Calcadao &amp; Passeio'!$A$5:$J$98,10,0)</f>
        <v>492.02703999999994</v>
      </c>
      <c r="F34" s="114"/>
      <c r="G34" s="114"/>
      <c r="H34" s="114"/>
      <c r="I34" s="114"/>
      <c r="J34" s="114"/>
      <c r="K34" s="114"/>
      <c r="L34" s="114"/>
      <c r="M34" s="114"/>
      <c r="N34" s="114"/>
      <c r="O34" s="115"/>
      <c r="P34" s="134"/>
    </row>
    <row r="35" spans="3:17" ht="30" customHeight="1" thickBot="1">
      <c r="C35" s="112"/>
      <c r="D35" s="116"/>
      <c r="E35" s="117"/>
      <c r="F35" s="105">
        <f>$E$32*F32</f>
        <v>0</v>
      </c>
      <c r="G35" s="105">
        <f t="shared" ref="G35:O35" si="5">$E$32*G32</f>
        <v>0</v>
      </c>
      <c r="H35" s="105">
        <f t="shared" si="5"/>
        <v>0</v>
      </c>
      <c r="I35" s="105">
        <f t="shared" si="5"/>
        <v>0</v>
      </c>
      <c r="J35" s="105">
        <f t="shared" si="5"/>
        <v>0</v>
      </c>
      <c r="K35" s="105">
        <f t="shared" si="5"/>
        <v>0</v>
      </c>
      <c r="L35" s="105">
        <f t="shared" si="5"/>
        <v>0</v>
      </c>
      <c r="M35" s="105">
        <f t="shared" si="5"/>
        <v>208.54002560000001</v>
      </c>
      <c r="N35" s="105">
        <f t="shared" si="5"/>
        <v>312.8100384</v>
      </c>
      <c r="O35" s="106">
        <f t="shared" si="5"/>
        <v>521.35006399999997</v>
      </c>
      <c r="P35" s="133"/>
    </row>
    <row r="36" spans="3:17" ht="30" customHeight="1">
      <c r="C36" s="107" t="s">
        <v>66</v>
      </c>
      <c r="D36" s="108" t="str">
        <f>VLOOKUP(C36,'Calcadao &amp; Passeio'!$A$5:$J$98,4,0)</f>
        <v>Elétrico: Postes de Luz Ornamentais, Pergolados e Artesanatos de Natal</v>
      </c>
      <c r="E36" s="109">
        <f>SUM(E37:E54)</f>
        <v>38139.945543999995</v>
      </c>
      <c r="F36" s="110"/>
      <c r="G36" s="110"/>
      <c r="H36" s="110"/>
      <c r="I36" s="110"/>
      <c r="J36" s="110"/>
      <c r="K36" s="110"/>
      <c r="L36" s="110"/>
      <c r="M36" s="110"/>
      <c r="N36" s="110"/>
      <c r="O36" s="111">
        <v>1</v>
      </c>
      <c r="P36" s="132">
        <f>SUM(F36:O36)</f>
        <v>1</v>
      </c>
      <c r="Q36" s="96" t="str">
        <f>IF(P36=1,"OK';""FALTA")</f>
        <v>OK';"FALTA</v>
      </c>
    </row>
    <row r="37" spans="3:17" ht="30" hidden="1" customHeight="1">
      <c r="C37" s="112" t="s">
        <v>67</v>
      </c>
      <c r="D37" s="112" t="str">
        <f>VLOOKUP(C37,'Calcadao &amp; Passeio'!$A$5:$J$98,4,0)</f>
        <v>Caixa de Atendimento FTTH - CTO PARA DIJUNTOR</v>
      </c>
      <c r="E37" s="113">
        <f>VLOOKUP(C37,'Calcadao &amp; Passeio'!$A$5:$J$98,10,0)</f>
        <v>496</v>
      </c>
      <c r="F37" s="114"/>
      <c r="G37" s="114"/>
      <c r="H37" s="114"/>
      <c r="I37" s="114"/>
      <c r="J37" s="114"/>
      <c r="K37" s="114"/>
      <c r="L37" s="114"/>
      <c r="M37" s="114"/>
      <c r="N37" s="114"/>
      <c r="O37" s="115"/>
      <c r="P37" s="134"/>
    </row>
    <row r="38" spans="3:17" ht="30" hidden="1" customHeight="1">
      <c r="C38" s="112" t="s">
        <v>68</v>
      </c>
      <c r="D38" s="112" t="str">
        <f>VLOOKUP(C38,'Calcadao &amp; Passeio'!$A$5:$J$98,4,0)</f>
        <v>DIJUNTORES DE 20 AMP</v>
      </c>
      <c r="E38" s="113">
        <f>VLOOKUP(C38,'Calcadao &amp; Passeio'!$A$5:$J$98,10,0)</f>
        <v>178.56</v>
      </c>
      <c r="F38" s="114"/>
      <c r="G38" s="114"/>
      <c r="H38" s="114"/>
      <c r="I38" s="114"/>
      <c r="J38" s="114"/>
      <c r="K38" s="114"/>
      <c r="L38" s="114"/>
      <c r="M38" s="114"/>
      <c r="N38" s="114"/>
      <c r="O38" s="115"/>
      <c r="P38" s="134"/>
    </row>
    <row r="39" spans="3:17" ht="30" hidden="1" customHeight="1">
      <c r="C39" s="112" t="s">
        <v>159</v>
      </c>
      <c r="D39" s="112" t="str">
        <f>VLOOKUP(C39,'Calcadao &amp; Passeio'!$A$5:$J$98,4,0)</f>
        <v>SUPORTE PARA DIJUNTOR</v>
      </c>
      <c r="E39" s="113">
        <f>VLOOKUP(C39,'Calcadao &amp; Passeio'!$A$5:$J$98,10,0)</f>
        <v>99.2</v>
      </c>
      <c r="F39" s="114"/>
      <c r="G39" s="114"/>
      <c r="H39" s="114"/>
      <c r="I39" s="114"/>
      <c r="J39" s="114"/>
      <c r="K39" s="114"/>
      <c r="L39" s="114"/>
      <c r="M39" s="114"/>
      <c r="N39" s="114"/>
      <c r="O39" s="115"/>
      <c r="P39" s="134"/>
    </row>
    <row r="40" spans="3:17" ht="30" hidden="1" customHeight="1">
      <c r="C40" s="112" t="s">
        <v>160</v>
      </c>
      <c r="D40" s="112" t="str">
        <f>VLOOKUP(C40,'Calcadao &amp; Passeio'!$A$5:$J$98,4,0)</f>
        <v>TUBO PRÉ ZINCADO 32MMX3</v>
      </c>
      <c r="E40" s="113">
        <f>VLOOKUP(C40,'Calcadao &amp; Passeio'!$A$5:$J$98,10,0)</f>
        <v>1841.3999999999999</v>
      </c>
      <c r="F40" s="114"/>
      <c r="G40" s="114"/>
      <c r="H40" s="114"/>
      <c r="I40" s="114"/>
      <c r="J40" s="114"/>
      <c r="K40" s="114"/>
      <c r="L40" s="114"/>
      <c r="M40" s="114"/>
      <c r="N40" s="114"/>
      <c r="O40" s="115"/>
      <c r="P40" s="134"/>
    </row>
    <row r="41" spans="3:17" ht="30" hidden="1" customHeight="1">
      <c r="C41" s="112" t="s">
        <v>161</v>
      </c>
      <c r="D41" s="112" t="str">
        <f>VLOOKUP(C41,'Calcadao &amp; Passeio'!$A$5:$J$98,4,0)</f>
        <v>CURVA PRÉ ZINCADA 180º 32MM</v>
      </c>
      <c r="E41" s="113">
        <f>VLOOKUP(C41,'Calcadao &amp; Passeio'!$A$5:$J$98,10,0)</f>
        <v>59.519999999999996</v>
      </c>
      <c r="F41" s="114"/>
      <c r="G41" s="114"/>
      <c r="H41" s="114"/>
      <c r="I41" s="114"/>
      <c r="J41" s="114"/>
      <c r="K41" s="114"/>
      <c r="L41" s="114"/>
      <c r="M41" s="114"/>
      <c r="N41" s="114"/>
      <c r="O41" s="115"/>
      <c r="P41" s="134"/>
    </row>
    <row r="42" spans="3:17" ht="30" hidden="1" customHeight="1">
      <c r="C42" s="112" t="s">
        <v>162</v>
      </c>
      <c r="D42" s="112" t="str">
        <f>VLOOKUP(C42,'Calcadao &amp; Passeio'!$A$5:$J$98,4,0)</f>
        <v xml:space="preserve">PRESILHA METALICA PARA CINTA PERFURADA </v>
      </c>
      <c r="E42" s="113">
        <f>VLOOKUP(C42,'Calcadao &amp; Passeio'!$A$5:$J$98,10,0)</f>
        <v>14.135999999999997</v>
      </c>
      <c r="F42" s="114"/>
      <c r="G42" s="114"/>
      <c r="H42" s="114"/>
      <c r="I42" s="114"/>
      <c r="J42" s="114"/>
      <c r="K42" s="114"/>
      <c r="L42" s="114"/>
      <c r="M42" s="114"/>
      <c r="N42" s="114"/>
      <c r="O42" s="115"/>
      <c r="P42" s="134"/>
    </row>
    <row r="43" spans="3:17" ht="30" hidden="1" customHeight="1">
      <c r="C43" s="112" t="s">
        <v>163</v>
      </c>
      <c r="D43" s="112" t="str">
        <f>VLOOKUP(C43,'Calcadao &amp; Passeio'!$A$5:$J$98,4,0)</f>
        <v>CINTA PERFURADA</v>
      </c>
      <c r="E43" s="113">
        <f>VLOOKUP(C43,'Calcadao &amp; Passeio'!$A$5:$J$98,10,0)</f>
        <v>55.204799999999999</v>
      </c>
      <c r="F43" s="114"/>
      <c r="G43" s="114"/>
      <c r="H43" s="114"/>
      <c r="I43" s="114"/>
      <c r="J43" s="114"/>
      <c r="K43" s="114"/>
      <c r="L43" s="114"/>
      <c r="M43" s="114"/>
      <c r="N43" s="114"/>
      <c r="O43" s="115"/>
      <c r="P43" s="134"/>
    </row>
    <row r="44" spans="3:17" ht="30" hidden="1" customHeight="1">
      <c r="C44" s="112" t="s">
        <v>164</v>
      </c>
      <c r="D44" s="112" t="str">
        <f>VLOOKUP(C44,'Calcadao &amp; Passeio'!$A$5:$J$98,4,0)</f>
        <v>LUVAS 32MM PRÉ ZINCADO</v>
      </c>
      <c r="E44" s="113">
        <f>VLOOKUP(C44,'Calcadao &amp; Passeio'!$A$5:$J$98,10,0)</f>
        <v>74.400000000000006</v>
      </c>
      <c r="F44" s="114"/>
      <c r="G44" s="114"/>
      <c r="H44" s="114"/>
      <c r="I44" s="114"/>
      <c r="J44" s="114"/>
      <c r="K44" s="114"/>
      <c r="L44" s="114"/>
      <c r="M44" s="114"/>
      <c r="N44" s="114"/>
      <c r="O44" s="115"/>
      <c r="P44" s="134"/>
    </row>
    <row r="45" spans="3:17" ht="30" hidden="1" customHeight="1">
      <c r="C45" s="112" t="s">
        <v>165</v>
      </c>
      <c r="D45" s="112" t="str">
        <f>VLOOKUP(C45,'Calcadao &amp; Passeio'!$A$5:$J$98,4,0)</f>
        <v>CABO PP 3X6,00M 1KV CORFIO OU SUL</v>
      </c>
      <c r="E45" s="113">
        <f>VLOOKUP(C45,'Calcadao &amp; Passeio'!$A$5:$J$98,10,0)</f>
        <v>12555.248</v>
      </c>
      <c r="F45" s="114"/>
      <c r="G45" s="114"/>
      <c r="H45" s="114"/>
      <c r="I45" s="114"/>
      <c r="J45" s="114"/>
      <c r="K45" s="114"/>
      <c r="L45" s="114"/>
      <c r="M45" s="114"/>
      <c r="N45" s="114"/>
      <c r="O45" s="115"/>
      <c r="P45" s="134"/>
    </row>
    <row r="46" spans="3:17" ht="30" hidden="1" customHeight="1">
      <c r="C46" s="112" t="s">
        <v>166</v>
      </c>
      <c r="D46" s="112" t="str">
        <f>VLOOKUP(C46,'Calcadao &amp; Passeio'!$A$5:$J$98,4,0)</f>
        <v>ELETRODUTO CORRUGADO PEAD COM FIO GUIA 40MM</v>
      </c>
      <c r="E46" s="113">
        <f>VLOOKUP(C46,'Calcadao &amp; Passeio'!$A$5:$J$98,10,0)</f>
        <v>1445.4059999999999</v>
      </c>
      <c r="F46" s="114"/>
      <c r="G46" s="114"/>
      <c r="H46" s="114"/>
      <c r="I46" s="114"/>
      <c r="J46" s="114"/>
      <c r="K46" s="114"/>
      <c r="L46" s="114"/>
      <c r="M46" s="114"/>
      <c r="N46" s="114"/>
      <c r="O46" s="115"/>
      <c r="P46" s="134"/>
    </row>
    <row r="47" spans="3:17" ht="30" hidden="1" customHeight="1">
      <c r="C47" s="112" t="s">
        <v>167</v>
      </c>
      <c r="D47" s="112" t="str">
        <f>VLOOKUP(C47,'Calcadao &amp; Passeio'!$A$5:$J$98,4,0)</f>
        <v>CABO PP 2X1,500M 1KV CORFIO OU SUL</v>
      </c>
      <c r="E47" s="113">
        <f>VLOOKUP(C47,'Calcadao &amp; Passeio'!$A$5:$J$98,10,0)</f>
        <v>740.66687999999999</v>
      </c>
      <c r="F47" s="114"/>
      <c r="G47" s="114"/>
      <c r="H47" s="114"/>
      <c r="I47" s="114"/>
      <c r="J47" s="114"/>
      <c r="K47" s="114"/>
      <c r="L47" s="114"/>
      <c r="M47" s="114"/>
      <c r="N47" s="114"/>
      <c r="O47" s="115"/>
      <c r="P47" s="134"/>
    </row>
    <row r="48" spans="3:17" ht="30" hidden="1" customHeight="1">
      <c r="C48" s="112" t="s">
        <v>168</v>
      </c>
      <c r="D48" s="112" t="str">
        <f>VLOOKUP(C48,'Calcadao &amp; Passeio'!$A$5:$J$98,4,0)</f>
        <v xml:space="preserve">BASE DE FERRO GIRATÓRIA PARA RELÉ COM FOTOCÉLULA </v>
      </c>
      <c r="E48" s="113">
        <f>VLOOKUP(C48,'Calcadao &amp; Passeio'!$A$5:$J$98,10,0)</f>
        <v>297.60000000000002</v>
      </c>
      <c r="F48" s="114"/>
      <c r="G48" s="114"/>
      <c r="H48" s="114"/>
      <c r="I48" s="114"/>
      <c r="J48" s="114"/>
      <c r="K48" s="114"/>
      <c r="L48" s="114"/>
      <c r="M48" s="114"/>
      <c r="N48" s="114"/>
      <c r="O48" s="115"/>
      <c r="P48" s="134"/>
    </row>
    <row r="49" spans="3:17" ht="30" hidden="1" customHeight="1">
      <c r="C49" s="112" t="s">
        <v>169</v>
      </c>
      <c r="D49" s="112" t="str">
        <f>VLOOKUP(C49,'Calcadao &amp; Passeio'!$A$5:$J$98,4,0)</f>
        <v>RELÉ ACIONAMENTO MECANICO ILUMATIC OU EXATRON</v>
      </c>
      <c r="E49" s="113">
        <f>VLOOKUP(C49,'Calcadao &amp; Passeio'!$A$5:$J$98,10,0)</f>
        <v>272.8</v>
      </c>
      <c r="F49" s="114"/>
      <c r="G49" s="114"/>
      <c r="H49" s="114"/>
      <c r="I49" s="114"/>
      <c r="J49" s="114"/>
      <c r="K49" s="114"/>
      <c r="L49" s="114"/>
      <c r="M49" s="114"/>
      <c r="N49" s="114"/>
      <c r="O49" s="115"/>
      <c r="P49" s="134"/>
    </row>
    <row r="50" spans="3:17" ht="30" hidden="1" customHeight="1">
      <c r="C50" s="112" t="s">
        <v>170</v>
      </c>
      <c r="D50" s="112" t="str">
        <f>VLOOKUP(C50,'Calcadao &amp; Passeio'!$A$5:$J$98,4,0)</f>
        <v>ARANDELAS</v>
      </c>
      <c r="E50" s="113">
        <f>VLOOKUP(C50,'Calcadao &amp; Passeio'!$A$5:$J$98,10,0)</f>
        <v>16120</v>
      </c>
      <c r="F50" s="114"/>
      <c r="G50" s="114"/>
      <c r="H50" s="114"/>
      <c r="I50" s="114"/>
      <c r="J50" s="114"/>
      <c r="K50" s="114"/>
      <c r="L50" s="114"/>
      <c r="M50" s="114"/>
      <c r="N50" s="114"/>
      <c r="O50" s="115"/>
      <c r="P50" s="134"/>
    </row>
    <row r="51" spans="3:17" ht="30" hidden="1" customHeight="1">
      <c r="C51" s="112" t="s">
        <v>171</v>
      </c>
      <c r="D51" s="112" t="str">
        <f>VLOOKUP(C51,'Calcadao &amp; Passeio'!$A$5:$J$98,4,0)</f>
        <v>LAMPADA RETRO ARANDELA 220V BULBO LED VINTAGE FILAMENTO BRANCO QUENTE 4W BASE E27</v>
      </c>
      <c r="E51" s="113">
        <f>VLOOKUP(C51,'Calcadao &amp; Passeio'!$A$5:$J$98,10,0)</f>
        <v>471.2</v>
      </c>
      <c r="F51" s="114"/>
      <c r="G51" s="114"/>
      <c r="H51" s="114"/>
      <c r="I51" s="114"/>
      <c r="J51" s="114"/>
      <c r="K51" s="114"/>
      <c r="L51" s="114"/>
      <c r="M51" s="114"/>
      <c r="N51" s="114"/>
      <c r="O51" s="115"/>
      <c r="P51" s="134"/>
    </row>
    <row r="52" spans="3:17" ht="30" hidden="1" customHeight="1">
      <c r="C52" s="112" t="s">
        <v>172</v>
      </c>
      <c r="D52" s="112" t="str">
        <f>VLOOKUP(C52,'Calcadao &amp; Passeio'!$A$5:$J$98,4,0)</f>
        <v>LAMPADAS LED PARA OS POSTES 30W BRANCA QUENTE 3.000K BULBO LED VINTAGE FILAMENTO BRANCO QUENTE 4W BASE E27</v>
      </c>
      <c r="E52" s="113">
        <f>VLOOKUP(C52,'Calcadao &amp; Passeio'!$A$5:$J$98,10,0)</f>
        <v>372</v>
      </c>
      <c r="F52" s="114"/>
      <c r="G52" s="114"/>
      <c r="H52" s="114"/>
      <c r="I52" s="114"/>
      <c r="J52" s="114"/>
      <c r="K52" s="114"/>
      <c r="L52" s="114"/>
      <c r="M52" s="114"/>
      <c r="N52" s="114"/>
      <c r="O52" s="115"/>
      <c r="P52" s="134"/>
    </row>
    <row r="53" spans="3:17" ht="30" hidden="1" customHeight="1">
      <c r="C53" s="112" t="s">
        <v>173</v>
      </c>
      <c r="D53" s="112" t="str">
        <f>VLOOKUP(C53,'Calcadao &amp; Passeio'!$A$5:$J$98,4,0)</f>
        <v>Auxiliar de Eletricista com encargos complementares</v>
      </c>
      <c r="E53" s="113">
        <f>VLOOKUP(C53,'Calcadao &amp; Passeio'!$A$5:$J$98,10,0)</f>
        <v>1382.5592039999999</v>
      </c>
      <c r="F53" s="114"/>
      <c r="G53" s="114"/>
      <c r="H53" s="114"/>
      <c r="I53" s="114"/>
      <c r="J53" s="114"/>
      <c r="K53" s="114"/>
      <c r="L53" s="114"/>
      <c r="M53" s="114"/>
      <c r="N53" s="114"/>
      <c r="O53" s="115"/>
      <c r="P53" s="134"/>
    </row>
    <row r="54" spans="3:17" ht="30" hidden="1" customHeight="1">
      <c r="C54" s="112" t="s">
        <v>174</v>
      </c>
      <c r="D54" s="112" t="str">
        <f>VLOOKUP(C54,'Calcadao &amp; Passeio'!$A$5:$J$98,4,0)</f>
        <v>Eletricista com encargos complementares</v>
      </c>
      <c r="E54" s="113">
        <f>VLOOKUP(C54,'Calcadao &amp; Passeio'!$A$5:$J$98,10,0)</f>
        <v>1664.04466</v>
      </c>
      <c r="F54" s="114"/>
      <c r="G54" s="114"/>
      <c r="H54" s="114"/>
      <c r="I54" s="114"/>
      <c r="J54" s="114"/>
      <c r="K54" s="114"/>
      <c r="L54" s="114"/>
      <c r="M54" s="114"/>
      <c r="N54" s="114"/>
      <c r="O54" s="115"/>
      <c r="P54" s="134"/>
    </row>
    <row r="55" spans="3:17" ht="30" customHeight="1" thickBot="1">
      <c r="C55" s="112"/>
      <c r="D55" s="116"/>
      <c r="E55" s="117"/>
      <c r="F55" s="105">
        <f>$E$36*F36</f>
        <v>0</v>
      </c>
      <c r="G55" s="105">
        <f t="shared" ref="G55:O55" si="6">$E$36*G36</f>
        <v>0</v>
      </c>
      <c r="H55" s="105">
        <f t="shared" si="6"/>
        <v>0</v>
      </c>
      <c r="I55" s="105">
        <f t="shared" si="6"/>
        <v>0</v>
      </c>
      <c r="J55" s="105">
        <f t="shared" si="6"/>
        <v>0</v>
      </c>
      <c r="K55" s="105">
        <f t="shared" si="6"/>
        <v>0</v>
      </c>
      <c r="L55" s="105">
        <f t="shared" si="6"/>
        <v>0</v>
      </c>
      <c r="M55" s="105">
        <f t="shared" si="6"/>
        <v>0</v>
      </c>
      <c r="N55" s="105">
        <f t="shared" si="6"/>
        <v>0</v>
      </c>
      <c r="O55" s="106">
        <f t="shared" si="6"/>
        <v>38139.945543999995</v>
      </c>
      <c r="P55" s="133"/>
    </row>
    <row r="56" spans="3:17" ht="30" customHeight="1">
      <c r="C56" s="118">
        <v>2</v>
      </c>
      <c r="D56" s="98" t="str">
        <f>VLOOKUP(C56,'Calcadao &amp; Passeio'!$A$5:$J$98,4,0)</f>
        <v>Quatro (4): PERGOLADOS (3,0 m x 3,0 m x 2,7 m)</v>
      </c>
      <c r="E56" s="99">
        <f>E58+E65+E70+E75</f>
        <v>500137.77633600001</v>
      </c>
      <c r="F56" s="100">
        <f>F57/$E$56</f>
        <v>0</v>
      </c>
      <c r="G56" s="100">
        <f t="shared" ref="G56:O56" si="7">G57/$E$56</f>
        <v>0</v>
      </c>
      <c r="H56" s="100">
        <f t="shared" si="7"/>
        <v>0</v>
      </c>
      <c r="I56" s="100">
        <f t="shared" si="7"/>
        <v>0</v>
      </c>
      <c r="J56" s="100">
        <f t="shared" si="7"/>
        <v>7.260667399697511E-2</v>
      </c>
      <c r="K56" s="100">
        <f t="shared" si="7"/>
        <v>7.6421031119877941E-2</v>
      </c>
      <c r="L56" s="100">
        <f t="shared" si="7"/>
        <v>0.16207554484095324</v>
      </c>
      <c r="M56" s="100">
        <f t="shared" si="7"/>
        <v>0.23201006730362361</v>
      </c>
      <c r="N56" s="100">
        <f t="shared" si="7"/>
        <v>0.2065239198620501</v>
      </c>
      <c r="O56" s="101">
        <f t="shared" si="7"/>
        <v>0.2503627628765201</v>
      </c>
      <c r="P56" s="132">
        <f>SUM(F56:O56)</f>
        <v>1</v>
      </c>
      <c r="Q56" s="96" t="str">
        <f>IF(P56=1,"OK';""FALTA")</f>
        <v>OK';"FALTA</v>
      </c>
    </row>
    <row r="57" spans="3:17" ht="30" customHeight="1" thickBot="1">
      <c r="C57" s="102"/>
      <c r="D57" s="103"/>
      <c r="E57" s="104"/>
      <c r="F57" s="105">
        <f>F64+F69+F74+F103</f>
        <v>0</v>
      </c>
      <c r="G57" s="105">
        <f t="shared" ref="G57:O57" si="8">G64+G69+G74+G103</f>
        <v>0</v>
      </c>
      <c r="H57" s="105">
        <f t="shared" si="8"/>
        <v>0</v>
      </c>
      <c r="I57" s="105">
        <f t="shared" si="8"/>
        <v>0</v>
      </c>
      <c r="J57" s="105">
        <f t="shared" si="8"/>
        <v>36313.340480000006</v>
      </c>
      <c r="K57" s="105">
        <f t="shared" si="8"/>
        <v>38221.04456960001</v>
      </c>
      <c r="L57" s="105">
        <f t="shared" si="8"/>
        <v>81060.102595200005</v>
      </c>
      <c r="M57" s="105">
        <f t="shared" si="8"/>
        <v>116036.99914880001</v>
      </c>
      <c r="N57" s="105">
        <f t="shared" si="8"/>
        <v>103290.41404</v>
      </c>
      <c r="O57" s="106">
        <f t="shared" si="8"/>
        <v>125215.87550240001</v>
      </c>
      <c r="P57" s="133"/>
    </row>
    <row r="58" spans="3:17" ht="30" customHeight="1">
      <c r="C58" s="107" t="s">
        <v>32</v>
      </c>
      <c r="D58" s="108" t="str">
        <f>VLOOKUP(C58,'Calcadao &amp; Passeio'!$A$5:$J$98,4,0)</f>
        <v>FUNDAÇÃO</v>
      </c>
      <c r="E58" s="109">
        <f>SUM(E59:E63)</f>
        <v>32628.587728000002</v>
      </c>
      <c r="F58" s="110"/>
      <c r="G58" s="110"/>
      <c r="H58" s="110"/>
      <c r="I58" s="110"/>
      <c r="J58" s="110"/>
      <c r="K58" s="110"/>
      <c r="L58" s="110">
        <v>0.2</v>
      </c>
      <c r="M58" s="110">
        <v>0.4</v>
      </c>
      <c r="N58" s="110">
        <v>0.3</v>
      </c>
      <c r="O58" s="111">
        <v>0.1</v>
      </c>
      <c r="P58" s="132">
        <f>SUM(F58:O58)</f>
        <v>1.0000000000000002</v>
      </c>
      <c r="Q58" s="96" t="str">
        <f>IF(P58=1,"OK';""FALTA")</f>
        <v>OK';"FALTA</v>
      </c>
    </row>
    <row r="59" spans="3:17" ht="30" hidden="1" customHeight="1">
      <c r="C59" s="112" t="s">
        <v>42</v>
      </c>
      <c r="D59" s="112" t="str">
        <f>VLOOKUP(C59,'Calcadao &amp; Passeio'!$A$5:$J$98,4,0)</f>
        <v>Lastro com Material Granular (Pedra britada N° 3) aplicado em pisos ou lajes sobre bloco, espessura de 10 cm)</v>
      </c>
      <c r="E59" s="113">
        <f>VLOOKUP(C59,'Calcadao &amp; Passeio'!$A$5:$J$98,10,0)</f>
        <v>486.69107200000002</v>
      </c>
      <c r="F59" s="114"/>
      <c r="G59" s="114"/>
      <c r="H59" s="114"/>
      <c r="I59" s="114"/>
      <c r="J59" s="114"/>
      <c r="K59" s="114"/>
      <c r="L59" s="114"/>
      <c r="M59" s="114"/>
      <c r="N59" s="114"/>
      <c r="O59" s="115"/>
      <c r="P59" s="134"/>
    </row>
    <row r="60" spans="3:17" ht="30" hidden="1" customHeight="1">
      <c r="C60" s="112" t="s">
        <v>43</v>
      </c>
      <c r="D60" s="112" t="str">
        <f>VLOOKUP(C60,'Calcadao &amp; Passeio'!$A$5:$J$98,4,0)</f>
        <v>Concreto Ciclópico FCK = 15 MPA, 30% Pedra de mão em volume real, inclusive lançamento</v>
      </c>
      <c r="E60" s="113">
        <f>VLOOKUP(C60,'Calcadao &amp; Passeio'!$A$5:$J$98,10,0)</f>
        <v>1662.3216800000002</v>
      </c>
      <c r="F60" s="114"/>
      <c r="G60" s="114"/>
      <c r="H60" s="114"/>
      <c r="I60" s="114"/>
      <c r="J60" s="114"/>
      <c r="K60" s="114"/>
      <c r="L60" s="114"/>
      <c r="M60" s="114"/>
      <c r="N60" s="114"/>
      <c r="O60" s="115"/>
      <c r="P60" s="134"/>
    </row>
    <row r="61" spans="3:17" ht="30" hidden="1" customHeight="1">
      <c r="C61" s="112" t="s">
        <v>175</v>
      </c>
      <c r="D61" s="112" t="str">
        <f>VLOOKUP(C61,'Calcadao &amp; Passeio'!$A$5:$J$98,4,0)</f>
        <v>REVESTIMENTO DE PILARES EM PEDRA BASALTO</v>
      </c>
      <c r="E61" s="113">
        <f>VLOOKUP(C61,'Calcadao &amp; Passeio'!$A$5:$J$98,10,0)</f>
        <v>0</v>
      </c>
      <c r="F61" s="114"/>
      <c r="G61" s="114"/>
      <c r="H61" s="114"/>
      <c r="I61" s="114"/>
      <c r="J61" s="114"/>
      <c r="K61" s="114"/>
      <c r="L61" s="114"/>
      <c r="M61" s="114"/>
      <c r="N61" s="114"/>
      <c r="O61" s="115"/>
      <c r="P61" s="134"/>
    </row>
    <row r="62" spans="3:17" ht="30" hidden="1" customHeight="1">
      <c r="C62" s="112" t="s">
        <v>176</v>
      </c>
      <c r="D62" s="112" t="str">
        <f>VLOOKUP(C62,'Calcadao &amp; Passeio'!$A$5:$J$98,4,0)</f>
        <v>Revestimento de Pilares com Pedra Basalto 270 cm de altura x 4 lados (40 x 10 x 10 cm)</v>
      </c>
      <c r="E62" s="113">
        <f>VLOOKUP(C62,'Calcadao &amp; Passeio'!$A$5:$J$98,10,0)</f>
        <v>28569.600000000002</v>
      </c>
      <c r="F62" s="114"/>
      <c r="G62" s="114"/>
      <c r="H62" s="114"/>
      <c r="I62" s="114"/>
      <c r="J62" s="114"/>
      <c r="K62" s="114"/>
      <c r="L62" s="114"/>
      <c r="M62" s="114"/>
      <c r="N62" s="114"/>
      <c r="O62" s="115"/>
      <c r="P62" s="134"/>
    </row>
    <row r="63" spans="3:17" ht="30" hidden="1" customHeight="1">
      <c r="C63" s="112" t="s">
        <v>177</v>
      </c>
      <c r="D63" s="112" t="str">
        <f>VLOOKUP(C63,'Calcadao &amp; Passeio'!$A$5:$J$98,4,0)</f>
        <v>ARGAMASSA TRAÇO 1:1:6 (EM VOLUME DE CIMENTO, CAL E AREIA MÉDIA ÚMIDA) PARA EMBOÇO/MASSA ÚNICA/ASSENTAMENTO DE ALVENARIA DE VEDAÇÃO, PREPARO MANUAL. AF_08/2019</v>
      </c>
      <c r="E63" s="113">
        <f>VLOOKUP(C63,'Calcadao &amp; Passeio'!$A$5:$J$98,10,0)</f>
        <v>1909.9749760000002</v>
      </c>
      <c r="F63" s="114"/>
      <c r="G63" s="114"/>
      <c r="H63" s="114"/>
      <c r="I63" s="114"/>
      <c r="J63" s="114"/>
      <c r="K63" s="114"/>
      <c r="L63" s="114"/>
      <c r="M63" s="114"/>
      <c r="N63" s="114"/>
      <c r="O63" s="115"/>
      <c r="P63" s="134"/>
    </row>
    <row r="64" spans="3:17" ht="30" customHeight="1" thickBot="1">
      <c r="C64" s="112"/>
      <c r="D64" s="116"/>
      <c r="E64" s="117"/>
      <c r="F64" s="105">
        <f>$E$58*F58</f>
        <v>0</v>
      </c>
      <c r="G64" s="105">
        <f t="shared" ref="G64:O64" si="9">$E$58*G58</f>
        <v>0</v>
      </c>
      <c r="H64" s="105">
        <f t="shared" si="9"/>
        <v>0</v>
      </c>
      <c r="I64" s="105">
        <f t="shared" si="9"/>
        <v>0</v>
      </c>
      <c r="J64" s="105">
        <f t="shared" si="9"/>
        <v>0</v>
      </c>
      <c r="K64" s="105">
        <f t="shared" si="9"/>
        <v>0</v>
      </c>
      <c r="L64" s="105">
        <f t="shared" si="9"/>
        <v>6525.7175456000004</v>
      </c>
      <c r="M64" s="105">
        <f t="shared" si="9"/>
        <v>13051.435091200001</v>
      </c>
      <c r="N64" s="105">
        <f t="shared" si="9"/>
        <v>9788.5763184000007</v>
      </c>
      <c r="O64" s="106">
        <f t="shared" si="9"/>
        <v>3262.8587728000002</v>
      </c>
      <c r="P64" s="133"/>
    </row>
    <row r="65" spans="3:17" ht="30" customHeight="1">
      <c r="C65" s="107" t="s">
        <v>178</v>
      </c>
      <c r="D65" s="108" t="str">
        <f>VLOOKUP(C65,'Calcadao &amp; Passeio'!$A$5:$J$98,4,0)</f>
        <v>PILARES (ARMAÇÃO DE AÇO E CONCRETAGEM)</v>
      </c>
      <c r="E65" s="109">
        <f>SUM(E66:E68)</f>
        <v>9538.5204480000011</v>
      </c>
      <c r="F65" s="110"/>
      <c r="G65" s="110"/>
      <c r="H65" s="110"/>
      <c r="I65" s="110"/>
      <c r="J65" s="110"/>
      <c r="K65" s="110">
        <v>0.2</v>
      </c>
      <c r="L65" s="110">
        <v>0.2</v>
      </c>
      <c r="M65" s="110">
        <v>0.2</v>
      </c>
      <c r="N65" s="110">
        <v>0.2</v>
      </c>
      <c r="O65" s="111">
        <v>0.2</v>
      </c>
      <c r="P65" s="132">
        <f>SUM(F65:O65)</f>
        <v>1</v>
      </c>
      <c r="Q65" s="96" t="str">
        <f>IF(P65=1,"OK';""FALTA")</f>
        <v>OK';"FALTA</v>
      </c>
    </row>
    <row r="66" spans="3:17" ht="30" hidden="1" customHeight="1">
      <c r="C66" s="112" t="s">
        <v>179</v>
      </c>
      <c r="D66" s="112" t="str">
        <f>VLOOKUP(C66,'Calcadao &amp; Passeio'!$A$5:$J$98,4,0)</f>
        <v>Fornecimento e instalação de Treliça 4.2 mm com ferro 10 mm e aranha com ferro 10 mm</v>
      </c>
      <c r="E66" s="113">
        <f>VLOOKUP(C66,'Calcadao &amp; Passeio'!$A$5:$J$98,10,0)</f>
        <v>6765.4400000000005</v>
      </c>
      <c r="F66" s="114"/>
      <c r="G66" s="114"/>
      <c r="H66" s="114"/>
      <c r="I66" s="114"/>
      <c r="J66" s="114"/>
      <c r="K66" s="114"/>
      <c r="L66" s="114"/>
      <c r="M66" s="114"/>
      <c r="N66" s="114"/>
      <c r="O66" s="115"/>
      <c r="P66" s="134"/>
    </row>
    <row r="67" spans="3:17" ht="30" hidden="1" customHeight="1">
      <c r="C67" s="112" t="s">
        <v>180</v>
      </c>
      <c r="D67" s="112" t="str">
        <f>VLOOKUP(C67,'Calcadao &amp; Passeio'!$A$5:$J$98,4,0)</f>
        <v>Armação de Pilar ou Viga de Estrutura Convencional de Concreto Armado utilizando AÇO CA-50 de 10,0 mm</v>
      </c>
      <c r="E67" s="113">
        <f>VLOOKUP(C67,'Calcadao &amp; Passeio'!$A$5:$J$98,10,0)</f>
        <v>1253.0348800000002</v>
      </c>
      <c r="F67" s="114"/>
      <c r="G67" s="114"/>
      <c r="H67" s="114"/>
      <c r="I67" s="114"/>
      <c r="J67" s="114"/>
      <c r="K67" s="114"/>
      <c r="L67" s="114"/>
      <c r="M67" s="114"/>
      <c r="N67" s="114"/>
      <c r="O67" s="115"/>
      <c r="P67" s="134"/>
    </row>
    <row r="68" spans="3:17" ht="30" hidden="1" customHeight="1">
      <c r="C68" s="112" t="s">
        <v>181</v>
      </c>
      <c r="D68" s="112" t="str">
        <f>VLOOKUP(C68,'Calcadao &amp; Passeio'!$A$5:$J$98,4,0)</f>
        <v>CONCRETAGEM DE PILARES, FCK = 25 MPA, COM USO DE BOMBA - LANÇAMENTO, ADENSAMENTO E ACABAMENTO. AF_02/2022_PS</v>
      </c>
      <c r="E68" s="113">
        <f>VLOOKUP(C68,'Calcadao &amp; Passeio'!$A$5:$J$98,10,0)</f>
        <v>1520.045568</v>
      </c>
      <c r="F68" s="114"/>
      <c r="G68" s="114"/>
      <c r="H68" s="114"/>
      <c r="I68" s="114"/>
      <c r="J68" s="114"/>
      <c r="K68" s="114"/>
      <c r="L68" s="114"/>
      <c r="M68" s="114"/>
      <c r="N68" s="114"/>
      <c r="O68" s="115"/>
      <c r="P68" s="134"/>
    </row>
    <row r="69" spans="3:17" ht="30" customHeight="1" thickBot="1">
      <c r="C69" s="112"/>
      <c r="D69" s="116"/>
      <c r="E69" s="117"/>
      <c r="F69" s="105">
        <f>$E$65*F65</f>
        <v>0</v>
      </c>
      <c r="G69" s="105">
        <f t="shared" ref="G69:O69" si="10">$E$65*G65</f>
        <v>0</v>
      </c>
      <c r="H69" s="105">
        <f t="shared" si="10"/>
        <v>0</v>
      </c>
      <c r="I69" s="105">
        <f t="shared" si="10"/>
        <v>0</v>
      </c>
      <c r="J69" s="105">
        <f t="shared" si="10"/>
        <v>0</v>
      </c>
      <c r="K69" s="105">
        <f t="shared" si="10"/>
        <v>1907.7040896000003</v>
      </c>
      <c r="L69" s="105">
        <f t="shared" si="10"/>
        <v>1907.7040896000003</v>
      </c>
      <c r="M69" s="105">
        <f t="shared" si="10"/>
        <v>1907.7040896000003</v>
      </c>
      <c r="N69" s="105">
        <f t="shared" si="10"/>
        <v>1907.7040896000003</v>
      </c>
      <c r="O69" s="106">
        <f t="shared" si="10"/>
        <v>1907.7040896000003</v>
      </c>
      <c r="P69" s="133"/>
    </row>
    <row r="70" spans="3:17" ht="30" customHeight="1">
      <c r="C70" s="107" t="s">
        <v>182</v>
      </c>
      <c r="D70" s="108" t="str">
        <f>VLOOKUP(C70,'Calcadao &amp; Passeio'!$A$5:$J$98,4,0)</f>
        <v>COBERTURA COM TELHA TERMO ACÚSTICA</v>
      </c>
      <c r="E70" s="109">
        <f>SUM(E71:E73)</f>
        <v>94837.263359999997</v>
      </c>
      <c r="F70" s="110"/>
      <c r="G70" s="110"/>
      <c r="H70" s="110"/>
      <c r="I70" s="110"/>
      <c r="J70" s="110"/>
      <c r="K70" s="110"/>
      <c r="L70" s="110"/>
      <c r="M70" s="110">
        <v>0.3</v>
      </c>
      <c r="N70" s="110">
        <v>0.2</v>
      </c>
      <c r="O70" s="111">
        <v>0.5</v>
      </c>
      <c r="P70" s="132">
        <f>SUM(F70:O70)</f>
        <v>1</v>
      </c>
      <c r="Q70" s="96" t="str">
        <f>IF(P70=1,"OK';""FALTA")</f>
        <v>OK';"FALTA</v>
      </c>
    </row>
    <row r="71" spans="3:17" ht="30" hidden="1" customHeight="1">
      <c r="C71" s="112" t="s">
        <v>183</v>
      </c>
      <c r="D71" s="112" t="str">
        <f>VLOOKUP(C71,'Calcadao &amp; Passeio'!$A$5:$J$98,4,0)</f>
        <v>INSTALAÇÃO E FORNECIMENTO DE MADEIRA ITAUBA DE BITOLA DE 15X8 E BITOLA DE 15X6 NOS PERGOLADOS</v>
      </c>
      <c r="E71" s="113">
        <f>VLOOKUP(C71,'Calcadao &amp; Passeio'!$A$5:$J$98,10,0)</f>
        <v>58032</v>
      </c>
      <c r="F71" s="114"/>
      <c r="G71" s="114"/>
      <c r="H71" s="114"/>
      <c r="I71" s="114"/>
      <c r="J71" s="114"/>
      <c r="K71" s="114"/>
      <c r="L71" s="114"/>
      <c r="M71" s="114"/>
      <c r="N71" s="114"/>
      <c r="O71" s="115"/>
      <c r="P71" s="134"/>
    </row>
    <row r="72" spans="3:17" ht="30" hidden="1" customHeight="1">
      <c r="C72" s="112" t="s">
        <v>184</v>
      </c>
      <c r="D72" s="112" t="str">
        <f>VLOOKUP(C72,'Calcadao &amp; Passeio'!$A$5:$J$98,4,0)</f>
        <v>Cobertura em telha termoisolante colonial (0,5 mm e 30 mm de isopor) na cor xx com parafusos, fornecimento e instalação</v>
      </c>
      <c r="E72" s="113">
        <f>VLOOKUP(C72,'Calcadao &amp; Passeio'!$A$5:$J$98,10,0)</f>
        <v>12616.335360000001</v>
      </c>
      <c r="F72" s="114"/>
      <c r="G72" s="114"/>
      <c r="H72" s="114"/>
      <c r="I72" s="114"/>
      <c r="J72" s="114"/>
      <c r="K72" s="114"/>
      <c r="L72" s="114"/>
      <c r="M72" s="114"/>
      <c r="N72" s="114"/>
      <c r="O72" s="115"/>
      <c r="P72" s="134"/>
    </row>
    <row r="73" spans="3:17" ht="30" hidden="1" customHeight="1">
      <c r="C73" s="112" t="s">
        <v>185</v>
      </c>
      <c r="D73" s="112" t="str">
        <f>VLOOKUP(C73,'Calcadao &amp; Passeio'!$A$5:$J$98,4,0)</f>
        <v>Lambrequins (fornecimento e instalação)</v>
      </c>
      <c r="E73" s="113">
        <f>VLOOKUP(C73,'Calcadao &amp; Passeio'!$A$5:$J$98,10,0)</f>
        <v>24188.928</v>
      </c>
      <c r="F73" s="114"/>
      <c r="G73" s="114"/>
      <c r="H73" s="114"/>
      <c r="I73" s="114"/>
      <c r="J73" s="114"/>
      <c r="K73" s="114"/>
      <c r="L73" s="114"/>
      <c r="M73" s="114"/>
      <c r="N73" s="114"/>
      <c r="O73" s="115"/>
      <c r="P73" s="134"/>
    </row>
    <row r="74" spans="3:17" ht="30" customHeight="1" thickBot="1">
      <c r="C74" s="112"/>
      <c r="D74" s="116"/>
      <c r="E74" s="117"/>
      <c r="F74" s="105">
        <f>$E$70*F70</f>
        <v>0</v>
      </c>
      <c r="G74" s="105">
        <f t="shared" ref="G74:O74" si="11">$E$70*G70</f>
        <v>0</v>
      </c>
      <c r="H74" s="105">
        <f t="shared" si="11"/>
        <v>0</v>
      </c>
      <c r="I74" s="105">
        <f t="shared" si="11"/>
        <v>0</v>
      </c>
      <c r="J74" s="105">
        <f t="shared" si="11"/>
        <v>0</v>
      </c>
      <c r="K74" s="105">
        <f t="shared" si="11"/>
        <v>0</v>
      </c>
      <c r="L74" s="105">
        <f t="shared" si="11"/>
        <v>0</v>
      </c>
      <c r="M74" s="105">
        <f t="shared" si="11"/>
        <v>28451.179007999999</v>
      </c>
      <c r="N74" s="105">
        <f t="shared" si="11"/>
        <v>18967.452671999999</v>
      </c>
      <c r="O74" s="106">
        <f t="shared" si="11"/>
        <v>47418.631679999999</v>
      </c>
      <c r="P74" s="133"/>
    </row>
    <row r="75" spans="3:17" ht="30" customHeight="1">
      <c r="C75" s="107" t="s">
        <v>186</v>
      </c>
      <c r="D75" s="108" t="str">
        <f>VLOOKUP(C75,'Calcadao &amp; Passeio'!$A$5:$J$98,4,0)</f>
        <v>ARTES, POSTES DE LUZ, BANCOS, VASOS</v>
      </c>
      <c r="E75" s="109">
        <f>SUM(E76:E102)</f>
        <v>363133.40480000002</v>
      </c>
      <c r="F75" s="110"/>
      <c r="G75" s="110"/>
      <c r="H75" s="110"/>
      <c r="I75" s="110"/>
      <c r="J75" s="110">
        <v>0.1</v>
      </c>
      <c r="K75" s="110">
        <v>0.1</v>
      </c>
      <c r="L75" s="110">
        <v>0.2</v>
      </c>
      <c r="M75" s="110">
        <v>0.2</v>
      </c>
      <c r="N75" s="110">
        <v>0.2</v>
      </c>
      <c r="O75" s="111">
        <v>0.2</v>
      </c>
      <c r="P75" s="132">
        <f>SUM(F75:O75)</f>
        <v>1</v>
      </c>
      <c r="Q75" s="96" t="str">
        <f>IF(P75=1,"OK';""FALTA")</f>
        <v>OK';"FALTA</v>
      </c>
    </row>
    <row r="76" spans="3:17" ht="30" hidden="1" customHeight="1">
      <c r="C76" s="112" t="s">
        <v>187</v>
      </c>
      <c r="D76" s="112" t="str">
        <f>VLOOKUP(C76,'Calcadao &amp; Passeio'!$A$5:$J$98,4,0)</f>
        <v>Camponesa russa com 170 cm de altura</v>
      </c>
      <c r="E76" s="113">
        <f>VLOOKUP(C76,'Calcadao &amp; Passeio'!$A$5:$J$98,10,0)</f>
        <v>19840</v>
      </c>
      <c r="F76" s="114"/>
      <c r="G76" s="114"/>
      <c r="H76" s="114"/>
      <c r="I76" s="114"/>
      <c r="J76" s="114"/>
      <c r="K76" s="114"/>
      <c r="L76" s="114"/>
      <c r="M76" s="114"/>
      <c r="N76" s="114"/>
      <c r="O76" s="115"/>
      <c r="P76" s="134"/>
    </row>
    <row r="77" spans="3:17" ht="30" hidden="1" customHeight="1">
      <c r="C77" s="112" t="s">
        <v>150</v>
      </c>
      <c r="D77" s="112" t="str">
        <f>VLOOKUP(C77,'Calcadao &amp; Passeio'!$A$5:$J$98,4,0)</f>
        <v>Menina russa carregando Samovar com 140 cm de altura</v>
      </c>
      <c r="E77" s="113">
        <f>VLOOKUP(C77,'Calcadao &amp; Passeio'!$A$5:$J$98,10,0)</f>
        <v>14880</v>
      </c>
      <c r="F77" s="114"/>
      <c r="G77" s="114"/>
      <c r="H77" s="114"/>
      <c r="I77" s="114"/>
      <c r="J77" s="114"/>
      <c r="K77" s="114"/>
      <c r="L77" s="114"/>
      <c r="M77" s="114"/>
      <c r="N77" s="114"/>
      <c r="O77" s="115"/>
      <c r="P77" s="134"/>
    </row>
    <row r="78" spans="3:17" ht="30" hidden="1" customHeight="1">
      <c r="C78" s="112" t="s">
        <v>188</v>
      </c>
      <c r="D78" s="112" t="str">
        <f>VLOOKUP(C78,'Calcadao &amp; Passeio'!$A$5:$J$98,4,0)</f>
        <v>Ursa mãe com 170 cm de comprimento</v>
      </c>
      <c r="E78" s="113">
        <f>VLOOKUP(C78,'Calcadao &amp; Passeio'!$A$5:$J$98,10,0)</f>
        <v>24800</v>
      </c>
      <c r="F78" s="114"/>
      <c r="G78" s="114"/>
      <c r="H78" s="114"/>
      <c r="I78" s="114"/>
      <c r="J78" s="114"/>
      <c r="K78" s="114"/>
      <c r="L78" s="114"/>
      <c r="M78" s="114"/>
      <c r="N78" s="114"/>
      <c r="O78" s="115"/>
      <c r="P78" s="134"/>
    </row>
    <row r="79" spans="3:17" ht="30" hidden="1" customHeight="1">
      <c r="C79" s="112" t="s">
        <v>189</v>
      </c>
      <c r="D79" s="112" t="str">
        <f>VLOOKUP(C79,'Calcadao &amp; Passeio'!$A$5:$J$98,4,0)</f>
        <v>Urso filhote caminhando com 90 cm de comprimento</v>
      </c>
      <c r="E79" s="113">
        <f>VLOOKUP(C79,'Calcadao &amp; Passeio'!$A$5:$J$98,10,0)</f>
        <v>12400</v>
      </c>
      <c r="F79" s="114"/>
      <c r="G79" s="114"/>
      <c r="H79" s="114"/>
      <c r="I79" s="114"/>
      <c r="J79" s="114"/>
      <c r="K79" s="114"/>
      <c r="L79" s="114"/>
      <c r="M79" s="114"/>
      <c r="N79" s="114"/>
      <c r="O79" s="115"/>
      <c r="P79" s="134"/>
    </row>
    <row r="80" spans="3:17" ht="30" hidden="1" customHeight="1">
      <c r="C80" s="112" t="s">
        <v>190</v>
      </c>
      <c r="D80" s="112" t="str">
        <f>VLOOKUP(C80,'Calcadao &amp; Passeio'!$A$5:$J$98,4,0)</f>
        <v>Urso filhote de pé com 90 cm de altura</v>
      </c>
      <c r="E80" s="113">
        <f>VLOOKUP(C80,'Calcadao &amp; Passeio'!$A$5:$J$98,10,0)</f>
        <v>6200</v>
      </c>
      <c r="F80" s="114"/>
      <c r="G80" s="114"/>
      <c r="H80" s="114"/>
      <c r="I80" s="114"/>
      <c r="J80" s="114"/>
      <c r="K80" s="114"/>
      <c r="L80" s="114"/>
      <c r="M80" s="114"/>
      <c r="N80" s="114"/>
      <c r="O80" s="115"/>
      <c r="P80" s="134"/>
    </row>
    <row r="81" spans="3:16" ht="30" hidden="1" customHeight="1">
      <c r="C81" s="112" t="s">
        <v>191</v>
      </c>
      <c r="D81" s="112" t="str">
        <f>VLOOKUP(C81,'Calcadao &amp; Passeio'!$A$5:$J$98,4,0)</f>
        <v>Urso com bandoneón 180 cm de altura</v>
      </c>
      <c r="E81" s="113">
        <f>VLOOKUP(C81,'Calcadao &amp; Passeio'!$A$5:$J$98,10,0)</f>
        <v>22320</v>
      </c>
      <c r="F81" s="114"/>
      <c r="G81" s="114"/>
      <c r="H81" s="114"/>
      <c r="I81" s="114"/>
      <c r="J81" s="114"/>
      <c r="K81" s="114"/>
      <c r="L81" s="114"/>
      <c r="M81" s="114"/>
      <c r="N81" s="114"/>
      <c r="O81" s="115"/>
      <c r="P81" s="134"/>
    </row>
    <row r="82" spans="3:16" ht="30" hidden="1" customHeight="1">
      <c r="C82" s="112" t="s">
        <v>192</v>
      </c>
      <c r="D82" s="112" t="str">
        <f>VLOOKUP(C82,'Calcadao &amp; Passeio'!$A$5:$J$98,4,0)</f>
        <v xml:space="preserve">Matrioska: 158,0 cm altura x 79,0 cm de base </v>
      </c>
      <c r="E82" s="113">
        <f>VLOOKUP(C82,'Calcadao &amp; Passeio'!$A$5:$J$98,10,0)</f>
        <v>13640</v>
      </c>
      <c r="F82" s="114"/>
      <c r="G82" s="114"/>
      <c r="H82" s="114"/>
      <c r="I82" s="114"/>
      <c r="J82" s="114"/>
      <c r="K82" s="114"/>
      <c r="L82" s="114"/>
      <c r="M82" s="114"/>
      <c r="N82" s="114"/>
      <c r="O82" s="115"/>
      <c r="P82" s="134"/>
    </row>
    <row r="83" spans="3:16" ht="30" hidden="1" customHeight="1">
      <c r="C83" s="112" t="s">
        <v>193</v>
      </c>
      <c r="D83" s="112" t="str">
        <f>VLOOKUP(C83,'Calcadao &amp; Passeio'!$A$5:$J$98,4,0)</f>
        <v xml:space="preserve">Matrioska: 112,0 cm altura x 48,0 cm de base </v>
      </c>
      <c r="E83" s="113">
        <f>VLOOKUP(C83,'Calcadao &amp; Passeio'!$A$5:$J$98,10,0)</f>
        <v>6200</v>
      </c>
      <c r="F83" s="114"/>
      <c r="G83" s="114"/>
      <c r="H83" s="114"/>
      <c r="I83" s="114"/>
      <c r="J83" s="114"/>
      <c r="K83" s="114"/>
      <c r="L83" s="114"/>
      <c r="M83" s="114"/>
      <c r="N83" s="114"/>
      <c r="O83" s="115"/>
      <c r="P83" s="134"/>
    </row>
    <row r="84" spans="3:16" ht="30" hidden="1" customHeight="1">
      <c r="C84" s="112" t="s">
        <v>194</v>
      </c>
      <c r="D84" s="112" t="str">
        <f>VLOOKUP(C84,'Calcadao &amp; Passeio'!$A$5:$J$98,4,0)</f>
        <v>Matrioska: 88,0 cm altura x 36,0 cm de base</v>
      </c>
      <c r="E84" s="113">
        <f>VLOOKUP(C84,'Calcadao &amp; Passeio'!$A$5:$J$98,10,0)</f>
        <v>5580</v>
      </c>
      <c r="F84" s="114"/>
      <c r="G84" s="114"/>
      <c r="H84" s="114"/>
      <c r="I84" s="114"/>
      <c r="J84" s="114"/>
      <c r="K84" s="114"/>
      <c r="L84" s="114"/>
      <c r="M84" s="114"/>
      <c r="N84" s="114"/>
      <c r="O84" s="115"/>
      <c r="P84" s="134"/>
    </row>
    <row r="85" spans="3:16" ht="30" hidden="1" customHeight="1">
      <c r="C85" s="112" t="s">
        <v>195</v>
      </c>
      <c r="D85" s="112" t="str">
        <f>VLOOKUP(C85,'Calcadao &amp; Passeio'!$A$5:$J$98,4,0)</f>
        <v>Matrioska: 63,0 cm altura x 24,0 cm de base</v>
      </c>
      <c r="E85" s="113">
        <f>VLOOKUP(C85,'Calcadao &amp; Passeio'!$A$5:$J$98,10,0)</f>
        <v>4960</v>
      </c>
      <c r="F85" s="114"/>
      <c r="G85" s="114"/>
      <c r="H85" s="114"/>
      <c r="I85" s="114"/>
      <c r="J85" s="114"/>
      <c r="K85" s="114"/>
      <c r="L85" s="114"/>
      <c r="M85" s="114"/>
      <c r="N85" s="114"/>
      <c r="O85" s="115"/>
      <c r="P85" s="134"/>
    </row>
    <row r="86" spans="3:16" ht="30" hidden="1" customHeight="1">
      <c r="C86" s="112" t="s">
        <v>196</v>
      </c>
      <c r="D86" s="112" t="str">
        <f>VLOOKUP(C86,'Calcadao &amp; Passeio'!$A$5:$J$98,4,0)</f>
        <v>Matrioska: 40,0 cm altura x 18,0 cm de base</v>
      </c>
      <c r="E86" s="113">
        <f>VLOOKUP(C86,'Calcadao &amp; Passeio'!$A$5:$J$98,10,0)</f>
        <v>4340</v>
      </c>
      <c r="F86" s="114"/>
      <c r="G86" s="114"/>
      <c r="H86" s="114"/>
      <c r="I86" s="114"/>
      <c r="J86" s="114"/>
      <c r="K86" s="114"/>
      <c r="L86" s="114"/>
      <c r="M86" s="114"/>
      <c r="N86" s="114"/>
      <c r="O86" s="115"/>
      <c r="P86" s="134"/>
    </row>
    <row r="87" spans="3:16" ht="30" hidden="1" customHeight="1">
      <c r="C87" s="112" t="s">
        <v>197</v>
      </c>
      <c r="D87" s="112" t="str">
        <f>VLOOKUP(C87,'Calcadao &amp; Passeio'!$A$5:$J$98,4,0)</f>
        <v>Matrioskas em Silhueta para fotos com 160 cm de altura</v>
      </c>
      <c r="E87" s="113">
        <f>VLOOKUP(C87,'Calcadao &amp; Passeio'!$A$5:$J$98,10,0)</f>
        <v>2480</v>
      </c>
      <c r="F87" s="114"/>
      <c r="G87" s="114"/>
      <c r="H87" s="114"/>
      <c r="I87" s="114"/>
      <c r="J87" s="114"/>
      <c r="K87" s="114"/>
      <c r="L87" s="114"/>
      <c r="M87" s="114"/>
      <c r="N87" s="114"/>
      <c r="O87" s="115"/>
      <c r="P87" s="134"/>
    </row>
    <row r="88" spans="3:16" ht="30" hidden="1" customHeight="1">
      <c r="C88" s="112" t="s">
        <v>198</v>
      </c>
      <c r="D88" s="112" t="str">
        <f>VLOOKUP(C88,'Calcadao &amp; Passeio'!$A$5:$J$98,4,0)</f>
        <v>Dançarino Russo 170 cm de altura</v>
      </c>
      <c r="E88" s="113">
        <f>VLOOKUP(C88,'Calcadao &amp; Passeio'!$A$5:$J$98,10,0)</f>
        <v>19840</v>
      </c>
      <c r="F88" s="114"/>
      <c r="G88" s="114"/>
      <c r="H88" s="114"/>
      <c r="I88" s="114"/>
      <c r="J88" s="114"/>
      <c r="K88" s="114"/>
      <c r="L88" s="114"/>
      <c r="M88" s="114"/>
      <c r="N88" s="114"/>
      <c r="O88" s="115"/>
      <c r="P88" s="134"/>
    </row>
    <row r="89" spans="3:16" ht="30" hidden="1" customHeight="1">
      <c r="C89" s="112" t="s">
        <v>199</v>
      </c>
      <c r="D89" s="112" t="str">
        <f>VLOOKUP(C89,'Calcadao &amp; Passeio'!$A$5:$J$98,4,0)</f>
        <v>Dançararina Russa 170 cm de altura</v>
      </c>
      <c r="E89" s="113">
        <f>VLOOKUP(C89,'Calcadao &amp; Passeio'!$A$5:$J$98,10,0)</f>
        <v>19840</v>
      </c>
      <c r="F89" s="114"/>
      <c r="G89" s="114"/>
      <c r="H89" s="114"/>
      <c r="I89" s="114"/>
      <c r="J89" s="114"/>
      <c r="K89" s="114"/>
      <c r="L89" s="114"/>
      <c r="M89" s="114"/>
      <c r="N89" s="114"/>
      <c r="O89" s="115"/>
      <c r="P89" s="134"/>
    </row>
    <row r="90" spans="3:16" ht="30" hidden="1" customHeight="1">
      <c r="C90" s="112" t="s">
        <v>200</v>
      </c>
      <c r="D90" s="112" t="str">
        <f>VLOOKUP(C90,'Calcadao &amp; Passeio'!$A$5:$J$98,4,0)</f>
        <v>Oratório</v>
      </c>
      <c r="E90" s="113">
        <f>VLOOKUP(C90,'Calcadao &amp; Passeio'!$A$5:$J$98,10,0)</f>
        <v>7440</v>
      </c>
      <c r="F90" s="114"/>
      <c r="G90" s="114"/>
      <c r="H90" s="114"/>
      <c r="I90" s="114"/>
      <c r="J90" s="114"/>
      <c r="K90" s="114"/>
      <c r="L90" s="114"/>
      <c r="M90" s="114"/>
      <c r="N90" s="114"/>
      <c r="O90" s="115"/>
      <c r="P90" s="134"/>
    </row>
    <row r="91" spans="3:16" ht="30" hidden="1" customHeight="1">
      <c r="C91" s="112" t="s">
        <v>201</v>
      </c>
      <c r="D91" s="112" t="str">
        <f>VLOOKUP(C91,'Calcadao &amp; Passeio'!$A$5:$J$98,4,0)</f>
        <v>Samovar com 150 cm de altura</v>
      </c>
      <c r="E91" s="113">
        <f>VLOOKUP(C91,'Calcadao &amp; Passeio'!$A$5:$J$98,10,0)</f>
        <v>18600</v>
      </c>
      <c r="F91" s="114"/>
      <c r="G91" s="114"/>
      <c r="H91" s="114"/>
      <c r="I91" s="114"/>
      <c r="J91" s="114"/>
      <c r="K91" s="114"/>
      <c r="L91" s="114"/>
      <c r="M91" s="114"/>
      <c r="N91" s="114"/>
      <c r="O91" s="115"/>
      <c r="P91" s="134"/>
    </row>
    <row r="92" spans="3:16" ht="30" hidden="1" customHeight="1">
      <c r="C92" s="112" t="s">
        <v>202</v>
      </c>
      <c r="D92" s="112" t="str">
        <f>VLOOKUP(C92,'Calcadao &amp; Passeio'!$A$5:$J$98,4,0)</f>
        <v>Casa da Sibéria 300 cm x 300 cm x 340 cm (C, L, H c/ telhado)</v>
      </c>
      <c r="E92" s="113">
        <f>VLOOKUP(C92,'Calcadao &amp; Passeio'!$A$5:$J$98,10,0)</f>
        <v>55800</v>
      </c>
      <c r="F92" s="114"/>
      <c r="G92" s="114"/>
      <c r="H92" s="114"/>
      <c r="I92" s="114"/>
      <c r="J92" s="114"/>
      <c r="K92" s="114"/>
      <c r="L92" s="114"/>
      <c r="M92" s="114"/>
      <c r="N92" s="114"/>
      <c r="O92" s="115"/>
      <c r="P92" s="134"/>
    </row>
    <row r="93" spans="3:16" ht="30" hidden="1" customHeight="1">
      <c r="C93" s="112" t="s">
        <v>203</v>
      </c>
      <c r="D93" s="112" t="str">
        <f>VLOOKUP(C93,'Calcadao &amp; Passeio'!$A$5:$J$98,4,0)</f>
        <v>Estrutura de cerne de madeira itaúba para Placa de Inauguração</v>
      </c>
      <c r="E93" s="113">
        <f>VLOOKUP(C93,'Calcadao &amp; Passeio'!$A$5:$J$98,10,0)</f>
        <v>7564</v>
      </c>
      <c r="F93" s="114"/>
      <c r="G93" s="114"/>
      <c r="H93" s="114"/>
      <c r="I93" s="114"/>
      <c r="J93" s="114"/>
      <c r="K93" s="114"/>
      <c r="L93" s="114"/>
      <c r="M93" s="114"/>
      <c r="N93" s="114"/>
      <c r="O93" s="115"/>
      <c r="P93" s="134"/>
    </row>
    <row r="94" spans="3:16" ht="30" hidden="1" customHeight="1">
      <c r="C94" s="112" t="s">
        <v>204</v>
      </c>
      <c r="D94" s="112" t="str">
        <f>VLOOKUP(C94,'Calcadao &amp; Passeio'!$A$5:$J$98,4,0)</f>
        <v>Pintura artística de: 1 Samovar, 1 menina carregando samovar, família de 5 matrioskas, casal de dançarinos, camponesa russa. Inclui a criação e/ou adaptação de arte para as esculturas, inclui os materiais: tintas e pincéis, Inclui a aplicação de verniz acrílico após a finalização das pinturas, para garantir maior durabilidade.</v>
      </c>
      <c r="E94" s="113">
        <f>VLOOKUP(C94,'Calcadao &amp; Passeio'!$A$5:$J$98,10,0)</f>
        <v>9696.7999999999993</v>
      </c>
      <c r="F94" s="114"/>
      <c r="G94" s="114"/>
      <c r="H94" s="114"/>
      <c r="I94" s="114"/>
      <c r="J94" s="114"/>
      <c r="K94" s="114"/>
      <c r="L94" s="114"/>
      <c r="M94" s="114"/>
      <c r="N94" s="114"/>
      <c r="O94" s="115"/>
      <c r="P94" s="134"/>
    </row>
    <row r="95" spans="3:16" ht="30" hidden="1" customHeight="1">
      <c r="C95" s="112" t="s">
        <v>205</v>
      </c>
      <c r="D95" s="112" t="str">
        <f>VLOOKUP(C95,'Calcadao &amp; Passeio'!$A$5:$J$98,4,0)</f>
        <v>MASTRO SIMPLES GALVANIZADO DIAMETRO NOMINAL 2"</v>
      </c>
      <c r="E95" s="113">
        <f>VLOOKUP(C95,'Calcadao &amp; Passeio'!$A$5:$J$98,10,0)</f>
        <v>5848.7328000000007</v>
      </c>
      <c r="F95" s="114"/>
      <c r="G95" s="114"/>
      <c r="H95" s="114"/>
      <c r="I95" s="114"/>
      <c r="J95" s="114"/>
      <c r="K95" s="114"/>
      <c r="L95" s="114"/>
      <c r="M95" s="114"/>
      <c r="N95" s="114"/>
      <c r="O95" s="115"/>
      <c r="P95" s="134"/>
    </row>
    <row r="96" spans="3:16" ht="30" hidden="1" customHeight="1">
      <c r="C96" s="112" t="s">
        <v>206</v>
      </c>
      <c r="D96" s="112" t="str">
        <f>VLOOKUP(C96,'Calcadao &amp; Passeio'!$A$5:$J$98,4,0)</f>
        <v>Bandeira oficial da Russia com 1,20 m x 0,90 m</v>
      </c>
      <c r="E96" s="113">
        <f>VLOOKUP(C96,'Calcadao &amp; Passeio'!$A$5:$J$98,10,0)</f>
        <v>3348</v>
      </c>
      <c r="F96" s="114"/>
      <c r="G96" s="114"/>
      <c r="H96" s="114"/>
      <c r="I96" s="114"/>
      <c r="J96" s="114"/>
      <c r="K96" s="114"/>
      <c r="L96" s="114"/>
      <c r="M96" s="114"/>
      <c r="N96" s="114"/>
      <c r="O96" s="115"/>
      <c r="P96" s="134"/>
    </row>
    <row r="97" spans="3:17" ht="30" hidden="1" customHeight="1">
      <c r="C97" s="112" t="s">
        <v>207</v>
      </c>
      <c r="D97" s="112" t="str">
        <f>VLOOKUP(C97,'Calcadao &amp; Passeio'!$A$5:$J$98,4,0)</f>
        <v>Poste Veneza em alumínio fundido, 3,04 m de altura, 108 cm de diâmetro dos braços, 22 cm e base e duas luminárias.</v>
      </c>
      <c r="E97" s="113">
        <f>VLOOKUP(C97,'Calcadao &amp; Passeio'!$A$5:$J$98,10,0)</f>
        <v>15417.415999999999</v>
      </c>
      <c r="F97" s="114"/>
      <c r="G97" s="114"/>
      <c r="H97" s="114"/>
      <c r="I97" s="114"/>
      <c r="J97" s="114"/>
      <c r="K97" s="114"/>
      <c r="L97" s="114"/>
      <c r="M97" s="114"/>
      <c r="N97" s="114"/>
      <c r="O97" s="115"/>
      <c r="P97" s="134"/>
    </row>
    <row r="98" spans="3:17" ht="30" hidden="1" customHeight="1">
      <c r="C98" s="112" t="s">
        <v>208</v>
      </c>
      <c r="D98" s="112" t="str">
        <f>VLOOKUP(C98,'Calcadao &amp; Passeio'!$A$5:$J$98,4,0)</f>
        <v>Poste Kansas em alumínio fundido, 3,20 m de altura, 84 cm de braço e 28 cm de base</v>
      </c>
      <c r="E98" s="113">
        <f>VLOOKUP(C98,'Calcadao &amp; Passeio'!$A$5:$J$98,10,0)</f>
        <v>36248.175999999999</v>
      </c>
      <c r="F98" s="114"/>
      <c r="G98" s="114"/>
      <c r="H98" s="114"/>
      <c r="I98" s="114"/>
      <c r="J98" s="114"/>
      <c r="K98" s="114"/>
      <c r="L98" s="114"/>
      <c r="M98" s="114"/>
      <c r="N98" s="114"/>
      <c r="O98" s="115"/>
      <c r="P98" s="134"/>
    </row>
    <row r="99" spans="3:17" ht="30" hidden="1" customHeight="1">
      <c r="C99" s="112" t="s">
        <v>209</v>
      </c>
      <c r="D99" s="112" t="str">
        <f>VLOOKUP(C99,'Calcadao &amp; Passeio'!$A$5:$J$98,4,0)</f>
        <v xml:space="preserve">Flâmula da Rússia com dimensões de 80 cm x 30 cm, em tecido poliéster, com impressão em ambos os lados, ponta triangular e franja dourada na parte inferior </v>
      </c>
      <c r="E99" s="113">
        <f>VLOOKUP(C99,'Calcadao &amp; Passeio'!$A$5:$J$98,10,0)</f>
        <v>2678.3999999999996</v>
      </c>
      <c r="F99" s="114"/>
      <c r="G99" s="114"/>
      <c r="H99" s="114"/>
      <c r="I99" s="114"/>
      <c r="J99" s="114"/>
      <c r="K99" s="114"/>
      <c r="L99" s="114"/>
      <c r="M99" s="114"/>
      <c r="N99" s="114"/>
      <c r="O99" s="115"/>
      <c r="P99" s="134"/>
    </row>
    <row r="100" spans="3:17" ht="30" hidden="1" customHeight="1">
      <c r="C100" s="112" t="s">
        <v>210</v>
      </c>
      <c r="D100" s="112" t="str">
        <f>VLOOKUP(C100,'Calcadao &amp; Passeio'!$A$5:$J$98,4,0)</f>
        <v>Conjunto Girassol: 2 Banco Girassol de 120 cm e 1 Mesinha de 70 cm x 43 cm. Madeira ipê, espessura mínima de 2,2 cm, pintados com cetol deck; pés em alumínio fundido, com pintura eletroestática preto brilho.</v>
      </c>
      <c r="E100" s="113">
        <f>VLOOKUP(C100,'Calcadao &amp; Passeio'!$A$5:$J$98,10,0)</f>
        <v>11829.6</v>
      </c>
      <c r="F100" s="114"/>
      <c r="G100" s="114"/>
      <c r="H100" s="114"/>
      <c r="I100" s="114"/>
      <c r="J100" s="114"/>
      <c r="K100" s="114"/>
      <c r="L100" s="114"/>
      <c r="M100" s="114"/>
      <c r="N100" s="114"/>
      <c r="O100" s="115"/>
      <c r="P100" s="134"/>
    </row>
    <row r="101" spans="3:17" ht="30" hidden="1" customHeight="1">
      <c r="C101" s="112" t="s">
        <v>211</v>
      </c>
      <c r="D101" s="112" t="str">
        <f>VLOOKUP(C101,'Calcadao &amp; Passeio'!$A$5:$J$98,4,0)</f>
        <v>Conjunto Francês: 1 Banco Francês de 150 cm, 2 Poltronas de 65 cm e 1 Mesinha de 70 cm x 43 cm. Madeira ipê, espessura mínima de 2,2 cm, pintados com cetol deck; pés em alumínio fundido, com pintura eletroestática preto brilho.</v>
      </c>
      <c r="E101" s="113">
        <f>VLOOKUP(C101,'Calcadao &amp; Passeio'!$A$5:$J$98,10,0)</f>
        <v>5704</v>
      </c>
      <c r="F101" s="114"/>
      <c r="G101" s="114"/>
      <c r="H101" s="114"/>
      <c r="I101" s="114"/>
      <c r="J101" s="114"/>
      <c r="K101" s="114"/>
      <c r="L101" s="114"/>
      <c r="M101" s="114"/>
      <c r="N101" s="114"/>
      <c r="O101" s="115"/>
      <c r="P101" s="134"/>
    </row>
    <row r="102" spans="3:17" ht="30" hidden="1" customHeight="1">
      <c r="C102" s="112" t="s">
        <v>212</v>
      </c>
      <c r="D102" s="112" t="str">
        <f>VLOOKUP(C102,'Calcadao &amp; Passeio'!$A$5:$J$98,4,0)</f>
        <v>Conjunto Lyon: 2 Banco Lyon de 120 cm e Mesinha de 70 cm x 43 cm. Madeira ipê, espessura mínima de 2,2 cm, pintados com cetol deck; pés em alumínio fundido, com pintura eletroestática preto brilho.</v>
      </c>
      <c r="E102" s="113">
        <f>VLOOKUP(C102,'Calcadao &amp; Passeio'!$A$5:$J$98,10,0)</f>
        <v>5638.28</v>
      </c>
      <c r="F102" s="114"/>
      <c r="G102" s="114"/>
      <c r="H102" s="114"/>
      <c r="I102" s="114"/>
      <c r="J102" s="114"/>
      <c r="K102" s="114"/>
      <c r="L102" s="114"/>
      <c r="M102" s="114"/>
      <c r="N102" s="114"/>
      <c r="O102" s="115"/>
      <c r="P102" s="134"/>
    </row>
    <row r="103" spans="3:17" ht="30" customHeight="1" thickBot="1">
      <c r="C103" s="112"/>
      <c r="D103" s="112"/>
      <c r="E103" s="113"/>
      <c r="F103" s="119">
        <f>$E$75*F75</f>
        <v>0</v>
      </c>
      <c r="G103" s="119">
        <f t="shared" ref="G103:O103" si="12">$E$75*G75</f>
        <v>0</v>
      </c>
      <c r="H103" s="119">
        <f t="shared" si="12"/>
        <v>0</v>
      </c>
      <c r="I103" s="119">
        <f t="shared" si="12"/>
        <v>0</v>
      </c>
      <c r="J103" s="119">
        <f t="shared" si="12"/>
        <v>36313.340480000006</v>
      </c>
      <c r="K103" s="119">
        <f t="shared" si="12"/>
        <v>36313.340480000006</v>
      </c>
      <c r="L103" s="119">
        <f t="shared" si="12"/>
        <v>72626.680960000012</v>
      </c>
      <c r="M103" s="119">
        <f t="shared" si="12"/>
        <v>72626.680960000012</v>
      </c>
      <c r="N103" s="119">
        <f t="shared" si="12"/>
        <v>72626.680960000012</v>
      </c>
      <c r="O103" s="120">
        <f t="shared" si="12"/>
        <v>72626.680960000012</v>
      </c>
      <c r="P103" s="133"/>
    </row>
    <row r="104" spans="3:17" ht="30" customHeight="1" thickBot="1">
      <c r="C104" s="121">
        <v>3</v>
      </c>
      <c r="D104" s="98" t="str">
        <f>VLOOKUP(C104,'Calcadao &amp; Passeio'!$A$5:$J$98,4,0)</f>
        <v>Passeio de 2,50 m</v>
      </c>
      <c r="E104" s="99">
        <f>E105</f>
        <v>212253.27429599999</v>
      </c>
      <c r="F104" s="100">
        <v>0.2</v>
      </c>
      <c r="G104" s="100">
        <v>0.15</v>
      </c>
      <c r="H104" s="100">
        <v>0.15</v>
      </c>
      <c r="I104" s="100">
        <v>0.15</v>
      </c>
      <c r="J104" s="100">
        <v>0.15</v>
      </c>
      <c r="K104" s="100">
        <v>0.2</v>
      </c>
      <c r="L104" s="100"/>
      <c r="M104" s="100"/>
      <c r="N104" s="100"/>
      <c r="O104" s="101"/>
      <c r="P104" s="132">
        <f>SUM(F104:O104)</f>
        <v>1</v>
      </c>
      <c r="Q104" s="96" t="str">
        <f>IF(P104=1,"OK';""FALTA")</f>
        <v>OK';"FALTA</v>
      </c>
    </row>
    <row r="105" spans="3:17" ht="30" hidden="1" customHeight="1">
      <c r="C105" s="122" t="s">
        <v>213</v>
      </c>
      <c r="D105" s="123" t="str">
        <f>VLOOKUP(C105,'Calcadao &amp; Passeio'!$A$5:$J$98,4,0)</f>
        <v>Repaginação Passeio Rua Uruguaiana</v>
      </c>
      <c r="E105" s="124">
        <f>SUM(E106:E112)</f>
        <v>212253.27429599999</v>
      </c>
      <c r="F105" s="114"/>
      <c r="G105" s="114"/>
      <c r="H105" s="114"/>
      <c r="I105" s="114"/>
      <c r="J105" s="114"/>
      <c r="K105" s="114"/>
      <c r="L105" s="114"/>
      <c r="M105" s="114"/>
      <c r="N105" s="114"/>
      <c r="O105" s="115"/>
      <c r="P105" s="134"/>
    </row>
    <row r="106" spans="3:17" ht="30" hidden="1" customHeight="1">
      <c r="C106" s="125" t="s">
        <v>214</v>
      </c>
      <c r="D106" s="112" t="str">
        <f>VLOOKUP(C106,'Calcadao &amp; Passeio'!$A$5:$J$98,4,0)</f>
        <v>ARGAMASSA TRAÇO 1:3 (EM VOLUME DE CIMENTO E AREIA MÉDIA ÚMIDA) PARA CONTRAPISO, PREPARO MECÂNICO COM BETONEIRA 400 L. AF_08/2019</v>
      </c>
      <c r="E106" s="113">
        <f>VLOOKUP(C106,'Calcadao &amp; Passeio'!$A$5:$J$98,10,0)</f>
        <v>46669.044239999996</v>
      </c>
      <c r="F106" s="114"/>
      <c r="G106" s="114"/>
      <c r="H106" s="114"/>
      <c r="I106" s="114"/>
      <c r="J106" s="114"/>
      <c r="K106" s="114"/>
      <c r="L106" s="114"/>
      <c r="M106" s="114"/>
      <c r="N106" s="114"/>
      <c r="O106" s="115"/>
      <c r="P106" s="134"/>
    </row>
    <row r="107" spans="3:17" ht="30" hidden="1" customHeight="1">
      <c r="C107" s="125" t="s">
        <v>215</v>
      </c>
      <c r="D107" s="112" t="str">
        <f>VLOOKUP(C107,'Calcadao &amp; Passeio'!$A$5:$J$98,4,0)</f>
        <v>PEDRA BASALTO IRREGULAR</v>
      </c>
      <c r="E107" s="113">
        <f>VLOOKUP(C107,'Calcadao &amp; Passeio'!$A$5:$J$98,10,0)</f>
        <v>123541.20000000001</v>
      </c>
      <c r="F107" s="114"/>
      <c r="G107" s="114"/>
      <c r="H107" s="114"/>
      <c r="I107" s="114"/>
      <c r="J107" s="114"/>
      <c r="K107" s="114"/>
      <c r="L107" s="114"/>
      <c r="M107" s="114"/>
      <c r="N107" s="114"/>
      <c r="O107" s="115"/>
      <c r="P107" s="134"/>
    </row>
    <row r="108" spans="3:17" ht="30" hidden="1" customHeight="1">
      <c r="C108" s="125" t="s">
        <v>216</v>
      </c>
      <c r="D108" s="112" t="str">
        <f>VLOOKUP(C108,'Calcadao &amp; Passeio'!$A$5:$J$98,4,0)</f>
        <v>APLICAÇÃO DE LONA PLÁSTICA PARA EXECUÇÃO DE PAVIMENTOS DE CONCRETO. AF_04/2022</v>
      </c>
      <c r="E108" s="113">
        <f>VLOOKUP(C108,'Calcadao &amp; Passeio'!$A$5:$J$98,10,0)</f>
        <v>772.83</v>
      </c>
      <c r="F108" s="114"/>
      <c r="G108" s="114"/>
      <c r="H108" s="114"/>
      <c r="I108" s="114"/>
      <c r="J108" s="114"/>
      <c r="K108" s="114"/>
      <c r="L108" s="114"/>
      <c r="M108" s="114"/>
      <c r="N108" s="114"/>
      <c r="O108" s="115"/>
      <c r="P108" s="134"/>
    </row>
    <row r="109" spans="3:17" ht="30" hidden="1" customHeight="1">
      <c r="C109" s="125" t="s">
        <v>217</v>
      </c>
      <c r="D109" s="112" t="str">
        <f>VLOOKUP(C109,'Calcadao &amp; Passeio'!$A$5:$J$98,4,0)</f>
        <v>FORNECIMENTO E EXECUÇÃO DE PASSEIO COM PEDRA DOLOMITA Nº3 BRANCA</v>
      </c>
      <c r="E109" s="113">
        <f>VLOOKUP(C109,'Calcadao &amp; Passeio'!$A$5:$J$98,10,0)</f>
        <v>14734.6875</v>
      </c>
      <c r="F109" s="114"/>
      <c r="G109" s="114"/>
      <c r="H109" s="114"/>
      <c r="I109" s="114"/>
      <c r="J109" s="114"/>
      <c r="K109" s="114"/>
      <c r="L109" s="114"/>
      <c r="M109" s="114"/>
      <c r="N109" s="114"/>
      <c r="O109" s="115"/>
      <c r="P109" s="134"/>
    </row>
    <row r="110" spans="3:17" ht="30" hidden="1" customHeight="1">
      <c r="C110" s="125" t="s">
        <v>218</v>
      </c>
      <c r="D110" s="112" t="str">
        <f>VLOOKUP(C110,'Calcadao &amp; Passeio'!$A$5:$J$98,4,0)</f>
        <v>FORNECIMENTO E EXECUÇÃO DE PASSEIO COM PEDRA DOLOMITA Nº2 BRANCA</v>
      </c>
      <c r="E110" s="113">
        <f>VLOOKUP(C110,'Calcadao &amp; Passeio'!$A$5:$J$98,10,0)</f>
        <v>14734.6875</v>
      </c>
      <c r="F110" s="114"/>
      <c r="G110" s="114"/>
      <c r="H110" s="114"/>
      <c r="I110" s="114"/>
      <c r="J110" s="114"/>
      <c r="K110" s="114"/>
      <c r="L110" s="114"/>
      <c r="M110" s="114"/>
      <c r="N110" s="114"/>
      <c r="O110" s="115"/>
      <c r="P110" s="134"/>
    </row>
    <row r="111" spans="3:17" ht="30" hidden="1" customHeight="1">
      <c r="C111" s="125" t="s">
        <v>219</v>
      </c>
      <c r="D111" s="112" t="str">
        <f>VLOOKUP(C111,'Calcadao &amp; Passeio'!$A$5:$J$98,4,0)</f>
        <v>FORNECIMENTO E INSTALAÇÃO DE PISO TÁTIL DIRECIONAL E DE ALERTA EM CONCRETO (20 x 20 x 6 cm)</v>
      </c>
      <c r="E111" s="113">
        <f>VLOOKUP(C111,'Calcadao &amp; Passeio'!$A$5:$J$98,10,0)</f>
        <v>10378.799999999999</v>
      </c>
      <c r="F111" s="114"/>
      <c r="G111" s="114"/>
      <c r="H111" s="114"/>
      <c r="I111" s="114"/>
      <c r="J111" s="114"/>
      <c r="K111" s="114"/>
      <c r="L111" s="114"/>
      <c r="M111" s="114"/>
      <c r="N111" s="114"/>
      <c r="O111" s="115"/>
      <c r="P111" s="134"/>
    </row>
    <row r="112" spans="3:17" ht="30" hidden="1" customHeight="1">
      <c r="C112" s="125" t="s">
        <v>220</v>
      </c>
      <c r="D112" s="112" t="str">
        <f>VLOOKUP(C112,'Calcadao &amp; Passeio'!$A$5:$J$98,4,0)</f>
        <v>EXECUÇÃO DAS RAMPAS DE ACESSIBILIDADE COM CONCRETO FCK=25 MPA TRAÇO   1:2, 2;2, 2, (EM MASSA SECA DE CIMENTO/ AREIA MÉDIA/ SEIXO ROLADO) PREPARO MECÂNICO COM BETONEIRA</v>
      </c>
      <c r="E112" s="113">
        <f>VLOOKUP(C112,'Calcadao &amp; Passeio'!$A$5:$J$98,10,0)</f>
        <v>1422.0250560000002</v>
      </c>
      <c r="F112" s="114"/>
      <c r="G112" s="114"/>
      <c r="H112" s="114"/>
      <c r="I112" s="114"/>
      <c r="J112" s="114"/>
      <c r="K112" s="114"/>
      <c r="L112" s="114"/>
      <c r="M112" s="114"/>
      <c r="N112" s="114"/>
      <c r="O112" s="115"/>
      <c r="P112" s="134"/>
    </row>
    <row r="113" spans="3:16" ht="30" customHeight="1" thickBot="1">
      <c r="C113" s="126"/>
      <c r="D113" s="116"/>
      <c r="E113" s="117"/>
      <c r="F113" s="105">
        <f>$E$104*F104</f>
        <v>42450.654859200004</v>
      </c>
      <c r="G113" s="105">
        <f t="shared" ref="G113:O113" si="13">$E$104*G104</f>
        <v>31837.991144399995</v>
      </c>
      <c r="H113" s="105">
        <f t="shared" si="13"/>
        <v>31837.991144399995</v>
      </c>
      <c r="I113" s="105">
        <f t="shared" si="13"/>
        <v>31837.991144399995</v>
      </c>
      <c r="J113" s="105">
        <f t="shared" si="13"/>
        <v>31837.991144399995</v>
      </c>
      <c r="K113" s="105">
        <f t="shared" si="13"/>
        <v>42450.654859200004</v>
      </c>
      <c r="L113" s="105">
        <f t="shared" si="13"/>
        <v>0</v>
      </c>
      <c r="M113" s="105">
        <f t="shared" si="13"/>
        <v>0</v>
      </c>
      <c r="N113" s="105">
        <f t="shared" si="13"/>
        <v>0</v>
      </c>
      <c r="O113" s="106">
        <f t="shared" si="13"/>
        <v>0</v>
      </c>
      <c r="P113" s="133"/>
    </row>
    <row r="114" spans="3:16" hidden="1"/>
    <row r="115" spans="3:16">
      <c r="E115" s="127" t="s">
        <v>232</v>
      </c>
      <c r="F115" s="128">
        <f>F116/$E$119</f>
        <v>7.8098294031657217E-2</v>
      </c>
      <c r="G115" s="128">
        <f t="shared" ref="G115:O115" si="14">G116/$E$119</f>
        <v>0.10528055391788675</v>
      </c>
      <c r="H115" s="128">
        <f t="shared" si="14"/>
        <v>8.0341427786929195E-2</v>
      </c>
      <c r="I115" s="128">
        <f t="shared" si="14"/>
        <v>8.0341427786929195E-2</v>
      </c>
      <c r="J115" s="128">
        <f t="shared" si="14"/>
        <v>0.11042807548532566</v>
      </c>
      <c r="K115" s="128">
        <f t="shared" si="14"/>
        <v>0.12080156055186198</v>
      </c>
      <c r="L115" s="128">
        <f t="shared" si="14"/>
        <v>0.10313578514853552</v>
      </c>
      <c r="M115" s="128">
        <f t="shared" si="14"/>
        <v>9.6312774793510775E-2</v>
      </c>
      <c r="N115" s="128">
        <f t="shared" si="14"/>
        <v>8.7660700337973907E-2</v>
      </c>
      <c r="O115" s="128">
        <f t="shared" si="14"/>
        <v>0.13759940015938987</v>
      </c>
    </row>
    <row r="116" spans="3:16">
      <c r="E116" s="127" t="s">
        <v>233</v>
      </c>
      <c r="F116" s="129">
        <f>F113+F57+F9</f>
        <v>94261.413584800001</v>
      </c>
      <c r="G116" s="129">
        <f t="shared" ref="G116:O116" si="15">G113+G57+G9</f>
        <v>127069.27799559999</v>
      </c>
      <c r="H116" s="129">
        <f t="shared" si="15"/>
        <v>96968.783332799983</v>
      </c>
      <c r="I116" s="129">
        <f t="shared" si="15"/>
        <v>96968.783332799983</v>
      </c>
      <c r="J116" s="129">
        <f t="shared" si="15"/>
        <v>133282.12381279998</v>
      </c>
      <c r="K116" s="129">
        <f t="shared" si="15"/>
        <v>145802.49161719999</v>
      </c>
      <c r="L116" s="129">
        <f t="shared" si="15"/>
        <v>124480.63072079999</v>
      </c>
      <c r="M116" s="129">
        <f t="shared" si="15"/>
        <v>116245.53917440001</v>
      </c>
      <c r="N116" s="129">
        <f t="shared" si="15"/>
        <v>105802.8428424</v>
      </c>
      <c r="O116" s="129">
        <f t="shared" si="15"/>
        <v>166076.78987440001</v>
      </c>
    </row>
    <row r="117" spans="3:16">
      <c r="E117" s="127" t="s">
        <v>234</v>
      </c>
      <c r="F117" s="130">
        <f>F115</f>
        <v>7.8098294031657217E-2</v>
      </c>
      <c r="G117" s="130">
        <f>F117+G115</f>
        <v>0.18337884794954395</v>
      </c>
      <c r="H117" s="130">
        <f t="shared" ref="H117:O117" si="16">G117+H115</f>
        <v>0.26372027573647316</v>
      </c>
      <c r="I117" s="130">
        <f t="shared" si="16"/>
        <v>0.34406170352340237</v>
      </c>
      <c r="J117" s="130">
        <f t="shared" si="16"/>
        <v>0.454489779008728</v>
      </c>
      <c r="K117" s="130">
        <f t="shared" si="16"/>
        <v>0.57529133956058998</v>
      </c>
      <c r="L117" s="130">
        <f t="shared" si="16"/>
        <v>0.67842712470912547</v>
      </c>
      <c r="M117" s="130">
        <f t="shared" si="16"/>
        <v>0.77473989950263622</v>
      </c>
      <c r="N117" s="130">
        <f t="shared" si="16"/>
        <v>0.86240059984061013</v>
      </c>
      <c r="O117" s="130">
        <f t="shared" si="16"/>
        <v>1</v>
      </c>
    </row>
    <row r="118" spans="3:16">
      <c r="E118" s="127" t="s">
        <v>235</v>
      </c>
      <c r="F118" s="129">
        <f>F116</f>
        <v>94261.413584800001</v>
      </c>
      <c r="G118" s="129">
        <f>F118+G116</f>
        <v>221330.69158039999</v>
      </c>
      <c r="H118" s="129">
        <f t="shared" ref="H118:O118" si="17">G118+H116</f>
        <v>318299.47491319996</v>
      </c>
      <c r="I118" s="129">
        <f t="shared" si="17"/>
        <v>415268.25824599992</v>
      </c>
      <c r="J118" s="129">
        <f t="shared" si="17"/>
        <v>548550.38205879997</v>
      </c>
      <c r="K118" s="129">
        <f t="shared" si="17"/>
        <v>694352.87367599993</v>
      </c>
      <c r="L118" s="129">
        <f t="shared" si="17"/>
        <v>818833.50439679995</v>
      </c>
      <c r="M118" s="129">
        <f t="shared" si="17"/>
        <v>935079.04357119999</v>
      </c>
      <c r="N118" s="129">
        <f t="shared" si="17"/>
        <v>1040881.8864135999</v>
      </c>
      <c r="O118" s="129">
        <f t="shared" si="17"/>
        <v>1206958.6762879998</v>
      </c>
    </row>
    <row r="119" spans="3:16">
      <c r="D119" s="135" t="s">
        <v>236</v>
      </c>
      <c r="E119" s="136">
        <f>E104+E56+E8</f>
        <v>1206958.6762879998</v>
      </c>
    </row>
    <row r="120" spans="3:16" hidden="1">
      <c r="E120" s="97">
        <f>'Calcadao &amp; Passeio'!J99</f>
        <v>1206958.6762880003</v>
      </c>
    </row>
  </sheetData>
  <phoneticPr fontId="15" type="noConversion"/>
  <conditionalFormatting sqref="F8:O113">
    <cfRule type="cellIs" dxfId="0" priority="1" operator="greaterThan">
      <formula>0</formula>
    </cfRule>
  </conditionalFormatting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Rua Russa</vt:lpstr>
      <vt:lpstr>Calcadao &amp; Passeio</vt:lpstr>
      <vt:lpstr>Cronograma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justen</dc:creator>
  <cp:lastModifiedBy>Usuário</cp:lastModifiedBy>
  <cp:lastPrinted>2026-05-07T12:01:15Z</cp:lastPrinted>
  <dcterms:created xsi:type="dcterms:W3CDTF">2024-08-05T10:51:53Z</dcterms:created>
  <dcterms:modified xsi:type="dcterms:W3CDTF">2026-05-11T20:03:05Z</dcterms:modified>
</cp:coreProperties>
</file>