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Admin\Desktop\COLETA DE RESÍDUOS 2026\PROJETO\"/>
    </mc:Choice>
  </mc:AlternateContent>
  <xr:revisionPtr revIDLastSave="0" documentId="13_ncr:1_{EA720FC1-78EB-4D94-A012-A52B827144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ilha de Custos" sheetId="1" r:id="rId1"/>
    <sheet name="Encargos Sociais" sheetId="4" r:id="rId2"/>
    <sheet name="BDI" sheetId="5" r:id="rId3"/>
    <sheet name="CAGED" sheetId="6" r:id="rId4"/>
    <sheet name="DEPRECIACAO" sheetId="7" r:id="rId5"/>
    <sheet name="REMUNERACAO CAPITAL" sheetId="8" r:id="rId6"/>
  </sheets>
  <externalReferences>
    <externalReference r:id="rId7"/>
    <externalReference r:id="rId8"/>
  </externalReferences>
  <definedNames>
    <definedName name="_xlnm.Print_Area" localSheetId="0">'Planilha de Custos'!$A$5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E222" i="1"/>
  <c r="E223" i="1"/>
  <c r="E241" i="1"/>
  <c r="E244" i="1"/>
  <c r="E225" i="1"/>
  <c r="E214" i="1"/>
  <c r="E182" i="1"/>
  <c r="E174" i="1"/>
  <c r="E157" i="1"/>
  <c r="C156" i="1"/>
  <c r="C98" i="1"/>
  <c r="D98" i="1" s="1"/>
  <c r="E98" i="1" s="1"/>
  <c r="C97" i="1"/>
  <c r="E97" i="1" s="1"/>
  <c r="E69" i="1"/>
  <c r="E242" i="1"/>
  <c r="E121" i="1"/>
  <c r="C231" i="1"/>
  <c r="E33" i="1"/>
  <c r="C92" i="1"/>
  <c r="E92" i="1" s="1"/>
  <c r="F93" i="1" s="1"/>
  <c r="C68" i="1"/>
  <c r="C77" i="1" s="1"/>
  <c r="C53" i="1"/>
  <c r="C76" i="1" s="1"/>
  <c r="C162" i="1"/>
  <c r="E54" i="1"/>
  <c r="E134" i="1"/>
  <c r="F99" i="1" l="1"/>
  <c r="C21" i="6"/>
  <c r="C23" i="6" s="1"/>
  <c r="C19" i="6"/>
  <c r="C9" i="5"/>
  <c r="C14" i="5" s="1"/>
  <c r="C264" i="1" s="1"/>
  <c r="F7" i="5"/>
  <c r="E7" i="5"/>
  <c r="D7" i="5"/>
  <c r="C30" i="4"/>
  <c r="C24" i="4"/>
  <c r="C27" i="4" s="1"/>
  <c r="C15" i="4"/>
  <c r="C20" i="4" s="1"/>
  <c r="C29" i="4" s="1"/>
  <c r="C31" i="4" s="1"/>
  <c r="C32" i="4" s="1"/>
  <c r="C12" i="4"/>
  <c r="C29" i="6" l="1"/>
  <c r="C24" i="6"/>
  <c r="C22" i="6"/>
  <c r="C51" i="1" l="1"/>
  <c r="E47" i="1"/>
  <c r="E46" i="1"/>
  <c r="E45" i="1"/>
  <c r="D48" i="1" l="1"/>
  <c r="E48" i="1" s="1"/>
  <c r="D49" i="1" s="1"/>
  <c r="E49" i="1" s="1"/>
  <c r="E50" i="1" s="1"/>
  <c r="D51" i="1" l="1"/>
  <c r="E51" i="1" s="1"/>
  <c r="E52" i="1" s="1"/>
  <c r="D53" i="1" s="1"/>
  <c r="E53" i="1" s="1"/>
  <c r="F54" i="1" s="1"/>
  <c r="E253" i="1" l="1"/>
  <c r="F254" i="1" s="1"/>
  <c r="F256" i="1" s="1"/>
  <c r="D243" i="1"/>
  <c r="E243" i="1" s="1"/>
  <c r="F244" i="1" s="1"/>
  <c r="E233" i="1"/>
  <c r="E232" i="1"/>
  <c r="E231" i="1"/>
  <c r="E224" i="1"/>
  <c r="C213" i="1"/>
  <c r="C211" i="1"/>
  <c r="E211" i="1" s="1"/>
  <c r="E209" i="1"/>
  <c r="D198" i="1"/>
  <c r="D196" i="1"/>
  <c r="D194" i="1"/>
  <c r="D192" i="1"/>
  <c r="D190" i="1"/>
  <c r="C190" i="1"/>
  <c r="C204" i="1" s="1"/>
  <c r="E204" i="1" s="1"/>
  <c r="F205" i="1" s="1"/>
  <c r="E19" i="1" s="1"/>
  <c r="C180" i="1"/>
  <c r="E180" i="1" s="1"/>
  <c r="C179" i="1"/>
  <c r="E179" i="1" s="1"/>
  <c r="C178" i="1"/>
  <c r="E178" i="1" s="1"/>
  <c r="C173" i="1"/>
  <c r="D166" i="1"/>
  <c r="D161" i="1"/>
  <c r="E161" i="1" s="1"/>
  <c r="C153" i="1"/>
  <c r="C152" i="1"/>
  <c r="D154" i="1" s="1"/>
  <c r="C149" i="1"/>
  <c r="C166" i="1" s="1"/>
  <c r="E166" i="1" s="1"/>
  <c r="C148" i="1"/>
  <c r="C147" i="1"/>
  <c r="E144" i="1"/>
  <c r="D147" i="1" s="1"/>
  <c r="C133" i="1"/>
  <c r="E132" i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C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C87" i="1"/>
  <c r="E87" i="1" s="1"/>
  <c r="F88" i="1" s="1"/>
  <c r="E82" i="1"/>
  <c r="A82" i="1"/>
  <c r="C66" i="1"/>
  <c r="D64" i="1"/>
  <c r="E64" i="1" s="1"/>
  <c r="D61" i="1"/>
  <c r="E61" i="1" s="1"/>
  <c r="D60" i="1"/>
  <c r="E60" i="1" s="1"/>
  <c r="E58" i="1"/>
  <c r="D77" i="1" s="1"/>
  <c r="D76" i="1"/>
  <c r="A36" i="1"/>
  <c r="A32" i="1"/>
  <c r="A31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E24" i="1" l="1"/>
  <c r="D181" i="1"/>
  <c r="F225" i="1"/>
  <c r="F227" i="1" s="1"/>
  <c r="E21" i="1" s="1"/>
  <c r="D120" i="1"/>
  <c r="E120" i="1" s="1"/>
  <c r="F121" i="1" s="1"/>
  <c r="F246" i="1"/>
  <c r="E23" i="1" s="1"/>
  <c r="C192" i="1"/>
  <c r="E192" i="1" s="1"/>
  <c r="D62" i="1"/>
  <c r="E62" i="1" s="1"/>
  <c r="E65" i="1" s="1"/>
  <c r="D66" i="1" s="1"/>
  <c r="E66" i="1" s="1"/>
  <c r="E67" i="1" s="1"/>
  <c r="D68" i="1" s="1"/>
  <c r="E68" i="1" s="1"/>
  <c r="F69" i="1" s="1"/>
  <c r="D212" i="1"/>
  <c r="E212" i="1" s="1"/>
  <c r="D213" i="1" s="1"/>
  <c r="E213" i="1" s="1"/>
  <c r="F214" i="1" s="1"/>
  <c r="D199" i="1"/>
  <c r="D133" i="1"/>
  <c r="E149" i="1"/>
  <c r="D152" i="1" s="1"/>
  <c r="E152" i="1" s="1"/>
  <c r="D153" i="1" s="1"/>
  <c r="E153" i="1" s="1"/>
  <c r="E190" i="1"/>
  <c r="F234" i="1"/>
  <c r="F236" i="1" s="1"/>
  <c r="C194" i="1"/>
  <c r="E194" i="1" s="1"/>
  <c r="E77" i="1"/>
  <c r="E76" i="1"/>
  <c r="F83" i="1"/>
  <c r="E10" i="1" s="1"/>
  <c r="E147" i="1"/>
  <c r="D148" i="1" s="1"/>
  <c r="E148" i="1" s="1"/>
  <c r="E11" i="1"/>
  <c r="C163" i="1"/>
  <c r="C198" i="1"/>
  <c r="E198" i="1" s="1"/>
  <c r="C196" i="1"/>
  <c r="E196" i="1" s="1"/>
  <c r="E20" i="1" l="1"/>
  <c r="E181" i="1"/>
  <c r="F182" i="1" s="1"/>
  <c r="E17" i="1" s="1"/>
  <c r="E133" i="1"/>
  <c r="F134" i="1" s="1"/>
  <c r="F136" i="1" s="1"/>
  <c r="E12" i="1" s="1"/>
  <c r="C168" i="1"/>
  <c r="C169" i="1" s="1"/>
  <c r="D170" i="1" s="1"/>
  <c r="E170" i="1" s="1"/>
  <c r="E22" i="1"/>
  <c r="F200" i="1"/>
  <c r="E18" i="1" s="1"/>
  <c r="F78" i="1"/>
  <c r="E9" i="1" s="1"/>
  <c r="C164" i="1"/>
  <c r="E8" i="1"/>
  <c r="E155" i="1"/>
  <c r="D156" i="1" s="1"/>
  <c r="E154" i="1"/>
  <c r="D165" i="1" l="1"/>
  <c r="E165" i="1" s="1"/>
  <c r="F101" i="1"/>
  <c r="E156" i="1"/>
  <c r="F157" i="1" s="1"/>
  <c r="E15" i="1" s="1"/>
  <c r="E7" i="1"/>
  <c r="E171" i="1" l="1"/>
  <c r="E172" i="1"/>
  <c r="D173" i="1" s="1"/>
  <c r="E173" i="1" s="1"/>
  <c r="F174" i="1" s="1"/>
  <c r="E16" i="1" s="1"/>
  <c r="E14" i="1" s="1"/>
  <c r="F217" i="1"/>
  <c r="E6" i="1"/>
  <c r="F248" i="1" l="1"/>
  <c r="D264" i="1" s="1"/>
  <c r="E264" i="1" s="1"/>
  <c r="E13" i="1"/>
  <c r="F259" i="1" l="1"/>
  <c r="F265" i="1"/>
  <c r="F267" i="1" s="1"/>
  <c r="F270" i="1" l="1"/>
  <c r="E25" i="1"/>
  <c r="E26" i="1" s="1"/>
  <c r="F19" i="1" l="1"/>
  <c r="F10" i="1" l="1"/>
  <c r="F25" i="1"/>
  <c r="F17" i="1"/>
  <c r="F7" i="1"/>
  <c r="F15" i="1"/>
  <c r="F24" i="1"/>
  <c r="F6" i="1"/>
  <c r="F8" i="1"/>
  <c r="F11" i="1"/>
  <c r="F13" i="1"/>
  <c r="F12" i="1"/>
  <c r="F22" i="1"/>
  <c r="F20" i="1"/>
  <c r="F23" i="1"/>
  <c r="F18" i="1"/>
  <c r="F16" i="1"/>
  <c r="F14" i="1"/>
  <c r="F9" i="1"/>
  <c r="F21" i="1"/>
  <c r="F2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Elisa</author>
  </authors>
  <commentList>
    <comment ref="A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6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48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3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8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59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0" authorId="0" shapeId="0" xr:uid="{00000000-0006-0000-0000-00000B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1" authorId="0" shapeId="0" xr:uid="{00000000-0006-0000-0000-00000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2" authorId="0" shapeId="0" xr:uid="{00000000-0006-0000-0000-00000D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000-00000E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4" authorId="0" shapeId="0" xr:uid="{00000000-0006-0000-0000-00000F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66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8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4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valor médio utilizado para transporte próprio devido a não haver transporte publico no município
</t>
        </r>
      </text>
    </comment>
    <comment ref="C75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76" authorId="0" shapeId="0" xr:uid="{00000000-0006-0000-0000-000014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77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82" authorId="0" shapeId="0" xr:uid="{00000000-0006-0000-0000-000016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8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Informar o valor mensal do auxilio alimentação, conforme Convenção Coletiva da categoria </t>
        </r>
      </text>
    </comment>
    <comment ref="D92" authorId="1" shapeId="0" xr:uid="{A6DA51E0-0485-4A7F-888F-4BD5ECBD1896}">
      <text>
        <r>
          <rPr>
            <sz val="9"/>
            <color indexed="81"/>
            <rFont val="Segoe UI"/>
            <family val="2"/>
          </rPr>
          <t xml:space="preserve">Informar o valor mensal conforme o seguro pago pela empresa ao funcionário, de acordo com a convenção coletiva da categoria </t>
        </r>
      </text>
    </comment>
    <comment ref="D97" authorId="1" shapeId="0" xr:uid="{F0B51FF5-F572-4BAB-9E19-70989A5F8BBA}">
      <text>
        <r>
          <rPr>
            <sz val="9"/>
            <color indexed="81"/>
            <rFont val="Segoe UI"/>
            <family val="2"/>
          </rPr>
          <t xml:space="preserve">Informar o valor mensal conforme o seguro pago pela empresa ao funcionário, de acordo com a convenção coletiva da categoria </t>
        </r>
      </text>
    </comment>
    <comment ref="C108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8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9" authorId="0" shapeId="0" xr:uid="{00000000-0006-0000-0000-00001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9" authorId="0" shapeId="0" xr:uid="{00000000-0006-0000-0000-00001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0" authorId="0" shapeId="0" xr:uid="{00000000-0006-0000-0000-00001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0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2" authorId="0" shapeId="0" xr:uid="{00000000-0006-0000-0000-00001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2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3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3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4" authorId="0" shapeId="0" xr:uid="{00000000-0006-0000-0000-00002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4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5" authorId="0" shapeId="0" xr:uid="{00000000-0006-0000-0000-00002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5" authorId="0" shapeId="0" xr:uid="{00000000-0006-0000-0000-00002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6" authorId="0" shapeId="0" xr:uid="{00000000-0006-0000-0000-00002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6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7" authorId="0" shapeId="0" xr:uid="{00000000-0006-0000-0000-00002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7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8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8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9" authorId="0" shapeId="0" xr:uid="{00000000-0006-0000-0000-00002D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26" authorId="0" shapeId="0" xr:uid="{00000000-0006-0000-0000-00002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7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8" authorId="0" shapeId="0" xr:uid="{00000000-0006-0000-0000-00003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9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0" authorId="0" shapeId="0" xr:uid="{00000000-0006-0000-0000-00003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31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32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44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45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46" authorId="0" shapeId="0" xr:uid="{00000000-0006-0000-0000-000037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47" authorId="0" shapeId="0" xr:uid="{00000000-0006-0000-0000-000038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9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50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51" authorId="0" shapeId="0" xr:uid="{00000000-0006-0000-0000-00003B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52" authorId="0" shapeId="0" xr:uid="{00000000-0006-0000-0000-00003C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6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62" authorId="0" shapeId="0" xr:uid="{00000000-0006-0000-0000-00003E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9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80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86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89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89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91" authorId="0" shapeId="0" xr:uid="{00000000-0006-0000-0000-000044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91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9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93" authorId="0" shapeId="0" xr:uid="{00000000-0006-0000-0000-000047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95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95" authorId="0" shapeId="0" xr:uid="{00000000-0006-0000-0000-000049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97" authorId="0" shapeId="0" xr:uid="{00000000-0006-0000-0000-00004A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97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04" authorId="0" shapeId="0" xr:uid="{00000000-0006-0000-0000-00004C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09" authorId="0" shapeId="0" xr:uid="{00000000-0006-0000-0000-00004D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09" authorId="0" shapeId="0" xr:uid="{00000000-0006-0000-0000-00004E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10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11" authorId="0" shapeId="0" xr:uid="{00000000-0006-0000-0000-000050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12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22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2" authorId="0" shapeId="0" xr:uid="{00000000-0006-0000-0000-00005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23" authorId="0" shapeId="0" xr:uid="{00000000-0006-0000-0000-00005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3" authorId="0" shapeId="0" xr:uid="{00000000-0006-0000-0000-00005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24" authorId="0" shapeId="0" xr:uid="{00000000-0006-0000-0000-00005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24" authorId="0" shapeId="0" xr:uid="{00000000-0006-0000-0000-00005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29" authorId="0" shapeId="0" xr:uid="{00000000-0006-0000-0000-000058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2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2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3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3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38" authorId="0" shapeId="0" xr:uid="{00000000-0006-0000-0000-00005D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1" authorId="0" shapeId="0" xr:uid="{00000000-0006-0000-0000-00005E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A250" authorId="0" shapeId="0" xr:uid="{00000000-0006-0000-0000-00005F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3" authorId="1" shapeId="0" xr:uid="{C7821004-C4F0-4757-BF2A-E31536B7A4E3}">
      <text>
        <r>
          <rPr>
            <b/>
            <sz val="9"/>
            <color indexed="81"/>
            <rFont val="Segoe UI"/>
            <family val="2"/>
          </rPr>
          <t>Estão previstos os resíduos urbanos e rurais nessa totalidade</t>
        </r>
      </text>
    </comment>
    <comment ref="C264" authorId="0" shapeId="0" xr:uid="{00000000-0006-0000-0000-000060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<sst xmlns="http://schemas.openxmlformats.org/spreadsheetml/2006/main" count="509" uniqueCount="285">
  <si>
    <t>Orçamento Sintético</t>
  </si>
  <si>
    <t>Descrição do Item</t>
  </si>
  <si>
    <t>Custo (R$/mês)</t>
  </si>
  <si>
    <t>%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</si>
  <si>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</si>
  <si>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</si>
  <si>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</si>
  <si>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</si>
  <si>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</si>
  <si>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</si>
  <si>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</si>
  <si>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</si>
  <si>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</si>
  <si>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</si>
  <si>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</si>
  <si>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</si>
  <si>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t xml:space="preserve">Total </t>
    </r>
    <r>
      <rPr>
        <b/>
        <u/>
        <sz val="11"/>
        <rFont val="Arial"/>
        <family val="2"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</si>
  <si>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</si>
  <si>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</si>
  <si>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</si>
  <si>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</si>
  <si>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</si>
  <si>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</si>
  <si>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</si>
  <si>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</si>
  <si>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</si>
  <si>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</si>
  <si>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</si>
  <si>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</si>
  <si>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</si>
  <si>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</si>
  <si>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Motorista Turno do Dia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</si>
  <si>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</si>
  <si>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</si>
  <si>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</si>
  <si>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</si>
  <si>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</si>
  <si>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</si>
  <si>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</si>
  <si>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Coletor</t>
  </si>
  <si>
    <t>vale</t>
  </si>
  <si>
    <t>Motorista</t>
  </si>
  <si>
    <t>unidade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</si>
  <si>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</si>
  <si>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</si>
  <si>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</si>
  <si>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</si>
  <si>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</si>
  <si>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</si>
  <si>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 xml:space="preserve">Camiseta manga curta </t>
  </si>
  <si>
    <t xml:space="preserve">Camiseta manga longa </t>
  </si>
  <si>
    <t>Boné Arabe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</si>
  <si>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</si>
  <si>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</si>
  <si>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</si>
  <si>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</si>
  <si>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</si>
  <si>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</si>
  <si>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</si>
  <si>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</si>
  <si>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</si>
  <si>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</si>
  <si>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</si>
  <si>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Camiseta</t>
  </si>
  <si>
    <t>Custo Mensal com Uniformes e EPIs (R$/mês)</t>
  </si>
  <si>
    <t>3. Veículos e Equipamentos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</si>
  <si>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</si>
  <si>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</si>
  <si>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</si>
  <si>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</si>
  <si>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</si>
  <si>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</si>
  <si>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</si>
  <si>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</si>
  <si>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</si>
  <si>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</si>
  <si>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</si>
  <si>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</si>
  <si>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Frota Reserva 10%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</si>
  <si>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</si>
  <si>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</si>
  <si>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</si>
  <si>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</si>
  <si>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</si>
  <si>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</si>
  <si>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</si>
  <si>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</si>
  <si>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</si>
  <si>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</si>
  <si>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</si>
  <si>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</si>
  <si>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-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</si>
  <si>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</si>
  <si>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</si>
  <si>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</si>
  <si>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</si>
  <si>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</si>
  <si>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</si>
  <si>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</si>
  <si>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</si>
  <si>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</si>
  <si>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</si>
  <si>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</si>
  <si>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</si>
  <si>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</si>
  <si>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</si>
  <si>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</si>
  <si>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</si>
  <si>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</si>
  <si>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</si>
  <si>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</si>
  <si>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</si>
  <si>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</si>
  <si>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</si>
  <si>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com consumos/km rodado</t>
  </si>
  <si>
    <t>R$/km rodado</t>
  </si>
  <si>
    <t>3.1.5. Manutenção</t>
  </si>
  <si>
    <t>Custo de manutenção dos caminhões</t>
  </si>
  <si>
    <t>3.1.6. Pneus</t>
  </si>
  <si>
    <t>Custo do jogo de pneus xxx/xx Rxx</t>
  </si>
  <si>
    <t>Número de recapagens por pneu</t>
  </si>
  <si>
    <t>Custo de recapagem</t>
  </si>
  <si>
    <r>
      <t xml:space="preserve">Custo jg. compl. + </t>
    </r>
    <r>
      <rPr>
        <sz val="11"/>
        <color indexed="10"/>
        <rFont val="Arial"/>
        <family val="2"/>
      </rPr>
      <t>X</t>
    </r>
    <r>
      <rPr>
        <sz val="11"/>
        <rFont val="Arial"/>
        <family val="2"/>
      </rPr>
      <t xml:space="preserve"> recap./ km rodado</t>
    </r>
  </si>
  <si>
    <t>km/jogo</t>
  </si>
  <si>
    <t>Custo mensal com pneus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</si>
  <si>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</si>
  <si>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</si>
  <si>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</si>
  <si>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</si>
  <si>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</si>
  <si>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Custo Mensal com Ferramentas e Materiais de Consumo (R$/mês)</t>
  </si>
  <si>
    <t xml:space="preserve">5. Custos com administração </t>
  </si>
  <si>
    <t>Publicidade (adesivos equipamentos)</t>
  </si>
  <si>
    <t>cj</t>
  </si>
  <si>
    <t>Publicidade (adesivos veículos)</t>
  </si>
  <si>
    <t>Custo Mensal com Administração</t>
  </si>
  <si>
    <t>6. Monitoramento da Frota</t>
  </si>
  <si>
    <t>Instalação dos equipamentos de monitoramento</t>
  </si>
  <si>
    <t>Custo mensal com manutenção</t>
  </si>
  <si>
    <t>Custo Mensal com Monitoramento da Frota (R$/mês)</t>
  </si>
  <si>
    <t>CUSTO TOTAL MENSAL COM DESPESAS OPERACIONAIS (R$/mês)</t>
  </si>
  <si>
    <r>
      <t xml:space="preserve">Total </t>
    </r>
    <r>
      <rPr>
        <b/>
        <u/>
        <sz val="9"/>
        <rFont val="Arial"/>
        <family val="2"/>
      </rPr>
      <t>(R$)</t>
    </r>
  </si>
  <si>
    <t>Destinação Final Aterro Sanitário</t>
  </si>
  <si>
    <t xml:space="preserve">Ton. </t>
  </si>
  <si>
    <t>CUSTO TOTAL MENSAL COM DESTINAÇÃO FINAL DE REJEITOS (R$/mês)</t>
  </si>
  <si>
    <t>Benefícios e despesas indiretas</t>
  </si>
  <si>
    <t>CUSTO MENSAL COM BDI (R$/mês)</t>
  </si>
  <si>
    <t>PREÇO MENSAL TOTAL (R$/mês)</t>
  </si>
  <si>
    <t xml:space="preserve"> </t>
  </si>
  <si>
    <t xml:space="preserve">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</si>
  <si>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</si>
  <si>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</si>
  <si>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</si>
  <si>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</si>
  <si>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</si>
  <si>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</si>
  <si>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</si>
  <si>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</si>
  <si>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</si>
  <si>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</si>
  <si>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</si>
  <si>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</si>
  <si>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</si>
  <si>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</si>
  <si>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</si>
  <si>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</si>
  <si>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</si>
  <si>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</si>
  <si>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</si>
  <si>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</si>
  <si>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</si>
  <si>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</si>
  <si>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</si>
  <si>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</si>
  <si>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</si>
  <si>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</si>
  <si>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</si>
  <si>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</si>
  <si>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</si>
  <si>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</si>
  <si>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</si>
  <si>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</si>
  <si>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</si>
  <si>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</si>
  <si>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</si>
  <si>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</si>
  <si>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</si>
  <si>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</si>
  <si>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</si>
  <si>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</si>
  <si>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</si>
  <si>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</si>
  <si>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</si>
  <si>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</si>
  <si>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</si>
  <si>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</si>
  <si>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</si>
  <si>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</si>
  <si>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</si>
  <si>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</si>
  <si>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</si>
  <si>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</si>
  <si>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</si>
  <si>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</si>
  <si>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</si>
  <si>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</si>
  <si>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</si>
  <si>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</si>
  <si>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</si>
  <si>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</si>
  <si>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</si>
  <si>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</si>
  <si>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</si>
  <si>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</si>
  <si>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</si>
  <si>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</si>
  <si>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</si>
  <si>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</si>
  <si>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</si>
  <si>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</si>
  <si>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</si>
  <si>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</si>
  <si>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</si>
  <si>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</si>
  <si>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</si>
  <si>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4.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</si>
  <si>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</si>
  <si>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</si>
  <si>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</si>
  <si>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</si>
  <si>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</si>
  <si>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</si>
  <si>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</si>
  <si>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</si>
  <si>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</si>
  <si>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</si>
  <si>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</si>
  <si>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</si>
  <si>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>Indicadores</t>
  </si>
  <si>
    <t>Estoque recuperado início do Período 01-03-2018</t>
  </si>
  <si>
    <t>Estoque recuperado final do Período 28-02-2019</t>
  </si>
  <si>
    <t>Variação Emprego Absoluta de 01-03-2018 a 28-02-2019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</si>
  <si>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</si>
  <si>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</si>
  <si>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</si>
  <si>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</si>
  <si>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</si>
  <si>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</si>
  <si>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</si>
  <si>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</si>
  <si>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</si>
  <si>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</si>
  <si>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</si>
  <si>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</si>
  <si>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</si>
  <si>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</si>
  <si>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</si>
  <si>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</si>
  <si>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t>i = taxa de juros do mercado (sugere-se adotar a taxa SELIC)</t>
  </si>
  <si>
    <t>Im = investimento médio</t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</si>
  <si>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</si>
  <si>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</si>
  <si>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n = vida útil do bem em anos</t>
  </si>
  <si>
    <t>Calça com reflexivo</t>
  </si>
  <si>
    <t>mensal</t>
  </si>
  <si>
    <t>1.4. Vale Transporte</t>
  </si>
  <si>
    <t>1.5. Vale-refeição (diário)</t>
  </si>
  <si>
    <t>1.6. Auxílio Alimentação (mensal)</t>
  </si>
  <si>
    <t>3.1. Veículo Coletor Compactador 12 m³</t>
  </si>
  <si>
    <t>Veículos</t>
  </si>
  <si>
    <t>Lavagem dos caminhões compactadores (mensal)</t>
  </si>
  <si>
    <t xml:space="preserve">Custo mensal </t>
  </si>
  <si>
    <t>veículos</t>
  </si>
  <si>
    <t>PREÇO TOTAL MENSAL COM OS SERVIÇOS</t>
  </si>
  <si>
    <t xml:space="preserve">Planilha de Composição de Custos de Coleta, Triagem, Transporte e Destino Final de Resíduos Domiciliares Urbanos e Rurais </t>
  </si>
  <si>
    <t>Coletores</t>
  </si>
  <si>
    <t xml:space="preserve">1.8 Beneficio Social </t>
  </si>
  <si>
    <t xml:space="preserve">1.7 Seguro de vida </t>
  </si>
  <si>
    <t xml:space="preserve">mensal </t>
  </si>
  <si>
    <t>CUSTO TOTAL MENSAL (R$/mês)</t>
  </si>
  <si>
    <t>Botina de segurança</t>
  </si>
  <si>
    <t xml:space="preserve">7. Destinação Final dos Resíduos e Rejeitos </t>
  </si>
  <si>
    <t>8. Benefícios e Despesas Indiretas - BDI</t>
  </si>
  <si>
    <t xml:space="preserve">Valor do Beneficio </t>
  </si>
  <si>
    <t>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</si>
</sst>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 &quot;#,##0.00"/>
    <numFmt numFmtId="166" formatCode="&quot;R$ &quot;#,##0.00_);\(&quot;R$ &quot;#,##0.00\)"/>
    <numFmt numFmtId="167" formatCode="_(* #,##0_);_(* \(#,##0\);_(* &quot;-&quot;??_);_(@_)"/>
    <numFmt numFmtId="168" formatCode="_(* #,##0.000_);_(* \(#,##0.000\);_(* &quot;-&quot;??_);_(@_)"/>
    <numFmt numFmtId="169" formatCode="0.00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u/>
      <sz val="10"/>
      <color indexed="12"/>
      <name val="Arial"/>
      <family val="2"/>
    </font>
    <font>
      <u/>
      <sz val="11"/>
      <color indexed="12"/>
      <name val="Arial"/>
      <family val="2"/>
    </font>
    <font>
      <sz val="11"/>
      <color indexed="10"/>
      <name val="Arial"/>
      <family val="2"/>
    </font>
    <font>
      <i/>
      <sz val="11"/>
      <name val="Arial"/>
      <family val="2"/>
    </font>
    <font>
      <b/>
      <u/>
      <sz val="9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2">
    <xf numFmtId="0" fontId="0" fillId="0" borderId="0" xfId="0"/>
    <xf numFmtId="43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43" fontId="4" fillId="0" borderId="0" xfId="1" applyFont="1" applyFill="1" applyBorder="1" applyAlignment="1">
      <alignment vertical="center"/>
    </xf>
    <xf numFmtId="43" fontId="4" fillId="0" borderId="8" xfId="1" applyFont="1" applyFill="1" applyBorder="1" applyAlignment="1">
      <alignment vertical="center"/>
    </xf>
    <xf numFmtId="43" fontId="2" fillId="0" borderId="12" xfId="1" applyFont="1" applyBorder="1" applyAlignment="1">
      <alignment horizontal="center" vertical="center"/>
    </xf>
    <xf numFmtId="43" fontId="4" fillId="0" borderId="13" xfId="1" applyFont="1" applyBorder="1" applyAlignment="1">
      <alignment vertical="center"/>
    </xf>
    <xf numFmtId="43" fontId="2" fillId="0" borderId="13" xfId="1" applyFont="1" applyBorder="1" applyAlignment="1">
      <alignment vertical="center"/>
    </xf>
    <xf numFmtId="43" fontId="2" fillId="0" borderId="14" xfId="1" applyFont="1" applyBorder="1" applyAlignment="1">
      <alignment vertical="center"/>
    </xf>
    <xf numFmtId="43" fontId="2" fillId="0" borderId="15" xfId="1" applyFont="1" applyBorder="1" applyAlignment="1">
      <alignment horizontal="center" vertical="center"/>
    </xf>
    <xf numFmtId="43" fontId="2" fillId="0" borderId="16" xfId="1" applyFont="1" applyBorder="1" applyAlignment="1">
      <alignment vertical="center"/>
    </xf>
    <xf numFmtId="164" fontId="2" fillId="0" borderId="17" xfId="0" applyNumberFormat="1" applyFont="1" applyBorder="1" applyAlignment="1">
      <alignment vertical="center"/>
    </xf>
    <xf numFmtId="43" fontId="2" fillId="0" borderId="17" xfId="1" applyFont="1" applyBorder="1" applyAlignment="1">
      <alignment vertical="center"/>
    </xf>
    <xf numFmtId="165" fontId="2" fillId="0" borderId="18" xfId="0" applyNumberFormat="1" applyFont="1" applyBorder="1" applyAlignment="1">
      <alignment vertical="center"/>
    </xf>
    <xf numFmtId="10" fontId="2" fillId="0" borderId="19" xfId="2" applyNumberFormat="1" applyFont="1" applyBorder="1" applyAlignment="1">
      <alignment vertical="center"/>
    </xf>
    <xf numFmtId="43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43" fontId="4" fillId="0" borderId="16" xfId="1" applyFont="1" applyBorder="1" applyAlignment="1">
      <alignment vertical="center"/>
    </xf>
    <xf numFmtId="164" fontId="4" fillId="0" borderId="17" xfId="0" applyNumberFormat="1" applyFont="1" applyBorder="1" applyAlignment="1">
      <alignment vertical="center"/>
    </xf>
    <xf numFmtId="43" fontId="4" fillId="0" borderId="17" xfId="1" applyFont="1" applyBorder="1" applyAlignment="1">
      <alignment vertical="center"/>
    </xf>
    <xf numFmtId="165" fontId="4" fillId="0" borderId="18" xfId="0" applyNumberFormat="1" applyFont="1" applyBorder="1" applyAlignment="1">
      <alignment vertical="center"/>
    </xf>
    <xf numFmtId="10" fontId="4" fillId="0" borderId="19" xfId="2" applyNumberFormat="1" applyFont="1" applyBorder="1" applyAlignment="1">
      <alignment vertical="center"/>
    </xf>
    <xf numFmtId="43" fontId="2" fillId="0" borderId="16" xfId="1" applyFont="1" applyBorder="1" applyAlignment="1">
      <alignment horizontal="left" vertical="center"/>
    </xf>
    <xf numFmtId="4" fontId="2" fillId="0" borderId="17" xfId="0" applyNumberFormat="1" applyFont="1" applyBorder="1" applyAlignment="1">
      <alignment horizontal="centerContinuous" vertical="center"/>
    </xf>
    <xf numFmtId="43" fontId="4" fillId="0" borderId="16" xfId="1" applyFont="1" applyBorder="1" applyAlignment="1">
      <alignment horizontal="left" vertical="center"/>
    </xf>
    <xf numFmtId="4" fontId="4" fillId="0" borderId="17" xfId="0" applyNumberFormat="1" applyFont="1" applyBorder="1" applyAlignment="1">
      <alignment horizontal="centerContinuous" vertical="center"/>
    </xf>
    <xf numFmtId="165" fontId="2" fillId="0" borderId="20" xfId="0" applyNumberFormat="1" applyFont="1" applyBorder="1" applyAlignment="1">
      <alignment vertical="center"/>
    </xf>
    <xf numFmtId="165" fontId="2" fillId="0" borderId="21" xfId="0" applyNumberFormat="1" applyFont="1" applyBorder="1" applyAlignment="1">
      <alignment vertical="center"/>
    </xf>
    <xf numFmtId="43" fontId="2" fillId="0" borderId="9" xfId="1" applyFont="1" applyBorder="1" applyAlignment="1">
      <alignment horizontal="left" vertical="center"/>
    </xf>
    <xf numFmtId="4" fontId="2" fillId="0" borderId="10" xfId="0" applyNumberFormat="1" applyFont="1" applyBorder="1" applyAlignment="1">
      <alignment horizontal="centerContinuous" vertical="center"/>
    </xf>
    <xf numFmtId="43" fontId="2" fillId="0" borderId="10" xfId="1" applyFont="1" applyBorder="1" applyAlignment="1">
      <alignment vertical="center"/>
    </xf>
    <xf numFmtId="166" fontId="2" fillId="0" borderId="22" xfId="0" applyNumberFormat="1" applyFont="1" applyBorder="1" applyAlignment="1">
      <alignment vertical="center"/>
    </xf>
    <xf numFmtId="9" fontId="2" fillId="0" borderId="23" xfId="2" applyFont="1" applyBorder="1" applyAlignment="1">
      <alignment vertical="center"/>
    </xf>
    <xf numFmtId="43" fontId="2" fillId="0" borderId="25" xfId="1" applyFont="1" applyBorder="1" applyAlignment="1">
      <alignment horizontal="right" vertical="center"/>
    </xf>
    <xf numFmtId="43" fontId="4" fillId="0" borderId="12" xfId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" fontId="4" fillId="0" borderId="15" xfId="1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" fontId="4" fillId="0" borderId="26" xfId="1" applyNumberFormat="1" applyFont="1" applyBorder="1" applyAlignment="1">
      <alignment horizontal="center" vertical="center"/>
    </xf>
    <xf numFmtId="43" fontId="2" fillId="0" borderId="7" xfId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43" fontId="4" fillId="0" borderId="0" xfId="1" applyFont="1" applyBorder="1" applyAlignment="1">
      <alignment vertical="center"/>
    </xf>
    <xf numFmtId="43" fontId="4" fillId="0" borderId="8" xfId="1" applyFont="1" applyBorder="1" applyAlignment="1">
      <alignment vertical="center"/>
    </xf>
    <xf numFmtId="43" fontId="4" fillId="0" borderId="32" xfId="1" applyFont="1" applyBorder="1" applyAlignment="1">
      <alignment vertical="center"/>
    </xf>
    <xf numFmtId="43" fontId="4" fillId="0" borderId="33" xfId="1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1" fontId="4" fillId="0" borderId="34" xfId="1" applyNumberFormat="1" applyFont="1" applyBorder="1" applyAlignment="1">
      <alignment horizontal="center" vertical="center"/>
    </xf>
    <xf numFmtId="1" fontId="4" fillId="0" borderId="0" xfId="1" applyNumberFormat="1" applyFont="1" applyBorder="1" applyAlignment="1">
      <alignment horizontal="center" vertical="center"/>
    </xf>
    <xf numFmtId="167" fontId="4" fillId="0" borderId="0" xfId="1" applyNumberFormat="1" applyFont="1" applyBorder="1" applyAlignment="1">
      <alignment horizontal="center" vertical="center"/>
    </xf>
    <xf numFmtId="43" fontId="2" fillId="0" borderId="9" xfId="1" applyFont="1" applyBorder="1" applyAlignment="1">
      <alignment vertical="center"/>
    </xf>
    <xf numFmtId="43" fontId="2" fillId="0" borderId="0" xfId="1" applyFont="1" applyBorder="1" applyAlignment="1">
      <alignment vertical="center"/>
    </xf>
    <xf numFmtId="167" fontId="2" fillId="0" borderId="0" xfId="1" applyNumberFormat="1" applyFont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43" fontId="2" fillId="4" borderId="36" xfId="1" applyFont="1" applyFill="1" applyBorder="1" applyAlignment="1">
      <alignment horizontal="center" vertical="center"/>
    </xf>
    <xf numFmtId="43" fontId="2" fillId="4" borderId="23" xfId="1" applyFont="1" applyFill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37" xfId="0" applyFont="1" applyBorder="1" applyAlignment="1">
      <alignment horizontal="center" vertical="center"/>
    </xf>
    <xf numFmtId="4" fontId="2" fillId="3" borderId="0" xfId="0" applyNumberFormat="1" applyFont="1" applyFill="1"/>
    <xf numFmtId="43" fontId="4" fillId="0" borderId="37" xfId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2" fontId="4" fillId="3" borderId="18" xfId="0" applyNumberFormat="1" applyFont="1" applyFill="1" applyBorder="1" applyAlignment="1">
      <alignment horizontal="center" vertical="center"/>
    </xf>
    <xf numFmtId="43" fontId="4" fillId="0" borderId="18" xfId="1" applyFont="1" applyBorder="1" applyAlignment="1">
      <alignment horizontal="center" vertical="center"/>
    </xf>
    <xf numFmtId="2" fontId="2" fillId="3" borderId="18" xfId="0" applyNumberFormat="1" applyFont="1" applyFill="1" applyBorder="1" applyAlignment="1">
      <alignment horizontal="center" vertical="center"/>
    </xf>
    <xf numFmtId="43" fontId="4" fillId="0" borderId="18" xfId="1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43" fontId="2" fillId="0" borderId="20" xfId="1" applyFont="1" applyBorder="1" applyAlignment="1">
      <alignment horizontal="center" vertical="center"/>
    </xf>
    <xf numFmtId="43" fontId="4" fillId="5" borderId="18" xfId="1" applyFont="1" applyFill="1" applyBorder="1" applyAlignment="1">
      <alignment horizontal="center" vertical="center"/>
    </xf>
    <xf numFmtId="43" fontId="4" fillId="0" borderId="0" xfId="1" applyFont="1" applyAlignment="1">
      <alignment horizontal="right" vertical="center"/>
    </xf>
    <xf numFmtId="43" fontId="4" fillId="0" borderId="18" xfId="1" applyFont="1" applyBorder="1" applyAlignment="1">
      <alignment vertical="center"/>
    </xf>
    <xf numFmtId="43" fontId="2" fillId="4" borderId="11" xfId="1" applyFont="1" applyFill="1" applyBorder="1" applyAlignment="1">
      <alignment horizontal="center" vertical="center"/>
    </xf>
    <xf numFmtId="1" fontId="2" fillId="3" borderId="18" xfId="0" applyNumberFormat="1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43" fontId="4" fillId="6" borderId="18" xfId="1" applyFont="1" applyFill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43" fontId="2" fillId="0" borderId="18" xfId="1" applyFont="1" applyBorder="1" applyAlignment="1">
      <alignment horizontal="center" vertical="center"/>
    </xf>
    <xf numFmtId="10" fontId="4" fillId="6" borderId="18" xfId="1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3" fontId="2" fillId="0" borderId="17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167" fontId="4" fillId="0" borderId="18" xfId="1" applyNumberFormat="1" applyFont="1" applyBorder="1" applyAlignment="1">
      <alignment horizontal="center" vertical="center"/>
    </xf>
    <xf numFmtId="43" fontId="4" fillId="3" borderId="0" xfId="1" applyFont="1" applyFill="1" applyAlignment="1">
      <alignment vertical="center"/>
    </xf>
    <xf numFmtId="0" fontId="4" fillId="6" borderId="0" xfId="0" applyFont="1" applyFill="1" applyAlignment="1">
      <alignment vertical="center"/>
    </xf>
    <xf numFmtId="167" fontId="4" fillId="6" borderId="18" xfId="1" applyNumberFormat="1" applyFont="1" applyFill="1" applyBorder="1" applyAlignment="1">
      <alignment vertical="center"/>
    </xf>
    <xf numFmtId="43" fontId="2" fillId="4" borderId="38" xfId="1" applyFont="1" applyFill="1" applyBorder="1" applyAlignment="1">
      <alignment vertical="center"/>
    </xf>
    <xf numFmtId="43" fontId="2" fillId="0" borderId="0" xfId="1" applyFont="1" applyFill="1" applyBorder="1" applyAlignment="1">
      <alignment vertical="center"/>
    </xf>
    <xf numFmtId="167" fontId="4" fillId="0" borderId="18" xfId="1" applyNumberFormat="1" applyFont="1" applyFill="1" applyBorder="1" applyAlignment="1">
      <alignment vertical="center"/>
    </xf>
    <xf numFmtId="164" fontId="4" fillId="3" borderId="18" xfId="1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43" fontId="2" fillId="0" borderId="11" xfId="1" applyFont="1" applyBorder="1" applyAlignment="1">
      <alignment vertical="center"/>
    </xf>
    <xf numFmtId="0" fontId="2" fillId="4" borderId="36" xfId="0" applyFont="1" applyFill="1" applyBorder="1" applyAlignment="1">
      <alignment horizontal="center" vertical="center" wrapText="1"/>
    </xf>
    <xf numFmtId="13" fontId="4" fillId="3" borderId="18" xfId="0" applyNumberFormat="1" applyFont="1" applyFill="1" applyBorder="1" applyAlignment="1">
      <alignment horizontal="center" vertical="center"/>
    </xf>
    <xf numFmtId="43" fontId="4" fillId="3" borderId="37" xfId="1" applyFont="1" applyFill="1" applyBorder="1" applyAlignment="1">
      <alignment horizontal="center" vertical="center"/>
    </xf>
    <xf numFmtId="0" fontId="4" fillId="0" borderId="18" xfId="0" applyFont="1" applyBorder="1"/>
    <xf numFmtId="0" fontId="4" fillId="0" borderId="18" xfId="0" applyFont="1" applyBorder="1" applyAlignment="1">
      <alignment horizontal="center"/>
    </xf>
    <xf numFmtId="43" fontId="4" fillId="0" borderId="0" xfId="1" applyFont="1"/>
    <xf numFmtId="0" fontId="4" fillId="0" borderId="0" xfId="0" applyFont="1"/>
    <xf numFmtId="1" fontId="4" fillId="0" borderId="18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43" fontId="4" fillId="0" borderId="10" xfId="1" applyFont="1" applyBorder="1" applyAlignment="1">
      <alignment vertical="center"/>
    </xf>
    <xf numFmtId="43" fontId="4" fillId="0" borderId="11" xfId="1" applyFont="1" applyBorder="1" applyAlignment="1">
      <alignment vertical="center"/>
    </xf>
    <xf numFmtId="43" fontId="2" fillId="4" borderId="38" xfId="1" applyFont="1" applyFill="1" applyBorder="1" applyAlignment="1">
      <alignment horizontal="center" vertical="center"/>
    </xf>
    <xf numFmtId="0" fontId="7" fillId="0" borderId="0" xfId="3" applyFont="1" applyAlignment="1" applyProtection="1">
      <alignment vertical="center"/>
    </xf>
    <xf numFmtId="43" fontId="4" fillId="0" borderId="0" xfId="1" applyFont="1" applyAlignment="1">
      <alignment horizontal="center" vertical="center"/>
    </xf>
    <xf numFmtId="43" fontId="4" fillId="0" borderId="0" xfId="0" applyNumberFormat="1" applyFont="1" applyAlignment="1">
      <alignment vertical="center"/>
    </xf>
    <xf numFmtId="0" fontId="2" fillId="0" borderId="39" xfId="0" applyFont="1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43" fontId="2" fillId="0" borderId="39" xfId="1" applyFont="1" applyBorder="1" applyAlignment="1">
      <alignment horizontal="center" vertical="center"/>
    </xf>
    <xf numFmtId="43" fontId="4" fillId="5" borderId="18" xfId="1" applyFont="1" applyFill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43" fontId="2" fillId="4" borderId="31" xfId="1" applyFont="1" applyFill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43" fontId="2" fillId="0" borderId="39" xfId="1" applyFont="1" applyFill="1" applyBorder="1" applyAlignment="1">
      <alignment horizontal="center" vertical="center"/>
    </xf>
    <xf numFmtId="43" fontId="2" fillId="0" borderId="18" xfId="1" applyFont="1" applyFill="1" applyBorder="1" applyAlignment="1">
      <alignment horizontal="center" vertical="center"/>
    </xf>
    <xf numFmtId="43" fontId="2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3" fontId="4" fillId="3" borderId="18" xfId="1" applyFont="1" applyFill="1" applyBorder="1" applyAlignment="1">
      <alignment horizontal="center" vertical="center"/>
    </xf>
    <xf numFmtId="43" fontId="2" fillId="0" borderId="0" xfId="1" applyFont="1" applyBorder="1" applyAlignment="1">
      <alignment horizontal="center" vertical="center"/>
    </xf>
    <xf numFmtId="3" fontId="4" fillId="0" borderId="0" xfId="0" applyNumberFormat="1" applyFont="1" applyAlignment="1">
      <alignment vertical="center"/>
    </xf>
    <xf numFmtId="4" fontId="4" fillId="3" borderId="37" xfId="0" applyNumberFormat="1" applyFont="1" applyFill="1" applyBorder="1" applyAlignment="1">
      <alignment horizontal="center" vertical="center"/>
    </xf>
    <xf numFmtId="168" fontId="4" fillId="3" borderId="37" xfId="1" applyNumberFormat="1" applyFont="1" applyFill="1" applyBorder="1" applyAlignment="1">
      <alignment horizontal="center" vertical="center"/>
    </xf>
    <xf numFmtId="168" fontId="4" fillId="0" borderId="37" xfId="1" applyNumberFormat="1" applyFont="1" applyBorder="1" applyAlignment="1">
      <alignment horizontal="center" vertical="center"/>
    </xf>
    <xf numFmtId="4" fontId="4" fillId="3" borderId="18" xfId="0" applyNumberFormat="1" applyFont="1" applyFill="1" applyBorder="1" applyAlignment="1">
      <alignment horizontal="center" vertical="center"/>
    </xf>
    <xf numFmtId="43" fontId="4" fillId="0" borderId="0" xfId="1" applyFont="1" applyFill="1" applyAlignment="1">
      <alignment vertical="center"/>
    </xf>
    <xf numFmtId="168" fontId="4" fillId="0" borderId="18" xfId="1" applyNumberFormat="1" applyFont="1" applyBorder="1" applyAlignment="1">
      <alignment horizontal="center" vertical="center"/>
    </xf>
    <xf numFmtId="167" fontId="2" fillId="0" borderId="18" xfId="1" applyNumberFormat="1" applyFont="1" applyBorder="1" applyAlignment="1">
      <alignment horizontal="center" vertical="center"/>
    </xf>
    <xf numFmtId="168" fontId="2" fillId="0" borderId="18" xfId="1" applyNumberFormat="1" applyFont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43" fontId="4" fillId="0" borderId="37" xfId="1" applyFont="1" applyFill="1" applyBorder="1" applyAlignment="1">
      <alignment horizontal="center" vertical="center"/>
    </xf>
    <xf numFmtId="3" fontId="4" fillId="3" borderId="18" xfId="0" applyNumberFormat="1" applyFont="1" applyFill="1" applyBorder="1" applyAlignment="1">
      <alignment horizontal="center" vertical="center"/>
    </xf>
    <xf numFmtId="43" fontId="4" fillId="0" borderId="0" xfId="1" applyFont="1" applyFill="1" applyBorder="1" applyAlignment="1">
      <alignment horizontal="center" vertical="center"/>
    </xf>
    <xf numFmtId="43" fontId="2" fillId="2" borderId="18" xfId="1" applyFont="1" applyFill="1" applyBorder="1" applyAlignment="1">
      <alignment vertical="center"/>
    </xf>
    <xf numFmtId="43" fontId="2" fillId="4" borderId="18" xfId="1" applyFont="1" applyFill="1" applyBorder="1" applyAlignment="1">
      <alignment horizontal="center" vertical="center"/>
    </xf>
    <xf numFmtId="43" fontId="9" fillId="0" borderId="18" xfId="1" applyFont="1" applyBorder="1" applyAlignment="1">
      <alignment horizontal="center" vertical="center"/>
    </xf>
    <xf numFmtId="164" fontId="2" fillId="4" borderId="38" xfId="1" applyNumberFormat="1" applyFont="1" applyFill="1" applyBorder="1" applyAlignment="1">
      <alignment horizontal="center" vertical="center"/>
    </xf>
    <xf numFmtId="43" fontId="8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43" fontId="9" fillId="3" borderId="18" xfId="1" applyFont="1" applyFill="1" applyBorder="1" applyAlignment="1">
      <alignment horizontal="center"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0" fontId="11" fillId="0" borderId="0" xfId="4" applyFont="1" applyAlignment="1">
      <alignment vertical="center"/>
    </xf>
    <xf numFmtId="43" fontId="11" fillId="0" borderId="0" xfId="5" applyFont="1" applyBorder="1" applyAlignment="1">
      <alignment vertical="center"/>
    </xf>
    <xf numFmtId="43" fontId="2" fillId="0" borderId="0" xfId="0" applyNumberFormat="1" applyFont="1" applyAlignment="1">
      <alignment vertical="center"/>
    </xf>
    <xf numFmtId="0" fontId="14" fillId="0" borderId="42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26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10" fontId="14" fillId="0" borderId="26" xfId="0" applyNumberFormat="1" applyFont="1" applyBorder="1" applyAlignment="1">
      <alignment horizontal="right" vertical="center"/>
    </xf>
    <xf numFmtId="0" fontId="15" fillId="0" borderId="18" xfId="0" applyFont="1" applyBorder="1" applyAlignment="1">
      <alignment horizontal="left" vertical="center"/>
    </xf>
    <xf numFmtId="10" fontId="15" fillId="0" borderId="26" xfId="0" applyNumberFormat="1" applyFont="1" applyBorder="1" applyAlignment="1">
      <alignment horizontal="right" vertical="center"/>
    </xf>
    <xf numFmtId="0" fontId="14" fillId="7" borderId="42" xfId="0" applyFont="1" applyFill="1" applyBorder="1" applyAlignment="1">
      <alignment horizontal="left" vertical="center"/>
    </xf>
    <xf numFmtId="0" fontId="15" fillId="7" borderId="18" xfId="0" applyFont="1" applyFill="1" applyBorder="1" applyAlignment="1">
      <alignment horizontal="left" vertical="center"/>
    </xf>
    <xf numFmtId="10" fontId="15" fillId="7" borderId="26" xfId="0" applyNumberFormat="1" applyFont="1" applyFill="1" applyBorder="1" applyAlignment="1">
      <alignment horizontal="right" vertical="center"/>
    </xf>
    <xf numFmtId="0" fontId="16" fillId="0" borderId="18" xfId="0" applyFont="1" applyBorder="1" applyAlignment="1">
      <alignment horizontal="left" vertical="center"/>
    </xf>
    <xf numFmtId="10" fontId="14" fillId="6" borderId="26" xfId="0" applyNumberFormat="1" applyFont="1" applyFill="1" applyBorder="1" applyAlignment="1">
      <alignment horizontal="right" vertical="center"/>
    </xf>
    <xf numFmtId="10" fontId="15" fillId="6" borderId="26" xfId="0" applyNumberFormat="1" applyFont="1" applyFill="1" applyBorder="1" applyAlignment="1">
      <alignment horizontal="right" vertical="center"/>
    </xf>
    <xf numFmtId="10" fontId="4" fillId="0" borderId="0" xfId="0" applyNumberFormat="1" applyFont="1"/>
    <xf numFmtId="9" fontId="14" fillId="0" borderId="0" xfId="2" applyFont="1" applyBorder="1" applyAlignment="1">
      <alignment horizontal="right" vertical="center"/>
    </xf>
    <xf numFmtId="0" fontId="14" fillId="0" borderId="18" xfId="0" applyFont="1" applyBorder="1" applyAlignment="1">
      <alignment horizontal="left" vertical="center" wrapText="1"/>
    </xf>
    <xf numFmtId="0" fontId="14" fillId="8" borderId="43" xfId="0" applyFont="1" applyFill="1" applyBorder="1" applyAlignment="1">
      <alignment horizontal="left" vertical="center"/>
    </xf>
    <xf numFmtId="0" fontId="15" fillId="8" borderId="21" xfId="0" applyFont="1" applyFill="1" applyBorder="1" applyAlignment="1">
      <alignment horizontal="left" vertical="center"/>
    </xf>
    <xf numFmtId="10" fontId="15" fillId="8" borderId="34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10" fontId="15" fillId="0" borderId="0" xfId="0" applyNumberFormat="1" applyFont="1" applyAlignment="1">
      <alignment horizontal="right" vertical="center"/>
    </xf>
    <xf numFmtId="0" fontId="14" fillId="6" borderId="0" xfId="0" applyFont="1" applyFill="1" applyAlignment="1">
      <alignment horizontal="left" vertical="center"/>
    </xf>
    <xf numFmtId="10" fontId="14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justify" vertical="center"/>
    </xf>
    <xf numFmtId="0" fontId="7" fillId="0" borderId="0" xfId="3" applyFont="1" applyBorder="1" applyAlignment="1" applyProtection="1">
      <alignment horizontal="left" vertical="center"/>
    </xf>
    <xf numFmtId="0" fontId="16" fillId="0" borderId="0" xfId="0" applyFont="1"/>
    <xf numFmtId="0" fontId="14" fillId="0" borderId="0" xfId="0" applyFont="1" applyAlignment="1">
      <alignment horizontal="right" vertical="center"/>
    </xf>
    <xf numFmtId="0" fontId="7" fillId="0" borderId="0" xfId="3" applyFont="1" applyBorder="1" applyAlignment="1" applyProtection="1">
      <alignment vertical="center"/>
    </xf>
    <xf numFmtId="0" fontId="4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4" fillId="0" borderId="7" xfId="0" applyFont="1" applyBorder="1"/>
    <xf numFmtId="9" fontId="4" fillId="0" borderId="42" xfId="2" applyFont="1" applyBorder="1"/>
    <xf numFmtId="9" fontId="4" fillId="0" borderId="18" xfId="2" applyFont="1" applyBorder="1" applyAlignment="1">
      <alignment horizontal="center"/>
    </xf>
    <xf numFmtId="9" fontId="4" fillId="0" borderId="26" xfId="2" applyFont="1" applyBorder="1"/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center" vertical="center"/>
    </xf>
    <xf numFmtId="10" fontId="4" fillId="3" borderId="15" xfId="0" applyNumberFormat="1" applyFont="1" applyFill="1" applyBorder="1" applyAlignment="1">
      <alignment horizontal="center" vertical="center"/>
    </xf>
    <xf numFmtId="10" fontId="4" fillId="0" borderId="42" xfId="2" applyNumberFormat="1" applyFont="1" applyBorder="1" applyAlignment="1">
      <alignment horizontal="right"/>
    </xf>
    <xf numFmtId="10" fontId="4" fillId="0" borderId="18" xfId="2" applyNumberFormat="1" applyFont="1" applyBorder="1" applyAlignment="1">
      <alignment horizontal="right"/>
    </xf>
    <xf numFmtId="10" fontId="4" fillId="0" borderId="26" xfId="2" applyNumberFormat="1" applyFont="1" applyBorder="1" applyAlignment="1">
      <alignment horizontal="right"/>
    </xf>
    <xf numFmtId="0" fontId="4" fillId="0" borderId="42" xfId="0" applyFont="1" applyBorder="1" applyAlignment="1">
      <alignment horizontal="left" vertical="center"/>
    </xf>
    <xf numFmtId="10" fontId="4" fillId="3" borderId="26" xfId="0" applyNumberFormat="1" applyFont="1" applyFill="1" applyBorder="1" applyAlignment="1">
      <alignment horizontal="center" vertical="center"/>
    </xf>
    <xf numFmtId="10" fontId="4" fillId="0" borderId="26" xfId="0" applyNumberFormat="1" applyFont="1" applyBorder="1" applyAlignment="1">
      <alignment horizontal="center" vertical="center"/>
    </xf>
    <xf numFmtId="10" fontId="4" fillId="3" borderId="18" xfId="2" applyNumberFormat="1" applyFont="1" applyFill="1" applyBorder="1" applyAlignment="1">
      <alignment horizontal="center"/>
    </xf>
    <xf numFmtId="10" fontId="4" fillId="0" borderId="26" xfId="2" applyNumberFormat="1" applyFont="1" applyBorder="1"/>
    <xf numFmtId="0" fontId="4" fillId="0" borderId="42" xfId="0" applyFont="1" applyBorder="1" applyAlignment="1">
      <alignment horizontal="right"/>
    </xf>
    <xf numFmtId="0" fontId="4" fillId="3" borderId="18" xfId="0" applyFont="1" applyFill="1" applyBorder="1" applyAlignment="1">
      <alignment horizontal="center"/>
    </xf>
    <xf numFmtId="0" fontId="4" fillId="0" borderId="26" xfId="0" applyFont="1" applyBorder="1"/>
    <xf numFmtId="0" fontId="4" fillId="0" borderId="43" xfId="0" applyFont="1" applyBorder="1" applyAlignment="1">
      <alignment horizontal="left" vertical="center"/>
    </xf>
    <xf numFmtId="10" fontId="4" fillId="3" borderId="34" xfId="0" applyNumberFormat="1" applyFont="1" applyFill="1" applyBorder="1" applyAlignment="1">
      <alignment horizontal="center" vertical="center"/>
    </xf>
    <xf numFmtId="0" fontId="4" fillId="0" borderId="42" xfId="0" applyFont="1" applyBorder="1"/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10" fontId="4" fillId="0" borderId="3" xfId="0" applyNumberFormat="1" applyFont="1" applyBorder="1" applyAlignment="1">
      <alignment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44" xfId="0" applyFont="1" applyBorder="1" applyAlignment="1">
      <alignment vertical="center"/>
    </xf>
    <xf numFmtId="0" fontId="2" fillId="7" borderId="9" xfId="0" applyFont="1" applyFill="1" applyBorder="1" applyAlignment="1">
      <alignment vertical="center" wrapText="1"/>
    </xf>
    <xf numFmtId="0" fontId="4" fillId="7" borderId="10" xfId="0" applyFont="1" applyFill="1" applyBorder="1" applyAlignment="1">
      <alignment vertical="center"/>
    </xf>
    <xf numFmtId="10" fontId="2" fillId="7" borderId="11" xfId="0" applyNumberFormat="1" applyFont="1" applyFill="1" applyBorder="1" applyAlignment="1">
      <alignment horizontal="center" vertical="center" wrapText="1"/>
    </xf>
    <xf numFmtId="10" fontId="4" fillId="0" borderId="43" xfId="2" applyNumberFormat="1" applyFont="1" applyBorder="1" applyAlignment="1">
      <alignment horizontal="right"/>
    </xf>
    <xf numFmtId="10" fontId="4" fillId="0" borderId="21" xfId="2" applyNumberFormat="1" applyFont="1" applyBorder="1" applyAlignment="1">
      <alignment horizontal="right"/>
    </xf>
    <xf numFmtId="10" fontId="4" fillId="0" borderId="34" xfId="2" applyNumberFormat="1" applyFont="1" applyBorder="1" applyAlignment="1">
      <alignment horizontal="right"/>
    </xf>
    <xf numFmtId="0" fontId="2" fillId="0" borderId="0" xfId="0" applyFont="1"/>
    <xf numFmtId="0" fontId="17" fillId="0" borderId="16" xfId="0" applyFont="1" applyBorder="1"/>
    <xf numFmtId="0" fontId="4" fillId="0" borderId="19" xfId="0" applyFont="1" applyBorder="1"/>
    <xf numFmtId="0" fontId="17" fillId="0" borderId="46" xfId="0" applyFont="1" applyBorder="1"/>
    <xf numFmtId="0" fontId="17" fillId="3" borderId="26" xfId="0" applyFont="1" applyFill="1" applyBorder="1"/>
    <xf numFmtId="0" fontId="17" fillId="0" borderId="42" xfId="0" applyFont="1" applyBorder="1"/>
    <xf numFmtId="0" fontId="4" fillId="3" borderId="26" xfId="0" applyFont="1" applyFill="1" applyBorder="1"/>
    <xf numFmtId="0" fontId="4" fillId="0" borderId="46" xfId="0" applyFont="1" applyBorder="1"/>
    <xf numFmtId="0" fontId="4" fillId="3" borderId="47" xfId="0" applyFont="1" applyFill="1" applyBorder="1"/>
    <xf numFmtId="0" fontId="4" fillId="0" borderId="48" xfId="0" applyFont="1" applyBorder="1"/>
    <xf numFmtId="0" fontId="4" fillId="0" borderId="49" xfId="0" applyFont="1" applyBorder="1"/>
    <xf numFmtId="0" fontId="4" fillId="3" borderId="50" xfId="0" applyFont="1" applyFill="1" applyBorder="1"/>
    <xf numFmtId="0" fontId="4" fillId="0" borderId="8" xfId="0" applyFont="1" applyBorder="1"/>
    <xf numFmtId="0" fontId="2" fillId="0" borderId="47" xfId="0" applyFont="1" applyBorder="1"/>
    <xf numFmtId="10" fontId="17" fillId="0" borderId="26" xfId="2" applyNumberFormat="1" applyFont="1" applyBorder="1"/>
    <xf numFmtId="169" fontId="2" fillId="0" borderId="26" xfId="0" applyNumberFormat="1" applyFont="1" applyBorder="1"/>
    <xf numFmtId="0" fontId="17" fillId="0" borderId="26" xfId="0" applyFont="1" applyBorder="1"/>
    <xf numFmtId="0" fontId="17" fillId="0" borderId="47" xfId="0" applyFont="1" applyBorder="1"/>
    <xf numFmtId="9" fontId="17" fillId="0" borderId="26" xfId="2" applyFont="1" applyBorder="1"/>
    <xf numFmtId="0" fontId="17" fillId="0" borderId="27" xfId="0" applyFont="1" applyBorder="1"/>
    <xf numFmtId="9" fontId="2" fillId="0" borderId="29" xfId="2" applyFont="1" applyBorder="1"/>
    <xf numFmtId="0" fontId="3" fillId="0" borderId="0" xfId="0" applyFont="1"/>
    <xf numFmtId="0" fontId="15" fillId="0" borderId="42" xfId="0" applyFont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1" fillId="0" borderId="0" xfId="0" applyFont="1"/>
    <xf numFmtId="0" fontId="14" fillId="0" borderId="42" xfId="0" applyFont="1" applyBorder="1" applyAlignment="1">
      <alignment horizontal="center" vertical="center"/>
    </xf>
    <xf numFmtId="2" fontId="14" fillId="10" borderId="18" xfId="0" applyNumberFormat="1" applyFont="1" applyFill="1" applyBorder="1" applyAlignment="1">
      <alignment horizontal="right" vertical="center"/>
    </xf>
    <xf numFmtId="0" fontId="14" fillId="0" borderId="43" xfId="0" applyFont="1" applyBorder="1" applyAlignment="1">
      <alignment horizontal="center" vertical="center"/>
    </xf>
    <xf numFmtId="2" fontId="14" fillId="10" borderId="21" xfId="0" applyNumberFormat="1" applyFont="1" applyFill="1" applyBorder="1" applyAlignment="1">
      <alignment horizontal="right" vertical="center"/>
    </xf>
    <xf numFmtId="0" fontId="19" fillId="9" borderId="51" xfId="0" applyFont="1" applyFill="1" applyBorder="1" applyAlignment="1">
      <alignment horizontal="center"/>
    </xf>
    <xf numFmtId="0" fontId="3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10" fontId="4" fillId="5" borderId="18" xfId="1" applyNumberFormat="1" applyFont="1" applyFill="1" applyBorder="1" applyAlignment="1">
      <alignment horizontal="center" vertical="center"/>
    </xf>
    <xf numFmtId="10" fontId="4" fillId="0" borderId="18" xfId="1" applyNumberFormat="1" applyFont="1" applyBorder="1" applyAlignment="1">
      <alignment vertical="center"/>
    </xf>
    <xf numFmtId="4" fontId="2" fillId="3" borderId="18" xfId="0" applyNumberFormat="1" applyFont="1" applyFill="1" applyBorder="1"/>
    <xf numFmtId="10" fontId="2" fillId="3" borderId="18" xfId="0" applyNumberFormat="1" applyFont="1" applyFill="1" applyBorder="1" applyAlignment="1">
      <alignment horizontal="center" vertical="center"/>
    </xf>
    <xf numFmtId="10" fontId="4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1" fontId="2" fillId="6" borderId="18" xfId="0" applyNumberFormat="1" applyFont="1" applyFill="1" applyBorder="1" applyAlignment="1">
      <alignment horizontal="center" vertical="center"/>
    </xf>
    <xf numFmtId="1" fontId="4" fillId="6" borderId="18" xfId="0" applyNumberFormat="1" applyFont="1" applyFill="1" applyBorder="1" applyAlignment="1">
      <alignment horizontal="center" vertical="center"/>
    </xf>
    <xf numFmtId="43" fontId="2" fillId="6" borderId="0" xfId="1" applyFont="1" applyFill="1" applyBorder="1" applyAlignment="1">
      <alignment vertical="center"/>
    </xf>
    <xf numFmtId="43" fontId="2" fillId="4" borderId="25" xfId="1" applyFont="1" applyFill="1" applyBorder="1" applyAlignment="1">
      <alignment horizontal="center" vertical="center"/>
    </xf>
    <xf numFmtId="1" fontId="4" fillId="0" borderId="18" xfId="0" applyNumberFormat="1" applyFont="1" applyBorder="1" applyAlignment="1">
      <alignment vertical="center"/>
    </xf>
    <xf numFmtId="43" fontId="2" fillId="6" borderId="18" xfId="1" applyFont="1" applyFill="1" applyBorder="1" applyAlignment="1">
      <alignment vertical="center"/>
    </xf>
    <xf numFmtId="43" fontId="2" fillId="11" borderId="18" xfId="1" applyFont="1" applyFill="1" applyBorder="1" applyAlignment="1">
      <alignment vertical="center"/>
    </xf>
    <xf numFmtId="1" fontId="2" fillId="0" borderId="18" xfId="1" applyNumberFormat="1" applyFont="1" applyBorder="1" applyAlignment="1">
      <alignment horizontal="center" vertical="center"/>
    </xf>
    <xf numFmtId="43" fontId="4" fillId="3" borderId="18" xfId="1" applyFont="1" applyFill="1" applyBorder="1" applyAlignment="1">
      <alignment vertical="center"/>
    </xf>
    <xf numFmtId="43" fontId="2" fillId="4" borderId="38" xfId="5" applyFont="1" applyFill="1" applyBorder="1" applyAlignment="1">
      <alignment horizontal="center" vertical="center"/>
    </xf>
    <xf numFmtId="44" fontId="4" fillId="0" borderId="18" xfId="6" applyFont="1" applyBorder="1" applyAlignment="1">
      <alignment vertical="center"/>
    </xf>
    <xf numFmtId="10" fontId="2" fillId="6" borderId="3" xfId="2" applyNumberFormat="1" applyFont="1" applyFill="1" applyBorder="1" applyAlignment="1">
      <alignment vertical="center"/>
    </xf>
    <xf numFmtId="44" fontId="4" fillId="3" borderId="18" xfId="6" applyFont="1" applyFill="1" applyBorder="1" applyAlignment="1">
      <alignment vertical="center"/>
    </xf>
    <xf numFmtId="43" fontId="2" fillId="6" borderId="23" xfId="1" applyFont="1" applyFill="1" applyBorder="1" applyAlignment="1">
      <alignment vertical="center"/>
    </xf>
    <xf numFmtId="43" fontId="9" fillId="6" borderId="18" xfId="1" applyFont="1" applyFill="1" applyBorder="1" applyAlignment="1">
      <alignment horizontal="center" vertical="center"/>
    </xf>
    <xf numFmtId="4" fontId="2" fillId="3" borderId="18" xfId="0" applyNumberFormat="1" applyFont="1" applyFill="1" applyBorder="1" applyAlignment="1">
      <alignment vertical="center"/>
    </xf>
    <xf numFmtId="1" fontId="4" fillId="3" borderId="18" xfId="0" applyNumberFormat="1" applyFont="1" applyFill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2" fontId="4" fillId="0" borderId="18" xfId="0" applyNumberFormat="1" applyFont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24" xfId="0" applyFont="1" applyFill="1" applyBorder="1" applyAlignment="1">
      <alignment horizontal="left" vertical="center"/>
    </xf>
    <xf numFmtId="43" fontId="2" fillId="0" borderId="7" xfId="1" applyFont="1" applyBorder="1" applyAlignment="1">
      <alignment horizontal="left" vertical="center"/>
    </xf>
    <xf numFmtId="43" fontId="2" fillId="0" borderId="0" xfId="1" applyFont="1" applyBorder="1" applyAlignment="1">
      <alignment horizontal="left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3" fontId="2" fillId="2" borderId="9" xfId="1" applyFont="1" applyFill="1" applyBorder="1" applyAlignment="1">
      <alignment horizontal="center" vertical="center"/>
    </xf>
    <xf numFmtId="43" fontId="2" fillId="2" borderId="10" xfId="1" applyFont="1" applyFill="1" applyBorder="1" applyAlignment="1">
      <alignment horizontal="center" vertical="center"/>
    </xf>
    <xf numFmtId="43" fontId="2" fillId="2" borderId="11" xfId="1" applyFont="1" applyFill="1" applyBorder="1" applyAlignment="1">
      <alignment horizontal="center" vertical="center"/>
    </xf>
    <xf numFmtId="43" fontId="2" fillId="0" borderId="16" xfId="1" applyFont="1" applyBorder="1" applyAlignment="1">
      <alignment horizontal="left" vertical="center"/>
    </xf>
    <xf numFmtId="43" fontId="2" fillId="0" borderId="17" xfId="1" applyFont="1" applyBorder="1" applyAlignment="1">
      <alignment horizontal="left" vertical="center"/>
    </xf>
    <xf numFmtId="43" fontId="2" fillId="0" borderId="9" xfId="1" applyFont="1" applyBorder="1" applyAlignment="1">
      <alignment horizontal="center" vertical="center"/>
    </xf>
    <xf numFmtId="43" fontId="2" fillId="0" borderId="10" xfId="1" applyFont="1" applyBorder="1" applyAlignment="1">
      <alignment horizontal="center" vertical="center"/>
    </xf>
    <xf numFmtId="43" fontId="2" fillId="0" borderId="24" xfId="1" applyFont="1" applyBorder="1" applyAlignment="1">
      <alignment horizontal="center" vertical="center"/>
    </xf>
    <xf numFmtId="43" fontId="2" fillId="0" borderId="18" xfId="1" applyFont="1" applyBorder="1" applyAlignment="1">
      <alignment horizontal="left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9" fontId="2" fillId="0" borderId="40" xfId="2" applyFont="1" applyBorder="1" applyAlignment="1">
      <alignment horizontal="center"/>
    </xf>
    <xf numFmtId="9" fontId="2" fillId="0" borderId="41" xfId="2" applyFont="1" applyBorder="1" applyAlignment="1">
      <alignment horizontal="center"/>
    </xf>
    <xf numFmtId="9" fontId="2" fillId="0" borderId="15" xfId="2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9" borderId="12" xfId="0" applyFont="1" applyFill="1" applyBorder="1" applyAlignment="1">
      <alignment horizontal="center"/>
    </xf>
    <xf numFmtId="0" fontId="2" fillId="9" borderId="45" xfId="0" applyFont="1" applyFill="1" applyBorder="1" applyAlignment="1">
      <alignment horizontal="center"/>
    </xf>
    <xf numFmtId="0" fontId="18" fillId="9" borderId="9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</cellXfs>
  <cellStyles count="7">
    <cellStyle name="Hiperlink" xfId="3" builtinId="8"/>
    <cellStyle name="Moeda" xfId="6" builtinId="4"/>
    <cellStyle name="Normal" xfId="0" builtinId="0"/>
    <cellStyle name="Normal 2 2" xfId="4" xr:uid="{00000000-0005-0000-0000-000002000000}"/>
    <cellStyle name="Porcentagem" xfId="2" builtinId="5"/>
    <cellStyle name="Vírgula" xfId="1" builtinId="3"/>
    <cellStyle name="Vírgula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5</xdr:row>
      <xdr:rowOff>28575</xdr:rowOff>
    </xdr:from>
    <xdr:to>
      <xdr:col>0</xdr:col>
      <xdr:colOff>1419225</xdr:colOff>
      <xdr:row>7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927735"/>
          <a:ext cx="1285875" cy="3733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8</xdr:row>
      <xdr:rowOff>9525</xdr:rowOff>
    </xdr:from>
    <xdr:to>
      <xdr:col>0</xdr:col>
      <xdr:colOff>2124075</xdr:colOff>
      <xdr:row>10</xdr:row>
      <xdr:rowOff>57150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411605"/>
          <a:ext cx="2038350" cy="382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358140</xdr:colOff>
      <xdr:row>5</xdr:row>
      <xdr:rowOff>15240</xdr:rowOff>
    </xdr:from>
    <xdr:ext cx="184731" cy="264560"/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394960" y="9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lisa/Desktop/CONSULTORIA%20AMBIENTAL%20-%20CLIENTES/PREFEITURA%20DE%20LAGOA%20DOS%20TRES%20CANTOS/PROJETO%20BASICO%20COLETA%20RSU%20DOMICILIAR/09%20PLANILHA%20CUSTOS/PLANILHA%20DE%20CUSTO%20-%20Lagoa%20dos%20Tres%20Cant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Elisa/Downloads/licitacoes_anexos_448_2375_16947135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Coleta Domiciliar Seletiva"/>
      <sheetName val="2.Encargos Sociais"/>
      <sheetName val="4.BDI"/>
      <sheetName val="3.CAGED"/>
      <sheetName val="5. Depreciação"/>
      <sheetName val="6.Remuneração de capital"/>
      <sheetName val="7. Dimensionamento"/>
      <sheetName val="8. Roteiros"/>
      <sheetName val="9. Ton Quantitativo"/>
    </sheetNames>
    <sheetDataSet>
      <sheetData sheetId="0"/>
      <sheetData sheetId="1">
        <row r="36">
          <cell r="C36">
            <v>0.70595951999999995</v>
          </cell>
        </row>
      </sheetData>
      <sheetData sheetId="2"/>
      <sheetData sheetId="3"/>
      <sheetData sheetId="4">
        <row r="4">
          <cell r="A4">
            <v>1</v>
          </cell>
          <cell r="B4">
            <v>33.629999999999995</v>
          </cell>
        </row>
        <row r="5">
          <cell r="A5">
            <v>2</v>
          </cell>
          <cell r="B5">
            <v>43.13</v>
          </cell>
        </row>
        <row r="6">
          <cell r="A6">
            <v>3</v>
          </cell>
          <cell r="B6">
            <v>48.68</v>
          </cell>
        </row>
        <row r="7">
          <cell r="A7">
            <v>4</v>
          </cell>
          <cell r="B7">
            <v>52.62</v>
          </cell>
        </row>
        <row r="8">
          <cell r="A8">
            <v>5</v>
          </cell>
          <cell r="B8">
            <v>55.679999999999993</v>
          </cell>
        </row>
        <row r="9">
          <cell r="A9">
            <v>6</v>
          </cell>
          <cell r="B9">
            <v>58.18</v>
          </cell>
        </row>
        <row r="10">
          <cell r="A10">
            <v>7</v>
          </cell>
          <cell r="B10">
            <v>60.29</v>
          </cell>
        </row>
        <row r="11">
          <cell r="A11">
            <v>8</v>
          </cell>
          <cell r="B11">
            <v>62.12</v>
          </cell>
        </row>
        <row r="12">
          <cell r="A12">
            <v>9</v>
          </cell>
          <cell r="B12">
            <v>63.73</v>
          </cell>
        </row>
        <row r="13">
          <cell r="A13">
            <v>10</v>
          </cell>
          <cell r="B13">
            <v>65.180000000000007</v>
          </cell>
        </row>
        <row r="14">
          <cell r="A14">
            <v>11</v>
          </cell>
          <cell r="B14">
            <v>66.47999999999999</v>
          </cell>
        </row>
        <row r="15">
          <cell r="A15">
            <v>12</v>
          </cell>
          <cell r="B15">
            <v>67.67</v>
          </cell>
        </row>
        <row r="16">
          <cell r="A16">
            <v>13</v>
          </cell>
          <cell r="B16">
            <v>68.77</v>
          </cell>
        </row>
        <row r="17">
          <cell r="A17">
            <v>14</v>
          </cell>
          <cell r="B17">
            <v>69.789999999999992</v>
          </cell>
        </row>
        <row r="18">
          <cell r="A18">
            <v>15</v>
          </cell>
          <cell r="B18">
            <v>70.73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1. Coleta Orgânica"/>
      <sheetName val="2. Coleta Seletiva "/>
      <sheetName val="3. Destino Final"/>
      <sheetName val="4.Enc Sociais"/>
      <sheetName val="5.CAGED"/>
      <sheetName val="6.BDI"/>
      <sheetName val="6.1.BDI Aterro"/>
      <sheetName val="7. Ton"/>
      <sheetName val="8. Horários"/>
      <sheetName val="9. Roteiros"/>
      <sheetName val="10. Depr"/>
      <sheetName val="11. Rem capital"/>
      <sheetName val="12. Dimens"/>
    </sheetNames>
    <sheetDataSet>
      <sheetData sheetId="0"/>
      <sheetData sheetId="1"/>
      <sheetData sheetId="2"/>
      <sheetData sheetId="3"/>
      <sheetData sheetId="4"/>
      <sheetData sheetId="5">
        <row r="33">
          <cell r="C33">
            <v>360</v>
          </cell>
        </row>
        <row r="36">
          <cell r="C36">
            <v>30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1"/>
  <sheetViews>
    <sheetView tabSelected="1" topLeftCell="A235" zoomScale="80" zoomScaleNormal="80" workbookViewId="0">
      <selection activeCell="A2" sqref="A2:F270"/>
    </sheetView>
  </sheetViews>
  <sheetFormatPr defaultColWidth="9.109375" defaultRowHeight="13.8" x14ac:dyDescent="0.3"/>
  <cols>
    <col min="1" max="1" width="53.5546875" style="2" customWidth="1"/>
    <col min="2" max="2" width="16" style="2" bestFit="1" customWidth="1"/>
    <col min="3" max="3" width="13.109375" style="2" bestFit="1" customWidth="1"/>
    <col min="4" max="4" width="18.77734375" style="1" bestFit="1" customWidth="1"/>
    <col min="5" max="5" width="17.33203125" style="1" bestFit="1" customWidth="1"/>
    <col min="6" max="6" width="13.33203125" style="1" customWidth="1"/>
    <col min="7" max="7" width="28.109375" style="1" customWidth="1"/>
    <col min="8" max="8" width="9.109375" style="2"/>
    <col min="9" max="9" width="14.5546875" style="2" customWidth="1"/>
    <col min="10" max="10" width="13.44140625" style="2" customWidth="1"/>
    <col min="11" max="16384" width="9.109375" style="2"/>
  </cols>
  <sheetData>
    <row r="1" spans="1:7" ht="13.2" customHeight="1" x14ac:dyDescent="0.3">
      <c r="A1" s="282" t="s">
        <v>148</v>
      </c>
      <c r="B1" s="283"/>
      <c r="C1" s="283"/>
      <c r="D1" s="283"/>
      <c r="E1" s="283"/>
      <c r="F1" s="284"/>
    </row>
    <row r="2" spans="1:7" ht="30.6" customHeight="1" x14ac:dyDescent="0.3">
      <c r="A2" s="285" t="s">
        <v>274</v>
      </c>
      <c r="B2" s="286"/>
      <c r="C2" s="286"/>
      <c r="D2" s="286"/>
      <c r="E2" s="286"/>
      <c r="F2" s="287"/>
    </row>
    <row r="3" spans="1:7" ht="14.4" thickBot="1" x14ac:dyDescent="0.35">
      <c r="A3" s="3"/>
      <c r="B3" s="4"/>
      <c r="C3" s="4"/>
      <c r="D3" s="5"/>
      <c r="E3" s="5"/>
      <c r="F3" s="6"/>
    </row>
    <row r="4" spans="1:7" ht="14.4" thickBot="1" x14ac:dyDescent="0.35">
      <c r="A4" s="288" t="s">
        <v>0</v>
      </c>
      <c r="B4" s="289"/>
      <c r="C4" s="289"/>
      <c r="D4" s="289"/>
      <c r="E4" s="289"/>
      <c r="F4" s="290"/>
    </row>
    <row r="5" spans="1:7" x14ac:dyDescent="0.3">
      <c r="A5" s="7" t="s">
        <v>1</v>
      </c>
      <c r="B5" s="8"/>
      <c r="C5" s="8"/>
      <c r="D5" s="9"/>
      <c r="E5" s="10" t="s">
        <v>2</v>
      </c>
      <c r="F5" s="11" t="s">
        <v>3</v>
      </c>
    </row>
    <row r="6" spans="1:7" s="18" customFormat="1" x14ac:dyDescent="0.3">
      <c r="A6" s="12" t="str">
        <f>A41</f>
        <v>1. Mão-de-obra</v>
      </c>
      <c r="B6" s="13"/>
      <c r="C6" s="14"/>
      <c r="D6" s="14"/>
      <c r="E6" s="15">
        <f>+F101</f>
        <v>23862.382005497624</v>
      </c>
      <c r="F6" s="16">
        <f t="shared" ref="F6:F25" si="0">IFERROR(E6/$E$26,0)</f>
        <v>0.30065033163504018</v>
      </c>
      <c r="G6" s="17"/>
    </row>
    <row r="7" spans="1:7" x14ac:dyDescent="0.3">
      <c r="A7" s="19" t="str">
        <f>A43</f>
        <v>1.1. Coletor Turno Dia</v>
      </c>
      <c r="B7" s="20"/>
      <c r="C7" s="21"/>
      <c r="D7" s="21"/>
      <c r="E7" s="22">
        <f>F54</f>
        <v>14919.813585983038</v>
      </c>
      <c r="F7" s="23">
        <f t="shared" si="0"/>
        <v>0.18797984633408921</v>
      </c>
    </row>
    <row r="8" spans="1:7" x14ac:dyDescent="0.3">
      <c r="A8" s="19" t="str">
        <f>A56</f>
        <v>1.2. Motorista Turno do Dia</v>
      </c>
      <c r="B8" s="20"/>
      <c r="C8" s="21"/>
      <c r="D8" s="21"/>
      <c r="E8" s="22">
        <f>F69</f>
        <v>5568.1836348992001</v>
      </c>
      <c r="F8" s="23">
        <f t="shared" si="0"/>
        <v>7.0155454558206293E-2</v>
      </c>
    </row>
    <row r="9" spans="1:7" x14ac:dyDescent="0.3">
      <c r="A9" s="19" t="str">
        <f>A72</f>
        <v>1.4. Vale Transporte</v>
      </c>
      <c r="B9" s="20"/>
      <c r="C9" s="21"/>
      <c r="D9" s="21"/>
      <c r="E9" s="22">
        <f>F78</f>
        <v>1324.4847846153846</v>
      </c>
      <c r="F9" s="23">
        <f t="shared" si="0"/>
        <v>1.6687637874896053E-2</v>
      </c>
    </row>
    <row r="10" spans="1:7" x14ac:dyDescent="0.3">
      <c r="A10" s="19" t="str">
        <f>A80</f>
        <v>1.5. Vale-refeição (diário)</v>
      </c>
      <c r="B10" s="20"/>
      <c r="C10" s="21"/>
      <c r="D10" s="21"/>
      <c r="E10" s="22">
        <f>F83</f>
        <v>1791.8999999999999</v>
      </c>
      <c r="F10" s="23">
        <f t="shared" si="0"/>
        <v>2.2576762417629133E-2</v>
      </c>
    </row>
    <row r="11" spans="1:7" x14ac:dyDescent="0.3">
      <c r="A11" s="19" t="str">
        <f>A85</f>
        <v>1.6. Auxílio Alimentação (mensal)</v>
      </c>
      <c r="B11" s="20"/>
      <c r="C11" s="21"/>
      <c r="D11" s="21"/>
      <c r="E11" s="22">
        <f>F88</f>
        <v>138</v>
      </c>
      <c r="F11" s="23">
        <f t="shared" si="0"/>
        <v>1.7387093105825217E-3</v>
      </c>
    </row>
    <row r="12" spans="1:7" s="18" customFormat="1" x14ac:dyDescent="0.3">
      <c r="A12" s="291" t="str">
        <f>A103</f>
        <v>2. Uniformes e Equipamentos de Proteção Individual</v>
      </c>
      <c r="B12" s="292"/>
      <c r="C12" s="292"/>
      <c r="D12" s="14"/>
      <c r="E12" s="15">
        <f>+F136</f>
        <v>819.92500000000007</v>
      </c>
      <c r="F12" s="16">
        <f t="shared" si="0"/>
        <v>1.0330516170140393E-2</v>
      </c>
      <c r="G12" s="17"/>
    </row>
    <row r="13" spans="1:7" s="18" customFormat="1" x14ac:dyDescent="0.3">
      <c r="A13" s="24" t="str">
        <f>A138</f>
        <v>3. Veículos e Equipamentos</v>
      </c>
      <c r="B13" s="25"/>
      <c r="C13" s="14"/>
      <c r="D13" s="14"/>
      <c r="E13" s="15">
        <f>+F217</f>
        <v>28033.50367644697</v>
      </c>
      <c r="F13" s="16">
        <f t="shared" si="0"/>
        <v>0.35320372355425866</v>
      </c>
      <c r="G13" s="17"/>
    </row>
    <row r="14" spans="1:7" x14ac:dyDescent="0.3">
      <c r="A14" s="26" t="str">
        <f>A140</f>
        <v>3.1. Veículo Coletor Compactador 12 m³</v>
      </c>
      <c r="B14" s="27"/>
      <c r="C14" s="21"/>
      <c r="D14" s="21"/>
      <c r="E14" s="22">
        <f>SUM(E15:E20)</f>
        <v>28033.50367644697</v>
      </c>
      <c r="F14" s="23">
        <f t="shared" si="0"/>
        <v>0.35320372355425866</v>
      </c>
    </row>
    <row r="15" spans="1:7" x14ac:dyDescent="0.3">
      <c r="A15" s="26" t="str">
        <f>A142</f>
        <v>3.1.1. Depreciação</v>
      </c>
      <c r="B15" s="27"/>
      <c r="C15" s="21"/>
      <c r="D15" s="21"/>
      <c r="E15" s="22">
        <f>F157</f>
        <v>3367.6333333333341</v>
      </c>
      <c r="F15" s="23">
        <f t="shared" si="0"/>
        <v>4.2429966893440009E-2</v>
      </c>
    </row>
    <row r="16" spans="1:7" x14ac:dyDescent="0.3">
      <c r="A16" s="26" t="str">
        <f>A159</f>
        <v>3.1.2. Remuneração do Capital</v>
      </c>
      <c r="B16" s="27"/>
      <c r="C16" s="21"/>
      <c r="D16" s="21"/>
      <c r="E16" s="22">
        <f>F174</f>
        <v>1085.7997395833331</v>
      </c>
      <c r="F16" s="23">
        <f t="shared" si="0"/>
        <v>1.3680363164069701E-2</v>
      </c>
    </row>
    <row r="17" spans="1:7" x14ac:dyDescent="0.3">
      <c r="A17" s="26" t="str">
        <f>A176</f>
        <v>3.1.3. Impostos e Seguros</v>
      </c>
      <c r="B17" s="27"/>
      <c r="C17" s="21"/>
      <c r="D17" s="21"/>
      <c r="E17" s="22">
        <f>F182</f>
        <v>626.18916666666667</v>
      </c>
      <c r="F17" s="23">
        <f t="shared" si="0"/>
        <v>7.8895719874582885E-3</v>
      </c>
    </row>
    <row r="18" spans="1:7" x14ac:dyDescent="0.3">
      <c r="A18" s="26" t="str">
        <f>A184</f>
        <v>3.1.4. Consumos</v>
      </c>
      <c r="B18" s="27"/>
      <c r="C18" s="21"/>
      <c r="D18" s="21"/>
      <c r="E18" s="22">
        <f>F200</f>
        <v>16539.794359263633</v>
      </c>
      <c r="F18" s="23">
        <f t="shared" si="0"/>
        <v>0.20839053947515909</v>
      </c>
    </row>
    <row r="19" spans="1:7" x14ac:dyDescent="0.3">
      <c r="A19" s="26" t="str">
        <f>A202</f>
        <v>3.1.5. Manutenção</v>
      </c>
      <c r="B19" s="27"/>
      <c r="C19" s="21"/>
      <c r="D19" s="21"/>
      <c r="E19" s="22">
        <f>F205</f>
        <v>4958.63</v>
      </c>
      <c r="F19" s="23">
        <f t="shared" si="0"/>
        <v>6.2475479338650795E-2</v>
      </c>
    </row>
    <row r="20" spans="1:7" x14ac:dyDescent="0.3">
      <c r="A20" s="26" t="str">
        <f>A207</f>
        <v>3.1.6. Pneus</v>
      </c>
      <c r="B20" s="27"/>
      <c r="C20" s="21"/>
      <c r="D20" s="21"/>
      <c r="E20" s="22">
        <f>F214</f>
        <v>1455.4570776</v>
      </c>
      <c r="F20" s="23">
        <f t="shared" si="0"/>
        <v>1.8337802695480781E-2</v>
      </c>
    </row>
    <row r="21" spans="1:7" s="18" customFormat="1" x14ac:dyDescent="0.3">
      <c r="A21" s="24" t="str">
        <f>A219</f>
        <v>4. Ferramentas e Materiais de Consumo</v>
      </c>
      <c r="B21" s="25"/>
      <c r="C21" s="14"/>
      <c r="D21" s="14"/>
      <c r="E21" s="15">
        <f>+F227</f>
        <v>77.166666666666657</v>
      </c>
      <c r="F21" s="16">
        <f t="shared" si="0"/>
        <v>9.7224928840544385E-4</v>
      </c>
      <c r="G21" s="17"/>
    </row>
    <row r="22" spans="1:7" s="18" customFormat="1" x14ac:dyDescent="0.3">
      <c r="A22" s="24" t="str">
        <f>A229</f>
        <v xml:space="preserve">5. Custos com administração </v>
      </c>
      <c r="B22" s="25"/>
      <c r="C22" s="14"/>
      <c r="D22" s="14"/>
      <c r="E22" s="15">
        <f>F234</f>
        <v>383.33333333333331</v>
      </c>
      <c r="F22" s="16">
        <f t="shared" si="0"/>
        <v>4.8297480849514487E-3</v>
      </c>
      <c r="G22" s="17"/>
    </row>
    <row r="23" spans="1:7" s="18" customFormat="1" x14ac:dyDescent="0.3">
      <c r="A23" s="24" t="str">
        <f>A238</f>
        <v>6. Monitoramento da Frota</v>
      </c>
      <c r="B23" s="25"/>
      <c r="C23" s="14"/>
      <c r="D23" s="14"/>
      <c r="E23" s="15">
        <f>+F246</f>
        <v>179.66666666666666</v>
      </c>
      <c r="F23" s="16">
        <f t="shared" si="0"/>
        <v>2.2636819285120268E-3</v>
      </c>
      <c r="G23" s="17"/>
    </row>
    <row r="24" spans="1:7" s="18" customFormat="1" x14ac:dyDescent="0.3">
      <c r="A24" s="24" t="str">
        <f>A250</f>
        <v xml:space="preserve">7. Destinação Final dos Resíduos e Rejeitos </v>
      </c>
      <c r="B24" s="25"/>
      <c r="C24" s="14"/>
      <c r="D24" s="14"/>
      <c r="E24" s="28">
        <f>F256</f>
        <v>12877</v>
      </c>
      <c r="F24" s="16">
        <f t="shared" si="0"/>
        <v>0.16224173762587776</v>
      </c>
      <c r="G24" s="17"/>
    </row>
    <row r="25" spans="1:7" s="18" customFormat="1" ht="14.4" thickBot="1" x14ac:dyDescent="0.35">
      <c r="A25" s="24" t="str">
        <f>A261</f>
        <v>8. Benefícios e Despesas Indiretas - BDI</v>
      </c>
      <c r="B25" s="25"/>
      <c r="C25" s="14"/>
      <c r="D25" s="14"/>
      <c r="E25" s="29">
        <f>+F267</f>
        <v>13136.241623228092</v>
      </c>
      <c r="F25" s="16">
        <f t="shared" si="0"/>
        <v>0.16550801171281407</v>
      </c>
      <c r="G25" s="17"/>
    </row>
    <row r="26" spans="1:7" ht="14.4" thickBot="1" x14ac:dyDescent="0.35">
      <c r="A26" s="30" t="s">
        <v>273</v>
      </c>
      <c r="B26" s="31"/>
      <c r="C26" s="32"/>
      <c r="D26" s="32"/>
      <c r="E26" s="33">
        <f>E6+E12+E13+E21+E22+E23+E24+E25</f>
        <v>79369.218971839349</v>
      </c>
      <c r="F26" s="34">
        <f>F6+F12+F13+F21+F23+F25+F22+F24</f>
        <v>0.99999999999999989</v>
      </c>
    </row>
    <row r="28" spans="1:7" ht="14.4" thickBot="1" x14ac:dyDescent="0.35"/>
    <row r="29" spans="1:7" ht="14.4" thickBot="1" x14ac:dyDescent="0.35">
      <c r="A29" s="288" t="s">
        <v>4</v>
      </c>
      <c r="B29" s="289"/>
      <c r="C29" s="289"/>
      <c r="D29" s="289"/>
      <c r="E29" s="290"/>
    </row>
    <row r="30" spans="1:7" ht="14.4" thickBot="1" x14ac:dyDescent="0.35">
      <c r="A30" s="293" t="s">
        <v>5</v>
      </c>
      <c r="B30" s="294"/>
      <c r="C30" s="294"/>
      <c r="D30" s="295"/>
      <c r="E30" s="35" t="s">
        <v>6</v>
      </c>
    </row>
    <row r="31" spans="1:7" x14ac:dyDescent="0.3">
      <c r="A31" s="36" t="str">
        <f>+A43</f>
        <v>1.1. Coletor Turno Dia</v>
      </c>
      <c r="B31" s="8"/>
      <c r="C31" s="8"/>
      <c r="D31" s="37"/>
      <c r="E31" s="38">
        <v>3</v>
      </c>
    </row>
    <row r="32" spans="1:7" x14ac:dyDescent="0.3">
      <c r="A32" s="19" t="str">
        <f>+A56</f>
        <v>1.2. Motorista Turno do Dia</v>
      </c>
      <c r="B32" s="21"/>
      <c r="C32" s="21"/>
      <c r="D32" s="39"/>
      <c r="E32" s="40">
        <v>1</v>
      </c>
    </row>
    <row r="33" spans="1:7" ht="15" customHeight="1" x14ac:dyDescent="0.3">
      <c r="A33" s="296" t="s">
        <v>7</v>
      </c>
      <c r="B33" s="296"/>
      <c r="C33" s="296"/>
      <c r="D33" s="296"/>
      <c r="E33" s="263">
        <f>SUM(E31:E32)</f>
        <v>4</v>
      </c>
    </row>
    <row r="34" spans="1:7" ht="14.4" thickBot="1" x14ac:dyDescent="0.35">
      <c r="A34" s="41"/>
      <c r="B34" s="42"/>
      <c r="C34" s="43"/>
      <c r="D34" s="43"/>
      <c r="E34" s="44"/>
    </row>
    <row r="35" spans="1:7" x14ac:dyDescent="0.3">
      <c r="A35" s="280" t="s">
        <v>8</v>
      </c>
      <c r="B35" s="281"/>
      <c r="C35" s="281"/>
      <c r="D35" s="281"/>
      <c r="E35" s="35" t="s">
        <v>6</v>
      </c>
      <c r="F35" s="2"/>
    </row>
    <row r="36" spans="1:7" ht="14.4" thickBot="1" x14ac:dyDescent="0.35">
      <c r="A36" s="45" t="str">
        <f>+A140</f>
        <v>3.1. Veículo Coletor Compactador 12 m³</v>
      </c>
      <c r="B36" s="46"/>
      <c r="C36" s="46"/>
      <c r="D36" s="47"/>
      <c r="E36" s="48">
        <v>1</v>
      </c>
      <c r="F36" s="2"/>
    </row>
    <row r="37" spans="1:7" x14ac:dyDescent="0.3">
      <c r="A37" s="43"/>
      <c r="B37" s="43"/>
      <c r="C37" s="43"/>
      <c r="D37" s="2"/>
      <c r="E37" s="49"/>
      <c r="F37" s="2"/>
    </row>
    <row r="38" spans="1:7" ht="14.4" thickBot="1" x14ac:dyDescent="0.35">
      <c r="A38" s="43"/>
      <c r="B38" s="43"/>
      <c r="C38" s="43"/>
      <c r="D38" s="2"/>
      <c r="E38" s="50"/>
      <c r="F38" s="2"/>
    </row>
    <row r="39" spans="1:7" s="18" customFormat="1" ht="14.4" thickBot="1" x14ac:dyDescent="0.35">
      <c r="A39" s="51" t="s">
        <v>9</v>
      </c>
      <c r="B39" s="267">
        <v>1</v>
      </c>
      <c r="C39" s="278" t="s">
        <v>148</v>
      </c>
      <c r="D39" s="279"/>
      <c r="E39" s="53"/>
      <c r="G39" s="17"/>
    </row>
    <row r="40" spans="1:7" x14ac:dyDescent="0.3">
      <c r="A40" s="52"/>
      <c r="B40" s="52"/>
      <c r="C40" s="52"/>
      <c r="D40" s="2"/>
      <c r="E40" s="50"/>
      <c r="F40" s="2"/>
    </row>
    <row r="41" spans="1:7" x14ac:dyDescent="0.3">
      <c r="A41" s="18" t="s">
        <v>10</v>
      </c>
    </row>
    <row r="43" spans="1:7" ht="14.4" thickBot="1" x14ac:dyDescent="0.35">
      <c r="A43" s="2" t="s">
        <v>11</v>
      </c>
    </row>
    <row r="44" spans="1:7" ht="14.4" thickBot="1" x14ac:dyDescent="0.35">
      <c r="A44" s="54" t="s">
        <v>12</v>
      </c>
      <c r="B44" s="55" t="s">
        <v>13</v>
      </c>
      <c r="C44" s="55" t="s">
        <v>6</v>
      </c>
      <c r="D44" s="56" t="s">
        <v>14</v>
      </c>
      <c r="E44" s="56" t="s">
        <v>15</v>
      </c>
      <c r="F44" s="57" t="s">
        <v>16</v>
      </c>
    </row>
    <row r="45" spans="1:7" x14ac:dyDescent="0.25">
      <c r="A45" s="58" t="s">
        <v>17</v>
      </c>
      <c r="B45" s="59" t="s">
        <v>18</v>
      </c>
      <c r="C45" s="59">
        <v>1</v>
      </c>
      <c r="D45" s="60">
        <v>2082.31</v>
      </c>
      <c r="E45" s="61">
        <f>C45*D45</f>
        <v>2082.31</v>
      </c>
    </row>
    <row r="46" spans="1:7" x14ac:dyDescent="0.3">
      <c r="A46" s="62" t="s">
        <v>19</v>
      </c>
      <c r="B46" s="63" t="s">
        <v>20</v>
      </c>
      <c r="C46" s="64"/>
      <c r="D46" s="65"/>
      <c r="E46" s="65">
        <f>C46*D46</f>
        <v>0</v>
      </c>
    </row>
    <row r="47" spans="1:7" x14ac:dyDescent="0.3">
      <c r="A47" s="62" t="s">
        <v>21</v>
      </c>
      <c r="B47" s="63" t="s">
        <v>20</v>
      </c>
      <c r="C47" s="66"/>
      <c r="D47" s="65"/>
      <c r="E47" s="65">
        <f>C47*D47</f>
        <v>0</v>
      </c>
    </row>
    <row r="48" spans="1:7" x14ac:dyDescent="0.3">
      <c r="A48" s="62" t="s">
        <v>22</v>
      </c>
      <c r="B48" s="63" t="s">
        <v>23</v>
      </c>
      <c r="D48" s="65">
        <f>63/302*(SUM(E46:E47))</f>
        <v>0</v>
      </c>
      <c r="E48" s="65">
        <f>D48</f>
        <v>0</v>
      </c>
    </row>
    <row r="49" spans="1:6" x14ac:dyDescent="0.3">
      <c r="A49" s="62" t="s">
        <v>24</v>
      </c>
      <c r="B49" s="63" t="s">
        <v>3</v>
      </c>
      <c r="C49" s="63">
        <v>40</v>
      </c>
      <c r="D49" s="67">
        <f>SUM(E45:E48)</f>
        <v>2082.31</v>
      </c>
      <c r="E49" s="65">
        <f>C49*D49/100</f>
        <v>832.92399999999998</v>
      </c>
    </row>
    <row r="50" spans="1:6" x14ac:dyDescent="0.3">
      <c r="A50" s="68" t="s">
        <v>25</v>
      </c>
      <c r="B50" s="69"/>
      <c r="C50" s="69"/>
      <c r="D50" s="70"/>
      <c r="E50" s="71">
        <f>SUM(E45:E49)</f>
        <v>2915.2339999999999</v>
      </c>
    </row>
    <row r="51" spans="1:6" x14ac:dyDescent="0.3">
      <c r="A51" s="62" t="s">
        <v>26</v>
      </c>
      <c r="B51" s="63" t="s">
        <v>3</v>
      </c>
      <c r="C51" s="72">
        <f>'[1]2.Encargos Sociais'!$C$36*100</f>
        <v>70.595951999999997</v>
      </c>
      <c r="D51" s="65">
        <f>E50</f>
        <v>2915.2339999999999</v>
      </c>
      <c r="E51" s="65">
        <f>D51*C51/100</f>
        <v>2058.0371953276799</v>
      </c>
    </row>
    <row r="52" spans="1:6" x14ac:dyDescent="0.3">
      <c r="A52" s="68" t="s">
        <v>27</v>
      </c>
      <c r="B52" s="69"/>
      <c r="C52" s="69"/>
      <c r="D52" s="70"/>
      <c r="E52" s="71">
        <f>E50+E51</f>
        <v>4973.2711953276794</v>
      </c>
    </row>
    <row r="53" spans="1:6" ht="14.4" thickBot="1" x14ac:dyDescent="0.35">
      <c r="A53" s="62" t="s">
        <v>28</v>
      </c>
      <c r="B53" s="63" t="s">
        <v>29</v>
      </c>
      <c r="C53" s="256">
        <f>E31</f>
        <v>3</v>
      </c>
      <c r="D53" s="65">
        <f>E52</f>
        <v>4973.2711953276794</v>
      </c>
      <c r="E53" s="65">
        <f>C53*D53</f>
        <v>14919.813585983038</v>
      </c>
    </row>
    <row r="54" spans="1:6" ht="14.4" thickBot="1" x14ac:dyDescent="0.35">
      <c r="D54" s="73" t="s">
        <v>30</v>
      </c>
      <c r="E54" s="251">
        <f>B39</f>
        <v>1</v>
      </c>
      <c r="F54" s="75">
        <f>E53*E54</f>
        <v>14919.813585983038</v>
      </c>
    </row>
    <row r="56" spans="1:6" ht="14.4" thickBot="1" x14ac:dyDescent="0.35">
      <c r="A56" s="2" t="s">
        <v>31</v>
      </c>
    </row>
    <row r="57" spans="1:6" ht="14.4" thickBot="1" x14ac:dyDescent="0.35">
      <c r="A57" s="54" t="s">
        <v>12</v>
      </c>
      <c r="B57" s="55" t="s">
        <v>13</v>
      </c>
      <c r="C57" s="55" t="s">
        <v>6</v>
      </c>
      <c r="D57" s="56" t="s">
        <v>14</v>
      </c>
      <c r="E57" s="56" t="s">
        <v>15</v>
      </c>
      <c r="F57" s="57" t="s">
        <v>16</v>
      </c>
    </row>
    <row r="58" spans="1:6" x14ac:dyDescent="0.25">
      <c r="A58" s="58" t="s">
        <v>32</v>
      </c>
      <c r="B58" s="59" t="s">
        <v>18</v>
      </c>
      <c r="C58" s="59">
        <v>1</v>
      </c>
      <c r="D58" s="60">
        <v>2331.4</v>
      </c>
      <c r="E58" s="61">
        <f>C58*D58</f>
        <v>2331.4</v>
      </c>
    </row>
    <row r="59" spans="1:6" x14ac:dyDescent="0.25">
      <c r="A59" s="58" t="s">
        <v>33</v>
      </c>
      <c r="B59" s="59" t="s">
        <v>18</v>
      </c>
      <c r="C59" s="59">
        <v>1</v>
      </c>
      <c r="D59" s="252">
        <v>1412</v>
      </c>
      <c r="E59" s="61"/>
    </row>
    <row r="60" spans="1:6" x14ac:dyDescent="0.3">
      <c r="A60" s="62" t="s">
        <v>19</v>
      </c>
      <c r="B60" s="63" t="s">
        <v>20</v>
      </c>
      <c r="C60" s="64"/>
      <c r="D60" s="65">
        <f>D58/220*2</f>
        <v>21.194545454545455</v>
      </c>
      <c r="E60" s="65">
        <f>C60*D60</f>
        <v>0</v>
      </c>
    </row>
    <row r="61" spans="1:6" x14ac:dyDescent="0.3">
      <c r="A61" s="62" t="s">
        <v>21</v>
      </c>
      <c r="B61" s="63" t="s">
        <v>20</v>
      </c>
      <c r="C61" s="64"/>
      <c r="D61" s="65">
        <f>D58/220*1.5</f>
        <v>15.895909090909091</v>
      </c>
      <c r="E61" s="65">
        <f>C61*D61</f>
        <v>0</v>
      </c>
    </row>
    <row r="62" spans="1:6" x14ac:dyDescent="0.3">
      <c r="A62" s="62" t="s">
        <v>22</v>
      </c>
      <c r="B62" s="63" t="s">
        <v>23</v>
      </c>
      <c r="D62" s="65">
        <f>63/302*(SUM(E60:E61))</f>
        <v>0</v>
      </c>
      <c r="E62" s="65">
        <f>D62</f>
        <v>0</v>
      </c>
    </row>
    <row r="63" spans="1:6" x14ac:dyDescent="0.3">
      <c r="A63" s="62" t="s">
        <v>34</v>
      </c>
      <c r="B63" s="63"/>
      <c r="C63" s="76">
        <v>1</v>
      </c>
      <c r="D63" s="65"/>
      <c r="E63" s="65"/>
    </row>
    <row r="64" spans="1:6" x14ac:dyDescent="0.3">
      <c r="A64" s="62" t="s">
        <v>24</v>
      </c>
      <c r="B64" s="63" t="s">
        <v>3</v>
      </c>
      <c r="C64" s="77">
        <v>40</v>
      </c>
      <c r="D64" s="78">
        <f>D58</f>
        <v>2331.4</v>
      </c>
      <c r="E64" s="65">
        <f>C64*D64/100</f>
        <v>932.56</v>
      </c>
    </row>
    <row r="65" spans="1:7" s="18" customFormat="1" x14ac:dyDescent="0.3">
      <c r="A65" s="79" t="s">
        <v>25</v>
      </c>
      <c r="B65" s="69"/>
      <c r="C65" s="69"/>
      <c r="D65" s="70"/>
      <c r="E65" s="80">
        <f>SUM(E58:E64)</f>
        <v>3263.96</v>
      </c>
      <c r="F65" s="17"/>
      <c r="G65" s="17"/>
    </row>
    <row r="66" spans="1:7" x14ac:dyDescent="0.3">
      <c r="A66" s="62" t="s">
        <v>26</v>
      </c>
      <c r="B66" s="63" t="s">
        <v>3</v>
      </c>
      <c r="C66" s="81">
        <f>'[1]2.Encargos Sociais'!C36</f>
        <v>0.70595951999999995</v>
      </c>
      <c r="D66" s="65">
        <f>E65</f>
        <v>3263.96</v>
      </c>
      <c r="E66" s="65">
        <f>D66*C66</f>
        <v>2304.2236348992001</v>
      </c>
    </row>
    <row r="67" spans="1:7" s="18" customFormat="1" x14ac:dyDescent="0.3">
      <c r="A67" s="79" t="s">
        <v>35</v>
      </c>
      <c r="B67" s="82"/>
      <c r="C67" s="82"/>
      <c r="D67" s="83"/>
      <c r="E67" s="80">
        <f>E65+E66</f>
        <v>5568.1836348992001</v>
      </c>
      <c r="F67" s="17"/>
      <c r="G67" s="17"/>
    </row>
    <row r="68" spans="1:7" ht="14.4" thickBot="1" x14ac:dyDescent="0.35">
      <c r="A68" s="62" t="s">
        <v>28</v>
      </c>
      <c r="B68" s="63" t="s">
        <v>29</v>
      </c>
      <c r="C68" s="257">
        <f>E32</f>
        <v>1</v>
      </c>
      <c r="D68" s="65">
        <f>E67</f>
        <v>5568.1836348992001</v>
      </c>
      <c r="E68" s="65">
        <f>C68*D68</f>
        <v>5568.1836348992001</v>
      </c>
    </row>
    <row r="69" spans="1:7" ht="14.4" thickBot="1" x14ac:dyDescent="0.35">
      <c r="D69" s="73" t="s">
        <v>30</v>
      </c>
      <c r="E69" s="251">
        <f>B39</f>
        <v>1</v>
      </c>
      <c r="F69" s="75">
        <f>E68*E69</f>
        <v>5568.1836348992001</v>
      </c>
    </row>
    <row r="70" spans="1:7" x14ac:dyDescent="0.3">
      <c r="D70" s="73"/>
      <c r="E70" s="43"/>
      <c r="F70" s="43"/>
    </row>
    <row r="71" spans="1:7" x14ac:dyDescent="0.3">
      <c r="D71" s="73"/>
      <c r="E71" s="43"/>
      <c r="F71" s="43"/>
    </row>
    <row r="72" spans="1:7" ht="14.4" thickBot="1" x14ac:dyDescent="0.35">
      <c r="A72" s="2" t="s">
        <v>265</v>
      </c>
      <c r="B72" s="84"/>
      <c r="D72" s="2"/>
      <c r="E72" s="2"/>
      <c r="G72" s="2"/>
    </row>
    <row r="73" spans="1:7" ht="14.4" thickBot="1" x14ac:dyDescent="0.35">
      <c r="A73" s="54" t="s">
        <v>12</v>
      </c>
      <c r="B73" s="55" t="s">
        <v>13</v>
      </c>
      <c r="C73" s="55" t="s">
        <v>6</v>
      </c>
      <c r="D73" s="56" t="s">
        <v>14</v>
      </c>
      <c r="E73" s="56" t="s">
        <v>15</v>
      </c>
      <c r="F73" s="57" t="s">
        <v>16</v>
      </c>
      <c r="G73" s="2"/>
    </row>
    <row r="74" spans="1:7" x14ac:dyDescent="0.3">
      <c r="A74" s="62" t="s">
        <v>36</v>
      </c>
      <c r="B74" s="63" t="s">
        <v>23</v>
      </c>
      <c r="C74" s="85">
        <v>1</v>
      </c>
      <c r="D74" s="86">
        <v>10</v>
      </c>
      <c r="E74" s="65"/>
      <c r="G74" s="2"/>
    </row>
    <row r="75" spans="1:7" x14ac:dyDescent="0.3">
      <c r="A75" s="62" t="s">
        <v>37</v>
      </c>
      <c r="B75" s="63" t="s">
        <v>38</v>
      </c>
      <c r="C75" s="87">
        <v>22</v>
      </c>
      <c r="D75" s="65"/>
      <c r="E75" s="65"/>
      <c r="G75" s="2"/>
    </row>
    <row r="76" spans="1:7" x14ac:dyDescent="0.3">
      <c r="A76" s="62" t="s">
        <v>39</v>
      </c>
      <c r="B76" s="63" t="s">
        <v>40</v>
      </c>
      <c r="C76" s="88">
        <f>C53*C75*2</f>
        <v>132</v>
      </c>
      <c r="D76" s="61">
        <f>IFERROR((($C$75*2*$D$74)-(E45*0.06*C75/26))/($C$75*2),"-")</f>
        <v>7.5973346153846144</v>
      </c>
      <c r="E76" s="65">
        <f>IFERROR(C76*D76,"-")</f>
        <v>1002.8481692307691</v>
      </c>
      <c r="G76" s="2"/>
    </row>
    <row r="77" spans="1:7" ht="14.4" thickBot="1" x14ac:dyDescent="0.35">
      <c r="A77" s="58" t="s">
        <v>41</v>
      </c>
      <c r="B77" s="59" t="s">
        <v>40</v>
      </c>
      <c r="C77" s="88">
        <f>$C$75*2*(C68)</f>
        <v>44</v>
      </c>
      <c r="D77" s="61">
        <f>IFERROR((($C$75*2*$D$74)-(E58*0.06*C75/26))/($C$75*2),"-")</f>
        <v>7.3099230769230781</v>
      </c>
      <c r="E77" s="61">
        <f>IFERROR(C77*D77,"-")</f>
        <v>321.63661538461542</v>
      </c>
      <c r="G77" s="2"/>
    </row>
    <row r="78" spans="1:7" ht="14.4" thickBot="1" x14ac:dyDescent="0.35">
      <c r="F78" s="89">
        <f>SUM(E76:E77)</f>
        <v>1324.4847846153846</v>
      </c>
      <c r="G78" s="2"/>
    </row>
    <row r="79" spans="1:7" x14ac:dyDescent="0.3">
      <c r="G79" s="2"/>
    </row>
    <row r="80" spans="1:7" ht="14.4" thickBot="1" x14ac:dyDescent="0.35">
      <c r="A80" s="2" t="s">
        <v>266</v>
      </c>
      <c r="F80" s="90"/>
      <c r="G80" s="2"/>
    </row>
    <row r="81" spans="1:7" ht="14.4" thickBot="1" x14ac:dyDescent="0.35">
      <c r="A81" s="54" t="s">
        <v>12</v>
      </c>
      <c r="B81" s="55" t="s">
        <v>13</v>
      </c>
      <c r="C81" s="55" t="s">
        <v>6</v>
      </c>
      <c r="D81" s="56" t="s">
        <v>14</v>
      </c>
      <c r="E81" s="56" t="s">
        <v>15</v>
      </c>
      <c r="F81" s="57" t="s">
        <v>16</v>
      </c>
      <c r="G81" s="2"/>
    </row>
    <row r="82" spans="1:7" ht="14.4" thickBot="1" x14ac:dyDescent="0.35">
      <c r="A82" s="62" t="str">
        <f>+A76</f>
        <v>Coletor</v>
      </c>
      <c r="B82" s="63" t="s">
        <v>42</v>
      </c>
      <c r="C82" s="91">
        <f>C75*(E31)</f>
        <v>66</v>
      </c>
      <c r="D82" s="92">
        <v>27.15</v>
      </c>
      <c r="E82" s="74">
        <f>C82*D82</f>
        <v>1791.8999999999999</v>
      </c>
      <c r="F82" s="90"/>
      <c r="G82" s="2"/>
    </row>
    <row r="83" spans="1:7" ht="14.4" thickBot="1" x14ac:dyDescent="0.35">
      <c r="F83" s="89">
        <f>SUM(E82:E82)</f>
        <v>1791.8999999999999</v>
      </c>
      <c r="G83" s="2"/>
    </row>
    <row r="84" spans="1:7" x14ac:dyDescent="0.3">
      <c r="G84" s="2"/>
    </row>
    <row r="85" spans="1:7" ht="14.4" thickBot="1" x14ac:dyDescent="0.35">
      <c r="A85" s="2" t="s">
        <v>267</v>
      </c>
      <c r="F85" s="90"/>
      <c r="G85" s="2"/>
    </row>
    <row r="86" spans="1:7" ht="14.4" thickBot="1" x14ac:dyDescent="0.35">
      <c r="A86" s="54" t="s">
        <v>12</v>
      </c>
      <c r="B86" s="55" t="s">
        <v>13</v>
      </c>
      <c r="C86" s="55" t="s">
        <v>6</v>
      </c>
      <c r="D86" s="56" t="s">
        <v>14</v>
      </c>
      <c r="E86" s="56" t="s">
        <v>15</v>
      </c>
      <c r="F86" s="57" t="s">
        <v>16</v>
      </c>
      <c r="G86" s="2"/>
    </row>
    <row r="87" spans="1:7" ht="14.4" thickBot="1" x14ac:dyDescent="0.35">
      <c r="A87" s="62" t="s">
        <v>41</v>
      </c>
      <c r="B87" s="63" t="s">
        <v>42</v>
      </c>
      <c r="C87" s="91">
        <f>E32</f>
        <v>1</v>
      </c>
      <c r="D87" s="92">
        <v>138</v>
      </c>
      <c r="E87" s="74">
        <f>D87*C87</f>
        <v>138</v>
      </c>
      <c r="F87" s="90"/>
      <c r="G87" s="2"/>
    </row>
    <row r="88" spans="1:7" ht="14.4" thickBot="1" x14ac:dyDescent="0.35">
      <c r="D88" s="2"/>
      <c r="E88" s="2"/>
      <c r="F88" s="89">
        <f>E87</f>
        <v>138</v>
      </c>
      <c r="G88" s="2"/>
    </row>
    <row r="89" spans="1:7" x14ac:dyDescent="0.3">
      <c r="D89" s="2"/>
      <c r="E89" s="2"/>
      <c r="F89" s="258"/>
      <c r="G89" s="2"/>
    </row>
    <row r="90" spans="1:7" ht="14.4" thickBot="1" x14ac:dyDescent="0.35">
      <c r="A90" s="2" t="s">
        <v>277</v>
      </c>
      <c r="D90" s="2"/>
      <c r="E90" s="2"/>
      <c r="F90" s="258"/>
      <c r="G90" s="2"/>
    </row>
    <row r="91" spans="1:7" x14ac:dyDescent="0.3">
      <c r="A91" s="117" t="s">
        <v>12</v>
      </c>
      <c r="B91" s="118" t="s">
        <v>13</v>
      </c>
      <c r="C91" s="118" t="s">
        <v>6</v>
      </c>
      <c r="D91" s="119" t="s">
        <v>14</v>
      </c>
      <c r="E91" s="119" t="s">
        <v>15</v>
      </c>
      <c r="F91" s="259" t="s">
        <v>16</v>
      </c>
      <c r="G91" s="2"/>
    </row>
    <row r="92" spans="1:7" x14ac:dyDescent="0.3">
      <c r="A92" s="62" t="s">
        <v>41</v>
      </c>
      <c r="B92" s="62" t="s">
        <v>264</v>
      </c>
      <c r="C92" s="260">
        <f>E32</f>
        <v>1</v>
      </c>
      <c r="D92" s="268">
        <v>45</v>
      </c>
      <c r="E92" s="266">
        <f>D92*C92</f>
        <v>45</v>
      </c>
      <c r="F92" s="261"/>
      <c r="G92" s="2"/>
    </row>
    <row r="93" spans="1:7" x14ac:dyDescent="0.3">
      <c r="D93" s="2"/>
      <c r="E93" s="2"/>
      <c r="F93" s="262">
        <f>E92</f>
        <v>45</v>
      </c>
      <c r="G93" s="2"/>
    </row>
    <row r="94" spans="1:7" x14ac:dyDescent="0.3">
      <c r="D94" s="2"/>
      <c r="E94" s="2"/>
      <c r="F94" s="2"/>
      <c r="G94" s="2"/>
    </row>
    <row r="95" spans="1:7" ht="14.4" thickBot="1" x14ac:dyDescent="0.35">
      <c r="A95" s="2" t="s">
        <v>276</v>
      </c>
      <c r="D95" s="2"/>
      <c r="E95" s="2"/>
      <c r="F95" s="258"/>
      <c r="G95" s="2"/>
    </row>
    <row r="96" spans="1:7" x14ac:dyDescent="0.3">
      <c r="A96" s="117" t="s">
        <v>12</v>
      </c>
      <c r="B96" s="118" t="s">
        <v>13</v>
      </c>
      <c r="C96" s="118" t="s">
        <v>6</v>
      </c>
      <c r="D96" s="119" t="s">
        <v>14</v>
      </c>
      <c r="E96" s="119" t="s">
        <v>15</v>
      </c>
      <c r="F96" s="259" t="s">
        <v>16</v>
      </c>
      <c r="G96" s="2"/>
    </row>
    <row r="97" spans="1:7" x14ac:dyDescent="0.3">
      <c r="A97" s="62" t="s">
        <v>283</v>
      </c>
      <c r="B97" s="62" t="s">
        <v>278</v>
      </c>
      <c r="C97" s="260">
        <f>E36</f>
        <v>1</v>
      </c>
      <c r="D97" s="268">
        <v>25</v>
      </c>
      <c r="E97" s="266">
        <f>D97*C97</f>
        <v>25</v>
      </c>
      <c r="F97" s="261"/>
      <c r="G97" s="2"/>
    </row>
    <row r="98" spans="1:7" x14ac:dyDescent="0.3">
      <c r="A98" s="62" t="s">
        <v>275</v>
      </c>
      <c r="B98" s="62" t="s">
        <v>42</v>
      </c>
      <c r="C98" s="260">
        <f>E31</f>
        <v>3</v>
      </c>
      <c r="D98" s="268">
        <f>D97*C98</f>
        <v>75</v>
      </c>
      <c r="E98" s="266">
        <f>D98</f>
        <v>75</v>
      </c>
      <c r="F98" s="261"/>
      <c r="G98" s="2"/>
    </row>
    <row r="99" spans="1:7" x14ac:dyDescent="0.3">
      <c r="D99" s="2"/>
      <c r="E99" s="2"/>
      <c r="F99" s="262">
        <f>D98</f>
        <v>75</v>
      </c>
      <c r="G99" s="2"/>
    </row>
    <row r="100" spans="1:7" ht="14.4" thickBot="1" x14ac:dyDescent="0.35">
      <c r="G100" s="2"/>
    </row>
    <row r="101" spans="1:7" ht="14.4" thickBot="1" x14ac:dyDescent="0.35">
      <c r="A101" s="93" t="s">
        <v>43</v>
      </c>
      <c r="B101" s="94"/>
      <c r="C101" s="94"/>
      <c r="D101" s="32"/>
      <c r="E101" s="95"/>
      <c r="F101" s="89">
        <f>F88+F83+F78+F69+F54+F93+F99</f>
        <v>23862.382005497624</v>
      </c>
      <c r="G101" s="2"/>
    </row>
    <row r="103" spans="1:7" x14ac:dyDescent="0.3">
      <c r="A103" s="18" t="s">
        <v>44</v>
      </c>
      <c r="G103" s="2"/>
    </row>
    <row r="104" spans="1:7" x14ac:dyDescent="0.3">
      <c r="G104" s="2"/>
    </row>
    <row r="105" spans="1:7" x14ac:dyDescent="0.3">
      <c r="A105" s="2" t="s">
        <v>45</v>
      </c>
      <c r="G105" s="2"/>
    </row>
    <row r="106" spans="1:7" ht="14.4" thickBot="1" x14ac:dyDescent="0.35">
      <c r="G106" s="2"/>
    </row>
    <row r="107" spans="1:7" ht="28.2" thickBot="1" x14ac:dyDescent="0.35">
      <c r="A107" s="54" t="s">
        <v>12</v>
      </c>
      <c r="B107" s="55" t="s">
        <v>13</v>
      </c>
      <c r="C107" s="96" t="s">
        <v>46</v>
      </c>
      <c r="D107" s="56" t="s">
        <v>14</v>
      </c>
      <c r="E107" s="56" t="s">
        <v>15</v>
      </c>
      <c r="F107" s="57" t="s">
        <v>16</v>
      </c>
      <c r="G107" s="2"/>
    </row>
    <row r="108" spans="1:7" x14ac:dyDescent="0.3">
      <c r="A108" s="58" t="s">
        <v>47</v>
      </c>
      <c r="B108" s="59" t="s">
        <v>42</v>
      </c>
      <c r="C108" s="97">
        <v>6</v>
      </c>
      <c r="D108" s="98">
        <v>155</v>
      </c>
      <c r="E108" s="61">
        <f>IFERROR(D108/C108,0)</f>
        <v>25.833333333333332</v>
      </c>
      <c r="G108" s="2"/>
    </row>
    <row r="109" spans="1:7" x14ac:dyDescent="0.3">
      <c r="A109" s="62" t="s">
        <v>263</v>
      </c>
      <c r="B109" s="63" t="s">
        <v>42</v>
      </c>
      <c r="C109" s="97">
        <v>4</v>
      </c>
      <c r="D109" s="98">
        <v>62.5</v>
      </c>
      <c r="E109" s="61">
        <f>IFERROR(D109/C109,0)</f>
        <v>15.625</v>
      </c>
      <c r="G109" s="2"/>
    </row>
    <row r="110" spans="1:7" x14ac:dyDescent="0.3">
      <c r="A110" s="62" t="s">
        <v>49</v>
      </c>
      <c r="B110" s="63" t="s">
        <v>42</v>
      </c>
      <c r="C110" s="97">
        <v>4</v>
      </c>
      <c r="D110" s="98">
        <v>24.9</v>
      </c>
      <c r="E110" s="61">
        <f t="shared" ref="E110:E118" si="1">IFERROR(D110/C110,0)</f>
        <v>6.2249999999999996</v>
      </c>
      <c r="G110" s="2"/>
    </row>
    <row r="111" spans="1:7" x14ac:dyDescent="0.3">
      <c r="A111" s="62" t="s">
        <v>50</v>
      </c>
      <c r="B111" s="63" t="s">
        <v>42</v>
      </c>
      <c r="C111" s="97">
        <v>4</v>
      </c>
      <c r="D111" s="98">
        <v>41.5</v>
      </c>
      <c r="E111" s="61">
        <f>IFERROR(D111/C111,0)</f>
        <v>10.375</v>
      </c>
      <c r="G111" s="2"/>
    </row>
    <row r="112" spans="1:7" x14ac:dyDescent="0.3">
      <c r="A112" s="62" t="s">
        <v>51</v>
      </c>
      <c r="B112" s="63" t="s">
        <v>42</v>
      </c>
      <c r="C112" s="97">
        <v>6</v>
      </c>
      <c r="D112" s="98">
        <v>12.75</v>
      </c>
      <c r="E112" s="61">
        <f t="shared" si="1"/>
        <v>2.125</v>
      </c>
      <c r="G112" s="2"/>
    </row>
    <row r="113" spans="1:7" x14ac:dyDescent="0.3">
      <c r="A113" s="62" t="s">
        <v>280</v>
      </c>
      <c r="B113" s="63" t="s">
        <v>53</v>
      </c>
      <c r="C113" s="97">
        <v>6</v>
      </c>
      <c r="D113" s="98">
        <v>98.85</v>
      </c>
      <c r="E113" s="61">
        <f t="shared" si="1"/>
        <v>16.474999999999998</v>
      </c>
      <c r="G113" s="2"/>
    </row>
    <row r="114" spans="1:7" x14ac:dyDescent="0.3">
      <c r="A114" s="62" t="s">
        <v>54</v>
      </c>
      <c r="B114" s="63" t="s">
        <v>53</v>
      </c>
      <c r="C114" s="97">
        <v>3</v>
      </c>
      <c r="D114" s="98">
        <v>9</v>
      </c>
      <c r="E114" s="61">
        <f t="shared" si="1"/>
        <v>3</v>
      </c>
    </row>
    <row r="115" spans="1:7" x14ac:dyDescent="0.3">
      <c r="A115" s="62" t="s">
        <v>55</v>
      </c>
      <c r="B115" s="63" t="s">
        <v>42</v>
      </c>
      <c r="C115" s="97">
        <v>2</v>
      </c>
      <c r="D115" s="98">
        <v>35.700000000000003</v>
      </c>
      <c r="E115" s="61">
        <f t="shared" si="1"/>
        <v>17.850000000000001</v>
      </c>
    </row>
    <row r="116" spans="1:7" s="102" customFormat="1" x14ac:dyDescent="0.25">
      <c r="A116" s="99" t="s">
        <v>56</v>
      </c>
      <c r="B116" s="100" t="s">
        <v>42</v>
      </c>
      <c r="C116" s="97">
        <v>3</v>
      </c>
      <c r="D116" s="98">
        <v>18.5</v>
      </c>
      <c r="E116" s="61">
        <f t="shared" si="1"/>
        <v>6.166666666666667</v>
      </c>
      <c r="F116" s="101"/>
      <c r="G116" s="101"/>
    </row>
    <row r="117" spans="1:7" x14ac:dyDescent="0.3">
      <c r="A117" s="62" t="s">
        <v>57</v>
      </c>
      <c r="B117" s="63" t="s">
        <v>53</v>
      </c>
      <c r="C117" s="97">
        <v>0.2</v>
      </c>
      <c r="D117" s="98">
        <v>16.5</v>
      </c>
      <c r="E117" s="61">
        <f t="shared" si="1"/>
        <v>82.5</v>
      </c>
    </row>
    <row r="118" spans="1:7" x14ac:dyDescent="0.3">
      <c r="A118" s="62" t="s">
        <v>58</v>
      </c>
      <c r="B118" s="63" t="s">
        <v>59</v>
      </c>
      <c r="C118" s="97">
        <v>1</v>
      </c>
      <c r="D118" s="98">
        <v>12.5</v>
      </c>
      <c r="E118" s="61">
        <f t="shared" si="1"/>
        <v>12.5</v>
      </c>
    </row>
    <row r="119" spans="1:7" x14ac:dyDescent="0.3">
      <c r="A119" s="62" t="s">
        <v>60</v>
      </c>
      <c r="B119" s="63" t="s">
        <v>61</v>
      </c>
      <c r="C119" s="103">
        <v>1</v>
      </c>
      <c r="D119" s="98">
        <v>25</v>
      </c>
      <c r="E119" s="65">
        <f>C119*D119</f>
        <v>25</v>
      </c>
    </row>
    <row r="120" spans="1:7" ht="14.4" thickBot="1" x14ac:dyDescent="0.35">
      <c r="A120" s="62" t="s">
        <v>28</v>
      </c>
      <c r="B120" s="63" t="s">
        <v>29</v>
      </c>
      <c r="C120" s="103">
        <f>E31</f>
        <v>3</v>
      </c>
      <c r="D120" s="65">
        <f>+SUM(E108:E119)</f>
        <v>223.67500000000001</v>
      </c>
      <c r="E120" s="65">
        <f>C120*D120</f>
        <v>671.02500000000009</v>
      </c>
    </row>
    <row r="121" spans="1:7" ht="14.4" thickBot="1" x14ac:dyDescent="0.35">
      <c r="D121" s="73" t="s">
        <v>30</v>
      </c>
      <c r="E121" s="251">
        <f>B39</f>
        <v>1</v>
      </c>
      <c r="F121" s="75">
        <f>E120*E121</f>
        <v>671.02500000000009</v>
      </c>
    </row>
    <row r="123" spans="1:7" x14ac:dyDescent="0.3">
      <c r="A123" s="2" t="s">
        <v>62</v>
      </c>
    </row>
    <row r="124" spans="1:7" ht="14.4" thickBot="1" x14ac:dyDescent="0.35"/>
    <row r="125" spans="1:7" ht="28.2" thickBot="1" x14ac:dyDescent="0.35">
      <c r="A125" s="54" t="s">
        <v>12</v>
      </c>
      <c r="B125" s="55" t="s">
        <v>13</v>
      </c>
      <c r="C125" s="96" t="s">
        <v>46</v>
      </c>
      <c r="D125" s="56" t="s">
        <v>14</v>
      </c>
      <c r="E125" s="56" t="s">
        <v>15</v>
      </c>
      <c r="F125" s="57" t="s">
        <v>16</v>
      </c>
    </row>
    <row r="126" spans="1:7" x14ac:dyDescent="0.3">
      <c r="A126" s="58" t="s">
        <v>47</v>
      </c>
      <c r="B126" s="59" t="s">
        <v>42</v>
      </c>
      <c r="C126" s="97">
        <v>4</v>
      </c>
      <c r="D126" s="61">
        <f>+D108</f>
        <v>155</v>
      </c>
      <c r="E126" s="61">
        <f t="shared" ref="E126:E131" si="2">IFERROR(D126/C126,0)</f>
        <v>38.75</v>
      </c>
    </row>
    <row r="127" spans="1:7" x14ac:dyDescent="0.3">
      <c r="A127" s="62" t="s">
        <v>48</v>
      </c>
      <c r="B127" s="63" t="s">
        <v>42</v>
      </c>
      <c r="C127" s="97">
        <v>4</v>
      </c>
      <c r="D127" s="65">
        <f>+D109</f>
        <v>62.5</v>
      </c>
      <c r="E127" s="61">
        <f t="shared" si="2"/>
        <v>15.625</v>
      </c>
    </row>
    <row r="128" spans="1:7" x14ac:dyDescent="0.3">
      <c r="A128" s="62" t="s">
        <v>63</v>
      </c>
      <c r="B128" s="63" t="s">
        <v>42</v>
      </c>
      <c r="C128" s="97">
        <v>4</v>
      </c>
      <c r="D128" s="65">
        <f>+D110</f>
        <v>24.9</v>
      </c>
      <c r="E128" s="61">
        <f t="shared" si="2"/>
        <v>6.2249999999999996</v>
      </c>
    </row>
    <row r="129" spans="1:7" x14ac:dyDescent="0.3">
      <c r="A129" s="62" t="s">
        <v>52</v>
      </c>
      <c r="B129" s="63" t="s">
        <v>53</v>
      </c>
      <c r="C129" s="97">
        <v>3</v>
      </c>
      <c r="D129" s="65">
        <f>+D113</f>
        <v>98.85</v>
      </c>
      <c r="E129" s="61">
        <f t="shared" si="2"/>
        <v>32.949999999999996</v>
      </c>
    </row>
    <row r="130" spans="1:7" x14ac:dyDescent="0.3">
      <c r="A130" s="62" t="s">
        <v>55</v>
      </c>
      <c r="B130" s="63" t="s">
        <v>42</v>
      </c>
      <c r="C130" s="97">
        <v>2</v>
      </c>
      <c r="D130" s="65">
        <f>+D115</f>
        <v>35.700000000000003</v>
      </c>
      <c r="E130" s="61">
        <f t="shared" si="2"/>
        <v>17.850000000000001</v>
      </c>
      <c r="G130" s="2"/>
    </row>
    <row r="131" spans="1:7" x14ac:dyDescent="0.3">
      <c r="A131" s="62" t="s">
        <v>58</v>
      </c>
      <c r="B131" s="63" t="s">
        <v>59</v>
      </c>
      <c r="C131" s="97">
        <v>1</v>
      </c>
      <c r="D131" s="65">
        <f>+D118</f>
        <v>12.5</v>
      </c>
      <c r="E131" s="61">
        <f t="shared" si="2"/>
        <v>12.5</v>
      </c>
      <c r="G131" s="2"/>
    </row>
    <row r="132" spans="1:7" x14ac:dyDescent="0.3">
      <c r="A132" s="62" t="s">
        <v>60</v>
      </c>
      <c r="B132" s="63" t="s">
        <v>61</v>
      </c>
      <c r="C132" s="103">
        <v>1</v>
      </c>
      <c r="D132" s="98">
        <v>25</v>
      </c>
      <c r="E132" s="65">
        <f>C132*D132</f>
        <v>25</v>
      </c>
      <c r="G132" s="2"/>
    </row>
    <row r="133" spans="1:7" ht="14.4" thickBot="1" x14ac:dyDescent="0.35">
      <c r="A133" s="62" t="s">
        <v>28</v>
      </c>
      <c r="B133" s="63" t="s">
        <v>29</v>
      </c>
      <c r="C133" s="103">
        <f>E32</f>
        <v>1</v>
      </c>
      <c r="D133" s="65">
        <f>+SUM(E126:E132)</f>
        <v>148.9</v>
      </c>
      <c r="E133" s="65">
        <f>C133*D133</f>
        <v>148.9</v>
      </c>
      <c r="G133" s="2"/>
    </row>
    <row r="134" spans="1:7" ht="14.4" thickBot="1" x14ac:dyDescent="0.35">
      <c r="D134" s="73" t="s">
        <v>30</v>
      </c>
      <c r="E134" s="251">
        <f>B39</f>
        <v>1</v>
      </c>
      <c r="F134" s="75">
        <f>E133*E134</f>
        <v>148.9</v>
      </c>
      <c r="G134" s="2"/>
    </row>
    <row r="135" spans="1:7" ht="14.4" thickBot="1" x14ac:dyDescent="0.35">
      <c r="G135" s="2"/>
    </row>
    <row r="136" spans="1:7" ht="14.4" thickBot="1" x14ac:dyDescent="0.35">
      <c r="A136" s="93" t="s">
        <v>64</v>
      </c>
      <c r="B136" s="104"/>
      <c r="C136" s="104"/>
      <c r="D136" s="105"/>
      <c r="E136" s="106"/>
      <c r="F136" s="107">
        <f>+F121+F134</f>
        <v>819.92500000000007</v>
      </c>
      <c r="G136" s="2"/>
    </row>
    <row r="137" spans="1:7" x14ac:dyDescent="0.3">
      <c r="G137" s="2"/>
    </row>
    <row r="138" spans="1:7" x14ac:dyDescent="0.3">
      <c r="A138" s="18" t="s">
        <v>65</v>
      </c>
      <c r="G138" s="2"/>
    </row>
    <row r="139" spans="1:7" ht="11.25" customHeight="1" x14ac:dyDescent="0.3">
      <c r="B139" s="108"/>
      <c r="G139" s="2"/>
    </row>
    <row r="140" spans="1:7" x14ac:dyDescent="0.3">
      <c r="A140" s="2" t="s">
        <v>268</v>
      </c>
      <c r="G140" s="2"/>
    </row>
    <row r="141" spans="1:7" ht="11.25" customHeight="1" x14ac:dyDescent="0.3">
      <c r="G141" s="2"/>
    </row>
    <row r="142" spans="1:7" ht="14.4" thickBot="1" x14ac:dyDescent="0.35">
      <c r="A142" s="108" t="s">
        <v>66</v>
      </c>
      <c r="G142" s="2"/>
    </row>
    <row r="143" spans="1:7" ht="14.4" thickBot="1" x14ac:dyDescent="0.35">
      <c r="A143" s="54" t="s">
        <v>12</v>
      </c>
      <c r="B143" s="55" t="s">
        <v>13</v>
      </c>
      <c r="C143" s="55" t="s">
        <v>6</v>
      </c>
      <c r="D143" s="56" t="s">
        <v>14</v>
      </c>
      <c r="E143" s="56" t="s">
        <v>15</v>
      </c>
      <c r="F143" s="57" t="s">
        <v>16</v>
      </c>
      <c r="G143" s="2"/>
    </row>
    <row r="144" spans="1:7" x14ac:dyDescent="0.3">
      <c r="A144" s="58" t="s">
        <v>67</v>
      </c>
      <c r="B144" s="59" t="s">
        <v>42</v>
      </c>
      <c r="C144" s="59">
        <v>1</v>
      </c>
      <c r="D144" s="98">
        <v>500000</v>
      </c>
      <c r="E144" s="61">
        <f>C144*D144</f>
        <v>500000</v>
      </c>
      <c r="G144" s="2"/>
    </row>
    <row r="145" spans="1:10" x14ac:dyDescent="0.3">
      <c r="A145" s="62" t="s">
        <v>68</v>
      </c>
      <c r="B145" s="63" t="s">
        <v>69</v>
      </c>
      <c r="C145" s="77">
        <v>10</v>
      </c>
      <c r="D145" s="67"/>
      <c r="E145" s="65"/>
      <c r="G145" s="2"/>
    </row>
    <row r="146" spans="1:10" x14ac:dyDescent="0.3">
      <c r="A146" s="62" t="s">
        <v>70</v>
      </c>
      <c r="B146" s="63" t="s">
        <v>69</v>
      </c>
      <c r="C146" s="77">
        <v>0</v>
      </c>
      <c r="D146" s="65"/>
      <c r="E146" s="65"/>
      <c r="F146" s="109"/>
      <c r="I146" s="110"/>
      <c r="J146" s="110"/>
    </row>
    <row r="147" spans="1:10" x14ac:dyDescent="0.3">
      <c r="A147" s="62" t="s">
        <v>71</v>
      </c>
      <c r="B147" s="63" t="s">
        <v>3</v>
      </c>
      <c r="C147" s="72">
        <f>IFERROR(VLOOKUP(C145,'[1]5. Depreciação'!A4:B18,2,FALSE),0)</f>
        <v>65.180000000000007</v>
      </c>
      <c r="D147" s="65">
        <f>E144</f>
        <v>500000</v>
      </c>
      <c r="E147" s="65">
        <f>C147*D147/100</f>
        <v>325900.00000000006</v>
      </c>
    </row>
    <row r="148" spans="1:10" ht="14.4" thickBot="1" x14ac:dyDescent="0.35">
      <c r="A148" s="111" t="s">
        <v>72</v>
      </c>
      <c r="B148" s="112" t="s">
        <v>18</v>
      </c>
      <c r="C148" s="112">
        <f>C145*12</f>
        <v>120</v>
      </c>
      <c r="D148" s="113">
        <f>E147</f>
        <v>325900.00000000006</v>
      </c>
      <c r="E148" s="113">
        <f>IFERROR(D148/C148,0)</f>
        <v>2715.8333333333339</v>
      </c>
    </row>
    <row r="149" spans="1:10" ht="14.4" thickTop="1" x14ac:dyDescent="0.3">
      <c r="A149" s="58" t="s">
        <v>73</v>
      </c>
      <c r="B149" s="59" t="s">
        <v>42</v>
      </c>
      <c r="C149" s="59">
        <f>C144</f>
        <v>1</v>
      </c>
      <c r="D149" s="98">
        <v>120000</v>
      </c>
      <c r="E149" s="61">
        <f>C149*D149</f>
        <v>120000</v>
      </c>
      <c r="G149" s="2"/>
    </row>
    <row r="150" spans="1:10" x14ac:dyDescent="0.3">
      <c r="A150" s="62" t="s">
        <v>74</v>
      </c>
      <c r="B150" s="63" t="s">
        <v>69</v>
      </c>
      <c r="C150" s="77">
        <v>10</v>
      </c>
      <c r="D150" s="65"/>
      <c r="E150" s="65"/>
    </row>
    <row r="151" spans="1:10" x14ac:dyDescent="0.3">
      <c r="A151" s="62" t="s">
        <v>75</v>
      </c>
      <c r="B151" s="63" t="s">
        <v>69</v>
      </c>
      <c r="C151" s="77">
        <v>0</v>
      </c>
      <c r="D151" s="65"/>
      <c r="E151" s="65"/>
      <c r="F151" s="109"/>
      <c r="I151" s="110"/>
      <c r="J151" s="110"/>
    </row>
    <row r="152" spans="1:10" x14ac:dyDescent="0.3">
      <c r="A152" s="62" t="s">
        <v>76</v>
      </c>
      <c r="B152" s="63" t="s">
        <v>3</v>
      </c>
      <c r="C152" s="114">
        <f>IFERROR(VLOOKUP(C150,'[1]5. Depreciação'!A4:B18,2,FALSE),0)</f>
        <v>65.180000000000007</v>
      </c>
      <c r="D152" s="65">
        <f>E149</f>
        <v>120000</v>
      </c>
      <c r="E152" s="65">
        <f>C152*D152/100</f>
        <v>78216.000000000015</v>
      </c>
    </row>
    <row r="153" spans="1:10" x14ac:dyDescent="0.3">
      <c r="A153" s="79" t="s">
        <v>77</v>
      </c>
      <c r="B153" s="115" t="s">
        <v>18</v>
      </c>
      <c r="C153" s="115">
        <f>C150*12</f>
        <v>120</v>
      </c>
      <c r="D153" s="80">
        <f>IF(C151&lt;=C150,E152,0)</f>
        <v>78216.000000000015</v>
      </c>
      <c r="E153" s="80">
        <f>IFERROR(D153/C153,0)</f>
        <v>651.80000000000007</v>
      </c>
    </row>
    <row r="154" spans="1:10" x14ac:dyDescent="0.3">
      <c r="A154" s="79" t="s">
        <v>78</v>
      </c>
      <c r="B154" s="115" t="s">
        <v>18</v>
      </c>
      <c r="C154" s="115">
        <v>1</v>
      </c>
      <c r="D154" s="80">
        <f>IF(C152&lt;=C151,E153,0)</f>
        <v>0</v>
      </c>
      <c r="E154" s="71">
        <f>(E148+E153)*0.1</f>
        <v>336.76333333333343</v>
      </c>
    </row>
    <row r="155" spans="1:10" x14ac:dyDescent="0.3">
      <c r="A155" s="68" t="s">
        <v>79</v>
      </c>
      <c r="B155" s="69"/>
      <c r="C155" s="69"/>
      <c r="D155" s="70"/>
      <c r="E155" s="71">
        <f>E148+E153</f>
        <v>3367.6333333333341</v>
      </c>
    </row>
    <row r="156" spans="1:10" ht="14.4" thickBot="1" x14ac:dyDescent="0.35">
      <c r="A156" s="79" t="s">
        <v>80</v>
      </c>
      <c r="B156" s="115" t="s">
        <v>42</v>
      </c>
      <c r="C156" s="272">
        <f>E36</f>
        <v>1</v>
      </c>
      <c r="D156" s="80">
        <f>E155</f>
        <v>3367.6333333333341</v>
      </c>
      <c r="E156" s="71">
        <f>C156*D156</f>
        <v>3367.6333333333341</v>
      </c>
    </row>
    <row r="157" spans="1:10" ht="14.4" thickBot="1" x14ac:dyDescent="0.35">
      <c r="A157" s="116"/>
      <c r="B157" s="116"/>
      <c r="C157" s="116"/>
      <c r="D157" s="73" t="s">
        <v>30</v>
      </c>
      <c r="E157" s="251">
        <f>B39</f>
        <v>1</v>
      </c>
      <c r="F157" s="107">
        <f>E156*E157</f>
        <v>3367.6333333333341</v>
      </c>
    </row>
    <row r="158" spans="1:10" ht="11.25" customHeight="1" x14ac:dyDescent="0.3"/>
    <row r="159" spans="1:10" ht="14.4" thickBot="1" x14ac:dyDescent="0.35">
      <c r="A159" s="108" t="s">
        <v>81</v>
      </c>
    </row>
    <row r="160" spans="1:10" ht="14.4" thickBot="1" x14ac:dyDescent="0.35">
      <c r="A160" s="117" t="s">
        <v>12</v>
      </c>
      <c r="B160" s="118" t="s">
        <v>13</v>
      </c>
      <c r="C160" s="118" t="s">
        <v>6</v>
      </c>
      <c r="D160" s="56" t="s">
        <v>14</v>
      </c>
      <c r="E160" s="119" t="s">
        <v>15</v>
      </c>
      <c r="F160" s="57" t="s">
        <v>16</v>
      </c>
      <c r="I160" s="110"/>
      <c r="J160" s="110"/>
    </row>
    <row r="161" spans="1:10" x14ac:dyDescent="0.3">
      <c r="A161" s="62" t="s">
        <v>82</v>
      </c>
      <c r="B161" s="63" t="s">
        <v>42</v>
      </c>
      <c r="C161" s="59">
        <v>1</v>
      </c>
      <c r="D161" s="65">
        <f>D144</f>
        <v>500000</v>
      </c>
      <c r="E161" s="65">
        <f>C161*D161</f>
        <v>500000</v>
      </c>
      <c r="F161" s="109"/>
      <c r="I161" s="110"/>
      <c r="J161" s="110"/>
    </row>
    <row r="162" spans="1:10" x14ac:dyDescent="0.3">
      <c r="A162" s="62" t="s">
        <v>83</v>
      </c>
      <c r="B162" s="63" t="s">
        <v>3</v>
      </c>
      <c r="C162" s="253">
        <f>BDI!E9</f>
        <v>0.14749999999999999</v>
      </c>
      <c r="D162" s="65"/>
      <c r="E162" s="65"/>
      <c r="F162" s="109"/>
      <c r="I162" s="110"/>
      <c r="J162" s="110"/>
    </row>
    <row r="163" spans="1:10" x14ac:dyDescent="0.3">
      <c r="A163" s="62" t="s">
        <v>84</v>
      </c>
      <c r="B163" s="63" t="s">
        <v>23</v>
      </c>
      <c r="C163" s="120">
        <f>IFERROR(IF(C146&lt;=C145,E144-(C147/(100*C145)*C146)*E144,E144-E147),0)</f>
        <v>500000</v>
      </c>
      <c r="D163" s="65"/>
      <c r="E163" s="65"/>
      <c r="F163" s="109"/>
      <c r="I163" s="110"/>
      <c r="J163" s="110"/>
    </row>
    <row r="164" spans="1:10" x14ac:dyDescent="0.3">
      <c r="A164" s="62" t="s">
        <v>85</v>
      </c>
      <c r="B164" s="63" t="s">
        <v>23</v>
      </c>
      <c r="C164" s="67">
        <f>IFERROR(IF(C146&gt;=C145,C163,((((C163)-(E144-E147))*(((C145-C146)+1)/(2*(C145-C146))))+(E144-E147))),0)</f>
        <v>353345</v>
      </c>
      <c r="D164" s="65"/>
      <c r="E164" s="65"/>
      <c r="F164" s="109"/>
      <c r="I164" s="110"/>
      <c r="J164" s="110"/>
    </row>
    <row r="165" spans="1:10" ht="14.4" thickBot="1" x14ac:dyDescent="0.35">
      <c r="A165" s="111" t="s">
        <v>86</v>
      </c>
      <c r="B165" s="112" t="s">
        <v>23</v>
      </c>
      <c r="C165" s="112"/>
      <c r="D165" s="121">
        <f>C162*C164/12/100</f>
        <v>43.431989583333333</v>
      </c>
      <c r="E165" s="113">
        <f>D165</f>
        <v>43.431989583333333</v>
      </c>
      <c r="F165" s="109"/>
      <c r="I165" s="110"/>
      <c r="J165" s="110"/>
    </row>
    <row r="166" spans="1:10" ht="14.4" thickTop="1" x14ac:dyDescent="0.3">
      <c r="A166" s="58" t="s">
        <v>87</v>
      </c>
      <c r="B166" s="59" t="s">
        <v>42</v>
      </c>
      <c r="C166" s="59">
        <f>C149</f>
        <v>1</v>
      </c>
      <c r="D166" s="61">
        <f>D149</f>
        <v>120000</v>
      </c>
      <c r="E166" s="61">
        <f>C166*D166</f>
        <v>120000</v>
      </c>
      <c r="F166" s="109"/>
      <c r="I166" s="110"/>
      <c r="J166" s="110"/>
    </row>
    <row r="167" spans="1:10" x14ac:dyDescent="0.3">
      <c r="A167" s="62" t="s">
        <v>83</v>
      </c>
      <c r="B167" s="63" t="s">
        <v>3</v>
      </c>
      <c r="C167" s="274">
        <v>14.75</v>
      </c>
      <c r="D167" s="65"/>
      <c r="E167" s="65"/>
      <c r="F167" s="109"/>
      <c r="I167" s="110"/>
      <c r="J167" s="110"/>
    </row>
    <row r="168" spans="1:10" x14ac:dyDescent="0.3">
      <c r="A168" s="62" t="s">
        <v>88</v>
      </c>
      <c r="B168" s="63" t="s">
        <v>23</v>
      </c>
      <c r="C168" s="120">
        <f>IFERROR(IF(C151&lt;=C150,E149-(C152/(100*C150)*C151)*E149,E149-E152),0)</f>
        <v>120000</v>
      </c>
      <c r="D168" s="65"/>
      <c r="E168" s="65"/>
      <c r="F168" s="109"/>
      <c r="I168" s="110"/>
      <c r="J168" s="110"/>
    </row>
    <row r="169" spans="1:10" x14ac:dyDescent="0.3">
      <c r="A169" s="62" t="s">
        <v>89</v>
      </c>
      <c r="B169" s="63" t="s">
        <v>23</v>
      </c>
      <c r="C169" s="67">
        <f>IFERROR(IF(C151&gt;=C150,C168,((((C168)-(E149-E152))*(((C150-C151)+1)/(2*(C150-C151))))+(E149-E152))),0)</f>
        <v>84802.799999999988</v>
      </c>
      <c r="D169" s="65"/>
      <c r="E169" s="65"/>
      <c r="F169" s="109"/>
      <c r="I169" s="110"/>
      <c r="J169" s="110"/>
    </row>
    <row r="170" spans="1:10" x14ac:dyDescent="0.3">
      <c r="A170" s="79" t="s">
        <v>90</v>
      </c>
      <c r="B170" s="115" t="s">
        <v>23</v>
      </c>
      <c r="C170" s="115"/>
      <c r="D170" s="122">
        <f>C167*C169/12/100</f>
        <v>1042.3677499999999</v>
      </c>
      <c r="E170" s="80">
        <f>D170</f>
        <v>1042.3677499999999</v>
      </c>
      <c r="F170" s="109"/>
      <c r="I170" s="110"/>
      <c r="J170" s="110"/>
    </row>
    <row r="171" spans="1:10" x14ac:dyDescent="0.3">
      <c r="A171" s="79" t="s">
        <v>78</v>
      </c>
      <c r="B171" s="115" t="s">
        <v>18</v>
      </c>
      <c r="C171" s="115">
        <v>1</v>
      </c>
      <c r="D171" s="123" t="s">
        <v>91</v>
      </c>
      <c r="E171" s="71">
        <f>(E165+E170)*0.1</f>
        <v>108.57997395833331</v>
      </c>
      <c r="F171" s="109"/>
      <c r="I171" s="110"/>
      <c r="J171" s="110"/>
    </row>
    <row r="172" spans="1:10" x14ac:dyDescent="0.3">
      <c r="A172" s="68" t="s">
        <v>79</v>
      </c>
      <c r="B172" s="69"/>
      <c r="C172" s="69"/>
      <c r="D172" s="70"/>
      <c r="E172" s="71">
        <f>E165+E170</f>
        <v>1085.7997395833331</v>
      </c>
      <c r="F172" s="109"/>
      <c r="I172" s="110"/>
      <c r="J172" s="110"/>
    </row>
    <row r="173" spans="1:10" ht="14.4" thickBot="1" x14ac:dyDescent="0.35">
      <c r="A173" s="79" t="s">
        <v>80</v>
      </c>
      <c r="B173" s="115" t="s">
        <v>42</v>
      </c>
      <c r="C173" s="63">
        <f>C156</f>
        <v>1</v>
      </c>
      <c r="D173" s="80">
        <f>E172</f>
        <v>1085.7997395833331</v>
      </c>
      <c r="E173" s="71">
        <f>C173*D173</f>
        <v>1085.7997395833331</v>
      </c>
      <c r="F173" s="109"/>
      <c r="I173" s="110"/>
      <c r="J173" s="110"/>
    </row>
    <row r="174" spans="1:10" ht="14.4" thickBot="1" x14ac:dyDescent="0.35">
      <c r="C174" s="124"/>
      <c r="D174" s="73" t="s">
        <v>30</v>
      </c>
      <c r="E174" s="251">
        <f>B39</f>
        <v>1</v>
      </c>
      <c r="F174" s="107">
        <f>E173*E174</f>
        <v>1085.7997395833331</v>
      </c>
      <c r="I174" s="110"/>
      <c r="J174" s="110"/>
    </row>
    <row r="175" spans="1:10" ht="11.25" customHeight="1" x14ac:dyDescent="0.3">
      <c r="I175" s="110"/>
      <c r="J175" s="110"/>
    </row>
    <row r="176" spans="1:10" ht="14.4" thickBot="1" x14ac:dyDescent="0.35">
      <c r="A176" s="2" t="s">
        <v>92</v>
      </c>
      <c r="I176" s="110"/>
      <c r="J176" s="110"/>
    </row>
    <row r="177" spans="1:10" ht="14.4" thickBot="1" x14ac:dyDescent="0.35">
      <c r="A177" s="54" t="s">
        <v>12</v>
      </c>
      <c r="B177" s="55" t="s">
        <v>13</v>
      </c>
      <c r="C177" s="55" t="s">
        <v>6</v>
      </c>
      <c r="D177" s="56" t="s">
        <v>14</v>
      </c>
      <c r="E177" s="56" t="s">
        <v>15</v>
      </c>
      <c r="F177" s="57" t="s">
        <v>16</v>
      </c>
      <c r="I177" s="110"/>
      <c r="J177" s="110"/>
    </row>
    <row r="178" spans="1:10" x14ac:dyDescent="0.3">
      <c r="A178" s="58" t="s">
        <v>93</v>
      </c>
      <c r="B178" s="59" t="s">
        <v>42</v>
      </c>
      <c r="C178" s="61">
        <f>C156</f>
        <v>1</v>
      </c>
      <c r="D178" s="98">
        <v>3500</v>
      </c>
      <c r="E178" s="61">
        <f>C178*D178</f>
        <v>3500</v>
      </c>
      <c r="I178" s="110"/>
      <c r="J178" s="110"/>
    </row>
    <row r="179" spans="1:10" x14ac:dyDescent="0.3">
      <c r="A179" s="62" t="s">
        <v>94</v>
      </c>
      <c r="B179" s="63" t="s">
        <v>42</v>
      </c>
      <c r="C179" s="61">
        <f>C156</f>
        <v>1</v>
      </c>
      <c r="D179" s="125">
        <v>164.27</v>
      </c>
      <c r="E179" s="65">
        <f>C179*D179</f>
        <v>164.27</v>
      </c>
      <c r="I179" s="110"/>
      <c r="J179" s="110"/>
    </row>
    <row r="180" spans="1:10" x14ac:dyDescent="0.3">
      <c r="A180" s="62" t="s">
        <v>95</v>
      </c>
      <c r="B180" s="63" t="s">
        <v>42</v>
      </c>
      <c r="C180" s="61">
        <f>C156</f>
        <v>1</v>
      </c>
      <c r="D180" s="125">
        <v>3850</v>
      </c>
      <c r="E180" s="65">
        <f>C180*D180</f>
        <v>3850</v>
      </c>
      <c r="F180" s="126"/>
      <c r="I180" s="110"/>
      <c r="J180" s="110"/>
    </row>
    <row r="181" spans="1:10" ht="14.4" thickBot="1" x14ac:dyDescent="0.35">
      <c r="A181" s="79" t="s">
        <v>96</v>
      </c>
      <c r="B181" s="115" t="s">
        <v>18</v>
      </c>
      <c r="C181" s="115">
        <v>12</v>
      </c>
      <c r="D181" s="80">
        <f>SUM(E178:E180)</f>
        <v>7514.27</v>
      </c>
      <c r="E181" s="80">
        <f>D181/C181</f>
        <v>626.18916666666667</v>
      </c>
      <c r="I181" s="110"/>
      <c r="J181" s="110"/>
    </row>
    <row r="182" spans="1:10" ht="14.4" thickBot="1" x14ac:dyDescent="0.35">
      <c r="D182" s="73" t="s">
        <v>30</v>
      </c>
      <c r="E182" s="251">
        <f>B39</f>
        <v>1</v>
      </c>
      <c r="F182" s="75">
        <f>E181*E182</f>
        <v>626.18916666666667</v>
      </c>
      <c r="I182" s="110"/>
      <c r="J182" s="110"/>
    </row>
    <row r="183" spans="1:10" ht="11.25" customHeight="1" x14ac:dyDescent="0.3">
      <c r="I183" s="110"/>
      <c r="J183" s="110"/>
    </row>
    <row r="184" spans="1:10" x14ac:dyDescent="0.3">
      <c r="A184" s="2" t="s">
        <v>97</v>
      </c>
      <c r="B184" s="127"/>
      <c r="I184" s="110"/>
      <c r="J184" s="110"/>
    </row>
    <row r="185" spans="1:10" x14ac:dyDescent="0.3">
      <c r="B185" s="127"/>
      <c r="I185" s="110"/>
      <c r="J185" s="110"/>
    </row>
    <row r="186" spans="1:10" x14ac:dyDescent="0.3">
      <c r="A186" s="79" t="s">
        <v>98</v>
      </c>
      <c r="B186" s="271">
        <v>4958.63</v>
      </c>
      <c r="I186" s="110"/>
      <c r="J186" s="110"/>
    </row>
    <row r="187" spans="1:10" ht="14.4" thickBot="1" x14ac:dyDescent="0.35">
      <c r="B187" s="127"/>
      <c r="I187" s="110"/>
      <c r="J187" s="110"/>
    </row>
    <row r="188" spans="1:10" ht="14.4" thickBot="1" x14ac:dyDescent="0.35">
      <c r="A188" s="54" t="s">
        <v>12</v>
      </c>
      <c r="B188" s="55" t="s">
        <v>13</v>
      </c>
      <c r="C188" s="55" t="s">
        <v>99</v>
      </c>
      <c r="D188" s="56" t="s">
        <v>14</v>
      </c>
      <c r="E188" s="56" t="s">
        <v>15</v>
      </c>
      <c r="F188" s="57" t="s">
        <v>16</v>
      </c>
      <c r="I188" s="110"/>
      <c r="J188" s="110"/>
    </row>
    <row r="189" spans="1:10" x14ac:dyDescent="0.3">
      <c r="A189" s="58" t="s">
        <v>100</v>
      </c>
      <c r="B189" s="59" t="s">
        <v>101</v>
      </c>
      <c r="C189" s="128">
        <v>2.2000000000000002</v>
      </c>
      <c r="D189" s="129">
        <v>7.09</v>
      </c>
      <c r="E189" s="61"/>
      <c r="I189" s="110"/>
      <c r="J189" s="110"/>
    </row>
    <row r="190" spans="1:10" x14ac:dyDescent="0.3">
      <c r="A190" s="62" t="s">
        <v>102</v>
      </c>
      <c r="B190" s="63" t="s">
        <v>103</v>
      </c>
      <c r="C190" s="85">
        <f>B186</f>
        <v>4958.63</v>
      </c>
      <c r="D190" s="130">
        <f>IFERROR(+D189/C189,"-")</f>
        <v>3.2227272727272722</v>
      </c>
      <c r="E190" s="65">
        <f>IFERROR(C190*D190,"-")</f>
        <v>15980.312136363635</v>
      </c>
      <c r="I190" s="110"/>
      <c r="J190" s="110"/>
    </row>
    <row r="191" spans="1:10" x14ac:dyDescent="0.3">
      <c r="A191" s="62" t="s">
        <v>104</v>
      </c>
      <c r="B191" s="63" t="s">
        <v>105</v>
      </c>
      <c r="C191" s="131">
        <v>1.33</v>
      </c>
      <c r="D191" s="125">
        <v>20</v>
      </c>
      <c r="E191" s="65"/>
      <c r="G191" s="132"/>
      <c r="I191" s="110"/>
      <c r="J191" s="110"/>
    </row>
    <row r="192" spans="1:10" x14ac:dyDescent="0.3">
      <c r="A192" s="62" t="s">
        <v>106</v>
      </c>
      <c r="B192" s="63" t="s">
        <v>103</v>
      </c>
      <c r="C192" s="85">
        <f>C190</f>
        <v>4958.63</v>
      </c>
      <c r="D192" s="133">
        <f>+C191*D191/1000</f>
        <v>2.6600000000000002E-2</v>
      </c>
      <c r="E192" s="65">
        <f>C192*D192</f>
        <v>131.89955800000001</v>
      </c>
      <c r="G192" s="132"/>
      <c r="I192" s="110"/>
      <c r="J192" s="110"/>
    </row>
    <row r="193" spans="1:10" x14ac:dyDescent="0.3">
      <c r="A193" s="62" t="s">
        <v>107</v>
      </c>
      <c r="B193" s="63" t="s">
        <v>105</v>
      </c>
      <c r="C193" s="131">
        <v>0.18</v>
      </c>
      <c r="D193" s="125">
        <v>23.5</v>
      </c>
      <c r="E193" s="65"/>
      <c r="G193" s="132"/>
      <c r="I193" s="110"/>
      <c r="J193" s="110"/>
    </row>
    <row r="194" spans="1:10" x14ac:dyDescent="0.3">
      <c r="A194" s="62" t="s">
        <v>108</v>
      </c>
      <c r="B194" s="63" t="s">
        <v>103</v>
      </c>
      <c r="C194" s="85">
        <f>C190</f>
        <v>4958.63</v>
      </c>
      <c r="D194" s="133">
        <f>+C193*D193/1000</f>
        <v>4.2299999999999994E-3</v>
      </c>
      <c r="E194" s="65">
        <f>C194*D194</f>
        <v>20.975004899999998</v>
      </c>
      <c r="G194" s="132"/>
      <c r="I194" s="110"/>
      <c r="J194" s="110"/>
    </row>
    <row r="195" spans="1:10" x14ac:dyDescent="0.3">
      <c r="A195" s="62" t="s">
        <v>109</v>
      </c>
      <c r="B195" s="63" t="s">
        <v>105</v>
      </c>
      <c r="C195" s="131">
        <v>3</v>
      </c>
      <c r="D195" s="125">
        <v>21</v>
      </c>
      <c r="E195" s="65"/>
      <c r="G195" s="132"/>
      <c r="I195" s="110"/>
      <c r="J195" s="110"/>
    </row>
    <row r="196" spans="1:10" x14ac:dyDescent="0.3">
      <c r="A196" s="62" t="s">
        <v>110</v>
      </c>
      <c r="B196" s="63" t="s">
        <v>103</v>
      </c>
      <c r="C196" s="85">
        <f>C190</f>
        <v>4958.63</v>
      </c>
      <c r="D196" s="133">
        <f>+C195*D195/1000</f>
        <v>6.3E-2</v>
      </c>
      <c r="E196" s="65">
        <f>C196*D196</f>
        <v>312.39368999999999</v>
      </c>
      <c r="G196" s="132"/>
      <c r="I196" s="110"/>
      <c r="J196" s="110"/>
    </row>
    <row r="197" spans="1:10" x14ac:dyDescent="0.3">
      <c r="A197" s="62" t="s">
        <v>111</v>
      </c>
      <c r="B197" s="63" t="s">
        <v>112</v>
      </c>
      <c r="C197" s="131">
        <v>1</v>
      </c>
      <c r="D197" s="125">
        <v>19</v>
      </c>
      <c r="E197" s="65"/>
      <c r="G197" s="132"/>
      <c r="I197" s="110"/>
      <c r="J197" s="110"/>
    </row>
    <row r="198" spans="1:10" x14ac:dyDescent="0.3">
      <c r="A198" s="62" t="s">
        <v>113</v>
      </c>
      <c r="B198" s="63" t="s">
        <v>103</v>
      </c>
      <c r="C198" s="85">
        <f>C190</f>
        <v>4958.63</v>
      </c>
      <c r="D198" s="133">
        <f>+C197*D197/1000</f>
        <v>1.9E-2</v>
      </c>
      <c r="E198" s="65">
        <f>C198*D198</f>
        <v>94.213970000000003</v>
      </c>
      <c r="G198" s="132"/>
      <c r="I198" s="110"/>
      <c r="J198" s="110"/>
    </row>
    <row r="199" spans="1:10" ht="14.4" thickBot="1" x14ac:dyDescent="0.35">
      <c r="A199" s="79" t="s">
        <v>114</v>
      </c>
      <c r="B199" s="115" t="s">
        <v>115</v>
      </c>
      <c r="C199" s="134"/>
      <c r="D199" s="135">
        <f>IFERROR(D190+D192+D194+D196+D198,0)</f>
        <v>3.3355572727272729</v>
      </c>
      <c r="E199" s="65"/>
      <c r="G199" s="132"/>
      <c r="I199" s="110"/>
      <c r="J199" s="110"/>
    </row>
    <row r="200" spans="1:10" ht="14.4" thickBot="1" x14ac:dyDescent="0.35">
      <c r="F200" s="107">
        <f>SUM(E189:E198)</f>
        <v>16539.794359263633</v>
      </c>
      <c r="I200" s="110"/>
      <c r="J200" s="110"/>
    </row>
    <row r="201" spans="1:10" ht="11.25" customHeight="1" x14ac:dyDescent="0.3">
      <c r="I201" s="110"/>
      <c r="J201" s="110"/>
    </row>
    <row r="202" spans="1:10" ht="14.4" thickBot="1" x14ac:dyDescent="0.35">
      <c r="A202" s="2" t="s">
        <v>116</v>
      </c>
      <c r="I202" s="110"/>
      <c r="J202" s="110"/>
    </row>
    <row r="203" spans="1:10" ht="14.4" thickBot="1" x14ac:dyDescent="0.35">
      <c r="A203" s="54" t="s">
        <v>12</v>
      </c>
      <c r="B203" s="55" t="s">
        <v>13</v>
      </c>
      <c r="C203" s="55" t="s">
        <v>6</v>
      </c>
      <c r="D203" s="56" t="s">
        <v>14</v>
      </c>
      <c r="E203" s="56" t="s">
        <v>15</v>
      </c>
      <c r="F203" s="57" t="s">
        <v>16</v>
      </c>
      <c r="I203" s="110"/>
      <c r="J203" s="110"/>
    </row>
    <row r="204" spans="1:10" ht="14.4" thickBot="1" x14ac:dyDescent="0.35">
      <c r="A204" s="58" t="s">
        <v>117</v>
      </c>
      <c r="B204" s="59" t="s">
        <v>115</v>
      </c>
      <c r="C204" s="85">
        <f>C190</f>
        <v>4958.63</v>
      </c>
      <c r="D204" s="98">
        <v>1</v>
      </c>
      <c r="E204" s="61">
        <f>C204*D204</f>
        <v>4958.63</v>
      </c>
      <c r="I204" s="110"/>
      <c r="J204" s="110"/>
    </row>
    <row r="205" spans="1:10" ht="14.4" thickBot="1" x14ac:dyDescent="0.35">
      <c r="F205" s="107">
        <f>E204</f>
        <v>4958.63</v>
      </c>
      <c r="I205" s="110"/>
      <c r="J205" s="110"/>
    </row>
    <row r="206" spans="1:10" ht="11.25" customHeight="1" x14ac:dyDescent="0.3">
      <c r="I206" s="110"/>
      <c r="J206" s="110"/>
    </row>
    <row r="207" spans="1:10" ht="14.4" thickBot="1" x14ac:dyDescent="0.35">
      <c r="A207" s="2" t="s">
        <v>118</v>
      </c>
      <c r="I207" s="110"/>
      <c r="J207" s="110"/>
    </row>
    <row r="208" spans="1:10" ht="14.4" thickBot="1" x14ac:dyDescent="0.35">
      <c r="A208" s="54" t="s">
        <v>12</v>
      </c>
      <c r="B208" s="55" t="s">
        <v>13</v>
      </c>
      <c r="C208" s="55" t="s">
        <v>6</v>
      </c>
      <c r="D208" s="56" t="s">
        <v>14</v>
      </c>
      <c r="E208" s="56" t="s">
        <v>15</v>
      </c>
      <c r="F208" s="57" t="s">
        <v>16</v>
      </c>
      <c r="I208" s="110"/>
      <c r="J208" s="110"/>
    </row>
    <row r="209" spans="1:10" x14ac:dyDescent="0.3">
      <c r="A209" s="58" t="s">
        <v>119</v>
      </c>
      <c r="B209" s="59" t="s">
        <v>42</v>
      </c>
      <c r="C209" s="136">
        <v>6</v>
      </c>
      <c r="D209" s="98">
        <v>2169</v>
      </c>
      <c r="E209" s="61">
        <f>C209*D209</f>
        <v>13014</v>
      </c>
      <c r="I209" s="110"/>
      <c r="J209" s="110"/>
    </row>
    <row r="210" spans="1:10" x14ac:dyDescent="0.3">
      <c r="A210" s="58" t="s">
        <v>120</v>
      </c>
      <c r="B210" s="59" t="s">
        <v>42</v>
      </c>
      <c r="C210" s="136">
        <v>2</v>
      </c>
      <c r="D210" s="137"/>
      <c r="E210" s="61"/>
      <c r="I210" s="110"/>
      <c r="J210" s="110"/>
    </row>
    <row r="211" spans="1:10" x14ac:dyDescent="0.3">
      <c r="A211" s="58" t="s">
        <v>121</v>
      </c>
      <c r="B211" s="59" t="s">
        <v>42</v>
      </c>
      <c r="C211" s="61">
        <f>C209*C210</f>
        <v>12</v>
      </c>
      <c r="D211" s="98">
        <v>750</v>
      </c>
      <c r="E211" s="61">
        <f>C211*D211</f>
        <v>9000</v>
      </c>
      <c r="I211" s="110"/>
      <c r="J211" s="110"/>
    </row>
    <row r="212" spans="1:10" x14ac:dyDescent="0.3">
      <c r="A212" s="62" t="s">
        <v>122</v>
      </c>
      <c r="B212" s="63" t="s">
        <v>123</v>
      </c>
      <c r="C212" s="138">
        <v>75000</v>
      </c>
      <c r="D212" s="65">
        <f>E209+E211</f>
        <v>22014</v>
      </c>
      <c r="E212" s="65">
        <f>IFERROR(D212/C212,"-")</f>
        <v>0.29352</v>
      </c>
      <c r="I212" s="110"/>
      <c r="J212" s="110"/>
    </row>
    <row r="213" spans="1:10" ht="14.4" thickBot="1" x14ac:dyDescent="0.35">
      <c r="A213" s="62" t="s">
        <v>124</v>
      </c>
      <c r="B213" s="63" t="s">
        <v>103</v>
      </c>
      <c r="C213" s="85">
        <f>B186</f>
        <v>4958.63</v>
      </c>
      <c r="D213" s="65">
        <f>E212</f>
        <v>0.29352</v>
      </c>
      <c r="E213" s="65">
        <f>IFERROR(C213*D213,0)</f>
        <v>1455.4570776</v>
      </c>
      <c r="I213" s="110"/>
      <c r="J213" s="110"/>
    </row>
    <row r="214" spans="1:10" ht="14.4" thickBot="1" x14ac:dyDescent="0.35">
      <c r="D214" s="73" t="s">
        <v>30</v>
      </c>
      <c r="E214" s="254">
        <f>B39</f>
        <v>1</v>
      </c>
      <c r="F214" s="107">
        <f>E213*E214</f>
        <v>1455.4570776</v>
      </c>
      <c r="I214" s="110"/>
      <c r="J214" s="110"/>
    </row>
    <row r="215" spans="1:10" ht="11.25" customHeight="1" x14ac:dyDescent="0.3">
      <c r="I215" s="110"/>
      <c r="J215" s="110"/>
    </row>
    <row r="216" spans="1:10" ht="11.25" customHeight="1" thickBot="1" x14ac:dyDescent="0.35">
      <c r="G216" s="2"/>
    </row>
    <row r="217" spans="1:10" ht="14.4" thickBot="1" x14ac:dyDescent="0.35">
      <c r="A217" s="93" t="s">
        <v>125</v>
      </c>
      <c r="B217" s="94"/>
      <c r="C217" s="94"/>
      <c r="D217" s="32"/>
      <c r="E217" s="95"/>
      <c r="F217" s="107">
        <f>+SUM(F214+F205+F200+F182+F174+F157)</f>
        <v>28033.50367644697</v>
      </c>
      <c r="G217" s="110"/>
    </row>
    <row r="218" spans="1:10" x14ac:dyDescent="0.3">
      <c r="G218" s="2"/>
    </row>
    <row r="219" spans="1:10" x14ac:dyDescent="0.3">
      <c r="A219" s="18" t="s">
        <v>126</v>
      </c>
      <c r="B219" s="18"/>
      <c r="C219" s="18"/>
      <c r="D219" s="52"/>
      <c r="E219" s="52"/>
      <c r="F219" s="123"/>
      <c r="G219" s="2"/>
    </row>
    <row r="220" spans="1:10" ht="14.4" thickBot="1" x14ac:dyDescent="0.35">
      <c r="G220" s="2"/>
    </row>
    <row r="221" spans="1:10" ht="14.4" thickBot="1" x14ac:dyDescent="0.35">
      <c r="A221" s="54" t="s">
        <v>12</v>
      </c>
      <c r="B221" s="55" t="s">
        <v>13</v>
      </c>
      <c r="C221" s="55" t="s">
        <v>6</v>
      </c>
      <c r="D221" s="56" t="s">
        <v>14</v>
      </c>
      <c r="E221" s="56" t="s">
        <v>15</v>
      </c>
      <c r="F221" s="57" t="s">
        <v>16</v>
      </c>
      <c r="G221" s="2"/>
    </row>
    <row r="222" spans="1:10" x14ac:dyDescent="0.3">
      <c r="A222" s="62" t="s">
        <v>127</v>
      </c>
      <c r="B222" s="63" t="s">
        <v>42</v>
      </c>
      <c r="C222" s="97">
        <v>1</v>
      </c>
      <c r="D222" s="98">
        <v>173.87</v>
      </c>
      <c r="E222" s="65">
        <f>C222*1/6</f>
        <v>0.16666666666666666</v>
      </c>
      <c r="F222" s="139"/>
      <c r="G222" s="2"/>
    </row>
    <row r="223" spans="1:10" x14ac:dyDescent="0.3">
      <c r="A223" s="62" t="s">
        <v>128</v>
      </c>
      <c r="B223" s="63" t="s">
        <v>42</v>
      </c>
      <c r="C223" s="97">
        <v>1</v>
      </c>
      <c r="D223" s="98">
        <v>35</v>
      </c>
      <c r="E223" s="65">
        <f>C223*D223</f>
        <v>35</v>
      </c>
      <c r="F223" s="139"/>
      <c r="G223" s="2"/>
    </row>
    <row r="224" spans="1:10" ht="14.4" thickBot="1" x14ac:dyDescent="0.35">
      <c r="A224" s="62" t="s">
        <v>129</v>
      </c>
      <c r="B224" s="63" t="s">
        <v>42</v>
      </c>
      <c r="C224" s="97">
        <v>1</v>
      </c>
      <c r="D224" s="98">
        <v>42</v>
      </c>
      <c r="E224" s="65">
        <f>C224*D224</f>
        <v>42</v>
      </c>
      <c r="F224" s="139"/>
      <c r="G224" s="2"/>
    </row>
    <row r="225" spans="1:7" ht="14.4" thickBot="1" x14ac:dyDescent="0.35">
      <c r="A225" s="18"/>
      <c r="B225" s="18"/>
      <c r="C225" s="18"/>
      <c r="D225" s="73" t="s">
        <v>30</v>
      </c>
      <c r="E225" s="254">
        <f>B39</f>
        <v>1</v>
      </c>
      <c r="F225" s="107">
        <f>SUM(E222:E224)</f>
        <v>77.166666666666657</v>
      </c>
      <c r="G225" s="2"/>
    </row>
    <row r="226" spans="1:7" ht="14.4" thickBot="1" x14ac:dyDescent="0.35">
      <c r="G226" s="2"/>
    </row>
    <row r="227" spans="1:7" ht="14.4" thickBot="1" x14ac:dyDescent="0.35">
      <c r="A227" s="93" t="s">
        <v>130</v>
      </c>
      <c r="B227" s="94"/>
      <c r="C227" s="94"/>
      <c r="D227" s="32"/>
      <c r="E227" s="95"/>
      <c r="F227" s="107">
        <f>+F225</f>
        <v>77.166666666666657</v>
      </c>
      <c r="G227" s="2"/>
    </row>
    <row r="228" spans="1:7" x14ac:dyDescent="0.3">
      <c r="G228" s="2"/>
    </row>
    <row r="229" spans="1:7" ht="14.4" thickBot="1" x14ac:dyDescent="0.35">
      <c r="A229" s="18" t="s">
        <v>131</v>
      </c>
      <c r="G229" s="2"/>
    </row>
    <row r="230" spans="1:7" ht="14.4" thickBot="1" x14ac:dyDescent="0.35">
      <c r="A230" s="54" t="s">
        <v>12</v>
      </c>
      <c r="B230" s="55" t="s">
        <v>13</v>
      </c>
      <c r="C230" s="55" t="s">
        <v>6</v>
      </c>
      <c r="D230" s="56" t="s">
        <v>14</v>
      </c>
      <c r="E230" s="56" t="s">
        <v>15</v>
      </c>
      <c r="F230" s="57" t="s">
        <v>16</v>
      </c>
      <c r="G230" s="2"/>
    </row>
    <row r="231" spans="1:7" x14ac:dyDescent="0.3">
      <c r="A231" s="62" t="s">
        <v>270</v>
      </c>
      <c r="B231" s="63" t="s">
        <v>269</v>
      </c>
      <c r="C231" s="103">
        <f>E36</f>
        <v>1</v>
      </c>
      <c r="D231" s="264">
        <v>350</v>
      </c>
      <c r="E231" s="74">
        <f>D231*C231</f>
        <v>350</v>
      </c>
      <c r="G231" s="2"/>
    </row>
    <row r="232" spans="1:7" x14ac:dyDescent="0.3">
      <c r="A232" s="62" t="s">
        <v>132</v>
      </c>
      <c r="B232" s="63" t="s">
        <v>13</v>
      </c>
      <c r="C232" s="97">
        <v>0.16666666666666666</v>
      </c>
      <c r="D232" s="125">
        <v>150</v>
      </c>
      <c r="E232" s="65">
        <f>C232*D232</f>
        <v>25</v>
      </c>
      <c r="G232" s="2"/>
    </row>
    <row r="233" spans="1:7" x14ac:dyDescent="0.3">
      <c r="A233" s="62" t="s">
        <v>134</v>
      </c>
      <c r="B233" s="63" t="s">
        <v>13</v>
      </c>
      <c r="C233" s="97">
        <v>0.16666666666666666</v>
      </c>
      <c r="D233" s="125">
        <v>50</v>
      </c>
      <c r="E233" s="65">
        <f>C233*D233</f>
        <v>8.3333333333333321</v>
      </c>
      <c r="G233" s="2"/>
    </row>
    <row r="234" spans="1:7" x14ac:dyDescent="0.3">
      <c r="F234" s="140">
        <f>SUM(E231+E232+E233)</f>
        <v>383.33333333333331</v>
      </c>
      <c r="G234" s="2"/>
    </row>
    <row r="235" spans="1:7" ht="14.4" thickBot="1" x14ac:dyDescent="0.35">
      <c r="G235" s="2"/>
    </row>
    <row r="236" spans="1:7" ht="14.4" thickBot="1" x14ac:dyDescent="0.35">
      <c r="A236" s="93" t="s">
        <v>135</v>
      </c>
      <c r="B236" s="94"/>
      <c r="C236" s="94"/>
      <c r="D236" s="32"/>
      <c r="E236" s="32"/>
      <c r="F236" s="141">
        <f>F234</f>
        <v>383.33333333333331</v>
      </c>
      <c r="G236" s="2"/>
    </row>
    <row r="237" spans="1:7" x14ac:dyDescent="0.3">
      <c r="G237" s="2"/>
    </row>
    <row r="238" spans="1:7" x14ac:dyDescent="0.3">
      <c r="A238" s="18" t="s">
        <v>136</v>
      </c>
      <c r="B238" s="18"/>
      <c r="C238" s="18"/>
      <c r="D238" s="52"/>
      <c r="E238" s="52"/>
      <c r="F238" s="123"/>
    </row>
    <row r="239" spans="1:7" ht="14.4" thickBot="1" x14ac:dyDescent="0.35"/>
    <row r="240" spans="1:7" ht="14.4" thickBot="1" x14ac:dyDescent="0.35">
      <c r="A240" s="54" t="s">
        <v>12</v>
      </c>
      <c r="B240" s="55" t="s">
        <v>13</v>
      </c>
      <c r="C240" s="55" t="s">
        <v>6</v>
      </c>
      <c r="D240" s="56" t="s">
        <v>14</v>
      </c>
      <c r="E240" s="56" t="s">
        <v>15</v>
      </c>
      <c r="F240" s="57" t="s">
        <v>16</v>
      </c>
    </row>
    <row r="241" spans="1:7" x14ac:dyDescent="0.3">
      <c r="A241" s="62" t="s">
        <v>137</v>
      </c>
      <c r="B241" s="63" t="s">
        <v>133</v>
      </c>
      <c r="C241" s="273" t="s">
        <v>284</v>
      </c>
      <c r="D241" s="125">
        <v>250</v>
      </c>
      <c r="E241" s="65">
        <f>+D241*1/12</f>
        <v>20.833333333333332</v>
      </c>
      <c r="F241" s="139"/>
    </row>
    <row r="242" spans="1:7" ht="14.4" x14ac:dyDescent="0.3">
      <c r="A242" s="62" t="s">
        <v>138</v>
      </c>
      <c r="B242" s="63" t="s">
        <v>18</v>
      </c>
      <c r="C242" s="63">
        <v>1</v>
      </c>
      <c r="D242" s="146">
        <v>69</v>
      </c>
      <c r="E242" s="142">
        <f>D242</f>
        <v>69</v>
      </c>
      <c r="F242" s="139"/>
    </row>
    <row r="243" spans="1:7" ht="15" thickBot="1" x14ac:dyDescent="0.35">
      <c r="A243" s="62" t="s">
        <v>271</v>
      </c>
      <c r="B243" s="63" t="s">
        <v>272</v>
      </c>
      <c r="C243" s="63">
        <v>2</v>
      </c>
      <c r="D243" s="270">
        <f>E242+E241</f>
        <v>89.833333333333329</v>
      </c>
      <c r="E243" s="142">
        <f>D243*C243</f>
        <v>179.66666666666666</v>
      </c>
      <c r="F243" s="139"/>
    </row>
    <row r="244" spans="1:7" ht="14.4" thickBot="1" x14ac:dyDescent="0.35">
      <c r="D244" s="73" t="s">
        <v>30</v>
      </c>
      <c r="E244" s="251">
        <f>B39</f>
        <v>1</v>
      </c>
      <c r="F244" s="143">
        <f>E243*E244</f>
        <v>179.66666666666666</v>
      </c>
    </row>
    <row r="245" spans="1:7" s="145" customFormat="1" ht="14.4" thickBot="1" x14ac:dyDescent="0.35">
      <c r="A245" s="2"/>
      <c r="B245" s="2"/>
      <c r="C245" s="2"/>
      <c r="D245" s="1"/>
      <c r="E245" s="1"/>
      <c r="F245" s="1"/>
      <c r="G245" s="144"/>
    </row>
    <row r="246" spans="1:7" ht="14.4" thickBot="1" x14ac:dyDescent="0.35">
      <c r="A246" s="93" t="s">
        <v>139</v>
      </c>
      <c r="B246" s="94"/>
      <c r="C246" s="94"/>
      <c r="D246" s="32"/>
      <c r="E246" s="95"/>
      <c r="F246" s="107">
        <f>+F244</f>
        <v>179.66666666666666</v>
      </c>
    </row>
    <row r="247" spans="1:7" ht="14.4" thickBot="1" x14ac:dyDescent="0.35"/>
    <row r="248" spans="1:7" ht="14.4" thickBot="1" x14ac:dyDescent="0.35">
      <c r="A248" s="93" t="s">
        <v>140</v>
      </c>
      <c r="B248" s="104"/>
      <c r="C248" s="104"/>
      <c r="D248" s="105"/>
      <c r="E248" s="106"/>
      <c r="F248" s="89">
        <f>+F101+F136+F217+F246+F236+F227</f>
        <v>53355.977348611261</v>
      </c>
    </row>
    <row r="250" spans="1:7" x14ac:dyDescent="0.3">
      <c r="A250" s="18" t="s">
        <v>281</v>
      </c>
    </row>
    <row r="251" spans="1:7" ht="14.4" thickBot="1" x14ac:dyDescent="0.35">
      <c r="A251" s="18"/>
    </row>
    <row r="252" spans="1:7" ht="14.4" thickBot="1" x14ac:dyDescent="0.35">
      <c r="A252" s="54" t="s">
        <v>12</v>
      </c>
      <c r="B252" s="55" t="s">
        <v>13</v>
      </c>
      <c r="C252" s="55" t="s">
        <v>6</v>
      </c>
      <c r="D252" s="56" t="s">
        <v>14</v>
      </c>
      <c r="E252" s="56" t="s">
        <v>15</v>
      </c>
      <c r="F252" s="57" t="s">
        <v>141</v>
      </c>
    </row>
    <row r="253" spans="1:7" ht="15" thickBot="1" x14ac:dyDescent="0.35">
      <c r="A253" s="62" t="s">
        <v>142</v>
      </c>
      <c r="B253" s="63" t="s">
        <v>143</v>
      </c>
      <c r="C253" s="63">
        <v>79</v>
      </c>
      <c r="D253" s="146">
        <v>163</v>
      </c>
      <c r="E253" s="142">
        <f>C253*D253</f>
        <v>12877</v>
      </c>
      <c r="F253" s="139"/>
    </row>
    <row r="254" spans="1:7" ht="14.4" thickBot="1" x14ac:dyDescent="0.35">
      <c r="A254" s="147"/>
      <c r="B254" s="148"/>
      <c r="C254" s="149"/>
      <c r="D254" s="149"/>
      <c r="E254" s="150"/>
      <c r="F254" s="265">
        <f>E253</f>
        <v>12877</v>
      </c>
    </row>
    <row r="255" spans="1:7" ht="14.4" thickBot="1" x14ac:dyDescent="0.35">
      <c r="A255" s="149"/>
      <c r="B255" s="149"/>
      <c r="C255" s="149"/>
      <c r="D255" s="149"/>
      <c r="E255" s="150"/>
      <c r="F255" s="150"/>
    </row>
    <row r="256" spans="1:7" ht="14.4" thickBot="1" x14ac:dyDescent="0.35">
      <c r="A256" s="93" t="s">
        <v>144</v>
      </c>
      <c r="B256" s="104"/>
      <c r="C256" s="104"/>
      <c r="D256" s="105"/>
      <c r="E256" s="106"/>
      <c r="F256" s="89">
        <f>F254</f>
        <v>12877</v>
      </c>
    </row>
    <row r="257" spans="1:6" x14ac:dyDescent="0.3">
      <c r="A257" s="18"/>
      <c r="D257" s="43"/>
      <c r="E257" s="43"/>
    </row>
    <row r="258" spans="1:6" ht="14.4" thickBot="1" x14ac:dyDescent="0.35">
      <c r="A258" s="147"/>
      <c r="B258" s="148"/>
      <c r="C258" s="149"/>
      <c r="D258" s="149"/>
      <c r="E258" s="150"/>
      <c r="F258" s="150"/>
    </row>
    <row r="259" spans="1:6" ht="14.4" thickBot="1" x14ac:dyDescent="0.35">
      <c r="A259" s="275" t="s">
        <v>279</v>
      </c>
      <c r="B259" s="276"/>
      <c r="C259" s="276"/>
      <c r="D259" s="276"/>
      <c r="E259" s="277"/>
      <c r="F259" s="269">
        <f>SUM(F256+F248)</f>
        <v>66232.977348611254</v>
      </c>
    </row>
    <row r="260" spans="1:6" x14ac:dyDescent="0.3">
      <c r="A260" s="18"/>
      <c r="D260" s="43"/>
      <c r="E260" s="43"/>
    </row>
    <row r="261" spans="1:6" x14ac:dyDescent="0.3">
      <c r="A261" s="18" t="s">
        <v>282</v>
      </c>
    </row>
    <row r="262" spans="1:6" ht="11.25" customHeight="1" thickBot="1" x14ac:dyDescent="0.35"/>
    <row r="263" spans="1:6" ht="14.4" thickBot="1" x14ac:dyDescent="0.35">
      <c r="A263" s="54" t="s">
        <v>12</v>
      </c>
      <c r="B263" s="55" t="s">
        <v>13</v>
      </c>
      <c r="C263" s="55" t="s">
        <v>6</v>
      </c>
      <c r="D263" s="56" t="s">
        <v>14</v>
      </c>
      <c r="E263" s="56" t="s">
        <v>15</v>
      </c>
      <c r="F263" s="57" t="s">
        <v>16</v>
      </c>
    </row>
    <row r="264" spans="1:6" ht="14.4" thickBot="1" x14ac:dyDescent="0.35">
      <c r="A264" s="58" t="s">
        <v>145</v>
      </c>
      <c r="B264" s="59" t="s">
        <v>3</v>
      </c>
      <c r="C264" s="250">
        <f>BDI!C14</f>
        <v>0.2462</v>
      </c>
      <c r="D264" s="61">
        <f>F248</f>
        <v>53355.977348611261</v>
      </c>
      <c r="E264" s="61">
        <f>C264*D264</f>
        <v>13136.241623228092</v>
      </c>
    </row>
    <row r="265" spans="1:6" ht="14.4" thickBot="1" x14ac:dyDescent="0.35">
      <c r="F265" s="107">
        <f>+E264</f>
        <v>13136.241623228092</v>
      </c>
    </row>
    <row r="266" spans="1:6" ht="11.25" customHeight="1" thickBot="1" x14ac:dyDescent="0.35"/>
    <row r="267" spans="1:6" ht="14.4" thickBot="1" x14ac:dyDescent="0.35">
      <c r="A267" s="93" t="s">
        <v>146</v>
      </c>
      <c r="B267" s="104"/>
      <c r="C267" s="104"/>
      <c r="D267" s="105"/>
      <c r="E267" s="106"/>
      <c r="F267" s="89">
        <f>F265</f>
        <v>13136.241623228092</v>
      </c>
    </row>
    <row r="268" spans="1:6" x14ac:dyDescent="0.3">
      <c r="A268" s="18"/>
      <c r="B268" s="18"/>
      <c r="C268" s="18"/>
      <c r="D268" s="52"/>
      <c r="E268" s="52"/>
      <c r="F268" s="123"/>
    </row>
    <row r="269" spans="1:6" ht="11.25" customHeight="1" thickBot="1" x14ac:dyDescent="0.35"/>
    <row r="270" spans="1:6" ht="24.75" customHeight="1" thickBot="1" x14ac:dyDescent="0.35">
      <c r="A270" s="93" t="s">
        <v>147</v>
      </c>
      <c r="B270" s="104"/>
      <c r="C270" s="104"/>
      <c r="D270" s="105"/>
      <c r="E270" s="106"/>
      <c r="F270" s="89">
        <f>F259+F267</f>
        <v>79369.218971839349</v>
      </c>
    </row>
    <row r="271" spans="1:6" ht="22.2" customHeight="1" x14ac:dyDescent="0.3">
      <c r="A271" s="18" t="s">
        <v>148</v>
      </c>
      <c r="B271" s="151" t="s">
        <v>148</v>
      </c>
      <c r="C271" s="18"/>
      <c r="D271" s="52"/>
      <c r="E271" s="52"/>
      <c r="F271" s="52"/>
    </row>
    <row r="272" spans="1:6" ht="43.2" customHeight="1" x14ac:dyDescent="0.3">
      <c r="B272" s="1"/>
      <c r="C272" s="1"/>
    </row>
    <row r="273" spans="2:3" x14ac:dyDescent="0.3">
      <c r="B273" s="1"/>
      <c r="C273" s="1"/>
    </row>
    <row r="275" spans="2:3" x14ac:dyDescent="0.3">
      <c r="B275" s="255"/>
    </row>
    <row r="301" s="2" customFormat="1" ht="9" customHeight="1" x14ac:dyDescent="0.3"/>
  </sheetData>
  <mergeCells count="10">
    <mergeCell ref="A259:E259"/>
    <mergeCell ref="C39:D39"/>
    <mergeCell ref="A35:D35"/>
    <mergeCell ref="A1:F1"/>
    <mergeCell ref="A2:F2"/>
    <mergeCell ref="A4:F4"/>
    <mergeCell ref="A12:C12"/>
    <mergeCell ref="A29:E29"/>
    <mergeCell ref="A30:D30"/>
    <mergeCell ref="A33:D33"/>
  </mergeCells>
  <hyperlinks>
    <hyperlink ref="A159" location="AbaRemun" display="3.1.2. Remuneração do Capital" xr:uid="{00000000-0004-0000-0000-000000000000}"/>
    <hyperlink ref="A142" location="AbaDeprec" display="3.1.1. Depreciação" xr:uid="{00000000-0004-0000-0000-000001000000}"/>
  </hyperlinks>
  <pageMargins left="0.51181102362204722" right="0.51181102362204722" top="0.78740157480314965" bottom="0.78740157480314965" header="0.31496062992125984" footer="0.31496062992125984"/>
  <pageSetup fitToHeight="0" orientation="portrait" r:id="rId1"/>
  <headerFooter>
    <oddHeader xml:space="preserve">&amp;C&amp;"Arial,Itálico"PREFEITURA MUNICIPAL DE BOA VISTA DO BURICÁ
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4"/>
  <sheetViews>
    <sheetView view="pageLayout" zoomScaleNormal="100" workbookViewId="0">
      <selection activeCell="A2" sqref="A2:C31"/>
    </sheetView>
  </sheetViews>
  <sheetFormatPr defaultColWidth="9.109375" defaultRowHeight="13.8" x14ac:dyDescent="0.25"/>
  <cols>
    <col min="1" max="1" width="13.5546875" style="102" customWidth="1"/>
    <col min="2" max="2" width="39.5546875" style="102" bestFit="1" customWidth="1"/>
    <col min="3" max="3" width="20.88671875" style="102" customWidth="1"/>
    <col min="4" max="4" width="37.33203125" style="102" customWidth="1"/>
    <col min="5" max="10" width="9.109375" style="102"/>
    <col min="11" max="11" width="11" style="102" bestFit="1" customWidth="1"/>
    <col min="12" max="16384" width="9.109375" style="102"/>
  </cols>
  <sheetData>
    <row r="1" spans="1:7" s="2" customFormat="1" ht="14.4" thickBot="1" x14ac:dyDescent="0.35">
      <c r="A1" s="42"/>
      <c r="B1" s="4"/>
      <c r="C1" s="4"/>
      <c r="D1" s="1"/>
      <c r="E1" s="1"/>
      <c r="F1" s="1"/>
      <c r="G1" s="1"/>
    </row>
    <row r="2" spans="1:7" x14ac:dyDescent="0.25">
      <c r="A2" s="297" t="s">
        <v>149</v>
      </c>
      <c r="B2" s="298"/>
      <c r="C2" s="299"/>
      <c r="D2" s="18"/>
      <c r="E2" s="18"/>
      <c r="F2" s="18"/>
    </row>
    <row r="3" spans="1:7" x14ac:dyDescent="0.25">
      <c r="A3" s="152" t="s">
        <v>150</v>
      </c>
      <c r="B3" s="153" t="s">
        <v>151</v>
      </c>
      <c r="C3" s="154" t="s">
        <v>152</v>
      </c>
      <c r="D3" s="155"/>
    </row>
    <row r="4" spans="1:7" x14ac:dyDescent="0.25">
      <c r="A4" s="152" t="s">
        <v>153</v>
      </c>
      <c r="B4" s="153" t="s">
        <v>154</v>
      </c>
      <c r="C4" s="156">
        <v>0.2</v>
      </c>
      <c r="D4" s="155"/>
    </row>
    <row r="5" spans="1:7" x14ac:dyDescent="0.25">
      <c r="A5" s="152" t="s">
        <v>155</v>
      </c>
      <c r="B5" s="153" t="s">
        <v>156</v>
      </c>
      <c r="C5" s="156">
        <v>1.4999999999999999E-2</v>
      </c>
      <c r="D5" s="155"/>
    </row>
    <row r="6" spans="1:7" x14ac:dyDescent="0.25">
      <c r="A6" s="152" t="s">
        <v>157</v>
      </c>
      <c r="B6" s="153" t="s">
        <v>158</v>
      </c>
      <c r="C6" s="156">
        <v>0.01</v>
      </c>
      <c r="D6" s="155"/>
    </row>
    <row r="7" spans="1:7" x14ac:dyDescent="0.25">
      <c r="A7" s="152" t="s">
        <v>159</v>
      </c>
      <c r="B7" s="153" t="s">
        <v>160</v>
      </c>
      <c r="C7" s="156">
        <v>2E-3</v>
      </c>
      <c r="D7" s="155"/>
    </row>
    <row r="8" spans="1:7" x14ac:dyDescent="0.25">
      <c r="A8" s="152" t="s">
        <v>161</v>
      </c>
      <c r="B8" s="153" t="s">
        <v>162</v>
      </c>
      <c r="C8" s="156">
        <v>6.0000000000000001E-3</v>
      </c>
      <c r="D8" s="155"/>
    </row>
    <row r="9" spans="1:7" x14ac:dyDescent="0.25">
      <c r="A9" s="152" t="s">
        <v>163</v>
      </c>
      <c r="B9" s="153" t="s">
        <v>164</v>
      </c>
      <c r="C9" s="156">
        <v>2.5000000000000001E-2</v>
      </c>
      <c r="D9" s="155"/>
    </row>
    <row r="10" spans="1:7" x14ac:dyDescent="0.25">
      <c r="A10" s="152" t="s">
        <v>165</v>
      </c>
      <c r="B10" s="153" t="s">
        <v>166</v>
      </c>
      <c r="C10" s="156">
        <v>0.03</v>
      </c>
      <c r="D10" s="155"/>
    </row>
    <row r="11" spans="1:7" x14ac:dyDescent="0.25">
      <c r="A11" s="152" t="s">
        <v>167</v>
      </c>
      <c r="B11" s="153" t="s">
        <v>168</v>
      </c>
      <c r="C11" s="156">
        <v>0.08</v>
      </c>
      <c r="D11" s="155"/>
    </row>
    <row r="12" spans="1:7" x14ac:dyDescent="0.25">
      <c r="A12" s="152" t="s">
        <v>169</v>
      </c>
      <c r="B12" s="157" t="s">
        <v>170</v>
      </c>
      <c r="C12" s="158">
        <f>SUM(C4:C11)</f>
        <v>0.36800000000000005</v>
      </c>
      <c r="D12" s="155"/>
    </row>
    <row r="13" spans="1:7" x14ac:dyDescent="0.25">
      <c r="A13" s="159"/>
      <c r="B13" s="160"/>
      <c r="C13" s="161"/>
      <c r="D13" s="155"/>
    </row>
    <row r="14" spans="1:7" x14ac:dyDescent="0.25">
      <c r="A14" s="152" t="s">
        <v>171</v>
      </c>
      <c r="B14" s="162" t="s">
        <v>172</v>
      </c>
      <c r="C14" s="163">
        <v>6.1899999999999997E-2</v>
      </c>
      <c r="D14" s="155"/>
    </row>
    <row r="15" spans="1:7" x14ac:dyDescent="0.25">
      <c r="A15" s="152" t="s">
        <v>173</v>
      </c>
      <c r="B15" s="162" t="s">
        <v>174</v>
      </c>
      <c r="C15" s="163">
        <f>ROUND('[2]5.CAGED'!C36/'[2]5.CAGED'!C33,4)</f>
        <v>8.3299999999999999E-2</v>
      </c>
      <c r="D15" s="155"/>
    </row>
    <row r="16" spans="1:7" x14ac:dyDescent="0.25">
      <c r="A16" s="152" t="s">
        <v>175</v>
      </c>
      <c r="B16" s="162" t="s">
        <v>176</v>
      </c>
      <c r="C16" s="163">
        <v>5.9999999999999995E-4</v>
      </c>
      <c r="D16" s="155"/>
    </row>
    <row r="17" spans="1:8" x14ac:dyDescent="0.25">
      <c r="A17" s="152" t="s">
        <v>177</v>
      </c>
      <c r="B17" s="162" t="s">
        <v>178</v>
      </c>
      <c r="C17" s="163">
        <v>8.2000000000000007E-3</v>
      </c>
      <c r="D17" s="155"/>
    </row>
    <row r="18" spans="1:8" x14ac:dyDescent="0.25">
      <c r="A18" s="152" t="s">
        <v>179</v>
      </c>
      <c r="B18" s="162" t="s">
        <v>180</v>
      </c>
      <c r="C18" s="163">
        <v>3.0999999999999999E-3</v>
      </c>
      <c r="D18" s="155"/>
    </row>
    <row r="19" spans="1:8" x14ac:dyDescent="0.25">
      <c r="A19" s="152" t="s">
        <v>181</v>
      </c>
      <c r="B19" s="162" t="s">
        <v>182</v>
      </c>
      <c r="C19" s="163">
        <v>1.66E-2</v>
      </c>
      <c r="D19" s="155"/>
    </row>
    <row r="20" spans="1:8" x14ac:dyDescent="0.25">
      <c r="A20" s="152" t="s">
        <v>183</v>
      </c>
      <c r="B20" s="157" t="s">
        <v>184</v>
      </c>
      <c r="C20" s="164">
        <f>SUM(C14:C19)</f>
        <v>0.17369999999999999</v>
      </c>
      <c r="D20" s="155"/>
    </row>
    <row r="21" spans="1:8" x14ac:dyDescent="0.25">
      <c r="A21" s="159"/>
      <c r="B21" s="160"/>
      <c r="C21" s="161"/>
      <c r="D21" s="155"/>
    </row>
    <row r="22" spans="1:8" x14ac:dyDescent="0.25">
      <c r="A22" s="152" t="s">
        <v>185</v>
      </c>
      <c r="B22" s="153" t="s">
        <v>186</v>
      </c>
      <c r="C22" s="163">
        <v>2.5600000000000001E-2</v>
      </c>
      <c r="D22" s="155"/>
      <c r="E22" s="165"/>
    </row>
    <row r="23" spans="1:8" x14ac:dyDescent="0.25">
      <c r="A23" s="152" t="s">
        <v>187</v>
      </c>
      <c r="B23" s="153" t="s">
        <v>188</v>
      </c>
      <c r="C23" s="163">
        <v>4.9200000000000001E-2</v>
      </c>
      <c r="D23" s="155"/>
      <c r="H23" s="166"/>
    </row>
    <row r="24" spans="1:8" x14ac:dyDescent="0.25">
      <c r="A24" s="152" t="s">
        <v>189</v>
      </c>
      <c r="B24" s="153" t="s">
        <v>190</v>
      </c>
      <c r="C24" s="163">
        <f>C22*C23</f>
        <v>1.2595200000000001E-3</v>
      </c>
      <c r="D24" s="155"/>
      <c r="E24" s="165"/>
    </row>
    <row r="25" spans="1:8" x14ac:dyDescent="0.25">
      <c r="A25" s="152" t="s">
        <v>191</v>
      </c>
      <c r="B25" s="153" t="s">
        <v>192</v>
      </c>
      <c r="C25" s="163">
        <v>2.0500000000000001E-2</v>
      </c>
      <c r="D25" s="155"/>
      <c r="G25" s="165"/>
    </row>
    <row r="26" spans="1:8" x14ac:dyDescent="0.25">
      <c r="A26" s="152" t="s">
        <v>193</v>
      </c>
      <c r="B26" s="153" t="s">
        <v>194</v>
      </c>
      <c r="C26" s="163">
        <v>1.8E-3</v>
      </c>
      <c r="D26" s="155"/>
    </row>
    <row r="27" spans="1:8" x14ac:dyDescent="0.25">
      <c r="A27" s="152" t="s">
        <v>195</v>
      </c>
      <c r="B27" s="157" t="s">
        <v>196</v>
      </c>
      <c r="C27" s="164">
        <f>SUM(C22:C26)</f>
        <v>9.8359520000000006E-2</v>
      </c>
      <c r="D27" s="155"/>
    </row>
    <row r="28" spans="1:8" x14ac:dyDescent="0.25">
      <c r="A28" s="159"/>
      <c r="B28" s="160"/>
      <c r="C28" s="161"/>
      <c r="D28" s="155"/>
    </row>
    <row r="29" spans="1:8" x14ac:dyDescent="0.25">
      <c r="A29" s="152" t="s">
        <v>197</v>
      </c>
      <c r="B29" s="153" t="s">
        <v>198</v>
      </c>
      <c r="C29" s="156">
        <f>ROUND(C12*C20,4)</f>
        <v>6.3899999999999998E-2</v>
      </c>
      <c r="D29" s="155"/>
    </row>
    <row r="30" spans="1:8" ht="27.6" x14ac:dyDescent="0.25">
      <c r="A30" s="152" t="s">
        <v>199</v>
      </c>
      <c r="B30" s="167" t="s">
        <v>200</v>
      </c>
      <c r="C30" s="156">
        <f>ROUND((C22*C11),4)</f>
        <v>2E-3</v>
      </c>
      <c r="D30" s="155"/>
    </row>
    <row r="31" spans="1:8" x14ac:dyDescent="0.25">
      <c r="A31" s="152" t="s">
        <v>201</v>
      </c>
      <c r="B31" s="157" t="s">
        <v>202</v>
      </c>
      <c r="C31" s="164">
        <f>SUM(C29:C30)</f>
        <v>6.59E-2</v>
      </c>
      <c r="D31" s="155"/>
    </row>
    <row r="32" spans="1:8" ht="14.4" thickBot="1" x14ac:dyDescent="0.3">
      <c r="A32" s="168"/>
      <c r="B32" s="169" t="s">
        <v>203</v>
      </c>
      <c r="C32" s="170">
        <f>C31+C27+C20+C12</f>
        <v>0.70595951999999995</v>
      </c>
      <c r="D32" s="155"/>
    </row>
    <row r="33" spans="1:4" x14ac:dyDescent="0.25">
      <c r="A33" s="155"/>
      <c r="B33" s="171"/>
      <c r="C33" s="172"/>
      <c r="D33" s="173"/>
    </row>
    <row r="34" spans="1:4" x14ac:dyDescent="0.25">
      <c r="A34" s="155"/>
      <c r="B34" s="155"/>
      <c r="C34" s="174"/>
      <c r="D34" s="173"/>
    </row>
    <row r="35" spans="1:4" x14ac:dyDescent="0.25">
      <c r="A35" s="155"/>
      <c r="B35" s="155"/>
      <c r="C35" s="174"/>
      <c r="D35" s="155"/>
    </row>
    <row r="36" spans="1:4" x14ac:dyDescent="0.25">
      <c r="A36" s="155"/>
      <c r="B36" s="155"/>
      <c r="C36" s="174"/>
      <c r="D36" s="155"/>
    </row>
    <row r="37" spans="1:4" x14ac:dyDescent="0.25">
      <c r="A37" s="155"/>
      <c r="B37" s="155"/>
      <c r="C37" s="174"/>
      <c r="D37" s="155"/>
    </row>
    <row r="38" spans="1:4" x14ac:dyDescent="0.25">
      <c r="A38" s="155"/>
      <c r="B38" s="171"/>
      <c r="C38" s="172"/>
      <c r="D38" s="155"/>
    </row>
    <row r="39" spans="1:4" x14ac:dyDescent="0.25">
      <c r="A39" s="155"/>
      <c r="B39" s="171"/>
      <c r="C39" s="172"/>
      <c r="D39" s="155"/>
    </row>
    <row r="40" spans="1:4" x14ac:dyDescent="0.25">
      <c r="A40" s="175"/>
    </row>
    <row r="41" spans="1:4" x14ac:dyDescent="0.25">
      <c r="A41" s="176"/>
      <c r="B41" s="177"/>
      <c r="C41" s="177"/>
    </row>
    <row r="42" spans="1:4" x14ac:dyDescent="0.25">
      <c r="A42" s="155"/>
      <c r="B42" s="178"/>
      <c r="C42" s="177"/>
    </row>
    <row r="43" spans="1:4" x14ac:dyDescent="0.25">
      <c r="A43" s="155"/>
      <c r="B43" s="178"/>
      <c r="C43" s="155"/>
    </row>
    <row r="44" spans="1:4" x14ac:dyDescent="0.25">
      <c r="A44" s="155"/>
      <c r="B44" s="174"/>
      <c r="C44" s="177"/>
    </row>
    <row r="45" spans="1:4" x14ac:dyDescent="0.25">
      <c r="A45" s="155"/>
      <c r="B45" s="178"/>
      <c r="C45" s="155"/>
    </row>
    <row r="46" spans="1:4" x14ac:dyDescent="0.25">
      <c r="A46" s="155"/>
      <c r="B46" s="174"/>
      <c r="C46" s="177"/>
    </row>
    <row r="47" spans="1:4" x14ac:dyDescent="0.25">
      <c r="A47" s="155"/>
      <c r="B47" s="178"/>
      <c r="C47" s="155"/>
    </row>
    <row r="48" spans="1:4" x14ac:dyDescent="0.25">
      <c r="A48" s="155"/>
      <c r="B48" s="174"/>
      <c r="C48" s="177"/>
    </row>
    <row r="49" spans="1:3" x14ac:dyDescent="0.25">
      <c r="A49" s="155"/>
      <c r="B49" s="178"/>
      <c r="C49" s="155"/>
    </row>
    <row r="50" spans="1:3" x14ac:dyDescent="0.25">
      <c r="A50" s="155"/>
      <c r="B50" s="174"/>
      <c r="C50" s="177"/>
    </row>
    <row r="51" spans="1:3" x14ac:dyDescent="0.25">
      <c r="A51" s="175"/>
    </row>
    <row r="54" spans="1:3" x14ac:dyDescent="0.25">
      <c r="A54" s="179"/>
    </row>
  </sheetData>
  <mergeCells count="1">
    <mergeCell ref="A2:C2"/>
  </mergeCells>
  <pageMargins left="0.511811024" right="0.511811024" top="0.78740157499999996" bottom="0.78740157499999996" header="0.31496062000000002" footer="0.31496062000000002"/>
  <pageSetup orientation="portrait" r:id="rId1"/>
  <headerFooter>
    <oddHeader xml:space="preserve">&amp;C&amp;"Arial,Itálico"PREFEITURA MUNICIPAL BOA VISTA DO BURICA 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4"/>
  <sheetViews>
    <sheetView view="pageLayout" zoomScaleNormal="100" workbookViewId="0">
      <selection activeCell="A6" sqref="A6:F15"/>
    </sheetView>
  </sheetViews>
  <sheetFormatPr defaultRowHeight="13.8" x14ac:dyDescent="0.25"/>
  <cols>
    <col min="1" max="1" width="41.88671875" style="102" bestFit="1" customWidth="1"/>
    <col min="2" max="2" width="5.5546875" style="102" bestFit="1" customWidth="1"/>
    <col min="3" max="3" width="8.88671875" style="102"/>
    <col min="4" max="4" width="9.6640625" style="102" bestFit="1" customWidth="1"/>
    <col min="5" max="5" width="8" style="180" bestFit="1" customWidth="1"/>
    <col min="6" max="6" width="9.6640625" style="102" bestFit="1" customWidth="1"/>
    <col min="7" max="16384" width="8.88671875" style="102"/>
  </cols>
  <sheetData>
    <row r="1" spans="1:6" ht="14.4" thickBot="1" x14ac:dyDescent="0.3">
      <c r="B1" s="2"/>
      <c r="C1" s="2"/>
    </row>
    <row r="2" spans="1:6" x14ac:dyDescent="0.25">
      <c r="A2" s="300" t="s">
        <v>204</v>
      </c>
      <c r="B2" s="301"/>
      <c r="C2" s="301"/>
      <c r="D2" s="301"/>
      <c r="E2" s="301"/>
      <c r="F2" s="302"/>
    </row>
    <row r="3" spans="1:6" ht="14.4" thickBot="1" x14ac:dyDescent="0.3">
      <c r="A3" s="181"/>
      <c r="B3" s="69"/>
      <c r="C3" s="69"/>
      <c r="D3" s="69"/>
      <c r="E3" s="69"/>
      <c r="F3" s="182"/>
    </row>
    <row r="4" spans="1:6" x14ac:dyDescent="0.25">
      <c r="A4" s="183"/>
      <c r="B4" s="2"/>
      <c r="C4" s="2"/>
      <c r="D4" s="303" t="s">
        <v>205</v>
      </c>
      <c r="E4" s="304"/>
      <c r="F4" s="305"/>
    </row>
    <row r="5" spans="1:6" ht="14.4" thickBot="1" x14ac:dyDescent="0.3">
      <c r="A5" s="184"/>
      <c r="D5" s="185" t="s">
        <v>206</v>
      </c>
      <c r="E5" s="186" t="s">
        <v>207</v>
      </c>
      <c r="F5" s="187" t="s">
        <v>208</v>
      </c>
    </row>
    <row r="6" spans="1:6" x14ac:dyDescent="0.25">
      <c r="A6" s="188" t="s">
        <v>209</v>
      </c>
      <c r="B6" s="189" t="s">
        <v>210</v>
      </c>
      <c r="C6" s="190">
        <v>0.04</v>
      </c>
      <c r="D6" s="191">
        <v>2.9700000000000001E-2</v>
      </c>
      <c r="E6" s="192">
        <v>5.0799999999999998E-2</v>
      </c>
      <c r="F6" s="193">
        <v>6.2700000000000006E-2</v>
      </c>
    </row>
    <row r="7" spans="1:6" x14ac:dyDescent="0.25">
      <c r="A7" s="194" t="s">
        <v>211</v>
      </c>
      <c r="B7" s="63" t="s">
        <v>212</v>
      </c>
      <c r="C7" s="195">
        <v>8.6E-3</v>
      </c>
      <c r="D7" s="191">
        <f>0.3%+0.56%</f>
        <v>8.6E-3</v>
      </c>
      <c r="E7" s="192">
        <f>0.48%+0.85%</f>
        <v>1.3299999999999999E-2</v>
      </c>
      <c r="F7" s="193">
        <f>0.82%+0.89%</f>
        <v>1.7099999999999997E-2</v>
      </c>
    </row>
    <row r="8" spans="1:6" x14ac:dyDescent="0.25">
      <c r="A8" s="194" t="s">
        <v>213</v>
      </c>
      <c r="B8" s="63" t="s">
        <v>214</v>
      </c>
      <c r="C8" s="195">
        <v>0.1085</v>
      </c>
      <c r="D8" s="191">
        <v>7.7799999999999994E-2</v>
      </c>
      <c r="E8" s="192">
        <v>0.1085</v>
      </c>
      <c r="F8" s="193">
        <v>0.13550000000000001</v>
      </c>
    </row>
    <row r="9" spans="1:6" x14ac:dyDescent="0.25">
      <c r="A9" s="194" t="s">
        <v>215</v>
      </c>
      <c r="B9" s="63" t="s">
        <v>216</v>
      </c>
      <c r="C9" s="196">
        <f>(1+E9)^(E10/252)-1</f>
        <v>1.1531452360343364E-2</v>
      </c>
      <c r="D9" s="191" t="s">
        <v>217</v>
      </c>
      <c r="E9" s="197">
        <v>0.14749999999999999</v>
      </c>
      <c r="F9" s="198"/>
    </row>
    <row r="10" spans="1:6" x14ac:dyDescent="0.25">
      <c r="A10" s="194" t="s">
        <v>218</v>
      </c>
      <c r="B10" s="306" t="s">
        <v>219</v>
      </c>
      <c r="C10" s="195">
        <v>0.02</v>
      </c>
      <c r="D10" s="199" t="s">
        <v>220</v>
      </c>
      <c r="E10" s="200">
        <v>21</v>
      </c>
      <c r="F10" s="201"/>
    </row>
    <row r="11" spans="1:6" ht="14.4" thickBot="1" x14ac:dyDescent="0.3">
      <c r="A11" s="202" t="s">
        <v>221</v>
      </c>
      <c r="B11" s="307"/>
      <c r="C11" s="203">
        <v>3.6499999999999998E-2</v>
      </c>
      <c r="D11" s="204"/>
      <c r="E11" s="100"/>
      <c r="F11" s="201"/>
    </row>
    <row r="12" spans="1:6" x14ac:dyDescent="0.25">
      <c r="A12" s="205" t="s">
        <v>222</v>
      </c>
      <c r="B12" s="206"/>
      <c r="C12" s="207"/>
      <c r="D12" s="204"/>
      <c r="E12" s="100"/>
      <c r="F12" s="201"/>
    </row>
    <row r="13" spans="1:6" ht="14.4" thickBot="1" x14ac:dyDescent="0.3">
      <c r="A13" s="208" t="s">
        <v>223</v>
      </c>
      <c r="B13" s="209"/>
      <c r="C13" s="210"/>
      <c r="D13" s="204"/>
      <c r="E13" s="100"/>
      <c r="F13" s="201"/>
    </row>
    <row r="14" spans="1:6" ht="14.4" thickBot="1" x14ac:dyDescent="0.3">
      <c r="A14" s="211" t="s">
        <v>224</v>
      </c>
      <c r="B14" s="212"/>
      <c r="C14" s="213">
        <f>ROUND((((1+C6+C7)*(1+C8)*(1+C9))/(1-(C10+C11))-1),4)</f>
        <v>0.2462</v>
      </c>
      <c r="D14" s="214">
        <v>0.21429999999999999</v>
      </c>
      <c r="E14" s="215">
        <v>0.2717</v>
      </c>
      <c r="F14" s="216">
        <v>0.3362</v>
      </c>
    </row>
  </sheetData>
  <mergeCells count="3">
    <mergeCell ref="A2:F2"/>
    <mergeCell ref="D4:F4"/>
    <mergeCell ref="B10:B11"/>
  </mergeCells>
  <pageMargins left="0.511811024" right="0.511811024" top="0.78740157499999996" bottom="0.78740157499999996" header="0.31496062000000002" footer="0.31496062000000002"/>
  <pageSetup orientation="portrait" r:id="rId1"/>
  <headerFooter>
    <oddHeader xml:space="preserve">&amp;C&amp;"Arial,Itálico"PREFEITURA MUNICIPAL DE BOA VISTA DO BURICÁ
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C31"/>
  <sheetViews>
    <sheetView view="pageLayout" topLeftCell="A12" zoomScaleNormal="100" workbookViewId="0">
      <selection activeCell="B2" sqref="B2:C31"/>
    </sheetView>
  </sheetViews>
  <sheetFormatPr defaultColWidth="9.109375" defaultRowHeight="13.8" x14ac:dyDescent="0.25"/>
  <cols>
    <col min="1" max="1" width="8.5546875" style="102" customWidth="1"/>
    <col min="2" max="2" width="67.109375" style="102" customWidth="1"/>
    <col min="3" max="3" width="13.6640625" style="102" customWidth="1"/>
    <col min="4" max="4" width="10.33203125" style="102" customWidth="1"/>
    <col min="5" max="5" width="13.6640625" style="102" customWidth="1"/>
    <col min="6" max="16384" width="9.109375" style="102"/>
  </cols>
  <sheetData>
    <row r="2" spans="1:3" ht="14.4" thickBot="1" x14ac:dyDescent="0.3"/>
    <row r="3" spans="1:3" x14ac:dyDescent="0.25">
      <c r="B3" s="308" t="s">
        <v>225</v>
      </c>
      <c r="C3" s="309"/>
    </row>
    <row r="4" spans="1:3" x14ac:dyDescent="0.25">
      <c r="B4" s="218" t="s">
        <v>226</v>
      </c>
      <c r="C4" s="219"/>
    </row>
    <row r="5" spans="1:3" x14ac:dyDescent="0.25">
      <c r="B5" s="220" t="s">
        <v>227</v>
      </c>
      <c r="C5" s="221">
        <v>1932</v>
      </c>
    </row>
    <row r="6" spans="1:3" x14ac:dyDescent="0.25">
      <c r="B6" s="222" t="s">
        <v>228</v>
      </c>
      <c r="C6" s="221">
        <v>2197</v>
      </c>
    </row>
    <row r="7" spans="1:3" x14ac:dyDescent="0.25">
      <c r="B7" s="204" t="s">
        <v>229</v>
      </c>
      <c r="C7" s="223">
        <v>25</v>
      </c>
    </row>
    <row r="8" spans="1:3" x14ac:dyDescent="0.25">
      <c r="B8" s="204" t="s">
        <v>230</v>
      </c>
      <c r="C8" s="223">
        <v>1463</v>
      </c>
    </row>
    <row r="9" spans="1:3" x14ac:dyDescent="0.25">
      <c r="B9" s="204" t="s">
        <v>231</v>
      </c>
      <c r="C9" s="223">
        <v>321</v>
      </c>
    </row>
    <row r="10" spans="1:3" x14ac:dyDescent="0.25">
      <c r="B10" s="204" t="s">
        <v>232</v>
      </c>
      <c r="C10" s="223">
        <v>12</v>
      </c>
    </row>
    <row r="11" spans="1:3" x14ac:dyDescent="0.25">
      <c r="B11" s="204" t="s">
        <v>233</v>
      </c>
      <c r="C11" s="223">
        <v>339</v>
      </c>
    </row>
    <row r="12" spans="1:3" x14ac:dyDescent="0.25">
      <c r="B12" s="204" t="s">
        <v>234</v>
      </c>
      <c r="C12" s="223">
        <v>0</v>
      </c>
    </row>
    <row r="13" spans="1:3" x14ac:dyDescent="0.25">
      <c r="B13" s="204" t="s">
        <v>235</v>
      </c>
      <c r="C13" s="223">
        <v>22</v>
      </c>
    </row>
    <row r="14" spans="1:3" x14ac:dyDescent="0.25">
      <c r="B14" s="224" t="s">
        <v>236</v>
      </c>
      <c r="C14" s="225">
        <v>0</v>
      </c>
    </row>
    <row r="15" spans="1:3" x14ac:dyDescent="0.25">
      <c r="B15" s="226" t="s">
        <v>237</v>
      </c>
      <c r="C15" s="225">
        <v>0</v>
      </c>
    </row>
    <row r="16" spans="1:3" x14ac:dyDescent="0.25">
      <c r="A16" s="102" t="s">
        <v>148</v>
      </c>
      <c r="B16" s="218" t="s">
        <v>238</v>
      </c>
      <c r="C16" s="219"/>
    </row>
    <row r="17" spans="2:3" x14ac:dyDescent="0.25">
      <c r="B17" s="227" t="s">
        <v>239</v>
      </c>
      <c r="C17" s="228">
        <v>5183</v>
      </c>
    </row>
    <row r="18" spans="2:3" x14ac:dyDescent="0.25">
      <c r="B18" s="204" t="s">
        <v>240</v>
      </c>
      <c r="C18" s="223">
        <v>4918</v>
      </c>
    </row>
    <row r="19" spans="2:3" x14ac:dyDescent="0.25">
      <c r="B19" s="204" t="s">
        <v>241</v>
      </c>
      <c r="C19" s="201">
        <f>C5-C6</f>
        <v>-265</v>
      </c>
    </row>
    <row r="20" spans="2:3" x14ac:dyDescent="0.25">
      <c r="B20" s="184"/>
      <c r="C20" s="229"/>
    </row>
    <row r="21" spans="2:3" s="217" customFormat="1" x14ac:dyDescent="0.25">
      <c r="B21" s="220" t="s">
        <v>242</v>
      </c>
      <c r="C21" s="230">
        <f>MEDIAN(C17,C18)</f>
        <v>5050.5</v>
      </c>
    </row>
    <row r="22" spans="2:3" x14ac:dyDescent="0.25">
      <c r="B22" s="222" t="s">
        <v>243</v>
      </c>
      <c r="C22" s="231">
        <f>C8/C21</f>
        <v>0.28967428967428965</v>
      </c>
    </row>
    <row r="23" spans="2:3" x14ac:dyDescent="0.25">
      <c r="B23" s="222" t="s">
        <v>244</v>
      </c>
      <c r="C23" s="231">
        <f>MEDIAN(C5,C6)/C21</f>
        <v>0.40877140877140877</v>
      </c>
    </row>
    <row r="24" spans="2:3" s="217" customFormat="1" x14ac:dyDescent="0.25">
      <c r="B24" s="222" t="s">
        <v>245</v>
      </c>
      <c r="C24" s="232">
        <f>12/C23</f>
        <v>29.356260595785905</v>
      </c>
    </row>
    <row r="25" spans="2:3" x14ac:dyDescent="0.25">
      <c r="B25" s="222" t="s">
        <v>246</v>
      </c>
      <c r="C25" s="233">
        <v>360</v>
      </c>
    </row>
    <row r="26" spans="2:3" x14ac:dyDescent="0.25">
      <c r="B26" s="222" t="s">
        <v>247</v>
      </c>
      <c r="C26" s="233">
        <v>10</v>
      </c>
    </row>
    <row r="27" spans="2:3" x14ac:dyDescent="0.25">
      <c r="B27" s="220" t="s">
        <v>248</v>
      </c>
      <c r="C27" s="234">
        <v>30</v>
      </c>
    </row>
    <row r="28" spans="2:3" x14ac:dyDescent="0.25">
      <c r="B28" s="220" t="s">
        <v>249</v>
      </c>
      <c r="C28" s="234">
        <v>30</v>
      </c>
    </row>
    <row r="29" spans="2:3" s="217" customFormat="1" x14ac:dyDescent="0.25">
      <c r="B29" s="220" t="s">
        <v>250</v>
      </c>
      <c r="C29" s="234">
        <f>30+(3*TRUNC(1/C23))</f>
        <v>36</v>
      </c>
    </row>
    <row r="30" spans="2:3" s="217" customFormat="1" x14ac:dyDescent="0.25">
      <c r="B30" s="222" t="s">
        <v>168</v>
      </c>
      <c r="C30" s="235">
        <v>0.08</v>
      </c>
    </row>
    <row r="31" spans="2:3" s="217" customFormat="1" ht="14.4" thickBot="1" x14ac:dyDescent="0.3">
      <c r="B31" s="236" t="s">
        <v>251</v>
      </c>
      <c r="C31" s="237">
        <v>0.4</v>
      </c>
    </row>
  </sheetData>
  <mergeCells count="1">
    <mergeCell ref="B3:C3"/>
  </mergeCells>
  <pageMargins left="0.511811024" right="0.511811024" top="0.78740157499999996" bottom="0.78740157499999996" header="0.31496062000000002" footer="0.31496062000000002"/>
  <pageSetup orientation="portrait" r:id="rId1"/>
  <headerFooter>
    <oddHeader>&amp;C&amp;"Arial,Itálico"PREFEITURA MUNICIPAL DE BOA VISTA DO BURICÁ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8"/>
  <sheetViews>
    <sheetView view="pageLayout" topLeftCell="A13" zoomScaleNormal="100" workbookViewId="0">
      <selection activeCell="B13" sqref="B13:E18"/>
    </sheetView>
  </sheetViews>
  <sheetFormatPr defaultColWidth="9.109375" defaultRowHeight="19.5" customHeight="1" x14ac:dyDescent="0.25"/>
  <cols>
    <col min="1" max="1" width="24.5546875" style="238" customWidth="1"/>
    <col min="2" max="2" width="20.88671875" style="238" customWidth="1"/>
    <col min="3" max="16384" width="9.109375" style="238"/>
  </cols>
  <sheetData>
    <row r="1" spans="1:2" ht="13.8" thickBot="1" x14ac:dyDescent="0.3"/>
    <row r="2" spans="1:2" ht="16.2" thickBot="1" x14ac:dyDescent="0.3">
      <c r="A2" s="310" t="s">
        <v>252</v>
      </c>
      <c r="B2" s="311"/>
    </row>
    <row r="3" spans="1:2" s="241" customFormat="1" ht="13.8" x14ac:dyDescent="0.25">
      <c r="A3" s="239" t="s">
        <v>253</v>
      </c>
      <c r="B3" s="240" t="s">
        <v>254</v>
      </c>
    </row>
    <row r="4" spans="1:2" ht="13.8" x14ac:dyDescent="0.25">
      <c r="A4" s="242">
        <v>1</v>
      </c>
      <c r="B4" s="243">
        <v>33.629999999999995</v>
      </c>
    </row>
    <row r="5" spans="1:2" ht="13.8" x14ac:dyDescent="0.25">
      <c r="A5" s="242">
        <v>2</v>
      </c>
      <c r="B5" s="243">
        <v>43.13</v>
      </c>
    </row>
    <row r="6" spans="1:2" ht="13.8" x14ac:dyDescent="0.25">
      <c r="A6" s="242">
        <v>3</v>
      </c>
      <c r="B6" s="243">
        <v>48.68</v>
      </c>
    </row>
    <row r="7" spans="1:2" ht="13.8" x14ac:dyDescent="0.25">
      <c r="A7" s="242">
        <v>4</v>
      </c>
      <c r="B7" s="243">
        <v>52.62</v>
      </c>
    </row>
    <row r="8" spans="1:2" ht="13.8" x14ac:dyDescent="0.25">
      <c r="A8" s="242">
        <v>5</v>
      </c>
      <c r="B8" s="243">
        <v>55.679999999999993</v>
      </c>
    </row>
    <row r="9" spans="1:2" ht="13.8" x14ac:dyDescent="0.25">
      <c r="A9" s="242">
        <v>6</v>
      </c>
      <c r="B9" s="243">
        <v>58.18</v>
      </c>
    </row>
    <row r="10" spans="1:2" ht="13.8" x14ac:dyDescent="0.25">
      <c r="A10" s="242">
        <v>7</v>
      </c>
      <c r="B10" s="243">
        <v>60.29</v>
      </c>
    </row>
    <row r="11" spans="1:2" ht="13.8" x14ac:dyDescent="0.25">
      <c r="A11" s="242">
        <v>8</v>
      </c>
      <c r="B11" s="243">
        <v>62.12</v>
      </c>
    </row>
    <row r="12" spans="1:2" ht="13.8" x14ac:dyDescent="0.25">
      <c r="A12" s="242">
        <v>9</v>
      </c>
      <c r="B12" s="243">
        <v>63.73</v>
      </c>
    </row>
    <row r="13" spans="1:2" ht="13.8" x14ac:dyDescent="0.25">
      <c r="A13" s="242">
        <v>10</v>
      </c>
      <c r="B13" s="243">
        <v>65.180000000000007</v>
      </c>
    </row>
    <row r="14" spans="1:2" ht="13.8" x14ac:dyDescent="0.25">
      <c r="A14" s="242">
        <v>11</v>
      </c>
      <c r="B14" s="243">
        <v>66.47999999999999</v>
      </c>
    </row>
    <row r="15" spans="1:2" ht="13.8" x14ac:dyDescent="0.25">
      <c r="A15" s="242">
        <v>12</v>
      </c>
      <c r="B15" s="243">
        <v>67.67</v>
      </c>
    </row>
    <row r="16" spans="1:2" ht="13.8" x14ac:dyDescent="0.25">
      <c r="A16" s="242">
        <v>13</v>
      </c>
      <c r="B16" s="243">
        <v>68.77</v>
      </c>
    </row>
    <row r="17" spans="1:2" ht="13.8" x14ac:dyDescent="0.25">
      <c r="A17" s="242">
        <v>14</v>
      </c>
      <c r="B17" s="243">
        <v>69.789999999999992</v>
      </c>
    </row>
    <row r="18" spans="1:2" ht="14.4" thickBot="1" x14ac:dyDescent="0.3">
      <c r="A18" s="244">
        <v>15</v>
      </c>
      <c r="B18" s="245">
        <v>70.73</v>
      </c>
    </row>
  </sheetData>
  <mergeCells count="1">
    <mergeCell ref="A2:B2"/>
  </mergeCells>
  <pageMargins left="0.511811024" right="0.511811024" top="0.78740157499999996" bottom="0.78740157499999996" header="0.31496062000000002" footer="0.31496062000000002"/>
  <pageSetup orientation="portrait" r:id="rId1"/>
  <headerFooter>
    <oddHeader xml:space="preserve">&amp;C&amp;"Arial,Itálico"PREFEITURA MUNICIPAL DE BOA VISTA DO BURICA 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8"/>
  <sheetViews>
    <sheetView view="pageLayout" topLeftCell="B19" zoomScaleNormal="100" workbookViewId="0">
      <selection activeCell="B9" sqref="B9:C18"/>
    </sheetView>
  </sheetViews>
  <sheetFormatPr defaultColWidth="9.109375" defaultRowHeight="13.2" x14ac:dyDescent="0.25"/>
  <cols>
    <col min="1" max="1" width="70.44140625" style="238" customWidth="1"/>
    <col min="2" max="3" width="9.109375" style="238"/>
    <col min="4" max="4" width="12.88671875" style="238" bestFit="1" customWidth="1"/>
    <col min="5" max="16384" width="9.109375" style="238"/>
  </cols>
  <sheetData>
    <row r="1" spans="1:1" ht="13.8" thickBot="1" x14ac:dyDescent="0.3"/>
    <row r="2" spans="1:1" ht="17.399999999999999" x14ac:dyDescent="0.3">
      <c r="A2" s="246" t="s">
        <v>255</v>
      </c>
    </row>
    <row r="3" spans="1:1" x14ac:dyDescent="0.25">
      <c r="A3" s="247"/>
    </row>
    <row r="4" spans="1:1" x14ac:dyDescent="0.25">
      <c r="A4" s="247" t="s">
        <v>256</v>
      </c>
    </row>
    <row r="5" spans="1:1" x14ac:dyDescent="0.25">
      <c r="A5" s="247"/>
    </row>
    <row r="6" spans="1:1" x14ac:dyDescent="0.25">
      <c r="A6" s="247"/>
    </row>
    <row r="7" spans="1:1" x14ac:dyDescent="0.25">
      <c r="A7" s="247"/>
    </row>
    <row r="8" spans="1:1" x14ac:dyDescent="0.25">
      <c r="A8" s="247"/>
    </row>
    <row r="9" spans="1:1" x14ac:dyDescent="0.25">
      <c r="A9" s="247"/>
    </row>
    <row r="10" spans="1:1" x14ac:dyDescent="0.25">
      <c r="A10" s="247"/>
    </row>
    <row r="11" spans="1:1" x14ac:dyDescent="0.25">
      <c r="A11" s="247"/>
    </row>
    <row r="12" spans="1:1" x14ac:dyDescent="0.25">
      <c r="A12" s="247"/>
    </row>
    <row r="13" spans="1:1" ht="18.600000000000001" x14ac:dyDescent="0.4">
      <c r="A13" s="248" t="s">
        <v>257</v>
      </c>
    </row>
    <row r="14" spans="1:1" ht="15" x14ac:dyDescent="0.25">
      <c r="A14" s="248" t="s">
        <v>258</v>
      </c>
    </row>
    <row r="15" spans="1:1" ht="15" x14ac:dyDescent="0.25">
      <c r="A15" s="248" t="s">
        <v>259</v>
      </c>
    </row>
    <row r="16" spans="1:1" ht="18.600000000000001" x14ac:dyDescent="0.4">
      <c r="A16" s="248" t="s">
        <v>260</v>
      </c>
    </row>
    <row r="17" spans="1:1" ht="18.600000000000001" x14ac:dyDescent="0.4">
      <c r="A17" s="248" t="s">
        <v>261</v>
      </c>
    </row>
    <row r="18" spans="1:1" ht="15.6" thickBot="1" x14ac:dyDescent="0.3">
      <c r="A18" s="249" t="s">
        <v>262</v>
      </c>
    </row>
  </sheetData>
  <pageMargins left="0.511811024" right="0.511811024" top="0.78740157499999996" bottom="0.78740157499999996" header="0.31496062000000002" footer="0.31496062000000002"/>
  <pageSetup orientation="portrait" r:id="rId1"/>
  <headerFooter>
    <oddHeader xml:space="preserve">&amp;C&amp;"Arial,Itálico"PREFEITURA MUNICIPAL DE BOA VISTA DO BURICA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</vt:i4>
      </vt:variant>
    </vt:vector>
  </HeadingPairs>
  <TitlesOfParts>
    <vt:vector size="7" baseType="lpstr">
      <vt:lpstr>Planilha de Custos</vt:lpstr>
      <vt:lpstr>Encargos Sociais</vt:lpstr>
      <vt:lpstr>BDI</vt:lpstr>
      <vt:lpstr>CAGED</vt:lpstr>
      <vt:lpstr>DEPRECIACAO</vt:lpstr>
      <vt:lpstr>REMUNERACAO CAPITAL</vt:lpstr>
      <vt:lpstr>'Planilha de Custos'!Area_de_impressao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</dc:creator>
  <cp:lastModifiedBy>Meio Ambiente</cp:lastModifiedBy>
  <cp:lastPrinted>2026-04-16T14:13:58Z</cp:lastPrinted>
  <dcterms:created xsi:type="dcterms:W3CDTF">2024-11-19T17:42:24Z</dcterms:created>
  <dcterms:modified xsi:type="dcterms:W3CDTF">2026-04-16T16:57:39Z</dcterms:modified>
</cp:coreProperties>
</file>