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EstaPasta_de_trabalho"/>
  <mc:AlternateContent xmlns:mc="http://schemas.openxmlformats.org/markup-compatibility/2006">
    <mc:Choice Requires="x15">
      <x15ac:absPath xmlns:x15ac="http://schemas.microsoft.com/office/spreadsheetml/2010/11/ac" url="\\PAULOGEWER\rede\VAGUINHO\Projetos\2026\CO 90034 2026\"/>
    </mc:Choice>
  </mc:AlternateContent>
  <workbookProtection workbookAlgorithmName="SHA-512" workbookHashValue="6aKDOm07PXAC3BhYJIyXpfi3d6+8odRjoCb3b6oEwYmyFN6gU/XvbGGt3kAE4Dsul3WiXQPt1ddZeFHGYBCsKQ==" workbookSaltValue="FU11nKlqPE10n6rlHkQBfA==" workbookSpinCount="100000" lockStructure="1"/>
  <bookViews>
    <workbookView xWindow="0" yWindow="600" windowWidth="21600" windowHeight="9630" tabRatio="801" activeTab="4"/>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BM!$C$15:$C$33</definedName>
    <definedName name="_xlnm._FilterDatabase" localSheetId="6" hidden="1">CÁLCULO!$C$15:$C$33</definedName>
    <definedName name="_xlnm._FilterDatabase" localSheetId="8" hidden="1">CRONO!$G$13:$G$52</definedName>
    <definedName name="_xlnm._FilterDatabase" localSheetId="7" hidden="1">CRONOPLE!$A$13:$A$79</definedName>
    <definedName name="_xlnm._FilterDatabase" localSheetId="5" hidden="1">EVENTOS!$A$13:$A$72</definedName>
    <definedName name="_xlnm._FilterDatabase" localSheetId="4" hidden="1">ORÇAMENTO!$L$15:$L$33</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BM!$D$1:$O$48</definedName>
    <definedName name="_xlnm.Print_Area" localSheetId="6">CÁLCULO!$E$6:$AA$41</definedName>
    <definedName name="_xlnm.Print_Area" localSheetId="8">CRONO!$I$1:$AG$52</definedName>
    <definedName name="_xlnm.Print_Area" localSheetId="5">EVENTOS!$C$2:$Z$72</definedName>
    <definedName name="_xlnm.Print_Area" localSheetId="1">MENU!$A$1:$I$25</definedName>
    <definedName name="_xlnm.Print_Area" localSheetId="13">OFÍCIO!$A$1:$G$56</definedName>
    <definedName name="_xlnm.Print_Area" localSheetId="4">ORÇAMENTO!$O$1:$Y$50</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BM!$C$15:$C$33</definedName>
    <definedName name="BM.firstrow" hidden="1">BM!$15:$15</definedName>
    <definedName name="BM.FormulaMed" hidden="1">BM!$AO$7</definedName>
    <definedName name="BM.lastrow" hidden="1">BM!$33:$33</definedName>
    <definedName name="BM.LinhaPadrão" hidden="1">BM!$14:$14</definedName>
    <definedName name="BM.MaxMed" hidden="1">IF(RegimeExecucao="Global",1,BM!$G1)</definedName>
    <definedName name="BM.MCAIXA.Filter" hidden="1">BM!$C$15:$Z$33</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CÁLCULO!$C$15:$C$33</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CÁLCULO!$33:$33</definedName>
    <definedName name="CÁLCULO.LinhaPadrão" hidden="1">CÁLCULO!$14:$14</definedName>
    <definedName name="CÁLCULO.margemrow" hidden="1">CÁLCULO!$41:$41</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CÁLCULO!$33:$33</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CÁLCULO!$33:$33</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CÁLCULO!$33:$33</definedName>
    <definedName name="CÁLCULO.nEvento" hidden="1">CÁLCULO!$M$12</definedName>
    <definedName name="CÁLCULO.NúmeroDeEventos" hidden="1">IF(AUTOEVENTO&lt;&gt;"manual",MAX(CÁLCULO!$M$15:$M$33),MAX(OFFSET(EVENTOS!$C$1:$C$65,1,0)))</definedName>
    <definedName name="CÁLCULO.NúmeroDeFrentes" hidden="1">COLUMN(CÁLCULO!$AA$15)-COLUMN(CÁLCULO!$Q$15)</definedName>
    <definedName name="CÁLCULO.Título" hidden="1">CÁLCULO!$F$6</definedName>
    <definedName name="CÁLCULO.TotalAdmLocal" hidden="1">IF(AUTOEVENTO="manual",SUMIF(CÁLCULO!$M$15:$M$33,1,ORÇAMENTO!$X$15:$X$33),0)</definedName>
    <definedName name="CRONO.ColAux" hidden="1">CRONO!$M:$R</definedName>
    <definedName name="CRONO.ColunaPadrão" hidden="1">CRONO!$E:$E</definedName>
    <definedName name="CRONO.Erro" hidden="1">CRONO!$K$10</definedName>
    <definedName name="CRONO.Filtro" hidden="1">CRONO!$G$13:$G$52</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CRONO!$35:$35</definedName>
    <definedName name="CRONO.lastrow2" hidden="1">CRONO!$47:$47</definedName>
    <definedName name="CRONO.LinhaPadrão" hidden="1">CRONO!$1:$3</definedName>
    <definedName name="CRONO.LinhasNecessarias" hidden="1">COUNTIF(QCI!$B$13:$B$24,"Manual")+COUNTIF(QCI!$B$13:$B$24,"SemiAuto")+COUNT(ORÇAMENTO.ListaCrono)</definedName>
    <definedName name="CRONO.Lista.AdmLocal" hidden="1">CRONO!$A$13:$A$35</definedName>
    <definedName name="CRONO.Lista.Níveis" hidden="1">CRONO!$A$9:$A$11</definedName>
    <definedName name="CRONO.margemrow" hidden="1">CRONO!$52:$52</definedName>
    <definedName name="CRONO.MaxParc" hidden="1">CRONO!$H1048576+CRONO!A1</definedName>
    <definedName name="CRONO.NivelExibicao" hidden="1">CRONO!$H$10</definedName>
    <definedName name="CRONO.Parcela1" hidden="1">CRONO!$U$12:$U$13</definedName>
    <definedName name="CRONO.ParcelaFinal" hidden="1">MATCH(100%,CRONO!$U$41:$AG$41,0)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SUMIF(CÁLCULO!$M$15:$M$33,CRONOPLE!$B1,OFFSET(CÁLCULO!$AA$15:$AA$33,0,CRONOPLE!A$12))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BM!$D$36</definedName>
    <definedName name="Import.BMAFAcumulado" hidden="1">OFFSET(BM!$R$15,1,0):OFFSET(BM!$R$33,-1,0)</definedName>
    <definedName name="Import.BMArred" hidden="1">BM!$A$9</definedName>
    <definedName name="Import.CNPJ" hidden="1">DADOS!$C$39</definedName>
    <definedName name="Import.Código" hidden="1">OFFSET(ORÇAMENTO!$Q$15,1,0):OFFSET(ORÇAMENTO!$Q$33,-1,0)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OFFSET(ORÇAMENTO!$U$15,1,0):OFFSET(ORÇAMENTO!$U$33,-1,0)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OFFSET(ORÇAMENTO!$R$15,1,0):OFFSET(ORÇAMENTO!$R$33,-1,0)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OFFSET(ORÇAMENTO!$P$15,1,0):OFFSET(ORÇAMENTO!$P$33,-1,0)</definedName>
    <definedName name="Import.FrenteDeObra" hidden="1">CÁLCULO!$Q$12:OFFSET(CÁLCULO!$AA$12,0,-1)</definedName>
    <definedName name="Import.MacrosserviçoAdmLocal" hidden="1">CRONO!$H$46</definedName>
    <definedName name="Import.Município" hidden="1">DADOS!$C$6</definedName>
    <definedName name="Import.Nível" hidden="1">OFFSET(ORÇAMENTO!$M$15,1,0):OFFSET(ORÇAMENTO!$M$33,-1,0)</definedName>
    <definedName name="Import.Ofício.Dest" hidden="1">OFÍCIO!$B$11</definedName>
    <definedName name="Import.Ofício.GIGOV" hidden="1">OFÍCIO!$C$11</definedName>
    <definedName name="Import.Ofício.Num" hidden="1">OFÍCIO!$C$6</definedName>
    <definedName name="Import.OpcaoBDI" hidden="1">OFFSET(ORÇAMENTO!$V$15,1,0):OFFSET(ORÇAMENTO!$V$33,-1,0)</definedName>
    <definedName name="Import.ORÇAMENTO.DivRecurso" hidden="1">OFFSET(ORÇAMENTO!$Y$15,1,0):OFFSET(ORÇAMENTO!$Y$33,-1,0)</definedName>
    <definedName name="Import.ORÇAMENTO.Obs" hidden="1">ORÇAMENTO!$O$39</definedName>
    <definedName name="Import.PLE" hidden="1">OFFSET(PLE!$G$15,1,1):OFFSET(PLE!$AG$65,-1,-1)</definedName>
    <definedName name="Import.PLE.Datas" hidden="1">PLE!$I$68:$AF$68</definedName>
    <definedName name="Import.PLQ" hidden="1">OFFSET(CÁLCULO!$P$15,1,1):OFFSET(CÁLCULO!$AA$33,-1,-1)</definedName>
    <definedName name="Import.PLQ.MemCalc" hidden="1">OFFSET(CÁLCULO!$I$15,1,0):OFFSET(CÁLCULO!$I$33,-1,0)</definedName>
    <definedName name="Import.PLQ.nAgrupEvent" hidden="1">OFFSET(CÁLCULO!$K$15,1,0):OFFSET(CÁLCULO!$K$33,-1,0)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OFFSET(ORÇAMENTO!$AJ$15,1,0):OFFSET(ORÇAMENTO!$AJ$33,-1,0)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OFFSET(ORÇAMENTO!$S$15,1,0):OFFSET(ORÇAMENTO!$S$33,-1,0)</definedName>
    <definedName name="Import.UnitarioLicitado" hidden="1">OFFSET(ORÇAMENTO!$AL$15,1,0):OFFSET(ORÇAMENTO!$AL$33,-1,0)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ORÇAMENTO!$L$15:$L$33</definedName>
    <definedName name="ORÇAMENTO.firstrow" hidden="1">ORÇAMENTO!$15:$15</definedName>
    <definedName name="ORÇAMENTO.Fonte" hidden="1">ORÇAMENTO!$P1</definedName>
    <definedName name="ORÇAMENTO.lastrow" hidden="1">ORÇAMENTO!$33:$33</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OFFSET(ORÇAMENTO!$AD$15,1,0):OFFSET(ORÇAMENTO!$AD$33,-1,0)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OFFSET(ORÇAMENTO!$P$15,1,0):OFFSET(ORÇAMENTO!$S$33,-1,0)</definedName>
    <definedName name="ORÇAMENTO.PasteFormat2" hidden="1">OFFSET(ORÇAMENTO!$U$15,1,0):OFFSET(ORÇAMENTO!$V$33,-1,0)</definedName>
    <definedName name="ORÇAMENTO.PrecoUnitarioLicitado" hidden="1">ORÇAMENTO!$AL1</definedName>
    <definedName name="ORÇAMENTO.QuantBM" hidden="1">ORÇAMENTO!$AJ1</definedName>
    <definedName name="ORÇAMENTO.RangeQuant" hidden="1">OFFSET(ORÇAMENTO!$T$15,1,0):OFFSET(ORÇAMENTO!$T$33,-1,0)</definedName>
    <definedName name="ORÇAMENTO.SumCPMANUAL" hidden="1">SUMIF(ORÇAMENTO!$Z$15:$Z$33,"CP",ORÇAMENTO!$AA$15:$AA$33)</definedName>
    <definedName name="ORÇAMENTO.SumINVMANUAL" hidden="1">SUMIF(ORÇAMENTO!$Z$15:$Z$33,"RP",ORÇAMENTO!$X$15:$X$33)+SUMIF(ORÇAMENTO!$Z$15:$Z$33,"CP",ORÇAMENTO!$X$15:$X$33)+SUMIF(ORÇAMENTO!$Z$15:$Z$33,"OU",ORÇAMENTO!$X$15:$X$33)</definedName>
    <definedName name="ORÇAMENTO.SumOUTROSMANUAL" hidden="1">SUMIF(ORÇAMENTO!$Z$15:$Z$33,"OU",ORÇAMENTO!$AB$15:$AB$33)</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SUMIF(CÁLCULO!$M$15:$M$33,PLE!$B1,OFFSET(CÁLCULO!$AA$15:$AA$33,0,PLE!A$12))</definedName>
    <definedName name="PO.ValoresBDI" hidden="1">OFFSET(ORÇAMENTO!$AH$15,1,0):OFFSET(ORÇAMENTO!$AH$33,-1,0)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30" i="5" l="1"/>
  <c r="AJ22" i="5"/>
  <c r="AJ24" i="5" s="1"/>
  <c r="AJ20" i="5"/>
  <c r="AJ26" i="5"/>
  <c r="AJ28" i="5"/>
  <c r="AJ27" i="5"/>
  <c r="AJ32" i="5"/>
  <c r="AJ23" i="5"/>
  <c r="H24" i="12" a="1"/>
  <c r="G24" i="12" a="1"/>
  <c r="F24" i="12" a="1"/>
  <c r="H23" i="12" a="1"/>
  <c r="G23" i="12" a="1"/>
  <c r="F23" i="12" a="1"/>
  <c r="A24" i="5"/>
  <c r="A23" i="5"/>
  <c r="H28" i="12" a="1"/>
  <c r="G28" i="12" a="1"/>
  <c r="F28" i="12" a="1"/>
  <c r="A28" i="5"/>
  <c r="H32" i="12" a="1"/>
  <c r="G32" i="12" a="1"/>
  <c r="F32" i="12" a="1"/>
  <c r="H31" i="12" a="1"/>
  <c r="G31" i="12" a="1"/>
  <c r="F31" i="12" a="1"/>
  <c r="H30" i="12" a="1"/>
  <c r="G30" i="12" a="1"/>
  <c r="F30" i="12" a="1"/>
  <c r="H29" i="12" a="1"/>
  <c r="G29" i="12" a="1"/>
  <c r="F29" i="12" a="1"/>
  <c r="H27" i="12" a="1"/>
  <c r="G27" i="12" a="1"/>
  <c r="F27" i="12" a="1"/>
  <c r="H26" i="12" a="1"/>
  <c r="G26" i="12" a="1"/>
  <c r="F26" i="12" a="1"/>
  <c r="H25" i="12" a="1"/>
  <c r="G25" i="12" a="1"/>
  <c r="F25" i="12" a="1"/>
  <c r="H22" i="12" a="1"/>
  <c r="G22" i="12" a="1"/>
  <c r="F22" i="12" a="1"/>
  <c r="H21" i="12" a="1"/>
  <c r="G21" i="12" a="1"/>
  <c r="F21" i="12" a="1"/>
  <c r="A32" i="5"/>
  <c r="A31" i="5"/>
  <c r="A30" i="5"/>
  <c r="A29" i="5"/>
  <c r="A27" i="5"/>
  <c r="A26" i="5"/>
  <c r="A25" i="5"/>
  <c r="A22" i="5"/>
  <c r="A21" i="5"/>
  <c r="H23" i="13" l="1"/>
  <c r="G23" i="13"/>
  <c r="H22" i="13"/>
  <c r="G22" i="13"/>
  <c r="H21" i="13"/>
  <c r="G21" i="13"/>
  <c r="H20" i="13"/>
  <c r="G20" i="13"/>
  <c r="H19" i="13"/>
  <c r="G19" i="13"/>
  <c r="H18" i="13"/>
  <c r="G18" i="13"/>
  <c r="H17" i="13"/>
  <c r="G17" i="13"/>
  <c r="H16" i="13"/>
  <c r="G16" i="13"/>
  <c r="H15" i="13"/>
  <c r="G15" i="13"/>
  <c r="H14" i="13"/>
  <c r="G14" i="13"/>
  <c r="S23" i="11"/>
  <c r="J23" i="11"/>
  <c r="I23" i="13" s="1"/>
  <c r="D23" i="11"/>
  <c r="S22" i="11"/>
  <c r="J22" i="11"/>
  <c r="I22" i="13" s="1"/>
  <c r="D22" i="11"/>
  <c r="E22" i="13" s="1"/>
  <c r="A22" i="11"/>
  <c r="S21" i="11"/>
  <c r="J21" i="11"/>
  <c r="I21" i="13" s="1"/>
  <c r="D21" i="11"/>
  <c r="E21" i="13" s="1"/>
  <c r="A21" i="11"/>
  <c r="S20" i="11"/>
  <c r="J20" i="11"/>
  <c r="I20" i="13" s="1"/>
  <c r="D20" i="11"/>
  <c r="E20" i="13" s="1"/>
  <c r="A20" i="11"/>
  <c r="S19" i="11"/>
  <c r="J19" i="11"/>
  <c r="I19" i="13" s="1"/>
  <c r="D19" i="11"/>
  <c r="S18" i="11"/>
  <c r="J18" i="11"/>
  <c r="I18" i="13" s="1"/>
  <c r="D18" i="11"/>
  <c r="E18" i="13" s="1"/>
  <c r="A18" i="11"/>
  <c r="S17" i="11"/>
  <c r="J17" i="11"/>
  <c r="I17" i="13" s="1"/>
  <c r="D17" i="11"/>
  <c r="E17" i="13" s="1"/>
  <c r="A17" i="11"/>
  <c r="S16" i="11"/>
  <c r="J16" i="11"/>
  <c r="I16" i="13" s="1"/>
  <c r="D16" i="11"/>
  <c r="E16" i="13" s="1"/>
  <c r="A16" i="11"/>
  <c r="S15" i="11"/>
  <c r="J15" i="11"/>
  <c r="I15" i="13" s="1"/>
  <c r="D15" i="11"/>
  <c r="E15" i="13" s="1"/>
  <c r="A15" i="11"/>
  <c r="S14" i="11"/>
  <c r="J14" i="11"/>
  <c r="I14" i="13" s="1"/>
  <c r="D14" i="11"/>
  <c r="E14" i="13" s="1"/>
  <c r="A14" i="11"/>
  <c r="B14" i="8"/>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H20" i="12" a="1"/>
  <c r="G20" i="12" a="1"/>
  <c r="F20" i="12" a="1"/>
  <c r="H19" i="12" a="1"/>
  <c r="G19" i="12" a="1"/>
  <c r="F19" i="12" a="1"/>
  <c r="E19" i="12"/>
  <c r="H18" i="12" a="1"/>
  <c r="G18" i="12" a="1"/>
  <c r="F18" i="12" a="1"/>
  <c r="H17" i="12" a="1"/>
  <c r="G17" i="12" a="1"/>
  <c r="F17" i="12" a="1"/>
  <c r="E17" i="12"/>
  <c r="H16" i="12" a="1"/>
  <c r="G16" i="12" a="1"/>
  <c r="F16" i="12" a="1"/>
  <c r="E16" i="12"/>
  <c r="L16" i="6"/>
  <c r="A20" i="5"/>
  <c r="A19" i="5"/>
  <c r="A18" i="5"/>
  <c r="A17" i="5"/>
  <c r="C16" i="5"/>
  <c r="B16" i="5" s="1"/>
  <c r="A16" i="5"/>
  <c r="C192" i="3"/>
  <c r="R101" i="4"/>
  <c r="J105" i="4"/>
  <c r="J102" i="4"/>
  <c r="J101" i="4"/>
  <c r="J65" i="4"/>
  <c r="J62" i="4"/>
  <c r="J61" i="4"/>
  <c r="C188" i="3"/>
  <c r="E23" i="13" l="1"/>
  <c r="A23" i="11"/>
  <c r="L17" i="6"/>
  <c r="F16" i="6"/>
  <c r="A19" i="11"/>
  <c r="E19" i="13"/>
  <c r="B17" i="8"/>
  <c r="G16" i="5"/>
  <c r="H16" i="5"/>
  <c r="F16" i="5"/>
  <c r="I16" i="5"/>
  <c r="N16" i="5"/>
  <c r="A16" i="12"/>
  <c r="W16" i="5" a="1"/>
  <c r="AE16" i="5" a="1"/>
  <c r="C17" i="5"/>
  <c r="B16" i="6"/>
  <c r="C184" i="3"/>
  <c r="C183" i="3"/>
  <c r="C181" i="3"/>
  <c r="B17" i="6" l="1"/>
  <c r="E16" i="5"/>
  <c r="AD16" i="5"/>
  <c r="AD17" i="5" s="1"/>
  <c r="L18" i="6"/>
  <c r="F17" i="6"/>
  <c r="B20" i="8"/>
  <c r="D16" i="6"/>
  <c r="F17" i="5"/>
  <c r="G17" i="5"/>
  <c r="H17" i="5"/>
  <c r="I17" i="5"/>
  <c r="N17" i="5"/>
  <c r="W17" i="5" a="1"/>
  <c r="AE17" i="5" a="1"/>
  <c r="C18" i="5"/>
  <c r="A17" i="12"/>
  <c r="B17" i="5"/>
  <c r="AC33" i="5" a="1"/>
  <c r="B14" i="11" l="1"/>
  <c r="A14" i="13"/>
  <c r="E17" i="5"/>
  <c r="E18" i="5" s="1"/>
  <c r="B18" i="6"/>
  <c r="B23" i="8"/>
  <c r="G16" i="6"/>
  <c r="H16" i="6" a="1"/>
  <c r="M16" i="6"/>
  <c r="N16" i="6"/>
  <c r="D17" i="6"/>
  <c r="D18" i="5"/>
  <c r="B18" i="12" s="1"/>
  <c r="F18" i="5"/>
  <c r="G18" i="5"/>
  <c r="H18" i="5"/>
  <c r="J18" i="5"/>
  <c r="K18" i="5"/>
  <c r="N18" i="5"/>
  <c r="AD18" i="5"/>
  <c r="AE18" i="5" a="1"/>
  <c r="A18" i="12"/>
  <c r="B18" i="5"/>
  <c r="L14" i="6"/>
  <c r="AE7" i="10" a="1"/>
  <c r="AE6" i="10" a="1"/>
  <c r="V7" i="10" a="1"/>
  <c r="V6" i="10" a="1"/>
  <c r="D40" i="12" a="1"/>
  <c r="AB15" i="12" a="1"/>
  <c r="Q12" i="12" a="1"/>
  <c r="X13" i="12" a="1"/>
  <c r="W13" i="12" a="1"/>
  <c r="V13" i="12" a="1"/>
  <c r="J12" i="12" a="1"/>
  <c r="I8" i="12" a="1"/>
  <c r="I7" i="12" a="1"/>
  <c r="A7" i="12" a="1"/>
  <c r="E2" i="12" a="1"/>
  <c r="AF8" i="8" a="1"/>
  <c r="AF7" i="8" a="1"/>
  <c r="S4" i="8" a="1"/>
  <c r="Z8" i="8" a="1"/>
  <c r="Z7" i="8" a="1"/>
  <c r="D15" i="6" a="1"/>
  <c r="J120" i="4" a="1"/>
  <c r="J80" i="4" a="1"/>
  <c r="J40" i="4" a="1"/>
  <c r="D36" i="2" a="1"/>
  <c r="D41" i="2" a="1"/>
  <c r="D40" i="2" a="1"/>
  <c r="D39" i="2" a="1"/>
  <c r="D38" i="2" a="1"/>
  <c r="D37" i="2" a="1"/>
  <c r="G18" i="15" a="1"/>
  <c r="G10" i="15" a="1"/>
  <c r="E22" i="15" a="1"/>
  <c r="E18" i="15" a="1"/>
  <c r="E12" i="15" a="1"/>
  <c r="E10" i="15" a="1"/>
  <c r="E24" i="15" a="1"/>
  <c r="C18" i="15" a="1"/>
  <c r="C14" i="15" a="1"/>
  <c r="C12" i="15" a="1"/>
  <c r="C10" i="15" a="1"/>
  <c r="N15" i="5" a="1"/>
  <c r="M15" i="5" a="1"/>
  <c r="F10" i="5" a="1"/>
  <c r="F9" i="5" a="1"/>
  <c r="F8" i="5" a="1"/>
  <c r="A14" i="5"/>
  <c r="C165" i="3"/>
  <c r="G11" i="5" a="1"/>
  <c r="L19" i="6" l="1"/>
  <c r="F19" i="6" s="1"/>
  <c r="C14" i="13"/>
  <c r="G14" i="11"/>
  <c r="F14" i="13" s="1"/>
  <c r="K14" i="11" a="1"/>
  <c r="B26" i="8"/>
  <c r="N17" i="6"/>
  <c r="M17" i="6"/>
  <c r="H17" i="6" a="1"/>
  <c r="G17" i="6"/>
  <c r="D18" i="6"/>
  <c r="B14" i="6"/>
  <c r="C19" i="5" l="1"/>
  <c r="B29" i="8"/>
  <c r="F14" i="6"/>
  <c r="D14" i="6"/>
  <c r="C171" i="3"/>
  <c r="C170" i="3"/>
  <c r="C169" i="3"/>
  <c r="C166" i="3"/>
  <c r="C160" i="3"/>
  <c r="C159" i="3"/>
  <c r="I19" i="5" l="1"/>
  <c r="E19" i="5"/>
  <c r="W19" i="5" a="1"/>
  <c r="F19" i="5"/>
  <c r="K17" i="5" s="1"/>
  <c r="H19" i="5"/>
  <c r="G19" i="5"/>
  <c r="N19" i="5"/>
  <c r="D19" i="6" s="1"/>
  <c r="N19" i="6" s="1"/>
  <c r="AE19" i="5" a="1"/>
  <c r="AD19" i="5"/>
  <c r="B19" i="5"/>
  <c r="A19" i="12"/>
  <c r="B19" i="6"/>
  <c r="B32" i="8"/>
  <c r="L20" i="6"/>
  <c r="G14" i="6"/>
  <c r="H14" i="6" a="1"/>
  <c r="X9" i="5"/>
  <c r="W9" i="5"/>
  <c r="V9" i="5"/>
  <c r="U9" i="5"/>
  <c r="T9" i="5"/>
  <c r="G19" i="6" l="1"/>
  <c r="H19" i="6" a="1"/>
  <c r="M19" i="6"/>
  <c r="L21" i="6"/>
  <c r="C20" i="5"/>
  <c r="C177" i="3"/>
  <c r="C175" i="3"/>
  <c r="L22" i="6" l="1"/>
  <c r="L23" i="6" s="1"/>
  <c r="B20" i="6"/>
  <c r="D20" i="5"/>
  <c r="B20" i="12" s="1"/>
  <c r="E20" i="5"/>
  <c r="F20" i="5"/>
  <c r="G20" i="5"/>
  <c r="H20" i="5"/>
  <c r="J20" i="5"/>
  <c r="K20" i="5"/>
  <c r="N20" i="5"/>
  <c r="AD20" i="5"/>
  <c r="AE20" i="5" a="1"/>
  <c r="A20" i="12"/>
  <c r="B20" i="5"/>
  <c r="C157" i="3"/>
  <c r="C173" i="3"/>
  <c r="C167" i="3"/>
  <c r="C164" i="3"/>
  <c r="C163" i="3"/>
  <c r="C161" i="3"/>
  <c r="L24" i="6" l="1"/>
  <c r="L25" i="6" s="1"/>
  <c r="D20" i="6"/>
  <c r="C153" i="3"/>
  <c r="C151" i="3"/>
  <c r="C21" i="5" l="1"/>
  <c r="L26" i="6"/>
  <c r="A12" i="6"/>
  <c r="A21" i="12" l="1"/>
  <c r="N21" i="5"/>
  <c r="D21" i="6" s="1"/>
  <c r="H21" i="6" s="1" a="1"/>
  <c r="C22" i="5"/>
  <c r="C23" i="5" s="1"/>
  <c r="F21" i="5"/>
  <c r="AE21" i="5" a="1"/>
  <c r="AD21" i="5"/>
  <c r="B21" i="6"/>
  <c r="B21" i="5"/>
  <c r="G21" i="5"/>
  <c r="H21" i="5"/>
  <c r="E21" i="5"/>
  <c r="L27" i="6"/>
  <c r="L28" i="6" s="1"/>
  <c r="X64" i="7" a="1"/>
  <c r="M64" i="7" a="1"/>
  <c r="U63" i="7" a="1"/>
  <c r="L62" i="7" a="1"/>
  <c r="R34" i="7" a="1"/>
  <c r="M34" i="7" a="1"/>
  <c r="I34" i="7" a="1"/>
  <c r="P33" i="7" a="1"/>
  <c r="I33" i="7" a="1"/>
  <c r="T30" i="7" a="1"/>
  <c r="P30" i="7" a="1"/>
  <c r="X29" i="7" a="1"/>
  <c r="M29" i="7" a="1"/>
  <c r="M28" i="7" a="1"/>
  <c r="Y27" i="7" a="1"/>
  <c r="Q26" i="7" a="1"/>
  <c r="L26" i="7" a="1"/>
  <c r="Y25" i="7" a="1"/>
  <c r="S25" i="7" a="1"/>
  <c r="O25" i="7" a="1"/>
  <c r="E25" i="7" a="1"/>
  <c r="S24" i="7" a="1"/>
  <c r="J24" i="7" a="1"/>
  <c r="P23" i="7" a="1"/>
  <c r="W22" i="7" a="1"/>
  <c r="L22" i="7" a="1"/>
  <c r="N20" i="7" a="1"/>
  <c r="K20" i="7" a="1"/>
  <c r="F20" i="7"/>
  <c r="V19" i="7" a="1"/>
  <c r="P19" i="7" a="1"/>
  <c r="U18" i="7" a="1"/>
  <c r="J18" i="7" a="1"/>
  <c r="Y17" i="7" a="1"/>
  <c r="T17" i="7" a="1"/>
  <c r="P17" i="7" a="1"/>
  <c r="X16" i="7" a="1"/>
  <c r="Q16" i="7" a="1"/>
  <c r="I16" i="7" a="1"/>
  <c r="Y61" i="7" a="1"/>
  <c r="X61" i="7" a="1"/>
  <c r="W61" i="7" a="1"/>
  <c r="V61" i="7" a="1"/>
  <c r="U61" i="7" a="1"/>
  <c r="T61" i="7" a="1"/>
  <c r="S61" i="7" a="1"/>
  <c r="R61" i="7" a="1"/>
  <c r="Q61" i="7" a="1"/>
  <c r="P61" i="7" a="1"/>
  <c r="O61" i="7" a="1"/>
  <c r="N61" i="7" a="1"/>
  <c r="M61" i="7" a="1"/>
  <c r="L61" i="7" a="1"/>
  <c r="K61" i="7" a="1"/>
  <c r="J61" i="7" a="1"/>
  <c r="I61" i="7" a="1"/>
  <c r="H61" i="7" a="1"/>
  <c r="F61" i="7"/>
  <c r="E61" i="7" a="1"/>
  <c r="Y60" i="7" a="1"/>
  <c r="X60" i="7" a="1"/>
  <c r="W60" i="7" a="1"/>
  <c r="V60" i="7" a="1"/>
  <c r="U60" i="7" a="1"/>
  <c r="T60" i="7" a="1"/>
  <c r="S60" i="7" a="1"/>
  <c r="R60" i="7" a="1"/>
  <c r="Q60" i="7" a="1"/>
  <c r="P60" i="7" a="1"/>
  <c r="O60" i="7" a="1"/>
  <c r="N60" i="7" a="1"/>
  <c r="M60" i="7" a="1"/>
  <c r="L60" i="7" a="1"/>
  <c r="K60" i="7" a="1"/>
  <c r="J60" i="7" a="1"/>
  <c r="I60" i="7" a="1"/>
  <c r="H60" i="7" a="1"/>
  <c r="F60" i="7"/>
  <c r="E60" i="7" a="1"/>
  <c r="Y59" i="7" a="1"/>
  <c r="X59" i="7" a="1"/>
  <c r="W59" i="7" a="1"/>
  <c r="V59" i="7" a="1"/>
  <c r="U59" i="7" a="1"/>
  <c r="T59" i="7" a="1"/>
  <c r="S59" i="7" a="1"/>
  <c r="R59" i="7" a="1"/>
  <c r="Q59" i="7" a="1"/>
  <c r="P59" i="7" a="1"/>
  <c r="O59" i="7" a="1"/>
  <c r="N59" i="7" a="1"/>
  <c r="M59" i="7" a="1"/>
  <c r="L59" i="7" a="1"/>
  <c r="K59" i="7" a="1"/>
  <c r="J59" i="7" a="1"/>
  <c r="I59" i="7" a="1"/>
  <c r="H59" i="7" a="1"/>
  <c r="F59" i="7"/>
  <c r="E59" i="7" a="1"/>
  <c r="Y58" i="7" a="1"/>
  <c r="X58" i="7" a="1"/>
  <c r="W58" i="7" a="1"/>
  <c r="V58" i="7" a="1"/>
  <c r="U58" i="7" a="1"/>
  <c r="T58" i="7" a="1"/>
  <c r="S58" i="7" a="1"/>
  <c r="R58" i="7" a="1"/>
  <c r="Q58" i="7" a="1"/>
  <c r="P58" i="7" a="1"/>
  <c r="O58" i="7" a="1"/>
  <c r="N58" i="7" a="1"/>
  <c r="M58" i="7" a="1"/>
  <c r="L58" i="7" a="1"/>
  <c r="K58" i="7" a="1"/>
  <c r="J58" i="7" a="1"/>
  <c r="I58" i="7" a="1"/>
  <c r="H58" i="7" a="1"/>
  <c r="F58" i="7"/>
  <c r="E58" i="7" a="1"/>
  <c r="Y57" i="7" a="1"/>
  <c r="X57" i="7" a="1"/>
  <c r="W57" i="7" a="1"/>
  <c r="V57" i="7" a="1"/>
  <c r="U57" i="7" a="1"/>
  <c r="T57" i="7" a="1"/>
  <c r="S57" i="7" a="1"/>
  <c r="R57" i="7" a="1"/>
  <c r="Q57" i="7" a="1"/>
  <c r="P57" i="7" a="1"/>
  <c r="O57" i="7" a="1"/>
  <c r="N57" i="7" a="1"/>
  <c r="M57" i="7" a="1"/>
  <c r="L57" i="7" a="1"/>
  <c r="K57" i="7" a="1"/>
  <c r="J57" i="7" a="1"/>
  <c r="I57" i="7" a="1"/>
  <c r="H57" i="7" a="1"/>
  <c r="F57" i="7"/>
  <c r="E57" i="7" a="1"/>
  <c r="Y56" i="7" a="1"/>
  <c r="X56" i="7" a="1"/>
  <c r="W56" i="7" a="1"/>
  <c r="V56" i="7" a="1"/>
  <c r="U56" i="7" a="1"/>
  <c r="T56" i="7" a="1"/>
  <c r="S56" i="7" a="1"/>
  <c r="R56" i="7" a="1"/>
  <c r="Q56" i="7" a="1"/>
  <c r="P56" i="7" a="1"/>
  <c r="O56" i="7" a="1"/>
  <c r="N56" i="7" a="1"/>
  <c r="M56" i="7" a="1"/>
  <c r="L56" i="7" a="1"/>
  <c r="K56" i="7" a="1"/>
  <c r="J56" i="7" a="1"/>
  <c r="I56" i="7" a="1"/>
  <c r="H56" i="7" a="1"/>
  <c r="F56" i="7"/>
  <c r="E56" i="7" a="1"/>
  <c r="Y55" i="7" a="1"/>
  <c r="X55" i="7" a="1"/>
  <c r="W55" i="7" a="1"/>
  <c r="V55" i="7" a="1"/>
  <c r="U55" i="7" a="1"/>
  <c r="T55" i="7" a="1"/>
  <c r="S55" i="7" a="1"/>
  <c r="R55" i="7" a="1"/>
  <c r="Q55" i="7" a="1"/>
  <c r="P55" i="7" a="1"/>
  <c r="O55" i="7" a="1"/>
  <c r="N55" i="7" a="1"/>
  <c r="M55" i="7" a="1"/>
  <c r="L55" i="7" a="1"/>
  <c r="K55" i="7" a="1"/>
  <c r="J55" i="7" a="1"/>
  <c r="I55" i="7" a="1"/>
  <c r="H55" i="7" a="1"/>
  <c r="F55" i="7"/>
  <c r="E55" i="7" a="1"/>
  <c r="Y54" i="7" a="1"/>
  <c r="X54" i="7" a="1"/>
  <c r="W54" i="7" a="1"/>
  <c r="V54" i="7" a="1"/>
  <c r="U54" i="7" a="1"/>
  <c r="T54" i="7" a="1"/>
  <c r="S54" i="7" a="1"/>
  <c r="R54" i="7" a="1"/>
  <c r="Q54" i="7" a="1"/>
  <c r="P54" i="7" a="1"/>
  <c r="O54" i="7" a="1"/>
  <c r="N54" i="7" a="1"/>
  <c r="M54" i="7" a="1"/>
  <c r="L54" i="7" a="1"/>
  <c r="K54" i="7" a="1"/>
  <c r="J54" i="7" a="1"/>
  <c r="I54" i="7" a="1"/>
  <c r="H54" i="7" a="1"/>
  <c r="F54" i="7"/>
  <c r="E54" i="7" a="1"/>
  <c r="Y53" i="7" a="1"/>
  <c r="X53" i="7" a="1"/>
  <c r="W53" i="7" a="1"/>
  <c r="V53" i="7" a="1"/>
  <c r="U53" i="7" a="1"/>
  <c r="T53" i="7" a="1"/>
  <c r="S53" i="7" a="1"/>
  <c r="R53" i="7" a="1"/>
  <c r="Q53" i="7" a="1"/>
  <c r="P53" i="7" a="1"/>
  <c r="O53" i="7" a="1"/>
  <c r="N53" i="7" a="1"/>
  <c r="M53" i="7" a="1"/>
  <c r="L53" i="7" a="1"/>
  <c r="K53" i="7" a="1"/>
  <c r="J53" i="7" a="1"/>
  <c r="I53" i="7" a="1"/>
  <c r="H53" i="7" a="1"/>
  <c r="F53" i="7"/>
  <c r="E53" i="7" a="1"/>
  <c r="Y52" i="7" a="1"/>
  <c r="X52" i="7" a="1"/>
  <c r="W52" i="7" a="1"/>
  <c r="V52" i="7" a="1"/>
  <c r="U52" i="7" a="1"/>
  <c r="T52" i="7" a="1"/>
  <c r="S52" i="7" a="1"/>
  <c r="R52" i="7" a="1"/>
  <c r="Q52" i="7" a="1"/>
  <c r="P52" i="7" a="1"/>
  <c r="O52" i="7" a="1"/>
  <c r="N52" i="7" a="1"/>
  <c r="M52" i="7" a="1"/>
  <c r="L52" i="7" a="1"/>
  <c r="K52" i="7" a="1"/>
  <c r="J52" i="7" a="1"/>
  <c r="I52" i="7" a="1"/>
  <c r="H52" i="7" a="1"/>
  <c r="F52" i="7"/>
  <c r="E52" i="7" a="1"/>
  <c r="Y51" i="7" a="1"/>
  <c r="X51" i="7" a="1"/>
  <c r="W51" i="7" a="1"/>
  <c r="V51" i="7" a="1"/>
  <c r="U51" i="7" a="1"/>
  <c r="T51" i="7" a="1"/>
  <c r="S51" i="7" a="1"/>
  <c r="R51" i="7" a="1"/>
  <c r="Q51" i="7" a="1"/>
  <c r="P51" i="7" a="1"/>
  <c r="O51" i="7" a="1"/>
  <c r="N51" i="7" a="1"/>
  <c r="M51" i="7" a="1"/>
  <c r="L51" i="7" a="1"/>
  <c r="K51" i="7" a="1"/>
  <c r="J51" i="7" a="1"/>
  <c r="I51" i="7" a="1"/>
  <c r="H51" i="7" a="1"/>
  <c r="F51" i="7"/>
  <c r="E51" i="7" a="1"/>
  <c r="Y50" i="7" a="1"/>
  <c r="X50" i="7" a="1"/>
  <c r="W50" i="7" a="1"/>
  <c r="V50" i="7" a="1"/>
  <c r="U50" i="7" a="1"/>
  <c r="T50" i="7" a="1"/>
  <c r="S50" i="7" a="1"/>
  <c r="R50" i="7" a="1"/>
  <c r="Q50" i="7" a="1"/>
  <c r="P50" i="7" a="1"/>
  <c r="O50" i="7" a="1"/>
  <c r="N50" i="7" a="1"/>
  <c r="M50" i="7" a="1"/>
  <c r="L50" i="7" a="1"/>
  <c r="K50" i="7" a="1"/>
  <c r="J50" i="7" a="1"/>
  <c r="I50" i="7" a="1"/>
  <c r="H50" i="7" a="1"/>
  <c r="F50" i="7"/>
  <c r="E50" i="7" a="1"/>
  <c r="Y49" i="7" a="1"/>
  <c r="X49" i="7" a="1"/>
  <c r="W49" i="7" a="1"/>
  <c r="V49" i="7" a="1"/>
  <c r="U49" i="7" a="1"/>
  <c r="T49" i="7" a="1"/>
  <c r="S49" i="7" a="1"/>
  <c r="R49" i="7" a="1"/>
  <c r="Q49" i="7" a="1"/>
  <c r="P49" i="7" a="1"/>
  <c r="O49" i="7" a="1"/>
  <c r="N49" i="7" a="1"/>
  <c r="M49" i="7" a="1"/>
  <c r="L49" i="7" a="1"/>
  <c r="K49" i="7" a="1"/>
  <c r="J49" i="7" a="1"/>
  <c r="I49" i="7" a="1"/>
  <c r="H49" i="7" a="1"/>
  <c r="F49" i="7"/>
  <c r="E49" i="7" a="1"/>
  <c r="Y48" i="7" a="1"/>
  <c r="X48" i="7" a="1"/>
  <c r="W48" i="7" a="1"/>
  <c r="V48" i="7" a="1"/>
  <c r="U48" i="7" a="1"/>
  <c r="T48" i="7" a="1"/>
  <c r="S48" i="7" a="1"/>
  <c r="R48" i="7" a="1"/>
  <c r="Q48" i="7" a="1"/>
  <c r="P48" i="7" a="1"/>
  <c r="O48" i="7" a="1"/>
  <c r="N48" i="7" a="1"/>
  <c r="M48" i="7" a="1"/>
  <c r="L48" i="7" a="1"/>
  <c r="K48" i="7" a="1"/>
  <c r="J48" i="7" a="1"/>
  <c r="I48" i="7" a="1"/>
  <c r="H48" i="7" a="1"/>
  <c r="F48" i="7"/>
  <c r="E48" i="7" a="1"/>
  <c r="Y47" i="7" a="1"/>
  <c r="X47" i="7" a="1"/>
  <c r="W47" i="7" a="1"/>
  <c r="V47" i="7" a="1"/>
  <c r="U47" i="7" a="1"/>
  <c r="T47" i="7" a="1"/>
  <c r="S47" i="7" a="1"/>
  <c r="R47" i="7" a="1"/>
  <c r="Q47" i="7" a="1"/>
  <c r="P47" i="7" a="1"/>
  <c r="O47" i="7" a="1"/>
  <c r="N47" i="7" a="1"/>
  <c r="M47" i="7" a="1"/>
  <c r="L47" i="7" a="1"/>
  <c r="K47" i="7" a="1"/>
  <c r="J47" i="7" a="1"/>
  <c r="I47" i="7" a="1"/>
  <c r="H47" i="7" a="1"/>
  <c r="F47" i="7"/>
  <c r="E47" i="7" a="1"/>
  <c r="Y46" i="7" a="1"/>
  <c r="X46" i="7" a="1"/>
  <c r="W46" i="7" a="1"/>
  <c r="V46" i="7" a="1"/>
  <c r="U46" i="7" a="1"/>
  <c r="T46" i="7" a="1"/>
  <c r="S46" i="7" a="1"/>
  <c r="R46" i="7" a="1"/>
  <c r="Q46" i="7" a="1"/>
  <c r="P46" i="7" a="1"/>
  <c r="O46" i="7" a="1"/>
  <c r="N46" i="7" a="1"/>
  <c r="M46" i="7" a="1"/>
  <c r="L46" i="7" a="1"/>
  <c r="K46" i="7" a="1"/>
  <c r="J46" i="7" a="1"/>
  <c r="I46" i="7" a="1"/>
  <c r="H46" i="7" a="1"/>
  <c r="F46" i="7"/>
  <c r="E46" i="7" a="1"/>
  <c r="Y45" i="7" a="1"/>
  <c r="X45" i="7" a="1"/>
  <c r="W45" i="7" a="1"/>
  <c r="V45" i="7" a="1"/>
  <c r="U45" i="7" a="1"/>
  <c r="T45" i="7" a="1"/>
  <c r="S45" i="7" a="1"/>
  <c r="R45" i="7" a="1"/>
  <c r="Q45" i="7" a="1"/>
  <c r="P45" i="7" a="1"/>
  <c r="O45" i="7" a="1"/>
  <c r="N45" i="7" a="1"/>
  <c r="M45" i="7" a="1"/>
  <c r="L45" i="7" a="1"/>
  <c r="K45" i="7" a="1"/>
  <c r="J45" i="7" a="1"/>
  <c r="I45" i="7" a="1"/>
  <c r="H45" i="7" a="1"/>
  <c r="F45" i="7"/>
  <c r="E45" i="7" a="1"/>
  <c r="Y44" i="7" a="1"/>
  <c r="X44" i="7" a="1"/>
  <c r="W44" i="7" a="1"/>
  <c r="V44" i="7" a="1"/>
  <c r="U44" i="7" a="1"/>
  <c r="T44" i="7" a="1"/>
  <c r="S44" i="7" a="1"/>
  <c r="R44" i="7" a="1"/>
  <c r="Q44" i="7" a="1"/>
  <c r="P44" i="7" a="1"/>
  <c r="O44" i="7" a="1"/>
  <c r="N44" i="7" a="1"/>
  <c r="M44" i="7" a="1"/>
  <c r="L44" i="7" a="1"/>
  <c r="K44" i="7" a="1"/>
  <c r="J44" i="7" a="1"/>
  <c r="I44" i="7" a="1"/>
  <c r="H44" i="7" a="1"/>
  <c r="F44" i="7"/>
  <c r="E44" i="7" a="1"/>
  <c r="Y43" i="7" a="1"/>
  <c r="X43" i="7" a="1"/>
  <c r="W43" i="7" a="1"/>
  <c r="V43" i="7" a="1"/>
  <c r="U43" i="7" a="1"/>
  <c r="T43" i="7" a="1"/>
  <c r="S43" i="7" a="1"/>
  <c r="R43" i="7" a="1"/>
  <c r="Q43" i="7" a="1"/>
  <c r="P43" i="7" a="1"/>
  <c r="O43" i="7" a="1"/>
  <c r="N43" i="7" a="1"/>
  <c r="M43" i="7" a="1"/>
  <c r="L43" i="7" a="1"/>
  <c r="K43" i="7" a="1"/>
  <c r="J43" i="7" a="1"/>
  <c r="I43" i="7" a="1"/>
  <c r="H43" i="7" a="1"/>
  <c r="F43" i="7"/>
  <c r="E43" i="7" a="1"/>
  <c r="Y42" i="7" a="1"/>
  <c r="X42" i="7" a="1"/>
  <c r="W42" i="7" a="1"/>
  <c r="V42" i="7" a="1"/>
  <c r="U42" i="7" a="1"/>
  <c r="T42" i="7" a="1"/>
  <c r="S42" i="7" a="1"/>
  <c r="R42" i="7" a="1"/>
  <c r="Q42" i="7" a="1"/>
  <c r="P42" i="7" a="1"/>
  <c r="O42" i="7" a="1"/>
  <c r="N42" i="7" a="1"/>
  <c r="M42" i="7" a="1"/>
  <c r="L42" i="7" a="1"/>
  <c r="K42" i="7" a="1"/>
  <c r="J42" i="7" a="1"/>
  <c r="I42" i="7" a="1"/>
  <c r="H42" i="7" a="1"/>
  <c r="F42" i="7"/>
  <c r="E42" i="7" a="1"/>
  <c r="Y41" i="7" a="1"/>
  <c r="X41" i="7" a="1"/>
  <c r="W41" i="7" a="1"/>
  <c r="V41" i="7" a="1"/>
  <c r="U41" i="7" a="1"/>
  <c r="T41" i="7" a="1"/>
  <c r="S41" i="7" a="1"/>
  <c r="R41" i="7" a="1"/>
  <c r="Q41" i="7" a="1"/>
  <c r="P41" i="7" a="1"/>
  <c r="O41" i="7" a="1"/>
  <c r="N41" i="7" a="1"/>
  <c r="M41" i="7" a="1"/>
  <c r="L41" i="7" a="1"/>
  <c r="K41" i="7" a="1"/>
  <c r="J41" i="7" a="1"/>
  <c r="I41" i="7" a="1"/>
  <c r="H41" i="7" a="1"/>
  <c r="F41" i="7"/>
  <c r="E41" i="7" a="1"/>
  <c r="Y40" i="7" a="1"/>
  <c r="X40" i="7" a="1"/>
  <c r="W40" i="7" a="1"/>
  <c r="V40" i="7" a="1"/>
  <c r="U40" i="7" a="1"/>
  <c r="T40" i="7" a="1"/>
  <c r="S40" i="7" a="1"/>
  <c r="R40" i="7" a="1"/>
  <c r="Q40" i="7" a="1"/>
  <c r="P40" i="7" a="1"/>
  <c r="O40" i="7" a="1"/>
  <c r="N40" i="7" a="1"/>
  <c r="M40" i="7" a="1"/>
  <c r="L40" i="7" a="1"/>
  <c r="K40" i="7" a="1"/>
  <c r="J40" i="7" a="1"/>
  <c r="I40" i="7" a="1"/>
  <c r="H40" i="7" a="1"/>
  <c r="F40" i="7"/>
  <c r="E40" i="7" a="1"/>
  <c r="Y39" i="7" a="1"/>
  <c r="X39" i="7" a="1"/>
  <c r="W39" i="7" a="1"/>
  <c r="V39" i="7" a="1"/>
  <c r="U39" i="7" a="1"/>
  <c r="T39" i="7" a="1"/>
  <c r="S39" i="7" a="1"/>
  <c r="R39" i="7" a="1"/>
  <c r="Q39" i="7" a="1"/>
  <c r="P39" i="7" a="1"/>
  <c r="O39" i="7" a="1"/>
  <c r="N39" i="7" a="1"/>
  <c r="M39" i="7" a="1"/>
  <c r="L39" i="7" a="1"/>
  <c r="K39" i="7" a="1"/>
  <c r="J39" i="7" a="1"/>
  <c r="I39" i="7" a="1"/>
  <c r="H39" i="7" a="1"/>
  <c r="F39" i="7"/>
  <c r="E39" i="7" a="1"/>
  <c r="Y38" i="7" a="1"/>
  <c r="X38" i="7" a="1"/>
  <c r="W38" i="7" a="1"/>
  <c r="V38" i="7" a="1"/>
  <c r="U38" i="7" a="1"/>
  <c r="T38" i="7" a="1"/>
  <c r="S38" i="7" a="1"/>
  <c r="R38" i="7" a="1"/>
  <c r="Q38" i="7" a="1"/>
  <c r="P38" i="7" a="1"/>
  <c r="O38" i="7" a="1"/>
  <c r="N38" i="7" a="1"/>
  <c r="M38" i="7" a="1"/>
  <c r="L38" i="7" a="1"/>
  <c r="K38" i="7" a="1"/>
  <c r="J38" i="7" a="1"/>
  <c r="I38" i="7" a="1"/>
  <c r="H38" i="7" a="1"/>
  <c r="F38" i="7"/>
  <c r="E38" i="7" a="1"/>
  <c r="Y37" i="7" a="1"/>
  <c r="X37" i="7" a="1"/>
  <c r="W37" i="7" a="1"/>
  <c r="V37" i="7" a="1"/>
  <c r="U37" i="7" a="1"/>
  <c r="T37" i="7" a="1"/>
  <c r="S37" i="7" a="1"/>
  <c r="R37" i="7" a="1"/>
  <c r="Q37" i="7" a="1"/>
  <c r="P37" i="7" a="1"/>
  <c r="O37" i="7" a="1"/>
  <c r="N37" i="7" a="1"/>
  <c r="M37" i="7" a="1"/>
  <c r="L37" i="7" a="1"/>
  <c r="K37" i="7" a="1"/>
  <c r="J37" i="7" a="1"/>
  <c r="I37" i="7" a="1"/>
  <c r="H37" i="7" a="1"/>
  <c r="F37" i="7"/>
  <c r="E37" i="7" a="1"/>
  <c r="Y36" i="7" a="1"/>
  <c r="X36" i="7" a="1"/>
  <c r="W36" i="7" a="1"/>
  <c r="V36" i="7" a="1"/>
  <c r="U36" i="7" a="1"/>
  <c r="T36" i="7" a="1"/>
  <c r="S36" i="7" a="1"/>
  <c r="R36" i="7" a="1"/>
  <c r="Q36" i="7" a="1"/>
  <c r="P36" i="7" a="1"/>
  <c r="O36" i="7" a="1"/>
  <c r="N36" i="7" a="1"/>
  <c r="M36" i="7" a="1"/>
  <c r="L36" i="7" a="1"/>
  <c r="K36" i="7" a="1"/>
  <c r="J36" i="7" a="1"/>
  <c r="I36" i="7" a="1"/>
  <c r="H36" i="7" a="1"/>
  <c r="F36" i="7"/>
  <c r="E36" i="7" a="1"/>
  <c r="Y35" i="7" a="1"/>
  <c r="X35" i="7" a="1"/>
  <c r="W35" i="7" a="1"/>
  <c r="V35" i="7" a="1"/>
  <c r="U35" i="7" a="1"/>
  <c r="T35" i="7" a="1"/>
  <c r="S35" i="7" a="1"/>
  <c r="R35" i="7" a="1"/>
  <c r="Q35" i="7" a="1"/>
  <c r="P35" i="7" a="1"/>
  <c r="O35" i="7" a="1"/>
  <c r="N35" i="7" a="1"/>
  <c r="M35" i="7" a="1"/>
  <c r="L35" i="7" a="1"/>
  <c r="K35" i="7" a="1"/>
  <c r="J35" i="7" a="1"/>
  <c r="I35" i="7" a="1"/>
  <c r="H35" i="7" a="1"/>
  <c r="F35" i="7"/>
  <c r="E35" i="7" a="1"/>
  <c r="Y34" i="7" a="1"/>
  <c r="K34" i="7" a="1"/>
  <c r="E34" i="7" a="1"/>
  <c r="Y33" i="7" a="1"/>
  <c r="R32" i="7" a="1"/>
  <c r="S31" i="7" a="1"/>
  <c r="M31" i="7" a="1"/>
  <c r="F31" i="7"/>
  <c r="S29" i="7" a="1"/>
  <c r="I29" i="7" a="1"/>
  <c r="T28" i="7" a="1"/>
  <c r="H28" i="7" a="1"/>
  <c r="R27" i="7" a="1"/>
  <c r="K27" i="7" a="1"/>
  <c r="K26" i="7" a="1"/>
  <c r="F26" i="7"/>
  <c r="W25" i="7" a="1"/>
  <c r="M25" i="7" a="1"/>
  <c r="P24" i="7" a="1"/>
  <c r="M23" i="7" a="1"/>
  <c r="F23" i="7"/>
  <c r="K22" i="7" a="1"/>
  <c r="F22" i="7"/>
  <c r="W21" i="7" a="1"/>
  <c r="Q21" i="7" a="1"/>
  <c r="F21" i="7"/>
  <c r="X20" i="7" a="1"/>
  <c r="P20" i="7" a="1"/>
  <c r="K19" i="7" a="1"/>
  <c r="S17" i="7" a="1"/>
  <c r="W16" i="7" a="1"/>
  <c r="T16" i="7" a="1"/>
  <c r="J16" i="7" a="1"/>
  <c r="A19" i="6"/>
  <c r="A17" i="6"/>
  <c r="A18" i="6" s="1"/>
  <c r="A16" i="6"/>
  <c r="V64" i="7" a="1"/>
  <c r="I64" i="7" a="1"/>
  <c r="E64" i="7" a="1"/>
  <c r="W63" i="7" a="1"/>
  <c r="H63" i="7" a="1"/>
  <c r="Q62" i="7" a="1"/>
  <c r="N62" i="7" a="1"/>
  <c r="V34" i="7" a="1"/>
  <c r="S33" i="7" a="1"/>
  <c r="K33" i="7" a="1"/>
  <c r="Q32" i="7" a="1"/>
  <c r="E32" i="7" a="1"/>
  <c r="Q31" i="7" a="1"/>
  <c r="K31" i="7" a="1"/>
  <c r="H31" i="7" a="1"/>
  <c r="L30" i="7" a="1"/>
  <c r="E30" i="7" a="1"/>
  <c r="T29" i="7" a="1"/>
  <c r="U28" i="7" a="1"/>
  <c r="Q28" i="7" a="1"/>
  <c r="L28" i="7" a="1"/>
  <c r="H27" i="7" a="1"/>
  <c r="I26" i="7" a="1"/>
  <c r="H25" i="7" a="1"/>
  <c r="E24" i="7" a="1"/>
  <c r="S23" i="7" a="1"/>
  <c r="H23" i="7" a="1"/>
  <c r="T22" i="7" a="1"/>
  <c r="P22" i="7" a="1"/>
  <c r="V21" i="7" a="1"/>
  <c r="T20" i="7" a="1"/>
  <c r="Y19" i="7" a="1"/>
  <c r="U19" i="7" a="1"/>
  <c r="R19" i="7" a="1"/>
  <c r="I19" i="7" a="1"/>
  <c r="N18" i="7" a="1"/>
  <c r="X17" i="7" a="1"/>
  <c r="R17" i="7" a="1"/>
  <c r="O17" i="7" a="1"/>
  <c r="J17" i="7" a="1"/>
  <c r="E17" i="7" a="1"/>
  <c r="Y64" i="7" a="1"/>
  <c r="P64" i="7" a="1"/>
  <c r="V63" i="7" a="1"/>
  <c r="N63" i="7" a="1"/>
  <c r="W62" i="7" a="1"/>
  <c r="S62" i="7" a="1"/>
  <c r="J62" i="7" a="1"/>
  <c r="N33" i="7" a="1"/>
  <c r="T32" i="7" a="1"/>
  <c r="W30" i="7" a="1"/>
  <c r="R30" i="7" a="1"/>
  <c r="R29" i="7" a="1"/>
  <c r="O29" i="7" a="1"/>
  <c r="R28" i="7" a="1"/>
  <c r="K28" i="7" a="1"/>
  <c r="F28" i="7"/>
  <c r="N27" i="7" a="1"/>
  <c r="J26" i="7" a="1"/>
  <c r="U24" i="7" a="1"/>
  <c r="L24" i="7" a="1"/>
  <c r="Q23" i="7" a="1"/>
  <c r="M22" i="7" a="1"/>
  <c r="R21" i="7" a="1"/>
  <c r="L21" i="7" a="1"/>
  <c r="R20" i="7" a="1"/>
  <c r="I20" i="7" a="1"/>
  <c r="W19" i="7" a="1"/>
  <c r="S19" i="7" a="1"/>
  <c r="L19" i="7" a="1"/>
  <c r="S18" i="7" a="1"/>
  <c r="H18" i="7" a="1"/>
  <c r="E18" i="7" a="1"/>
  <c r="W17" i="7" a="1"/>
  <c r="K16" i="7" a="1"/>
  <c r="E16" i="7" a="1"/>
  <c r="U64" i="7" a="1"/>
  <c r="R63" i="7" a="1"/>
  <c r="M63" i="7" a="1"/>
  <c r="E63" i="7" a="1"/>
  <c r="V62" i="7" a="1"/>
  <c r="U34" i="7" a="1"/>
  <c r="H34" i="7" a="1"/>
  <c r="V33" i="7" a="1"/>
  <c r="H33" i="7" a="1"/>
  <c r="V32" i="7" a="1"/>
  <c r="I32" i="7" a="1"/>
  <c r="Y31" i="7" a="1"/>
  <c r="R31" i="7" a="1"/>
  <c r="E31" i="7" a="1"/>
  <c r="V30" i="7" a="1"/>
  <c r="S30" i="7" a="1"/>
  <c r="O30" i="7" a="1"/>
  <c r="Q29" i="7" a="1"/>
  <c r="W28" i="7" a="1"/>
  <c r="J28" i="7" a="1"/>
  <c r="I27" i="7" a="1"/>
  <c r="X26" i="7" a="1"/>
  <c r="N26" i="7" a="1"/>
  <c r="H26" i="7" a="1"/>
  <c r="V25" i="7" a="1"/>
  <c r="L25" i="7" a="1"/>
  <c r="X24" i="7" a="1"/>
  <c r="M24" i="7" a="1"/>
  <c r="H24" i="7" a="1"/>
  <c r="T23" i="7" a="1"/>
  <c r="K23" i="7" a="1"/>
  <c r="T21" i="7" a="1"/>
  <c r="H21" i="7" a="1"/>
  <c r="H19" i="7" a="1"/>
  <c r="M17" i="7" a="1"/>
  <c r="H17" i="7" a="1"/>
  <c r="Q64" i="7" a="1"/>
  <c r="J64" i="7" a="1"/>
  <c r="K62" i="7" a="1"/>
  <c r="F62" i="7"/>
  <c r="N34" i="7" a="1"/>
  <c r="L33" i="7" a="1"/>
  <c r="E33" i="7" a="1"/>
  <c r="X31" i="7" a="1"/>
  <c r="U31" i="7" a="1"/>
  <c r="N30" i="7" a="1"/>
  <c r="N29" i="7" a="1"/>
  <c r="J29" i="7" a="1"/>
  <c r="P28" i="7" a="1"/>
  <c r="S27" i="7" a="1"/>
  <c r="V26" i="7" a="1"/>
  <c r="S26" i="7" a="1"/>
  <c r="E26" i="7" a="1"/>
  <c r="F25" i="7"/>
  <c r="K24" i="7" a="1"/>
  <c r="R23" i="7" a="1"/>
  <c r="N23" i="7" a="1"/>
  <c r="Y22" i="7" a="1"/>
  <c r="V22" i="7" a="1"/>
  <c r="Y21" i="7" a="1"/>
  <c r="U21" i="7" a="1"/>
  <c r="M21" i="7" a="1"/>
  <c r="Y20" i="7" a="1"/>
  <c r="J20" i="7" a="1"/>
  <c r="E20" i="7" a="1"/>
  <c r="X19" i="7" a="1"/>
  <c r="O19" i="7" a="1"/>
  <c r="F19" i="7"/>
  <c r="W18" i="7" a="1"/>
  <c r="K18" i="7" a="1"/>
  <c r="Q17" i="7" a="1"/>
  <c r="L17" i="7" a="1"/>
  <c r="N16" i="7" a="1"/>
  <c r="W64" i="7" a="1"/>
  <c r="R64" i="7" a="1"/>
  <c r="L64" i="7" a="1"/>
  <c r="X63" i="7" a="1"/>
  <c r="P63" i="7" a="1"/>
  <c r="O62" i="7" a="1"/>
  <c r="I62" i="7" a="1"/>
  <c r="W32" i="7" a="1"/>
  <c r="P32" i="7" a="1"/>
  <c r="M32" i="7" a="1"/>
  <c r="F32" i="7"/>
  <c r="W31" i="7" a="1"/>
  <c r="M30" i="7" a="1"/>
  <c r="Y29" i="7" a="1"/>
  <c r="U29" i="7" a="1"/>
  <c r="P29" i="7" a="1"/>
  <c r="K29" i="7" a="1"/>
  <c r="F29" i="7"/>
  <c r="Y26" i="7" a="1"/>
  <c r="O26" i="7" a="1"/>
  <c r="U25" i="7" a="1"/>
  <c r="Q25" i="7" a="1"/>
  <c r="J25" i="7" a="1"/>
  <c r="W24" i="7" a="1"/>
  <c r="R24" i="7" a="1"/>
  <c r="N24" i="7" a="1"/>
  <c r="F24" i="7"/>
  <c r="W23" i="7" a="1"/>
  <c r="U22" i="7" a="1"/>
  <c r="Q22" i="7" a="1"/>
  <c r="O21" i="7" a="1"/>
  <c r="J21" i="7" a="1"/>
  <c r="V20" i="7" a="1"/>
  <c r="E19" i="7" a="1"/>
  <c r="X18" i="7" a="1"/>
  <c r="M18" i="7" a="1"/>
  <c r="F18" i="7"/>
  <c r="U17" i="7" a="1"/>
  <c r="P16" i="7" a="1"/>
  <c r="M16" i="7" a="1"/>
  <c r="O64" i="7" a="1"/>
  <c r="I63" i="7" a="1"/>
  <c r="P62" i="7" a="1"/>
  <c r="T34" i="7" a="1"/>
  <c r="J34" i="7" a="1"/>
  <c r="X33" i="7" a="1"/>
  <c r="F33" i="7"/>
  <c r="K32" i="7" a="1"/>
  <c r="V31" i="7" a="1"/>
  <c r="P31" i="7" a="1"/>
  <c r="J31" i="7" a="1"/>
  <c r="X30" i="7" a="1"/>
  <c r="Q30" i="7" a="1"/>
  <c r="K30" i="7" a="1"/>
  <c r="V29" i="7" a="1"/>
  <c r="U27" i="7" a="1"/>
  <c r="O27" i="7" a="1"/>
  <c r="F27" i="7"/>
  <c r="T26" i="7" a="1"/>
  <c r="M26" i="7" a="1"/>
  <c r="Y24" i="7" a="1"/>
  <c r="Y23" i="7" a="1"/>
  <c r="U23" i="7" a="1"/>
  <c r="E23" i="7" a="1"/>
  <c r="S22" i="7" a="1"/>
  <c r="N22" i="7" a="1"/>
  <c r="I22" i="7" a="1"/>
  <c r="I21" i="7" a="1"/>
  <c r="Q20" i="7" a="1"/>
  <c r="M20" i="7" a="1"/>
  <c r="P18" i="7" a="1"/>
  <c r="I18" i="7" a="1"/>
  <c r="I17" i="7" a="1"/>
  <c r="S16" i="7" a="1"/>
  <c r="L16" i="7" a="1"/>
  <c r="F16" i="7"/>
  <c r="L63" i="7" a="1"/>
  <c r="X62" i="7" a="1"/>
  <c r="T62" i="7" a="1"/>
  <c r="M62" i="7" a="1"/>
  <c r="S34" i="7" a="1"/>
  <c r="U33" i="7" a="1"/>
  <c r="R33" i="7" a="1"/>
  <c r="M33" i="7" a="1"/>
  <c r="X32" i="7" a="1"/>
  <c r="O32" i="7" a="1"/>
  <c r="L32" i="7" a="1"/>
  <c r="I31" i="7" a="1"/>
  <c r="F30" i="7"/>
  <c r="W29" i="7" a="1"/>
  <c r="S28" i="7" a="1"/>
  <c r="O28" i="7" a="1"/>
  <c r="E28" i="7" a="1"/>
  <c r="W27" i="7" a="1"/>
  <c r="Q27" i="7" a="1"/>
  <c r="J27" i="7" a="1"/>
  <c r="W26" i="7" a="1"/>
  <c r="P25" i="7" a="1"/>
  <c r="J23" i="7" a="1"/>
  <c r="R22" i="7" a="1"/>
  <c r="X21" i="7" a="1"/>
  <c r="S20" i="7" a="1"/>
  <c r="N19" i="7" a="1"/>
  <c r="V18" i="7" a="1"/>
  <c r="R18" i="7" a="1"/>
  <c r="N17" i="7" a="1"/>
  <c r="F17" i="7"/>
  <c r="V16" i="7" a="1"/>
  <c r="T64" i="7" a="1"/>
  <c r="N64" i="7" a="1"/>
  <c r="F64" i="7"/>
  <c r="T63" i="7" a="1"/>
  <c r="Q63" i="7" a="1"/>
  <c r="K63" i="7" a="1"/>
  <c r="H62" i="7" a="1"/>
  <c r="W34" i="7" a="1"/>
  <c r="P34" i="7" a="1"/>
  <c r="T33" i="7" a="1"/>
  <c r="O33" i="7" a="1"/>
  <c r="N32" i="7" a="1"/>
  <c r="J32" i="7" a="1"/>
  <c r="T31" i="7" a="1"/>
  <c r="N31" i="7" a="1"/>
  <c r="H30" i="7" a="1"/>
  <c r="H29" i="7" a="1"/>
  <c r="Y28" i="7" a="1"/>
  <c r="V27" i="7" a="1"/>
  <c r="P27" i="7" a="1"/>
  <c r="R26" i="7" a="1"/>
  <c r="X25" i="7" a="1"/>
  <c r="R25" i="7" a="1"/>
  <c r="N25" i="7" a="1"/>
  <c r="I25" i="7" a="1"/>
  <c r="V24" i="7" a="1"/>
  <c r="Q24" i="7" a="1"/>
  <c r="V23" i="7" a="1"/>
  <c r="O23" i="7" a="1"/>
  <c r="I23" i="7" a="1"/>
  <c r="H22" i="7" a="1"/>
  <c r="N21" i="7" a="1"/>
  <c r="W20" i="7" a="1"/>
  <c r="L20" i="7" a="1"/>
  <c r="Q19" i="7" a="1"/>
  <c r="Y18" i="7" a="1"/>
  <c r="Q18" i="7" a="1"/>
  <c r="O16" i="7" a="1"/>
  <c r="H64" i="7" a="1"/>
  <c r="Y63" i="7" a="1"/>
  <c r="J63" i="7" a="1"/>
  <c r="E62" i="7" a="1"/>
  <c r="Q34" i="7" a="1"/>
  <c r="L34" i="7" a="1"/>
  <c r="J33" i="7" a="1"/>
  <c r="Y32" i="7" a="1"/>
  <c r="U32" i="7" a="1"/>
  <c r="H32" i="7" a="1"/>
  <c r="O31" i="7" a="1"/>
  <c r="L31" i="7" a="1"/>
  <c r="U30" i="7" a="1"/>
  <c r="J30" i="7" a="1"/>
  <c r="E29" i="7" a="1"/>
  <c r="V28" i="7" a="1"/>
  <c r="N28" i="7" a="1"/>
  <c r="X27" i="7" a="1"/>
  <c r="L27" i="7" a="1"/>
  <c r="U26" i="7" a="1"/>
  <c r="L23" i="7" a="1"/>
  <c r="O22" i="7" a="1"/>
  <c r="J22" i="7" a="1"/>
  <c r="E22" i="7" a="1"/>
  <c r="P21" i="7" a="1"/>
  <c r="U20" i="7" a="1"/>
  <c r="H20" i="7" a="1"/>
  <c r="T19" i="7" a="1"/>
  <c r="M19" i="7" a="1"/>
  <c r="O18" i="7" a="1"/>
  <c r="K17" i="7" a="1"/>
  <c r="Y16" i="7" a="1"/>
  <c r="R16" i="7" a="1"/>
  <c r="H16" i="7" a="1"/>
  <c r="S64" i="7" a="1"/>
  <c r="K64" i="7" a="1"/>
  <c r="S63" i="7" a="1"/>
  <c r="O63" i="7" a="1"/>
  <c r="F63" i="7"/>
  <c r="Y62" i="7" a="1"/>
  <c r="U62" i="7" a="1"/>
  <c r="R62" i="7" a="1"/>
  <c r="X34" i="7" a="1"/>
  <c r="O34" i="7" a="1"/>
  <c r="F34" i="7"/>
  <c r="W33" i="7" a="1"/>
  <c r="Q33" i="7" a="1"/>
  <c r="S32" i="7" a="1"/>
  <c r="Y30" i="7" a="1"/>
  <c r="I30" i="7" a="1"/>
  <c r="L29" i="7" a="1"/>
  <c r="X28" i="7" a="1"/>
  <c r="I28" i="7" a="1"/>
  <c r="T27" i="7" a="1"/>
  <c r="M27" i="7" a="1"/>
  <c r="E27" i="7" a="1"/>
  <c r="P26" i="7" a="1"/>
  <c r="T25" i="7" a="1"/>
  <c r="K25" i="7" a="1"/>
  <c r="T24" i="7" a="1"/>
  <c r="O24" i="7" a="1"/>
  <c r="I24" i="7" a="1"/>
  <c r="X23" i="7" a="1"/>
  <c r="X22" i="7" a="1"/>
  <c r="S21" i="7" a="1"/>
  <c r="K21" i="7" a="1"/>
  <c r="E21" i="7" a="1"/>
  <c r="O20" i="7" a="1"/>
  <c r="J19" i="7" a="1"/>
  <c r="T18" i="7" a="1"/>
  <c r="L18" i="7" a="1"/>
  <c r="V17" i="7" a="1"/>
  <c r="U16" i="7" a="1"/>
  <c r="A14" i="6"/>
  <c r="A11" i="6"/>
  <c r="C147" i="3"/>
  <c r="C149" i="3"/>
  <c r="C145" i="3"/>
  <c r="C143" i="3"/>
  <c r="C141" i="3"/>
  <c r="U11" i="4"/>
  <c r="U10" i="4"/>
  <c r="Y26" i="4"/>
  <c r="Z26" i="4" s="1"/>
  <c r="Y106" i="4"/>
  <c r="Z106" i="4" s="1"/>
  <c r="Y66" i="4"/>
  <c r="Z66" i="4" s="1"/>
  <c r="R64" i="4"/>
  <c r="R63" i="4"/>
  <c r="R23" i="4"/>
  <c r="R24" i="4"/>
  <c r="C133" i="3"/>
  <c r="B23" i="6" l="1"/>
  <c r="AD23" i="5"/>
  <c r="A23" i="12"/>
  <c r="J23" i="5"/>
  <c r="AE23" i="5" a="1"/>
  <c r="D23" i="5"/>
  <c r="B23" i="12" s="1"/>
  <c r="K23" i="5"/>
  <c r="C24" i="5"/>
  <c r="N23" i="5"/>
  <c r="B22" i="6"/>
  <c r="K22" i="5"/>
  <c r="B22" i="5"/>
  <c r="B23" i="5" s="1"/>
  <c r="J22" i="5"/>
  <c r="E22" i="5"/>
  <c r="E23" i="5" s="1"/>
  <c r="AD22" i="5"/>
  <c r="H22" i="5"/>
  <c r="H23" i="5" s="1"/>
  <c r="AE22" i="5" a="1"/>
  <c r="G22" i="5"/>
  <c r="G23" i="5" s="1"/>
  <c r="A22" i="12"/>
  <c r="N22" i="5"/>
  <c r="D22" i="6" s="1"/>
  <c r="H22" i="6" s="1" a="1"/>
  <c r="F22" i="5"/>
  <c r="F23" i="5" s="1"/>
  <c r="D22" i="5"/>
  <c r="B22" i="12" s="1"/>
  <c r="L29" i="6"/>
  <c r="N18" i="6"/>
  <c r="X26" i="4"/>
  <c r="X106" i="4"/>
  <c r="X66" i="4"/>
  <c r="C137" i="3"/>
  <c r="C135" i="3"/>
  <c r="C132" i="3"/>
  <c r="B24" i="6" l="1"/>
  <c r="E24" i="5"/>
  <c r="AD24" i="5"/>
  <c r="F24" i="5"/>
  <c r="J24" i="5"/>
  <c r="B24" i="5"/>
  <c r="C25" i="5" s="1"/>
  <c r="N24" i="5"/>
  <c r="D24" i="5"/>
  <c r="B24" i="12" s="1"/>
  <c r="AE24" i="5" a="1"/>
  <c r="A24" i="12"/>
  <c r="H24" i="5"/>
  <c r="K24" i="5"/>
  <c r="G24" i="5"/>
  <c r="D23" i="6"/>
  <c r="L30" i="6"/>
  <c r="C128" i="3"/>
  <c r="R2" i="5" a="1"/>
  <c r="AH13" i="5" a="1"/>
  <c r="V13" i="5" a="1"/>
  <c r="U13" i="5" a="1"/>
  <c r="X7" i="5" a="1"/>
  <c r="W7" i="5" a="1"/>
  <c r="V7" i="5" a="1"/>
  <c r="S7" i="5" a="1"/>
  <c r="R7" i="5" a="1"/>
  <c r="S8" i="5" a="1"/>
  <c r="R8" i="5" a="1"/>
  <c r="Q8" i="5" a="1"/>
  <c r="H13" i="7"/>
  <c r="E13" i="7"/>
  <c r="D24" i="6" l="1"/>
  <c r="G23" i="6"/>
  <c r="H23" i="6" a="1"/>
  <c r="A25" i="12"/>
  <c r="AD25" i="5"/>
  <c r="H25" i="5"/>
  <c r="E25" i="5"/>
  <c r="G25" i="5"/>
  <c r="F25" i="5"/>
  <c r="C26" i="5"/>
  <c r="AE25" i="5" a="1"/>
  <c r="B25" i="6"/>
  <c r="B25" i="5"/>
  <c r="N25" i="5"/>
  <c r="D25" i="6" s="1"/>
  <c r="H25" i="6" s="1" a="1"/>
  <c r="A20" i="6"/>
  <c r="J4" i="15"/>
  <c r="AB13" i="12" a="1"/>
  <c r="I69" i="10"/>
  <c r="H24" i="6" l="1" a="1"/>
  <c r="G24" i="6"/>
  <c r="N26" i="5"/>
  <c r="D26" i="6" s="1"/>
  <c r="H26" i="6" s="1" a="1"/>
  <c r="C27" i="5"/>
  <c r="B27" i="6" s="1"/>
  <c r="B26" i="6"/>
  <c r="G26" i="5"/>
  <c r="H26" i="5"/>
  <c r="B26" i="5"/>
  <c r="AD26" i="5"/>
  <c r="AE26" i="5" a="1"/>
  <c r="A26" i="12"/>
  <c r="E26" i="5"/>
  <c r="F26" i="5"/>
  <c r="L31" i="6"/>
  <c r="A21" i="6"/>
  <c r="N20" i="6"/>
  <c r="AH23" i="13"/>
  <c r="AG23" i="13" a="1"/>
  <c r="AF23" i="13" a="1"/>
  <c r="AE23" i="13"/>
  <c r="AD23" i="13" a="1"/>
  <c r="AC23" i="13" a="1"/>
  <c r="AH22" i="13"/>
  <c r="AG22" i="13" a="1"/>
  <c r="AE21" i="13"/>
  <c r="AH20" i="13"/>
  <c r="AC15" i="13" a="1"/>
  <c r="AF22" i="13" a="1"/>
  <c r="AC21" i="13" a="1"/>
  <c r="AC20" i="13" a="1"/>
  <c r="AD18" i="13" a="1"/>
  <c r="AH15" i="13"/>
  <c r="AD22" i="13" a="1"/>
  <c r="AH21" i="13"/>
  <c r="AC17" i="13" a="1"/>
  <c r="AF21" i="13" a="1"/>
  <c r="AG20" i="13" a="1"/>
  <c r="AH19" i="13"/>
  <c r="AG17" i="13" a="1"/>
  <c r="AH16" i="13"/>
  <c r="AE14" i="13"/>
  <c r="AD21" i="13" a="1"/>
  <c r="AH18" i="13"/>
  <c r="AC18" i="13" a="1"/>
  <c r="AD17" i="13" a="1"/>
  <c r="AC16" i="13" a="1"/>
  <c r="AG15" i="13" a="1"/>
  <c r="AD15" i="13" a="1"/>
  <c r="AE20" i="13"/>
  <c r="AG19" i="13" a="1"/>
  <c r="AG18" i="13" a="1"/>
  <c r="AF17" i="13" a="1"/>
  <c r="AE16" i="13"/>
  <c r="AF15" i="13" a="1"/>
  <c r="AF14" i="13" a="1"/>
  <c r="AF19" i="13" a="1"/>
  <c r="AE18" i="13"/>
  <c r="AF16" i="13" a="1"/>
  <c r="AE15" i="13"/>
  <c r="AD20" i="13" a="1"/>
  <c r="AD19" i="13" a="1"/>
  <c r="AD14" i="13" a="1"/>
  <c r="AF20" i="13" a="1"/>
  <c r="AC19" i="13" a="1"/>
  <c r="AH17" i="13"/>
  <c r="AD16" i="13" a="1"/>
  <c r="AG14" i="13" a="1"/>
  <c r="AC14" i="13" a="1"/>
  <c r="AC22" i="13" a="1"/>
  <c r="AE17" i="13"/>
  <c r="AG16" i="13" a="1"/>
  <c r="AH14" i="13"/>
  <c r="AE22" i="13"/>
  <c r="AG21" i="13" a="1"/>
  <c r="AE19" i="13"/>
  <c r="AF18" i="13" a="1"/>
  <c r="K14" i="13" a="1"/>
  <c r="H18" i="6" a="1"/>
  <c r="H20" i="6" a="1"/>
  <c r="P7" i="13"/>
  <c r="G22" i="15" a="1"/>
  <c r="C22" i="15" a="1"/>
  <c r="F10" i="12" a="1"/>
  <c r="F8" i="7"/>
  <c r="H47" i="8" a="1"/>
  <c r="H45" i="8" a="1"/>
  <c r="F7" i="6" a="1"/>
  <c r="F6" i="6" a="1"/>
  <c r="Q1" i="6" a="1"/>
  <c r="O1" i="6" a="1"/>
  <c r="C11" i="7" a="1"/>
  <c r="C122" i="3"/>
  <c r="C120" i="3"/>
  <c r="J27" i="5" l="1"/>
  <c r="D27" i="5"/>
  <c r="B27" i="12" s="1"/>
  <c r="AD27" i="5"/>
  <c r="F27" i="5"/>
  <c r="K27" i="5"/>
  <c r="B27" i="5"/>
  <c r="C28" i="5"/>
  <c r="AE27" i="5" a="1"/>
  <c r="A27" i="12"/>
  <c r="E27" i="5"/>
  <c r="G27" i="5"/>
  <c r="N27" i="5"/>
  <c r="D27" i="6" s="1"/>
  <c r="H27" i="6" s="1" a="1"/>
  <c r="H27" i="5"/>
  <c r="L32" i="6"/>
  <c r="N21" i="6"/>
  <c r="A22" i="6"/>
  <c r="A23" i="6" s="1"/>
  <c r="C14" i="14" a="1"/>
  <c r="B39" i="14" a="1"/>
  <c r="B37" i="14" a="1"/>
  <c r="E28" i="14" a="1"/>
  <c r="S67" i="4"/>
  <c r="U67" i="4" s="1"/>
  <c r="S107" i="4"/>
  <c r="U107" i="4" s="1"/>
  <c r="S27" i="4"/>
  <c r="U27" i="4" s="1"/>
  <c r="C124" i="3"/>
  <c r="E28" i="5" l="1"/>
  <c r="B28" i="5"/>
  <c r="C29" i="5" s="1"/>
  <c r="H28" i="5"/>
  <c r="F28" i="5"/>
  <c r="G28" i="5"/>
  <c r="B28" i="6"/>
  <c r="K28" i="5"/>
  <c r="D28" i="5"/>
  <c r="B28" i="12" s="1"/>
  <c r="J28" i="5"/>
  <c r="A28" i="12"/>
  <c r="AE28" i="5" a="1"/>
  <c r="N28" i="5"/>
  <c r="D28" i="6" s="1"/>
  <c r="AD28" i="5"/>
  <c r="A24" i="6"/>
  <c r="A25" i="6"/>
  <c r="H67" i="9"/>
  <c r="C30" i="5" l="1"/>
  <c r="B29" i="6"/>
  <c r="F29" i="5"/>
  <c r="AD29" i="5"/>
  <c r="B29" i="5"/>
  <c r="AE29" i="5" a="1"/>
  <c r="A29" i="12"/>
  <c r="N29" i="5"/>
  <c r="D29" i="6" s="1"/>
  <c r="H29" i="6" s="1" a="1"/>
  <c r="H29" i="5"/>
  <c r="G29" i="5"/>
  <c r="E29" i="5"/>
  <c r="G28" i="6"/>
  <c r="H28" i="6" a="1"/>
  <c r="A26" i="6"/>
  <c r="C94" i="3"/>
  <c r="C92" i="3"/>
  <c r="A30" i="12" l="1"/>
  <c r="B30" i="6"/>
  <c r="E30" i="5"/>
  <c r="K30" i="5"/>
  <c r="B30" i="5"/>
  <c r="H30" i="5"/>
  <c r="G30" i="5"/>
  <c r="AE30" i="5" a="1"/>
  <c r="D30" i="5"/>
  <c r="B30" i="12" s="1"/>
  <c r="J30" i="5"/>
  <c r="N30" i="5"/>
  <c r="D30" i="6" s="1"/>
  <c r="H30" i="6" s="1" a="1"/>
  <c r="F30" i="5"/>
  <c r="AD30" i="5"/>
  <c r="A27" i="6"/>
  <c r="A28" i="6" s="1"/>
  <c r="C98" i="3"/>
  <c r="C31" i="5" l="1"/>
  <c r="A29" i="6"/>
  <c r="C5" i="14"/>
  <c r="F31" i="5" l="1"/>
  <c r="C32" i="5"/>
  <c r="N31" i="5"/>
  <c r="D31" i="6" s="1"/>
  <c r="H31" i="6" s="1" a="1"/>
  <c r="B31" i="5"/>
  <c r="AD31" i="5"/>
  <c r="H31" i="5"/>
  <c r="B31" i="6"/>
  <c r="A31" i="12"/>
  <c r="AE31" i="5" a="1"/>
  <c r="G31" i="5"/>
  <c r="E31" i="5"/>
  <c r="A30" i="6"/>
  <c r="S12" i="11"/>
  <c r="H32" i="5" l="1"/>
  <c r="B32" i="6"/>
  <c r="AD32" i="5"/>
  <c r="N32" i="5"/>
  <c r="D32" i="6" s="1"/>
  <c r="H32" i="6" s="1" a="1"/>
  <c r="F32" i="5"/>
  <c r="E32" i="5"/>
  <c r="G32" i="5"/>
  <c r="J32" i="5"/>
  <c r="K32" i="5"/>
  <c r="D32" i="5"/>
  <c r="B32" i="12" s="1"/>
  <c r="AE32" i="5" a="1"/>
  <c r="B32" i="5"/>
  <c r="A32" i="12"/>
  <c r="C1" i="7" a="1"/>
  <c r="A31" i="6" l="1"/>
  <c r="D31" i="2"/>
  <c r="D29" i="2"/>
  <c r="D28" i="2"/>
  <c r="D24" i="2"/>
  <c r="D23" i="2"/>
  <c r="D22" i="2"/>
  <c r="D19" i="2"/>
  <c r="D18" i="2"/>
  <c r="D17" i="2"/>
  <c r="D16" i="2"/>
  <c r="D11" i="2"/>
  <c r="D10" i="2"/>
  <c r="D9" i="2"/>
  <c r="D8" i="2"/>
  <c r="D7" i="2"/>
  <c r="D6" i="2"/>
  <c r="D5" i="2"/>
  <c r="D4" i="2"/>
  <c r="C116" i="3"/>
  <c r="C114" i="3"/>
  <c r="C110" i="3"/>
  <c r="C109" i="3"/>
  <c r="C106" i="3"/>
  <c r="C105" i="3"/>
  <c r="C101" i="3"/>
  <c r="C90" i="3"/>
  <c r="A32" i="6" l="1"/>
  <c r="D27" i="2"/>
  <c r="D15" i="2"/>
  <c r="D3" i="2"/>
  <c r="H10" i="7" l="1"/>
  <c r="AG47" i="8" l="1"/>
  <c r="C103" i="3" l="1"/>
  <c r="C100" i="3"/>
  <c r="C96" i="3"/>
  <c r="C93" i="3" l="1"/>
  <c r="C112" i="3" l="1"/>
  <c r="C108" i="3"/>
  <c r="C70" i="3"/>
  <c r="L35" i="13"/>
  <c r="L34" i="13" s="1"/>
  <c r="C84" i="3"/>
  <c r="C56" i="3" l="1"/>
  <c r="Q13" i="6" l="1"/>
  <c r="A1" i="7"/>
  <c r="V70" i="7" a="1"/>
  <c r="V70" i="7" s="1"/>
  <c r="Y5" i="7"/>
  <c r="X5" i="7"/>
  <c r="P5" i="7"/>
  <c r="C60" i="3"/>
  <c r="F5" i="7"/>
  <c r="R13" i="6" l="1"/>
  <c r="S13" i="6" s="1"/>
  <c r="V71" i="7"/>
  <c r="V72" i="7"/>
  <c r="N5" i="7"/>
  <c r="O5" i="7"/>
  <c r="T13" i="6" l="1"/>
  <c r="E10" i="7"/>
  <c r="C57" i="3"/>
  <c r="C82" i="3"/>
  <c r="C77" i="3"/>
  <c r="B78" i="9"/>
  <c r="D71" i="7"/>
  <c r="V77" i="9" a="1"/>
  <c r="V79" i="9" s="1"/>
  <c r="B75" i="9"/>
  <c r="J67" i="9"/>
  <c r="L67" i="9" s="1"/>
  <c r="N67" i="9" s="1"/>
  <c r="P67" i="9" s="1"/>
  <c r="R67" i="9" s="1"/>
  <c r="T67" i="9" s="1"/>
  <c r="V67" i="9" s="1"/>
  <c r="X67" i="9" s="1"/>
  <c r="Z67" i="9" s="1"/>
  <c r="AB67" i="9" s="1"/>
  <c r="AD67" i="9" s="1"/>
  <c r="M5" i="9"/>
  <c r="J5" i="9"/>
  <c r="G5" i="9"/>
  <c r="B5" i="9"/>
  <c r="U13" i="6" l="1"/>
  <c r="V77" i="9"/>
  <c r="V78" i="9"/>
  <c r="L70" i="7" a="1"/>
  <c r="L72" i="7" s="1"/>
  <c r="D68" i="7"/>
  <c r="C5" i="7"/>
  <c r="V13" i="6" l="1"/>
  <c r="L70" i="7"/>
  <c r="L71" i="7"/>
  <c r="C69" i="3"/>
  <c r="C86" i="3"/>
  <c r="C81" i="3"/>
  <c r="C80" i="3"/>
  <c r="C79" i="3"/>
  <c r="C76" i="3"/>
  <c r="C75" i="3"/>
  <c r="C74" i="3"/>
  <c r="C67" i="3"/>
  <c r="C65" i="3"/>
  <c r="C64" i="3"/>
  <c r="C61" i="3"/>
  <c r="C62" i="3"/>
  <c r="C59" i="3"/>
  <c r="C58" i="3"/>
  <c r="C72" i="3"/>
  <c r="S108" i="4" a="1"/>
  <c r="S68" i="4" a="1"/>
  <c r="S28" i="4" a="1"/>
  <c r="W13" i="6" l="1"/>
  <c r="C15" i="14"/>
  <c r="L4" i="13"/>
  <c r="I5" i="12"/>
  <c r="F4" i="11"/>
  <c r="D7" i="10"/>
  <c r="K8" i="8"/>
  <c r="L5" i="4"/>
  <c r="C52" i="3"/>
  <c r="G10" i="6" a="1"/>
  <c r="Q5" i="5" a="1"/>
  <c r="P85" i="4"/>
  <c r="C51" i="3"/>
  <c r="C47" i="3"/>
  <c r="C43" i="3"/>
  <c r="C41" i="3"/>
  <c r="C39" i="3"/>
  <c r="E2" i="15"/>
  <c r="C34" i="3"/>
  <c r="C32" i="3"/>
  <c r="AX13" i="6"/>
  <c r="AB13" i="6"/>
  <c r="AM13" i="6"/>
  <c r="H12" i="10"/>
  <c r="H11" i="10" s="1" a="1"/>
  <c r="BG15" i="6"/>
  <c r="BF15" i="6"/>
  <c r="BE15" i="6"/>
  <c r="BD15" i="6"/>
  <c r="BC15" i="6"/>
  <c r="BB15" i="6"/>
  <c r="BA15" i="6"/>
  <c r="AZ15" i="6"/>
  <c r="AY15" i="6"/>
  <c r="AX15" i="6"/>
  <c r="G12" i="9"/>
  <c r="C20" i="3"/>
  <c r="C22" i="3"/>
  <c r="C24" i="3"/>
  <c r="C26" i="3"/>
  <c r="C28" i="3"/>
  <c r="C19" i="3"/>
  <c r="C15" i="3"/>
  <c r="C14" i="3"/>
  <c r="C12" i="3"/>
  <c r="I36" i="11"/>
  <c r="I35" i="11"/>
  <c r="AA50" i="8" a="1"/>
  <c r="T39" i="6" a="1"/>
  <c r="T41" i="6" s="1"/>
  <c r="I39" i="6" a="1"/>
  <c r="I40" i="6" s="1"/>
  <c r="C2" i="4"/>
  <c r="Z7" i="11"/>
  <c r="V12" i="8"/>
  <c r="E12" i="8"/>
  <c r="C14" i="5"/>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42" i="12"/>
  <c r="E43" i="12"/>
  <c r="K45" i="12" a="1"/>
  <c r="K47" i="12" s="1"/>
  <c r="E10" i="6"/>
  <c r="I10" i="6"/>
  <c r="K10" i="6"/>
  <c r="S10" i="6"/>
  <c r="U10" i="6"/>
  <c r="O13" i="6"/>
  <c r="O15" i="6" s="1"/>
  <c r="B15" i="6"/>
  <c r="C15" i="6"/>
  <c r="E15" i="6"/>
  <c r="B33" i="6"/>
  <c r="C33" i="6"/>
  <c r="F37" i="6"/>
  <c r="S5" i="8"/>
  <c r="I8" i="8"/>
  <c r="L8" i="8"/>
  <c r="U8" i="8"/>
  <c r="E13" i="8"/>
  <c r="V13" i="8"/>
  <c r="W13" i="8" s="1"/>
  <c r="X13" i="8" s="1"/>
  <c r="Y13" i="8" s="1"/>
  <c r="Z13" i="8" s="1"/>
  <c r="AA13" i="8" s="1"/>
  <c r="AB13" i="8" s="1"/>
  <c r="AC13" i="8" s="1"/>
  <c r="AD13" i="8" s="1"/>
  <c r="AE13" i="8" s="1"/>
  <c r="AF13" i="8" s="1"/>
  <c r="T37" i="8"/>
  <c r="T42" i="8"/>
  <c r="I48"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43" i="5"/>
  <c r="O15" i="5"/>
  <c r="O46" i="5"/>
  <c r="T48" i="5" a="1"/>
  <c r="T48" i="5" s="1"/>
  <c r="B1" i="10"/>
  <c r="H4" i="10"/>
  <c r="B7" i="10"/>
  <c r="H7" i="10"/>
  <c r="O7" i="10"/>
  <c r="F12" i="10"/>
  <c r="F11" i="10" s="1" a="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AE14" i="5" l="1" a="1"/>
  <c r="K130" i="4"/>
  <c r="A15" i="6" a="1"/>
  <c r="S109" i="4"/>
  <c r="S69" i="4"/>
  <c r="S29" i="4"/>
  <c r="C34" i="4"/>
  <c r="C45" i="4"/>
  <c r="AY13" i="6"/>
  <c r="K50" i="4"/>
  <c r="N9" i="10"/>
  <c r="C33" i="4"/>
  <c r="C48" i="4"/>
  <c r="C27" i="4"/>
  <c r="A16" i="4"/>
  <c r="W12" i="8"/>
  <c r="X13" i="6"/>
  <c r="O7" i="11"/>
  <c r="K69" i="10"/>
  <c r="K74" i="10" s="1"/>
  <c r="W82" i="10"/>
  <c r="E12" i="13"/>
  <c r="C47" i="4"/>
  <c r="C23" i="4"/>
  <c r="A30" i="4"/>
  <c r="A31" i="4" s="1"/>
  <c r="C31" i="4" s="1"/>
  <c r="C46" i="4"/>
  <c r="C28" i="4"/>
  <c r="K48" i="12"/>
  <c r="C21" i="4"/>
  <c r="C22" i="4"/>
  <c r="K132" i="4"/>
  <c r="W81" i="10"/>
  <c r="K45" i="12"/>
  <c r="T50" i="5"/>
  <c r="O7" i="13"/>
  <c r="T40" i="6"/>
  <c r="P125" i="4"/>
  <c r="I51" i="8"/>
  <c r="I41" i="6"/>
  <c r="I39" i="6"/>
  <c r="AC13" i="6"/>
  <c r="AN13" i="6"/>
  <c r="B14" i="5"/>
  <c r="F14" i="5"/>
  <c r="G15" i="9"/>
  <c r="H15" i="10"/>
  <c r="I12" i="10"/>
  <c r="I11" i="10" s="1" a="1"/>
  <c r="H12" i="9"/>
  <c r="A36" i="4"/>
  <c r="C35" i="4"/>
  <c r="C24" i="4"/>
  <c r="AA51" i="8"/>
  <c r="AA52" i="8"/>
  <c r="AA50" i="8"/>
  <c r="P45" i="4"/>
  <c r="K14" i="5"/>
  <c r="J14" i="5"/>
  <c r="H14" i="5"/>
  <c r="A14" i="12"/>
  <c r="D14" i="5"/>
  <c r="B14" i="12" s="1"/>
  <c r="AD14" i="5"/>
  <c r="E14" i="5"/>
  <c r="G14" i="5"/>
  <c r="N14" i="5"/>
  <c r="E46" i="12"/>
  <c r="B80" i="10"/>
  <c r="F40" i="6"/>
  <c r="O49" i="5"/>
  <c r="D36" i="11"/>
  <c r="W79" i="10"/>
  <c r="A4" i="4"/>
  <c r="K51" i="4"/>
  <c r="K46" i="12"/>
  <c r="K91" i="4"/>
  <c r="T39" i="6"/>
  <c r="K90" i="4"/>
  <c r="T49" i="5"/>
  <c r="U97" i="4" l="1"/>
  <c r="U57" i="4"/>
  <c r="C15" i="7" a="1"/>
  <c r="B10" i="9"/>
  <c r="M69" i="10"/>
  <c r="M74" i="10" s="1"/>
  <c r="I12" i="9"/>
  <c r="U17" i="4"/>
  <c r="U14" i="4" s="1"/>
  <c r="T21" i="4" s="1"/>
  <c r="H5" i="5"/>
  <c r="X8" i="5" s="1" a="1"/>
  <c r="F5" i="5"/>
  <c r="G5" i="5"/>
  <c r="W8" i="5" s="1" a="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Y13" i="6"/>
  <c r="AD13" i="6"/>
  <c r="AO13" i="6"/>
  <c r="B8" i="14"/>
  <c r="I10" i="13"/>
  <c r="J12" i="10"/>
  <c r="J11" i="10" s="1" a="1"/>
  <c r="C4" i="4"/>
  <c r="A5" i="4"/>
  <c r="C36" i="4"/>
  <c r="A37" i="4"/>
  <c r="C37" i="4" s="1"/>
  <c r="AH28" i="5" l="1"/>
  <c r="AH24" i="5"/>
  <c r="AH23" i="5"/>
  <c r="AH31" i="5"/>
  <c r="AH32" i="5"/>
  <c r="AH29" i="5"/>
  <c r="AH30" i="5"/>
  <c r="AH27" i="5"/>
  <c r="AH26" i="5"/>
  <c r="AH25" i="5"/>
  <c r="AH21" i="5"/>
  <c r="AH22" i="5"/>
  <c r="AH20" i="5"/>
  <c r="AH19" i="5"/>
  <c r="AH18" i="5"/>
  <c r="AH17" i="5"/>
  <c r="AN17" i="5" s="1" a="1"/>
  <c r="AH16" i="5"/>
  <c r="AN16" i="5" s="1" a="1"/>
  <c r="U94" i="4"/>
  <c r="T101" i="4" s="1"/>
  <c r="U54" i="4"/>
  <c r="T61" i="4" s="1"/>
  <c r="T57" i="4"/>
  <c r="T97" i="4"/>
  <c r="T22" i="4"/>
  <c r="T23" i="4"/>
  <c r="T24" i="4"/>
  <c r="T25" i="4"/>
  <c r="T26" i="4"/>
  <c r="U26" i="4" s="1"/>
  <c r="T17" i="4"/>
  <c r="V8" i="5" a="1"/>
  <c r="O69" i="10"/>
  <c r="O74" i="10" s="1"/>
  <c r="J12" i="9"/>
  <c r="AH14" i="5"/>
  <c r="W14" i="5" s="1" a="1"/>
  <c r="BA13" i="6"/>
  <c r="A18" i="4"/>
  <c r="C17" i="4"/>
  <c r="Y12" i="8"/>
  <c r="Z13" i="6"/>
  <c r="AE13" i="6"/>
  <c r="AP13" i="6"/>
  <c r="K12" i="10"/>
  <c r="K11" i="10" s="1" a="1"/>
  <c r="C5" i="4"/>
  <c r="A6" i="4"/>
  <c r="W28" i="5" l="1" a="1"/>
  <c r="AN28" i="5" a="1"/>
  <c r="W24" i="5" a="1"/>
  <c r="AN24" i="5" a="1"/>
  <c r="W23" i="5" a="1"/>
  <c r="AN23" i="5" a="1"/>
  <c r="W29" i="5" a="1"/>
  <c r="W21" i="5" a="1"/>
  <c r="W31" i="5" a="1"/>
  <c r="W25" i="5" a="1"/>
  <c r="H14" i="12" a="1"/>
  <c r="AN14" i="5" a="1"/>
  <c r="T62" i="4"/>
  <c r="T63" i="4"/>
  <c r="T64" i="4"/>
  <c r="T66" i="4"/>
  <c r="U66" i="4" s="1"/>
  <c r="T65" i="4"/>
  <c r="T102" i="4"/>
  <c r="T104" i="4"/>
  <c r="T103" i="4"/>
  <c r="T106" i="4"/>
  <c r="U106" i="4" s="1"/>
  <c r="T105" i="4"/>
  <c r="U7" i="4"/>
  <c r="H68" i="10"/>
  <c r="Q69" i="10"/>
  <c r="Q74" i="10" s="1"/>
  <c r="K12" i="9"/>
  <c r="BB13" i="6"/>
  <c r="AF13" i="6"/>
  <c r="A19" i="4"/>
  <c r="C19" i="4" s="1"/>
  <c r="C18" i="4"/>
  <c r="Z12" i="8"/>
  <c r="AQ13" i="6"/>
  <c r="L12" i="10"/>
  <c r="L11" i="10" s="1" a="1"/>
  <c r="A7" i="4"/>
  <c r="C7" i="4" s="1"/>
  <c r="C6" i="4"/>
  <c r="X29" i="4" l="1"/>
  <c r="S69" i="10"/>
  <c r="S74" i="10" s="1"/>
  <c r="L12" i="9"/>
  <c r="AG13" i="6"/>
  <c r="BC13" i="6"/>
  <c r="AA12" i="8"/>
  <c r="AR13" i="6"/>
  <c r="M12" i="10"/>
  <c r="M11" i="10" s="1" a="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U29" i="4" l="1"/>
  <c r="U69" i="4"/>
  <c r="U65" i="4"/>
  <c r="U103" i="4"/>
  <c r="U61" i="4"/>
  <c r="U105" i="4"/>
  <c r="U64" i="4"/>
  <c r="U102" i="4"/>
  <c r="U62" i="4"/>
  <c r="U21" i="4"/>
  <c r="U23" i="4"/>
  <c r="U104" i="4"/>
  <c r="U101" i="4"/>
  <c r="U24" i="4"/>
  <c r="U25" i="4"/>
  <c r="U22" i="4"/>
  <c r="U63" i="4"/>
  <c r="U109" i="4"/>
  <c r="K112" i="4" s="1"/>
  <c r="U69" i="10"/>
  <c r="U74" i="10" s="1"/>
  <c r="M12" i="9"/>
  <c r="AH13" i="6"/>
  <c r="BD13" i="6"/>
  <c r="AB12" i="8"/>
  <c r="AS13" i="6"/>
  <c r="N12" i="10"/>
  <c r="N11" i="10" s="1" a="1"/>
  <c r="W69" i="10" l="1"/>
  <c r="W74" i="10" s="1"/>
  <c r="N12" i="9"/>
  <c r="J72" i="4"/>
  <c r="U8" i="4"/>
  <c r="AI13" i="6"/>
  <c r="BE13" i="6"/>
  <c r="AC12" i="8"/>
  <c r="K72" i="4"/>
  <c r="J112" i="4"/>
  <c r="AT13" i="6"/>
  <c r="O12" i="10"/>
  <c r="O11" i="10" s="1" a="1"/>
  <c r="K32" i="4"/>
  <c r="J32" i="4"/>
  <c r="K19" i="5" l="1"/>
  <c r="O12" i="9"/>
  <c r="Y69" i="10"/>
  <c r="Y74" i="10" s="1"/>
  <c r="T11" i="11"/>
  <c r="AJ13" i="6"/>
  <c r="BF13" i="6"/>
  <c r="AD12" i="8"/>
  <c r="AU13" i="6"/>
  <c r="P12" i="10"/>
  <c r="P11" i="10" s="1" a="1"/>
  <c r="P12" i="9" l="1"/>
  <c r="AA69" i="10"/>
  <c r="AA74" i="10" s="1"/>
  <c r="AK13" i="6"/>
  <c r="BG13" i="6"/>
  <c r="AE12" i="8"/>
  <c r="AV13" i="6"/>
  <c r="Q12" i="10"/>
  <c r="Q11" i="10" s="1" a="1"/>
  <c r="Q12" i="9" l="1"/>
  <c r="AC69" i="10"/>
  <c r="AC74" i="10" s="1"/>
  <c r="AF12" i="8"/>
  <c r="R12" i="10"/>
  <c r="R11" i="10" s="1" a="1"/>
  <c r="R12" i="9" l="1"/>
  <c r="AE69" i="10"/>
  <c r="AE74" i="10" s="1"/>
  <c r="S12" i="10"/>
  <c r="S11" i="10" s="1" a="1"/>
  <c r="S12" i="9" l="1"/>
  <c r="T12" i="10"/>
  <c r="T11" i="10" s="1" a="1"/>
  <c r="T12" i="9" l="1"/>
  <c r="U12" i="10"/>
  <c r="U11" i="10" s="1" a="1"/>
  <c r="U12" i="9" l="1"/>
  <c r="V12" i="10"/>
  <c r="V11" i="10" s="1" a="1"/>
  <c r="V12" i="9" l="1"/>
  <c r="W12" i="10"/>
  <c r="W11" i="10" s="1" a="1"/>
  <c r="W12" i="9" l="1"/>
  <c r="X12" i="10"/>
  <c r="X11" i="10" s="1" a="1"/>
  <c r="X12" i="9" l="1"/>
  <c r="Y12" i="10"/>
  <c r="Y11" i="10" s="1" a="1"/>
  <c r="Y12" i="9" l="1"/>
  <c r="Z12" i="10"/>
  <c r="Z11" i="10" s="1" a="1"/>
  <c r="Z12" i="9" l="1"/>
  <c r="AA12" i="10"/>
  <c r="AA11" i="10" s="1" a="1"/>
  <c r="AA12" i="9" l="1"/>
  <c r="AB12" i="10"/>
  <c r="AB11" i="10" s="1" a="1"/>
  <c r="AB12" i="9" l="1"/>
  <c r="AC12" i="10"/>
  <c r="AC11" i="10" s="1" a="1"/>
  <c r="J26" i="5" l="1"/>
  <c r="K26" i="5"/>
  <c r="D26" i="5" s="1"/>
  <c r="K25" i="5"/>
  <c r="K21" i="5"/>
  <c r="AC12" i="9"/>
  <c r="AD12" i="10"/>
  <c r="AD11" i="10" s="1" a="1"/>
  <c r="B26" i="12" l="1"/>
  <c r="AD12" i="9"/>
  <c r="AE12" i="10"/>
  <c r="AE11" i="10" s="1" a="1"/>
  <c r="AE12" i="9" l="1"/>
  <c r="AF12" i="10"/>
  <c r="AF11" i="10" s="1" a="1"/>
  <c r="A8" i="9" l="1"/>
  <c r="B7" i="9" a="1"/>
  <c r="D21" i="2" l="1"/>
  <c r="N14" i="6" l="1"/>
  <c r="U1" i="7" l="1" a="1"/>
  <c r="W1" i="7" a="1"/>
  <c r="Y1" i="7" a="1"/>
  <c r="S1" i="7" a="1"/>
  <c r="T1" i="7" a="1"/>
  <c r="V1" i="7" a="1"/>
  <c r="X1" i="7" a="1"/>
  <c r="R1" i="7" l="1" a="1"/>
  <c r="M1" i="7" a="1"/>
  <c r="P1" i="7" a="1"/>
  <c r="Q1" i="7" a="1"/>
  <c r="O1" i="7" a="1"/>
  <c r="N1" i="7" a="1"/>
  <c r="A10" i="9" l="1"/>
  <c r="K31" i="5" l="1"/>
  <c r="K29" i="5"/>
  <c r="J1" i="7" a="1"/>
  <c r="L1" i="7" a="1"/>
  <c r="K1" i="7" a="1"/>
  <c r="O15" i="12" l="1" a="1"/>
  <c r="M15" i="12" a="1"/>
  <c r="M14" i="6" l="1"/>
  <c r="I1" i="7" l="1" a="1"/>
  <c r="F1" i="7" l="1"/>
  <c r="E1" i="7" a="1"/>
  <c r="H1" i="7" a="1"/>
  <c r="I74" i="10" l="1"/>
  <c r="F6" i="7" l="1"/>
  <c r="J10" i="13" l="1"/>
  <c r="AH12" i="13" l="1"/>
  <c r="AD12" i="13" l="1" a="1"/>
  <c r="AG12" i="13" a="1"/>
  <c r="AC12" i="13" a="1"/>
  <c r="AF12" i="13" a="1"/>
  <c r="AE12" i="13"/>
  <c r="M12" i="6" l="1" a="1"/>
  <c r="I15" i="12" l="1" a="1"/>
  <c r="B6" i="9" l="1" a="1"/>
  <c r="R1" i="6" l="1" a="1"/>
  <c r="AB12" i="6"/>
  <c r="AM12" i="6"/>
  <c r="AX12" i="6"/>
  <c r="B15" i="9"/>
  <c r="D15" i="7"/>
  <c r="B15" i="10"/>
  <c r="F15" i="7" a="1"/>
  <c r="B16" i="9" l="1"/>
  <c r="B17" i="9" s="1"/>
  <c r="B18" i="9" s="1"/>
  <c r="B19" i="9" s="1"/>
  <c r="B20" i="9" s="1"/>
  <c r="B21" i="9" s="1"/>
  <c r="B22" i="9" s="1"/>
  <c r="B23" i="9" s="1"/>
  <c r="B24" i="9" s="1"/>
  <c r="B25" i="9" s="1"/>
  <c r="B26" i="9" s="1"/>
  <c r="B27" i="9" s="1"/>
  <c r="B28" i="9" s="1"/>
  <c r="B29" i="9" s="1"/>
  <c r="B30" i="9" s="1"/>
  <c r="B31" i="9" s="1"/>
  <c r="B32" i="9" s="1"/>
  <c r="B33" i="9" s="1"/>
  <c r="B34" i="9" s="1"/>
  <c r="B35" i="9" s="1"/>
  <c r="B36" i="9" s="1"/>
  <c r="B37" i="9" s="1"/>
  <c r="B38" i="9" s="1"/>
  <c r="B39" i="9" s="1"/>
  <c r="B40" i="9" s="1"/>
  <c r="B41" i="9" s="1"/>
  <c r="B42" i="9" s="1"/>
  <c r="B43" i="9" s="1"/>
  <c r="B44" i="9" s="1"/>
  <c r="B45" i="9" s="1"/>
  <c r="B46" i="9" s="1"/>
  <c r="B47" i="9" s="1"/>
  <c r="B48" i="9" s="1"/>
  <c r="B49" i="9" s="1"/>
  <c r="B50" i="9" s="1"/>
  <c r="B51" i="9" s="1"/>
  <c r="B52" i="9" s="1"/>
  <c r="B53" i="9" s="1"/>
  <c r="B54" i="9" s="1"/>
  <c r="B55" i="9" s="1"/>
  <c r="B56" i="9" s="1"/>
  <c r="B57" i="9" s="1"/>
  <c r="B58" i="9" s="1"/>
  <c r="B59" i="9" s="1"/>
  <c r="B60" i="9" s="1"/>
  <c r="B61" i="9" s="1"/>
  <c r="B62" i="9" s="1"/>
  <c r="B63" i="9" s="1"/>
  <c r="B64" i="9" s="1"/>
  <c r="D8" i="9"/>
  <c r="B16" i="10"/>
  <c r="B17" i="10" s="1"/>
  <c r="B18" i="10" s="1"/>
  <c r="B19" i="10" s="1"/>
  <c r="B20" i="10" s="1"/>
  <c r="B21" i="10" s="1"/>
  <c r="B22" i="10" s="1"/>
  <c r="B23" i="10" s="1"/>
  <c r="B24" i="10" s="1"/>
  <c r="B25" i="10" s="1"/>
  <c r="B26" i="10" s="1"/>
  <c r="B27" i="10" s="1"/>
  <c r="B28" i="10" s="1"/>
  <c r="B29" i="10" s="1"/>
  <c r="B30" i="10" s="1"/>
  <c r="B31" i="10" s="1"/>
  <c r="B32" i="10" s="1"/>
  <c r="B33" i="10" s="1"/>
  <c r="B34" i="10" s="1"/>
  <c r="B35" i="10" s="1"/>
  <c r="B36" i="10" s="1"/>
  <c r="B37" i="10" s="1"/>
  <c r="B38" i="10" s="1"/>
  <c r="B39" i="10" s="1"/>
  <c r="B40" i="10" s="1"/>
  <c r="B41" i="10" s="1"/>
  <c r="B42" i="10" s="1"/>
  <c r="B43" i="10" s="1"/>
  <c r="B44" i="10" s="1"/>
  <c r="B45" i="10" s="1"/>
  <c r="B46" i="10" s="1"/>
  <c r="B47" i="10" s="1"/>
  <c r="B48" i="10" s="1"/>
  <c r="B49" i="10" s="1"/>
  <c r="B50" i="10" s="1"/>
  <c r="B51" i="10" s="1"/>
  <c r="B52" i="10" s="1"/>
  <c r="B53" i="10" s="1"/>
  <c r="B54" i="10" s="1"/>
  <c r="B55" i="10" s="1"/>
  <c r="B56" i="10" s="1"/>
  <c r="B57" i="10" s="1"/>
  <c r="B58" i="10" s="1"/>
  <c r="B59" i="10" s="1"/>
  <c r="B60" i="10" s="1"/>
  <c r="B61" i="10" s="1"/>
  <c r="B62" i="10" s="1"/>
  <c r="B63" i="10" s="1"/>
  <c r="B64" i="10" s="1"/>
  <c r="A15" i="10"/>
  <c r="C16" i="7" a="1"/>
  <c r="C15" i="9"/>
  <c r="F15" i="9" s="1"/>
  <c r="C15" i="10"/>
  <c r="A15" i="7"/>
  <c r="S1" i="6" a="1"/>
  <c r="AY12" i="6"/>
  <c r="AC12" i="6"/>
  <c r="AN12" i="6"/>
  <c r="B15" i="7"/>
  <c r="G14" i="12" a="1"/>
  <c r="AN19" i="5" l="1" a="1"/>
  <c r="AN21" i="5" a="1"/>
  <c r="AN29" i="5" a="1"/>
  <c r="AN31" i="5" a="1"/>
  <c r="AN25" i="5" a="1"/>
  <c r="M21" i="6"/>
  <c r="T1" i="6" a="1"/>
  <c r="AZ12" i="6"/>
  <c r="AO12" i="6"/>
  <c r="AD12" i="6"/>
  <c r="E25" i="12"/>
  <c r="F25" i="6"/>
  <c r="N28" i="6" s="1"/>
  <c r="E31" i="12"/>
  <c r="F31" i="6"/>
  <c r="E21" i="12"/>
  <c r="F21" i="6"/>
  <c r="E29" i="12"/>
  <c r="F29" i="6"/>
  <c r="F14" i="12" a="1"/>
  <c r="N23" i="6" l="1"/>
  <c r="N24" i="6"/>
  <c r="W26" i="5" a="1"/>
  <c r="AN26" i="5" a="1"/>
  <c r="G20" i="6"/>
  <c r="G26" i="6" s="1"/>
  <c r="M25" i="6"/>
  <c r="N22" i="6"/>
  <c r="N25" i="6"/>
  <c r="N26" i="6"/>
  <c r="N27" i="6"/>
  <c r="N29" i="6"/>
  <c r="N30" i="6"/>
  <c r="N31" i="6"/>
  <c r="N32" i="6"/>
  <c r="U1" i="6" a="1"/>
  <c r="AP12" i="6"/>
  <c r="AE12" i="6"/>
  <c r="BA12" i="6"/>
  <c r="V1" i="6" l="1" a="1"/>
  <c r="BB12" i="6"/>
  <c r="AQ12" i="6"/>
  <c r="AF12" i="6"/>
  <c r="W20" i="5" a="1"/>
  <c r="AN20" i="5" a="1"/>
  <c r="AN18" i="5" a="1"/>
  <c r="W18" i="5" a="1"/>
  <c r="W1" i="6" l="1" a="1"/>
  <c r="AR12" i="6"/>
  <c r="BC12" i="6"/>
  <c r="AG12" i="6"/>
  <c r="W32" i="5" l="1" a="1"/>
  <c r="AN32" i="5" a="1"/>
  <c r="M29" i="6"/>
  <c r="X1" i="6" a="1"/>
  <c r="AH12" i="6"/>
  <c r="AS12" i="6"/>
  <c r="BD12" i="6"/>
  <c r="K16" i="5" l="1"/>
  <c r="A15" i="13"/>
  <c r="B15" i="11"/>
  <c r="J19" i="5"/>
  <c r="D19" i="5" s="1"/>
  <c r="J17" i="5"/>
  <c r="D17" i="5" s="1"/>
  <c r="J25" i="5"/>
  <c r="D25" i="5" s="1"/>
  <c r="B25" i="12" s="1"/>
  <c r="J31" i="5"/>
  <c r="D31" i="5" s="1"/>
  <c r="J21" i="5"/>
  <c r="D21" i="5" s="1"/>
  <c r="J29" i="5"/>
  <c r="D29" i="5" s="1"/>
  <c r="I25" i="5"/>
  <c r="M31" i="6"/>
  <c r="Y1" i="6" a="1"/>
  <c r="AI12" i="6"/>
  <c r="AT12" i="6"/>
  <c r="BE12" i="6"/>
  <c r="B31" i="12" l="1"/>
  <c r="B29" i="12"/>
  <c r="B17" i="12"/>
  <c r="C15" i="13"/>
  <c r="K15" i="13" s="1" a="1"/>
  <c r="K15" i="11" a="1"/>
  <c r="G15" i="11"/>
  <c r="F15" i="13" s="1"/>
  <c r="B21" i="12"/>
  <c r="B19" i="12"/>
  <c r="Z1" i="6" a="1"/>
  <c r="M1" i="6" s="1"/>
  <c r="AU12" i="6"/>
  <c r="AJ12" i="6"/>
  <c r="BF12" i="6"/>
  <c r="J28" i="6" l="1" a="1"/>
  <c r="J23" i="6" a="1"/>
  <c r="J24" i="6" a="1"/>
  <c r="AN22" i="5" a="1"/>
  <c r="W22" i="5" a="1"/>
  <c r="AN30" i="5" a="1"/>
  <c r="W30" i="5" a="1"/>
  <c r="W27" i="5" a="1"/>
  <c r="AN27" i="5" a="1"/>
  <c r="I29" i="5"/>
  <c r="J22" i="6" a="1"/>
  <c r="J21" i="6" a="1"/>
  <c r="J25" i="6" a="1"/>
  <c r="J27" i="6" a="1"/>
  <c r="J26" i="6" a="1"/>
  <c r="J29" i="6" a="1"/>
  <c r="J30" i="6" a="1"/>
  <c r="J31" i="6" a="1"/>
  <c r="J32" i="6" a="1"/>
  <c r="J18" i="6" a="1"/>
  <c r="J20" i="6" a="1"/>
  <c r="G11" i="9"/>
  <c r="J11" i="9"/>
  <c r="Q11" i="9"/>
  <c r="M11" i="9"/>
  <c r="L11" i="9"/>
  <c r="N11" i="9"/>
  <c r="K11" i="9"/>
  <c r="AD11" i="9"/>
  <c r="Y11" i="9"/>
  <c r="X11" i="9"/>
  <c r="H11" i="9"/>
  <c r="J19" i="6" a="1"/>
  <c r="N12" i="6"/>
  <c r="T11" i="9"/>
  <c r="Z11" i="9"/>
  <c r="AE11" i="9"/>
  <c r="U11" i="9"/>
  <c r="O11" i="9"/>
  <c r="J16" i="6" a="1"/>
  <c r="I13" i="7"/>
  <c r="S11" i="9"/>
  <c r="AC11" i="9"/>
  <c r="J17" i="6" a="1"/>
  <c r="E11" i="9"/>
  <c r="V11" i="9"/>
  <c r="R11" i="9"/>
  <c r="P11" i="9"/>
  <c r="AB11" i="9"/>
  <c r="AA11" i="9"/>
  <c r="W11" i="9"/>
  <c r="I11" i="9"/>
  <c r="J14" i="6" a="1"/>
  <c r="AK12" i="6"/>
  <c r="BG12" i="6"/>
  <c r="AV12" i="6"/>
  <c r="J13" i="7" l="1"/>
  <c r="I10" i="7"/>
  <c r="I31" i="5" l="1"/>
  <c r="K13" i="7"/>
  <c r="J10" i="7"/>
  <c r="L13" i="7" l="1"/>
  <c r="K10" i="7"/>
  <c r="L33" i="6" l="1"/>
  <c r="L10" i="7"/>
  <c r="M13" i="7"/>
  <c r="N13" i="7" l="1"/>
  <c r="M10" i="7"/>
  <c r="N10" i="7" l="1"/>
  <c r="O13" i="7"/>
  <c r="O10" i="7" l="1"/>
  <c r="P13" i="7"/>
  <c r="P10" i="7" l="1"/>
  <c r="Q13" i="7"/>
  <c r="Q10" i="7" l="1"/>
  <c r="R13" i="7"/>
  <c r="R10" i="7" l="1"/>
  <c r="S13" i="7"/>
  <c r="S10" i="7" l="1"/>
  <c r="T13" i="7"/>
  <c r="T10" i="7" l="1"/>
  <c r="U13" i="7"/>
  <c r="V13" i="7" l="1"/>
  <c r="U10" i="7"/>
  <c r="A16" i="13"/>
  <c r="B16" i="11"/>
  <c r="V10" i="7" l="1"/>
  <c r="W13" i="7"/>
  <c r="A5" i="5"/>
  <c r="G16" i="11"/>
  <c r="F16" i="13" s="1"/>
  <c r="C16" i="13"/>
  <c r="K16" i="11" a="1"/>
  <c r="W10" i="7" l="1"/>
  <c r="X13" i="7"/>
  <c r="F14" i="8" a="1"/>
  <c r="F20" i="8" a="1"/>
  <c r="F17" i="8" a="1"/>
  <c r="F1" i="8" a="1"/>
  <c r="F26" i="8" a="1"/>
  <c r="F29" i="8" a="1"/>
  <c r="F23" i="8" a="1"/>
  <c r="F32" i="8" a="1"/>
  <c r="A12" i="13"/>
  <c r="A20" i="13"/>
  <c r="A21" i="13"/>
  <c r="B20" i="11"/>
  <c r="B19" i="11"/>
  <c r="B18" i="11"/>
  <c r="B23" i="11"/>
  <c r="A19" i="13"/>
  <c r="B17" i="11"/>
  <c r="A23" i="13"/>
  <c r="A22" i="13"/>
  <c r="A18" i="13"/>
  <c r="B22" i="11"/>
  <c r="B21" i="11"/>
  <c r="A17" i="13"/>
  <c r="B12" i="11"/>
  <c r="J16" i="5"/>
  <c r="D16" i="5" s="1"/>
  <c r="K16" i="13" a="1"/>
  <c r="Y13" i="7" l="1"/>
  <c r="Y10" i="7" s="1"/>
  <c r="X10" i="7"/>
  <c r="B16" i="12"/>
  <c r="B14" i="13"/>
  <c r="AB22" i="11" a="1"/>
  <c r="AA22" i="11" a="1"/>
  <c r="C22" i="13"/>
  <c r="K22" i="11" a="1"/>
  <c r="O22" i="11" a="1"/>
  <c r="G22" i="11"/>
  <c r="F22" i="13" s="1"/>
  <c r="K17" i="11" a="1"/>
  <c r="G17" i="11"/>
  <c r="F17" i="13" s="1"/>
  <c r="AB17" i="11" a="1"/>
  <c r="O17" i="11" a="1"/>
  <c r="C17" i="13"/>
  <c r="AA17" i="11" a="1"/>
  <c r="F10" i="8" a="1"/>
  <c r="C18" i="13"/>
  <c r="K18" i="11" a="1"/>
  <c r="AB18" i="11" a="1"/>
  <c r="AA18" i="11" a="1"/>
  <c r="O18" i="11" a="1"/>
  <c r="G18" i="11"/>
  <c r="F18" i="13" s="1"/>
  <c r="AO20" i="13"/>
  <c r="B20" i="13"/>
  <c r="AN20" i="13" s="1" a="1"/>
  <c r="AL20" i="13"/>
  <c r="AB12" i="11" a="1"/>
  <c r="G12" i="11"/>
  <c r="F12" i="13" s="1"/>
  <c r="C12" i="13"/>
  <c r="O12" i="11" a="1"/>
  <c r="K12" i="11" a="1"/>
  <c r="AA12" i="11" a="1"/>
  <c r="AL18" i="13"/>
  <c r="AO18" i="13"/>
  <c r="B18" i="13"/>
  <c r="AN18" i="13" s="1" a="1"/>
  <c r="B19" i="13"/>
  <c r="AK19" i="13" s="1" a="1"/>
  <c r="AL19" i="13"/>
  <c r="AO19" i="13"/>
  <c r="AB19" i="11" a="1"/>
  <c r="G19" i="11"/>
  <c r="F19" i="13" s="1"/>
  <c r="K19" i="11" a="1"/>
  <c r="AA19" i="11" a="1"/>
  <c r="C19" i="13"/>
  <c r="O19" i="11" a="1"/>
  <c r="AL12" i="13"/>
  <c r="B12" i="13"/>
  <c r="AK12" i="13" s="1" a="1"/>
  <c r="AO12" i="13"/>
  <c r="B17" i="13"/>
  <c r="AJ17" i="13" s="1" a="1"/>
  <c r="AL17" i="13"/>
  <c r="AO17" i="13"/>
  <c r="AL22" i="13"/>
  <c r="B22" i="13"/>
  <c r="AM22" i="13" s="1" a="1"/>
  <c r="AO22" i="13"/>
  <c r="O23" i="11" a="1"/>
  <c r="C23" i="13"/>
  <c r="G23" i="11"/>
  <c r="F23" i="13" s="1"/>
  <c r="K23" i="11" a="1"/>
  <c r="AA23" i="11" a="1"/>
  <c r="AB23" i="11" a="1"/>
  <c r="AB20" i="11" a="1"/>
  <c r="K20" i="11" a="1"/>
  <c r="AA20" i="11" a="1"/>
  <c r="G20" i="11"/>
  <c r="F20" i="13" s="1"/>
  <c r="O20" i="11" a="1"/>
  <c r="C20" i="13"/>
  <c r="AB21" i="11" a="1"/>
  <c r="O21" i="11" a="1"/>
  <c r="AA21" i="11" a="1"/>
  <c r="G21" i="11"/>
  <c r="F21" i="13" s="1"/>
  <c r="K21" i="11" a="1"/>
  <c r="C21" i="13"/>
  <c r="AL23" i="13"/>
  <c r="B23" i="13"/>
  <c r="AM23" i="13" s="1" a="1"/>
  <c r="AO23" i="13"/>
  <c r="B15" i="13"/>
  <c r="B21" i="13"/>
  <c r="AN21" i="13" s="1" a="1"/>
  <c r="AL21" i="13"/>
  <c r="AO21" i="13"/>
  <c r="B16" i="13" l="1"/>
  <c r="AN22" i="13" a="1"/>
  <c r="AJ22" i="13" a="1"/>
  <c r="AK22" i="13" a="1"/>
  <c r="AN19" i="13" a="1"/>
  <c r="AM21" i="13" a="1"/>
  <c r="AK23" i="13" a="1"/>
  <c r="O21" i="13"/>
  <c r="K21" i="13" a="1"/>
  <c r="M21" i="13"/>
  <c r="AK17" i="13" a="1"/>
  <c r="AM17" i="13" a="1"/>
  <c r="AN17" i="13" a="1"/>
  <c r="AJ12" i="13" a="1"/>
  <c r="M19" i="13"/>
  <c r="O19" i="13"/>
  <c r="K19" i="13" a="1"/>
  <c r="O23" i="13"/>
  <c r="K23" i="13" a="1"/>
  <c r="M23" i="13"/>
  <c r="AJ19" i="13" a="1"/>
  <c r="AM19" i="13" a="1"/>
  <c r="AK18" i="13" a="1"/>
  <c r="K17" i="13" a="1"/>
  <c r="O17" i="13"/>
  <c r="M17" i="13"/>
  <c r="AJ21" i="13" a="1"/>
  <c r="AK21" i="13" a="1"/>
  <c r="AN23" i="13" a="1"/>
  <c r="AJ23" i="13" a="1"/>
  <c r="AN12" i="13" a="1"/>
  <c r="AM12" i="13" a="1"/>
  <c r="K12" i="13" a="1"/>
  <c r="O12" i="13"/>
  <c r="M12" i="13"/>
  <c r="AK20" i="13" a="1"/>
  <c r="AJ20" i="13" a="1"/>
  <c r="AM20" i="13" a="1"/>
  <c r="O18" i="13"/>
  <c r="K18" i="13" a="1"/>
  <c r="M18" i="13"/>
  <c r="O22" i="13"/>
  <c r="M22" i="13"/>
  <c r="K22" i="13" a="1"/>
  <c r="K20" i="13" a="1"/>
  <c r="M20" i="13"/>
  <c r="O20" i="13"/>
  <c r="AJ18" i="13" a="1"/>
  <c r="AM18" i="13" a="1"/>
  <c r="D15" i="5"/>
  <c r="O15" i="11" a="1"/>
  <c r="O16" i="11" l="1" a="1"/>
  <c r="AO16" i="13"/>
  <c r="O16" i="13" s="1"/>
  <c r="N20" i="13"/>
  <c r="N22" i="13"/>
  <c r="N12" i="13"/>
  <c r="N21" i="13"/>
  <c r="N23" i="13"/>
  <c r="N17" i="13"/>
  <c r="AB16" i="11" a="1"/>
  <c r="N18" i="13"/>
  <c r="N19" i="13"/>
  <c r="AL15" i="13"/>
  <c r="M15" i="13" s="1"/>
  <c r="AB15" i="11" a="1"/>
  <c r="AL16" i="13" l="1"/>
  <c r="M16" i="13" s="1"/>
  <c r="AK16" i="13" a="1"/>
  <c r="AN16" i="13" a="1"/>
  <c r="AO15" i="13"/>
  <c r="O15" i="13" s="1"/>
  <c r="AN15" i="13" a="1"/>
  <c r="AK15" i="13" a="1"/>
  <c r="N16" i="13" l="1"/>
  <c r="N15" i="13"/>
  <c r="AA16" i="11" l="1" a="1"/>
  <c r="AM16" i="13" a="1"/>
  <c r="AJ16" i="13" a="1"/>
  <c r="AJ15" i="13" a="1"/>
  <c r="AA15" i="11" l="1" a="1"/>
  <c r="AM15" i="13" a="1"/>
  <c r="B39" i="14" l="1"/>
  <c r="B37" i="14"/>
  <c r="E28" i="14"/>
  <c r="C14" i="14"/>
  <c r="AN23" i="13"/>
  <c r="AM23" i="13"/>
  <c r="AK23" i="13"/>
  <c r="AJ23" i="13"/>
  <c r="AG23" i="13"/>
  <c r="AF23" i="13"/>
  <c r="AD23" i="13"/>
  <c r="AC23" i="13"/>
  <c r="K23" i="13"/>
  <c r="AN22" i="13"/>
  <c r="AM22" i="13"/>
  <c r="AK22" i="13"/>
  <c r="AJ22" i="13"/>
  <c r="AG22" i="13"/>
  <c r="AF22" i="13"/>
  <c r="AD22" i="13"/>
  <c r="AC22" i="13"/>
  <c r="K22" i="13"/>
  <c r="AN21" i="13"/>
  <c r="AM21" i="13"/>
  <c r="AK21" i="13"/>
  <c r="AJ21" i="13"/>
  <c r="AG21" i="13"/>
  <c r="AF21" i="13"/>
  <c r="AD21" i="13"/>
  <c r="AC21" i="13"/>
  <c r="K21" i="13"/>
  <c r="AN20" i="13"/>
  <c r="AM20" i="13"/>
  <c r="AK20" i="13"/>
  <c r="AJ20" i="13"/>
  <c r="AG20" i="13"/>
  <c r="AF20" i="13"/>
  <c r="AD20" i="13"/>
  <c r="AC20" i="13"/>
  <c r="K20" i="13"/>
  <c r="AN19" i="13"/>
  <c r="AM19" i="13"/>
  <c r="AK19" i="13"/>
  <c r="AJ19" i="13"/>
  <c r="AG19" i="13"/>
  <c r="AF19" i="13"/>
  <c r="AD19" i="13"/>
  <c r="AC19" i="13"/>
  <c r="K19" i="13"/>
  <c r="AN18" i="13"/>
  <c r="AM18" i="13"/>
  <c r="AK18" i="13"/>
  <c r="AJ18" i="13"/>
  <c r="AG18" i="13"/>
  <c r="AF18" i="13"/>
  <c r="AD18" i="13"/>
  <c r="AC18" i="13"/>
  <c r="K18" i="13"/>
  <c r="AN17" i="13"/>
  <c r="AM17" i="13"/>
  <c r="AK17" i="13"/>
  <c r="AJ17" i="13"/>
  <c r="AG17" i="13"/>
  <c r="AF17" i="13"/>
  <c r="AD17" i="13"/>
  <c r="AC17" i="13"/>
  <c r="K17" i="13"/>
  <c r="AN16" i="13"/>
  <c r="AM16" i="13"/>
  <c r="AK16" i="13"/>
  <c r="AJ16" i="13"/>
  <c r="AG16" i="13"/>
  <c r="AF16" i="13"/>
  <c r="AD16" i="13"/>
  <c r="AC16" i="13"/>
  <c r="K16" i="13"/>
  <c r="AN15" i="13"/>
  <c r="AM15" i="13"/>
  <c r="AK15" i="13"/>
  <c r="AJ15" i="13"/>
  <c r="AG15" i="13"/>
  <c r="AF15" i="13"/>
  <c r="AD15" i="13"/>
  <c r="AC15" i="13"/>
  <c r="K15" i="13"/>
  <c r="AG14" i="13"/>
  <c r="AF14" i="13"/>
  <c r="AD14" i="13"/>
  <c r="AC14" i="13"/>
  <c r="K14" i="13"/>
  <c r="AN12" i="13"/>
  <c r="AM12" i="13"/>
  <c r="AK12" i="13"/>
  <c r="AJ12" i="13"/>
  <c r="AG12" i="13"/>
  <c r="AF12" i="13"/>
  <c r="AD12" i="13"/>
  <c r="AC12" i="13"/>
  <c r="K12" i="13"/>
  <c r="D40" i="12"/>
  <c r="H32" i="12"/>
  <c r="G32" i="12"/>
  <c r="F32" i="12"/>
  <c r="H31" i="12"/>
  <c r="G31" i="12"/>
  <c r="F31" i="12"/>
  <c r="H30" i="12"/>
  <c r="G30" i="12"/>
  <c r="F30" i="12"/>
  <c r="H29" i="12"/>
  <c r="G29" i="12"/>
  <c r="F29" i="12"/>
  <c r="H28" i="12"/>
  <c r="G28" i="12"/>
  <c r="F28" i="12"/>
  <c r="H27" i="12"/>
  <c r="G27" i="12"/>
  <c r="F27" i="12"/>
  <c r="H26" i="12"/>
  <c r="G26" i="12"/>
  <c r="F26" i="12"/>
  <c r="H25" i="12"/>
  <c r="G25" i="12"/>
  <c r="F25" i="12"/>
  <c r="H24" i="12"/>
  <c r="G24" i="12"/>
  <c r="F24" i="12"/>
  <c r="H23" i="12"/>
  <c r="G23" i="12"/>
  <c r="F23" i="12"/>
  <c r="H22" i="12"/>
  <c r="G22" i="12"/>
  <c r="F22" i="12"/>
  <c r="H21" i="12"/>
  <c r="G21" i="12"/>
  <c r="F21" i="12"/>
  <c r="H20" i="12"/>
  <c r="G20" i="12"/>
  <c r="F20" i="12"/>
  <c r="H19" i="12"/>
  <c r="G19" i="12"/>
  <c r="F19" i="12"/>
  <c r="H18" i="12"/>
  <c r="G18" i="12"/>
  <c r="F18" i="12"/>
  <c r="H17" i="12"/>
  <c r="G17" i="12"/>
  <c r="F17" i="12"/>
  <c r="H16" i="12"/>
  <c r="G16" i="12"/>
  <c r="F16" i="12"/>
  <c r="AB15" i="12"/>
  <c r="O15" i="12"/>
  <c r="M15" i="12"/>
  <c r="J15" i="12" s="1" a="1"/>
  <c r="J15" i="12" s="1"/>
  <c r="I15" i="12"/>
  <c r="H14" i="12"/>
  <c r="G14" i="12"/>
  <c r="F14" i="12"/>
  <c r="AB13" i="12"/>
  <c r="X13" i="12"/>
  <c r="W13" i="12"/>
  <c r="V13" i="12"/>
  <c r="Q12" i="12"/>
  <c r="J12" i="12"/>
  <c r="F10" i="12"/>
  <c r="I8" i="12"/>
  <c r="I7" i="12"/>
  <c r="A7" i="12"/>
  <c r="E2" i="12"/>
  <c r="AF11" i="10"/>
  <c r="AE11" i="10"/>
  <c r="AD11" i="10"/>
  <c r="AC11" i="10"/>
  <c r="AB11" i="10"/>
  <c r="AA11" i="10"/>
  <c r="Z11" i="10"/>
  <c r="Y11" i="10"/>
  <c r="X11" i="10"/>
  <c r="W11" i="10"/>
  <c r="V11" i="10"/>
  <c r="U11" i="10"/>
  <c r="T11" i="10"/>
  <c r="S11" i="10"/>
  <c r="R11" i="10"/>
  <c r="Q11" i="10"/>
  <c r="P11" i="10"/>
  <c r="O11" i="10"/>
  <c r="N11" i="10"/>
  <c r="M11" i="10"/>
  <c r="L11" i="10"/>
  <c r="K11" i="10"/>
  <c r="J11" i="10"/>
  <c r="I11" i="10"/>
  <c r="H11" i="10"/>
  <c r="F11" i="10"/>
  <c r="C11" i="10"/>
  <c r="AE7" i="10"/>
  <c r="V7" i="10"/>
  <c r="AE6" i="10"/>
  <c r="V6" i="10"/>
  <c r="AB23" i="11"/>
  <c r="AA23" i="11"/>
  <c r="O23" i="11"/>
  <c r="K23" i="11"/>
  <c r="J23" i="13" s="1"/>
  <c r="AB22" i="11"/>
  <c r="AA22" i="11"/>
  <c r="O22" i="11"/>
  <c r="K22" i="11"/>
  <c r="J22" i="13" s="1"/>
  <c r="AB21" i="11"/>
  <c r="AA21" i="11"/>
  <c r="O21" i="11"/>
  <c r="K21" i="11"/>
  <c r="J21" i="13" s="1"/>
  <c r="AB20" i="11"/>
  <c r="AA20" i="11"/>
  <c r="O20" i="11"/>
  <c r="K20" i="11"/>
  <c r="J20" i="13" s="1"/>
  <c r="AB19" i="11"/>
  <c r="AA19" i="11"/>
  <c r="O19" i="11"/>
  <c r="K19" i="11"/>
  <c r="J19" i="13" s="1"/>
  <c r="AB18" i="11"/>
  <c r="AA18" i="11"/>
  <c r="O18" i="11"/>
  <c r="K18" i="11"/>
  <c r="J18" i="13" s="1"/>
  <c r="AB17" i="11"/>
  <c r="AA17" i="11"/>
  <c r="O17" i="11"/>
  <c r="K17" i="11"/>
  <c r="J17" i="13" s="1"/>
  <c r="AB16" i="11"/>
  <c r="AA16" i="11"/>
  <c r="O16" i="11"/>
  <c r="K16" i="11"/>
  <c r="J16" i="13" s="1"/>
  <c r="AB15" i="11"/>
  <c r="AA15" i="11"/>
  <c r="O15" i="11"/>
  <c r="K15" i="11"/>
  <c r="J15" i="13" s="1"/>
  <c r="K14" i="11"/>
  <c r="AB12" i="11"/>
  <c r="AA12" i="11"/>
  <c r="O12" i="11"/>
  <c r="K12" i="11"/>
  <c r="J12" i="13" s="1"/>
  <c r="H47" i="8"/>
  <c r="H45" i="8"/>
  <c r="F32" i="8"/>
  <c r="F33" i="8" s="1"/>
  <c r="F29" i="8"/>
  <c r="F30" i="8" s="1"/>
  <c r="F26" i="8"/>
  <c r="F27" i="8" s="1"/>
  <c r="F23" i="8"/>
  <c r="F24" i="8" s="1"/>
  <c r="F20" i="8"/>
  <c r="F21" i="8" s="1"/>
  <c r="F17" i="8"/>
  <c r="F18" i="8" s="1"/>
  <c r="F14" i="8"/>
  <c r="F15" i="8" s="1"/>
  <c r="F10" i="8"/>
  <c r="AF8" i="8"/>
  <c r="Z8" i="8"/>
  <c r="AF7" i="8"/>
  <c r="Z7" i="8"/>
  <c r="S4" i="8"/>
  <c r="F1" i="8"/>
  <c r="F2" i="8" s="1"/>
  <c r="B7" i="9"/>
  <c r="B6" i="9"/>
  <c r="J32" i="6"/>
  <c r="H32" i="6"/>
  <c r="J31" i="6"/>
  <c r="H31" i="6"/>
  <c r="J30" i="6"/>
  <c r="H30" i="6"/>
  <c r="J29" i="6"/>
  <c r="H29" i="6"/>
  <c r="J28" i="6"/>
  <c r="H28" i="6"/>
  <c r="J27" i="6"/>
  <c r="H27" i="6"/>
  <c r="J26" i="6"/>
  <c r="H26" i="6"/>
  <c r="J25" i="6"/>
  <c r="H25" i="6"/>
  <c r="J24" i="6"/>
  <c r="H24" i="6"/>
  <c r="J23" i="6"/>
  <c r="H23" i="6"/>
  <c r="J22" i="6"/>
  <c r="H22" i="6"/>
  <c r="J21" i="6"/>
  <c r="H21" i="6"/>
  <c r="J20" i="6"/>
  <c r="H20" i="6"/>
  <c r="J19" i="6"/>
  <c r="H19" i="6"/>
  <c r="J18" i="6"/>
  <c r="H18" i="6"/>
  <c r="J17" i="6"/>
  <c r="H17" i="6"/>
  <c r="J16" i="6"/>
  <c r="H16" i="6"/>
  <c r="D15" i="6"/>
  <c r="A15" i="6"/>
  <c r="J14" i="6"/>
  <c r="H14" i="6"/>
  <c r="M12" i="6"/>
  <c r="G10" i="6"/>
  <c r="F7" i="6"/>
  <c r="F6" i="6"/>
  <c r="Z1" i="6"/>
  <c r="Y1" i="6"/>
  <c r="X1" i="6"/>
  <c r="W1" i="6"/>
  <c r="V1" i="6"/>
  <c r="U1" i="6"/>
  <c r="T1" i="6"/>
  <c r="S1" i="6"/>
  <c r="R1" i="6"/>
  <c r="Q1" i="6"/>
  <c r="O1" i="6"/>
  <c r="Y64" i="7"/>
  <c r="X64" i="7"/>
  <c r="W64" i="7"/>
  <c r="V64" i="7"/>
  <c r="U64" i="7"/>
  <c r="T64" i="7"/>
  <c r="S64" i="7"/>
  <c r="R64" i="7"/>
  <c r="Q64" i="7"/>
  <c r="P64" i="7"/>
  <c r="O64" i="7"/>
  <c r="N64" i="7"/>
  <c r="M64" i="7"/>
  <c r="L64" i="7"/>
  <c r="K64" i="7"/>
  <c r="J64" i="7"/>
  <c r="I64" i="7"/>
  <c r="H64" i="7"/>
  <c r="E64" i="7"/>
  <c r="Y63" i="7"/>
  <c r="X63" i="7"/>
  <c r="W63" i="7"/>
  <c r="V63" i="7"/>
  <c r="U63" i="7"/>
  <c r="T63" i="7"/>
  <c r="S63" i="7"/>
  <c r="R63" i="7"/>
  <c r="Q63" i="7"/>
  <c r="P63" i="7"/>
  <c r="O63" i="7"/>
  <c r="N63" i="7"/>
  <c r="M63" i="7"/>
  <c r="L63" i="7"/>
  <c r="K63" i="7"/>
  <c r="J63" i="7"/>
  <c r="I63" i="7"/>
  <c r="H63" i="7"/>
  <c r="E63" i="7"/>
  <c r="Y62" i="7"/>
  <c r="X62" i="7"/>
  <c r="W62" i="7"/>
  <c r="V62" i="7"/>
  <c r="U62" i="7"/>
  <c r="T62" i="7"/>
  <c r="S62" i="7"/>
  <c r="R62" i="7"/>
  <c r="Q62" i="7"/>
  <c r="P62" i="7"/>
  <c r="O62" i="7"/>
  <c r="N62" i="7"/>
  <c r="M62" i="7"/>
  <c r="L62" i="7"/>
  <c r="K62" i="7"/>
  <c r="J62" i="7"/>
  <c r="I62" i="7"/>
  <c r="H62" i="7"/>
  <c r="E62" i="7"/>
  <c r="Y61" i="7"/>
  <c r="X61" i="7"/>
  <c r="W61" i="7"/>
  <c r="V61" i="7"/>
  <c r="U61" i="7"/>
  <c r="T61" i="7"/>
  <c r="S61" i="7"/>
  <c r="R61" i="7"/>
  <c r="Q61" i="7"/>
  <c r="P61" i="7"/>
  <c r="O61" i="7"/>
  <c r="N61" i="7"/>
  <c r="M61" i="7"/>
  <c r="L61" i="7"/>
  <c r="K61" i="7"/>
  <c r="J61" i="7"/>
  <c r="I61" i="7"/>
  <c r="H61" i="7"/>
  <c r="E61" i="7"/>
  <c r="Y60" i="7"/>
  <c r="X60" i="7"/>
  <c r="W60" i="7"/>
  <c r="V60" i="7"/>
  <c r="U60" i="7"/>
  <c r="T60" i="7"/>
  <c r="S60" i="7"/>
  <c r="R60" i="7"/>
  <c r="Q60" i="7"/>
  <c r="P60" i="7"/>
  <c r="O60" i="7"/>
  <c r="N60" i="7"/>
  <c r="M60" i="7"/>
  <c r="L60" i="7"/>
  <c r="K60" i="7"/>
  <c r="J60" i="7"/>
  <c r="I60" i="7"/>
  <c r="H60" i="7"/>
  <c r="E60" i="7"/>
  <c r="Y59" i="7"/>
  <c r="X59" i="7"/>
  <c r="W59" i="7"/>
  <c r="V59" i="7"/>
  <c r="U59" i="7"/>
  <c r="T59" i="7"/>
  <c r="S59" i="7"/>
  <c r="R59" i="7"/>
  <c r="Q59" i="7"/>
  <c r="P59" i="7"/>
  <c r="O59" i="7"/>
  <c r="N59" i="7"/>
  <c r="M59" i="7"/>
  <c r="L59" i="7"/>
  <c r="K59" i="7"/>
  <c r="J59" i="7"/>
  <c r="I59" i="7"/>
  <c r="H59" i="7"/>
  <c r="E59" i="7"/>
  <c r="Y58" i="7"/>
  <c r="X58" i="7"/>
  <c r="W58" i="7"/>
  <c r="V58" i="7"/>
  <c r="U58" i="7"/>
  <c r="T58" i="7"/>
  <c r="S58" i="7"/>
  <c r="R58" i="7"/>
  <c r="Q58" i="7"/>
  <c r="P58" i="7"/>
  <c r="O58" i="7"/>
  <c r="N58" i="7"/>
  <c r="M58" i="7"/>
  <c r="L58" i="7"/>
  <c r="K58" i="7"/>
  <c r="J58" i="7"/>
  <c r="I58" i="7"/>
  <c r="H58" i="7"/>
  <c r="E58" i="7"/>
  <c r="Y57" i="7"/>
  <c r="X57" i="7"/>
  <c r="W57" i="7"/>
  <c r="V57" i="7"/>
  <c r="U57" i="7"/>
  <c r="T57" i="7"/>
  <c r="S57" i="7"/>
  <c r="R57" i="7"/>
  <c r="Q57" i="7"/>
  <c r="P57" i="7"/>
  <c r="O57" i="7"/>
  <c r="N57" i="7"/>
  <c r="M57" i="7"/>
  <c r="L57" i="7"/>
  <c r="K57" i="7"/>
  <c r="J57" i="7"/>
  <c r="I57" i="7"/>
  <c r="H57" i="7"/>
  <c r="E57" i="7"/>
  <c r="Y56" i="7"/>
  <c r="X56" i="7"/>
  <c r="W56" i="7"/>
  <c r="V56" i="7"/>
  <c r="U56" i="7"/>
  <c r="T56" i="7"/>
  <c r="S56" i="7"/>
  <c r="R56" i="7"/>
  <c r="Q56" i="7"/>
  <c r="P56" i="7"/>
  <c r="O56" i="7"/>
  <c r="N56" i="7"/>
  <c r="M56" i="7"/>
  <c r="L56" i="7"/>
  <c r="K56" i="7"/>
  <c r="J56" i="7"/>
  <c r="I56" i="7"/>
  <c r="H56" i="7"/>
  <c r="E56" i="7"/>
  <c r="Y55" i="7"/>
  <c r="X55" i="7"/>
  <c r="W55" i="7"/>
  <c r="V55" i="7"/>
  <c r="U55" i="7"/>
  <c r="T55" i="7"/>
  <c r="S55" i="7"/>
  <c r="R55" i="7"/>
  <c r="Q55" i="7"/>
  <c r="P55" i="7"/>
  <c r="O55" i="7"/>
  <c r="N55" i="7"/>
  <c r="M55" i="7"/>
  <c r="L55" i="7"/>
  <c r="K55" i="7"/>
  <c r="J55" i="7"/>
  <c r="I55" i="7"/>
  <c r="H55" i="7"/>
  <c r="E55" i="7"/>
  <c r="Y54" i="7"/>
  <c r="X54" i="7"/>
  <c r="W54" i="7"/>
  <c r="V54" i="7"/>
  <c r="U54" i="7"/>
  <c r="T54" i="7"/>
  <c r="S54" i="7"/>
  <c r="R54" i="7"/>
  <c r="Q54" i="7"/>
  <c r="P54" i="7"/>
  <c r="O54" i="7"/>
  <c r="N54" i="7"/>
  <c r="M54" i="7"/>
  <c r="L54" i="7"/>
  <c r="K54" i="7"/>
  <c r="J54" i="7"/>
  <c r="I54" i="7"/>
  <c r="H54" i="7"/>
  <c r="E54" i="7"/>
  <c r="Y53" i="7"/>
  <c r="X53" i="7"/>
  <c r="W53" i="7"/>
  <c r="V53" i="7"/>
  <c r="U53" i="7"/>
  <c r="T53" i="7"/>
  <c r="S53" i="7"/>
  <c r="R53" i="7"/>
  <c r="Q53" i="7"/>
  <c r="P53" i="7"/>
  <c r="O53" i="7"/>
  <c r="N53" i="7"/>
  <c r="M53" i="7"/>
  <c r="L53" i="7"/>
  <c r="K53" i="7"/>
  <c r="J53" i="7"/>
  <c r="I53" i="7"/>
  <c r="H53" i="7"/>
  <c r="E53" i="7"/>
  <c r="Y52" i="7"/>
  <c r="X52" i="7"/>
  <c r="W52" i="7"/>
  <c r="V52" i="7"/>
  <c r="U52" i="7"/>
  <c r="T52" i="7"/>
  <c r="S52" i="7"/>
  <c r="R52" i="7"/>
  <c r="Q52" i="7"/>
  <c r="P52" i="7"/>
  <c r="O52" i="7"/>
  <c r="N52" i="7"/>
  <c r="M52" i="7"/>
  <c r="L52" i="7"/>
  <c r="K52" i="7"/>
  <c r="J52" i="7"/>
  <c r="I52" i="7"/>
  <c r="H52" i="7"/>
  <c r="E52" i="7"/>
  <c r="Y51" i="7"/>
  <c r="X51" i="7"/>
  <c r="W51" i="7"/>
  <c r="V51" i="7"/>
  <c r="U51" i="7"/>
  <c r="T51" i="7"/>
  <c r="S51" i="7"/>
  <c r="R51" i="7"/>
  <c r="Q51" i="7"/>
  <c r="P51" i="7"/>
  <c r="O51" i="7"/>
  <c r="N51" i="7"/>
  <c r="M51" i="7"/>
  <c r="L51" i="7"/>
  <c r="K51" i="7"/>
  <c r="J51" i="7"/>
  <c r="I51" i="7"/>
  <c r="H51" i="7"/>
  <c r="E51" i="7"/>
  <c r="Y50" i="7"/>
  <c r="X50" i="7"/>
  <c r="W50" i="7"/>
  <c r="V50" i="7"/>
  <c r="U50" i="7"/>
  <c r="T50" i="7"/>
  <c r="S50" i="7"/>
  <c r="R50" i="7"/>
  <c r="Q50" i="7"/>
  <c r="P50" i="7"/>
  <c r="O50" i="7"/>
  <c r="N50" i="7"/>
  <c r="M50" i="7"/>
  <c r="L50" i="7"/>
  <c r="K50" i="7"/>
  <c r="J50" i="7"/>
  <c r="I50" i="7"/>
  <c r="H50" i="7"/>
  <c r="E50" i="7"/>
  <c r="Y49" i="7"/>
  <c r="X49" i="7"/>
  <c r="W49" i="7"/>
  <c r="V49" i="7"/>
  <c r="U49" i="7"/>
  <c r="T49" i="7"/>
  <c r="S49" i="7"/>
  <c r="R49" i="7"/>
  <c r="Q49" i="7"/>
  <c r="P49" i="7"/>
  <c r="O49" i="7"/>
  <c r="N49" i="7"/>
  <c r="M49" i="7"/>
  <c r="L49" i="7"/>
  <c r="K49" i="7"/>
  <c r="J49" i="7"/>
  <c r="I49" i="7"/>
  <c r="H49" i="7"/>
  <c r="E49" i="7"/>
  <c r="Y48" i="7"/>
  <c r="X48" i="7"/>
  <c r="W48" i="7"/>
  <c r="V48" i="7"/>
  <c r="U48" i="7"/>
  <c r="T48" i="7"/>
  <c r="S48" i="7"/>
  <c r="R48" i="7"/>
  <c r="Q48" i="7"/>
  <c r="P48" i="7"/>
  <c r="O48" i="7"/>
  <c r="N48" i="7"/>
  <c r="M48" i="7"/>
  <c r="L48" i="7"/>
  <c r="K48" i="7"/>
  <c r="J48" i="7"/>
  <c r="I48" i="7"/>
  <c r="H48" i="7"/>
  <c r="E48" i="7"/>
  <c r="Y47" i="7"/>
  <c r="X47" i="7"/>
  <c r="W47" i="7"/>
  <c r="V47" i="7"/>
  <c r="U47" i="7"/>
  <c r="T47" i="7"/>
  <c r="S47" i="7"/>
  <c r="R47" i="7"/>
  <c r="Q47" i="7"/>
  <c r="P47" i="7"/>
  <c r="O47" i="7"/>
  <c r="N47" i="7"/>
  <c r="M47" i="7"/>
  <c r="L47" i="7"/>
  <c r="K47" i="7"/>
  <c r="J47" i="7"/>
  <c r="I47" i="7"/>
  <c r="H47" i="7"/>
  <c r="E47" i="7"/>
  <c r="Y46" i="7"/>
  <c r="X46" i="7"/>
  <c r="W46" i="7"/>
  <c r="V46" i="7"/>
  <c r="U46" i="7"/>
  <c r="T46" i="7"/>
  <c r="S46" i="7"/>
  <c r="R46" i="7"/>
  <c r="Q46" i="7"/>
  <c r="P46" i="7"/>
  <c r="O46" i="7"/>
  <c r="N46" i="7"/>
  <c r="M46" i="7"/>
  <c r="L46" i="7"/>
  <c r="K46" i="7"/>
  <c r="J46" i="7"/>
  <c r="I46" i="7"/>
  <c r="H46" i="7"/>
  <c r="E46" i="7"/>
  <c r="Y45" i="7"/>
  <c r="X45" i="7"/>
  <c r="W45" i="7"/>
  <c r="V45" i="7"/>
  <c r="U45" i="7"/>
  <c r="T45" i="7"/>
  <c r="S45" i="7"/>
  <c r="R45" i="7"/>
  <c r="Q45" i="7"/>
  <c r="P45" i="7"/>
  <c r="O45" i="7"/>
  <c r="N45" i="7"/>
  <c r="M45" i="7"/>
  <c r="L45" i="7"/>
  <c r="K45" i="7"/>
  <c r="J45" i="7"/>
  <c r="I45" i="7"/>
  <c r="H45" i="7"/>
  <c r="E45" i="7"/>
  <c r="Y44" i="7"/>
  <c r="X44" i="7"/>
  <c r="W44" i="7"/>
  <c r="V44" i="7"/>
  <c r="U44" i="7"/>
  <c r="T44" i="7"/>
  <c r="S44" i="7"/>
  <c r="R44" i="7"/>
  <c r="Q44" i="7"/>
  <c r="P44" i="7"/>
  <c r="O44" i="7"/>
  <c r="N44" i="7"/>
  <c r="M44" i="7"/>
  <c r="L44" i="7"/>
  <c r="K44" i="7"/>
  <c r="J44" i="7"/>
  <c r="I44" i="7"/>
  <c r="H44" i="7"/>
  <c r="E44" i="7"/>
  <c r="Y43" i="7"/>
  <c r="X43" i="7"/>
  <c r="W43" i="7"/>
  <c r="V43" i="7"/>
  <c r="U43" i="7"/>
  <c r="T43" i="7"/>
  <c r="S43" i="7"/>
  <c r="R43" i="7"/>
  <c r="Q43" i="7"/>
  <c r="P43" i="7"/>
  <c r="O43" i="7"/>
  <c r="N43" i="7"/>
  <c r="M43" i="7"/>
  <c r="L43" i="7"/>
  <c r="K43" i="7"/>
  <c r="J43" i="7"/>
  <c r="I43" i="7"/>
  <c r="H43" i="7"/>
  <c r="E43" i="7"/>
  <c r="Y42" i="7"/>
  <c r="X42" i="7"/>
  <c r="W42" i="7"/>
  <c r="V42" i="7"/>
  <c r="U42" i="7"/>
  <c r="T42" i="7"/>
  <c r="S42" i="7"/>
  <c r="R42" i="7"/>
  <c r="Q42" i="7"/>
  <c r="P42" i="7"/>
  <c r="O42" i="7"/>
  <c r="N42" i="7"/>
  <c r="M42" i="7"/>
  <c r="L42" i="7"/>
  <c r="K42" i="7"/>
  <c r="J42" i="7"/>
  <c r="I42" i="7"/>
  <c r="H42" i="7"/>
  <c r="E42" i="7"/>
  <c r="Y41" i="7"/>
  <c r="X41" i="7"/>
  <c r="W41" i="7"/>
  <c r="V41" i="7"/>
  <c r="U41" i="7"/>
  <c r="T41" i="7"/>
  <c r="S41" i="7"/>
  <c r="R41" i="7"/>
  <c r="Q41" i="7"/>
  <c r="P41" i="7"/>
  <c r="O41" i="7"/>
  <c r="N41" i="7"/>
  <c r="M41" i="7"/>
  <c r="L41" i="7"/>
  <c r="K41" i="7"/>
  <c r="J41" i="7"/>
  <c r="I41" i="7"/>
  <c r="H41" i="7"/>
  <c r="E41" i="7"/>
  <c r="Y40" i="7"/>
  <c r="X40" i="7"/>
  <c r="W40" i="7"/>
  <c r="V40" i="7"/>
  <c r="U40" i="7"/>
  <c r="T40" i="7"/>
  <c r="S40" i="7"/>
  <c r="R40" i="7"/>
  <c r="Q40" i="7"/>
  <c r="P40" i="7"/>
  <c r="O40" i="7"/>
  <c r="N40" i="7"/>
  <c r="M40" i="7"/>
  <c r="L40" i="7"/>
  <c r="K40" i="7"/>
  <c r="J40" i="7"/>
  <c r="I40" i="7"/>
  <c r="H40" i="7"/>
  <c r="E40" i="7"/>
  <c r="Y39" i="7"/>
  <c r="X39" i="7"/>
  <c r="W39" i="7"/>
  <c r="V39" i="7"/>
  <c r="U39" i="7"/>
  <c r="T39" i="7"/>
  <c r="S39" i="7"/>
  <c r="R39" i="7"/>
  <c r="Q39" i="7"/>
  <c r="P39" i="7"/>
  <c r="O39" i="7"/>
  <c r="N39" i="7"/>
  <c r="M39" i="7"/>
  <c r="L39" i="7"/>
  <c r="K39" i="7"/>
  <c r="J39" i="7"/>
  <c r="I39" i="7"/>
  <c r="H39" i="7"/>
  <c r="E39" i="7"/>
  <c r="Y38" i="7"/>
  <c r="X38" i="7"/>
  <c r="W38" i="7"/>
  <c r="V38" i="7"/>
  <c r="U38" i="7"/>
  <c r="T38" i="7"/>
  <c r="S38" i="7"/>
  <c r="R38" i="7"/>
  <c r="Q38" i="7"/>
  <c r="P38" i="7"/>
  <c r="O38" i="7"/>
  <c r="N38" i="7"/>
  <c r="M38" i="7"/>
  <c r="L38" i="7"/>
  <c r="K38" i="7"/>
  <c r="J38" i="7"/>
  <c r="I38" i="7"/>
  <c r="H38" i="7"/>
  <c r="E38" i="7"/>
  <c r="Y37" i="7"/>
  <c r="X37" i="7"/>
  <c r="W37" i="7"/>
  <c r="V37" i="7"/>
  <c r="U37" i="7"/>
  <c r="T37" i="7"/>
  <c r="S37" i="7"/>
  <c r="R37" i="7"/>
  <c r="Q37" i="7"/>
  <c r="P37" i="7"/>
  <c r="O37" i="7"/>
  <c r="N37" i="7"/>
  <c r="M37" i="7"/>
  <c r="L37" i="7"/>
  <c r="K37" i="7"/>
  <c r="J37" i="7"/>
  <c r="I37" i="7"/>
  <c r="H37" i="7"/>
  <c r="E37" i="7"/>
  <c r="Y36" i="7"/>
  <c r="X36" i="7"/>
  <c r="W36" i="7"/>
  <c r="V36" i="7"/>
  <c r="U36" i="7"/>
  <c r="T36" i="7"/>
  <c r="S36" i="7"/>
  <c r="R36" i="7"/>
  <c r="Q36" i="7"/>
  <c r="P36" i="7"/>
  <c r="O36" i="7"/>
  <c r="N36" i="7"/>
  <c r="M36" i="7"/>
  <c r="L36" i="7"/>
  <c r="K36" i="7"/>
  <c r="J36" i="7"/>
  <c r="I36" i="7"/>
  <c r="H36" i="7"/>
  <c r="E36" i="7"/>
  <c r="Y35" i="7"/>
  <c r="X35" i="7"/>
  <c r="W35" i="7"/>
  <c r="V35" i="7"/>
  <c r="U35" i="7"/>
  <c r="T35" i="7"/>
  <c r="S35" i="7"/>
  <c r="R35" i="7"/>
  <c r="Q35" i="7"/>
  <c r="P35" i="7"/>
  <c r="O35" i="7"/>
  <c r="N35" i="7"/>
  <c r="M35" i="7"/>
  <c r="L35" i="7"/>
  <c r="K35" i="7"/>
  <c r="J35" i="7"/>
  <c r="I35" i="7"/>
  <c r="H35" i="7"/>
  <c r="E35" i="7"/>
  <c r="Y34" i="7"/>
  <c r="X34" i="7"/>
  <c r="W34" i="7"/>
  <c r="V34" i="7"/>
  <c r="U34" i="7"/>
  <c r="T34" i="7"/>
  <c r="S34" i="7"/>
  <c r="R34" i="7"/>
  <c r="Q34" i="7"/>
  <c r="P34" i="7"/>
  <c r="O34" i="7"/>
  <c r="N34" i="7"/>
  <c r="M34" i="7"/>
  <c r="L34" i="7"/>
  <c r="K34" i="7"/>
  <c r="J34" i="7"/>
  <c r="I34" i="7"/>
  <c r="H34" i="7"/>
  <c r="E34" i="7"/>
  <c r="Y33" i="7"/>
  <c r="X33" i="7"/>
  <c r="W33" i="7"/>
  <c r="V33" i="7"/>
  <c r="U33" i="7"/>
  <c r="T33" i="7"/>
  <c r="S33" i="7"/>
  <c r="R33" i="7"/>
  <c r="Q33" i="7"/>
  <c r="P33" i="7"/>
  <c r="O33" i="7"/>
  <c r="N33" i="7"/>
  <c r="M33" i="7"/>
  <c r="L33" i="7"/>
  <c r="K33" i="7"/>
  <c r="J33" i="7"/>
  <c r="I33" i="7"/>
  <c r="H33" i="7"/>
  <c r="E33" i="7"/>
  <c r="Y32" i="7"/>
  <c r="X32" i="7"/>
  <c r="W32" i="7"/>
  <c r="V32" i="7"/>
  <c r="U32" i="7"/>
  <c r="T32" i="7"/>
  <c r="S32" i="7"/>
  <c r="R32" i="7"/>
  <c r="Q32" i="7"/>
  <c r="P32" i="7"/>
  <c r="O32" i="7"/>
  <c r="N32" i="7"/>
  <c r="M32" i="7"/>
  <c r="L32" i="7"/>
  <c r="K32" i="7"/>
  <c r="J32" i="7"/>
  <c r="I32" i="7"/>
  <c r="H32" i="7"/>
  <c r="E32" i="7"/>
  <c r="Y31" i="7"/>
  <c r="X31" i="7"/>
  <c r="W31" i="7"/>
  <c r="V31" i="7"/>
  <c r="U31" i="7"/>
  <c r="T31" i="7"/>
  <c r="S31" i="7"/>
  <c r="R31" i="7"/>
  <c r="Q31" i="7"/>
  <c r="P31" i="7"/>
  <c r="O31" i="7"/>
  <c r="N31" i="7"/>
  <c r="M31" i="7"/>
  <c r="L31" i="7"/>
  <c r="K31" i="7"/>
  <c r="J31" i="7"/>
  <c r="I31" i="7"/>
  <c r="H31" i="7"/>
  <c r="E31" i="7"/>
  <c r="Y30" i="7"/>
  <c r="X30" i="7"/>
  <c r="W30" i="7"/>
  <c r="V30" i="7"/>
  <c r="U30" i="7"/>
  <c r="T30" i="7"/>
  <c r="S30" i="7"/>
  <c r="R30" i="7"/>
  <c r="Q30" i="7"/>
  <c r="P30" i="7"/>
  <c r="O30" i="7"/>
  <c r="N30" i="7"/>
  <c r="M30" i="7"/>
  <c r="L30" i="7"/>
  <c r="K30" i="7"/>
  <c r="J30" i="7"/>
  <c r="I30" i="7"/>
  <c r="H30" i="7"/>
  <c r="E30" i="7"/>
  <c r="Y29" i="7"/>
  <c r="X29" i="7"/>
  <c r="W29" i="7"/>
  <c r="V29" i="7"/>
  <c r="U29" i="7"/>
  <c r="T29" i="7"/>
  <c r="S29" i="7"/>
  <c r="R29" i="7"/>
  <c r="Q29" i="7"/>
  <c r="P29" i="7"/>
  <c r="O29" i="7"/>
  <c r="N29" i="7"/>
  <c r="M29" i="7"/>
  <c r="L29" i="7"/>
  <c r="K29" i="7"/>
  <c r="J29" i="7"/>
  <c r="I29" i="7"/>
  <c r="H29" i="7"/>
  <c r="E29" i="7"/>
  <c r="Y28" i="7"/>
  <c r="X28" i="7"/>
  <c r="W28" i="7"/>
  <c r="V28" i="7"/>
  <c r="U28" i="7"/>
  <c r="T28" i="7"/>
  <c r="S28" i="7"/>
  <c r="R28" i="7"/>
  <c r="Q28" i="7"/>
  <c r="P28" i="7"/>
  <c r="O28" i="7"/>
  <c r="N28" i="7"/>
  <c r="M28" i="7"/>
  <c r="L28" i="7"/>
  <c r="K28" i="7"/>
  <c r="J28" i="7"/>
  <c r="I28" i="7"/>
  <c r="H28" i="7"/>
  <c r="E28" i="7"/>
  <c r="Y27" i="7"/>
  <c r="X27" i="7"/>
  <c r="W27" i="7"/>
  <c r="V27" i="7"/>
  <c r="U27" i="7"/>
  <c r="T27" i="7"/>
  <c r="S27" i="7"/>
  <c r="R27" i="7"/>
  <c r="Q27" i="7"/>
  <c r="P27" i="7"/>
  <c r="O27" i="7"/>
  <c r="N27" i="7"/>
  <c r="M27" i="7"/>
  <c r="L27" i="7"/>
  <c r="K27" i="7"/>
  <c r="J27" i="7"/>
  <c r="I27" i="7"/>
  <c r="H27" i="7"/>
  <c r="E27" i="7"/>
  <c r="Y26" i="7"/>
  <c r="X26" i="7"/>
  <c r="W26" i="7"/>
  <c r="V26" i="7"/>
  <c r="U26" i="7"/>
  <c r="T26" i="7"/>
  <c r="S26" i="7"/>
  <c r="R26" i="7"/>
  <c r="Q26" i="7"/>
  <c r="P26" i="7"/>
  <c r="O26" i="7"/>
  <c r="N26" i="7"/>
  <c r="M26" i="7"/>
  <c r="L26" i="7"/>
  <c r="K26" i="7"/>
  <c r="J26" i="7"/>
  <c r="I26" i="7"/>
  <c r="H26" i="7"/>
  <c r="E26" i="7"/>
  <c r="Y25" i="7"/>
  <c r="X25" i="7"/>
  <c r="W25" i="7"/>
  <c r="V25" i="7"/>
  <c r="U25" i="7"/>
  <c r="T25" i="7"/>
  <c r="S25" i="7"/>
  <c r="R25" i="7"/>
  <c r="Q25" i="7"/>
  <c r="P25" i="7"/>
  <c r="O25" i="7"/>
  <c r="N25" i="7"/>
  <c r="M25" i="7"/>
  <c r="L25" i="7"/>
  <c r="K25" i="7"/>
  <c r="J25" i="7"/>
  <c r="I25" i="7"/>
  <c r="H25" i="7"/>
  <c r="E25" i="7"/>
  <c r="Y24" i="7"/>
  <c r="X24" i="7"/>
  <c r="W24" i="7"/>
  <c r="V24" i="7"/>
  <c r="U24" i="7"/>
  <c r="T24" i="7"/>
  <c r="S24" i="7"/>
  <c r="R24" i="7"/>
  <c r="Q24" i="7"/>
  <c r="P24" i="7"/>
  <c r="O24" i="7"/>
  <c r="N24" i="7"/>
  <c r="M24" i="7"/>
  <c r="L24" i="7"/>
  <c r="K24" i="7"/>
  <c r="J24" i="7"/>
  <c r="I24" i="7"/>
  <c r="H24" i="7"/>
  <c r="E24" i="7"/>
  <c r="Y23" i="7"/>
  <c r="X23" i="7"/>
  <c r="W23" i="7"/>
  <c r="V23" i="7"/>
  <c r="U23" i="7"/>
  <c r="T23" i="7"/>
  <c r="S23" i="7"/>
  <c r="R23" i="7"/>
  <c r="Q23" i="7"/>
  <c r="P23" i="7"/>
  <c r="O23" i="7"/>
  <c r="N23" i="7"/>
  <c r="M23" i="7"/>
  <c r="L23" i="7"/>
  <c r="K23" i="7"/>
  <c r="J23" i="7"/>
  <c r="I23" i="7"/>
  <c r="H23" i="7"/>
  <c r="E23" i="7"/>
  <c r="Y22" i="7"/>
  <c r="X22" i="7"/>
  <c r="W22" i="7"/>
  <c r="V22" i="7"/>
  <c r="U22" i="7"/>
  <c r="T22" i="7"/>
  <c r="S22" i="7"/>
  <c r="R22" i="7"/>
  <c r="Q22" i="7"/>
  <c r="P22" i="7"/>
  <c r="O22" i="7"/>
  <c r="N22" i="7"/>
  <c r="M22" i="7"/>
  <c r="L22" i="7"/>
  <c r="K22" i="7"/>
  <c r="J22" i="7"/>
  <c r="I22" i="7"/>
  <c r="H22" i="7"/>
  <c r="E22" i="7"/>
  <c r="Y21" i="7"/>
  <c r="X21" i="7"/>
  <c r="W21" i="7"/>
  <c r="V21" i="7"/>
  <c r="U21" i="7"/>
  <c r="T21" i="7"/>
  <c r="S21" i="7"/>
  <c r="R21" i="7"/>
  <c r="Q21" i="7"/>
  <c r="P21" i="7"/>
  <c r="O21" i="7"/>
  <c r="N21" i="7"/>
  <c r="M21" i="7"/>
  <c r="L21" i="7"/>
  <c r="K21" i="7"/>
  <c r="J21" i="7"/>
  <c r="I21" i="7"/>
  <c r="H21" i="7"/>
  <c r="E21" i="7"/>
  <c r="Y20" i="7"/>
  <c r="X20" i="7"/>
  <c r="W20" i="7"/>
  <c r="V20" i="7"/>
  <c r="U20" i="7"/>
  <c r="T20" i="7"/>
  <c r="S20" i="7"/>
  <c r="R20" i="7"/>
  <c r="Q20" i="7"/>
  <c r="P20" i="7"/>
  <c r="O20" i="7"/>
  <c r="N20" i="7"/>
  <c r="M20" i="7"/>
  <c r="L20" i="7"/>
  <c r="K20" i="7"/>
  <c r="J20" i="7"/>
  <c r="I20" i="7"/>
  <c r="H20" i="7"/>
  <c r="E20" i="7"/>
  <c r="Y19" i="7"/>
  <c r="X19" i="7"/>
  <c r="W19" i="7"/>
  <c r="V19" i="7"/>
  <c r="U19" i="7"/>
  <c r="T19" i="7"/>
  <c r="S19" i="7"/>
  <c r="R19" i="7"/>
  <c r="Q19" i="7"/>
  <c r="P19" i="7"/>
  <c r="O19" i="7"/>
  <c r="N19" i="7"/>
  <c r="M19" i="7"/>
  <c r="L19" i="7"/>
  <c r="K19" i="7"/>
  <c r="J19" i="7"/>
  <c r="I19" i="7"/>
  <c r="H19" i="7"/>
  <c r="E19" i="7"/>
  <c r="Y18" i="7"/>
  <c r="X18" i="7"/>
  <c r="W18" i="7"/>
  <c r="V18" i="7"/>
  <c r="U18" i="7"/>
  <c r="T18" i="7"/>
  <c r="S18" i="7"/>
  <c r="R18" i="7"/>
  <c r="Q18" i="7"/>
  <c r="P18" i="7"/>
  <c r="O18" i="7"/>
  <c r="N18" i="7"/>
  <c r="M18" i="7"/>
  <c r="L18" i="7"/>
  <c r="K18" i="7"/>
  <c r="J18" i="7"/>
  <c r="I18" i="7"/>
  <c r="H18" i="7"/>
  <c r="E18" i="7"/>
  <c r="Y17" i="7"/>
  <c r="X17" i="7"/>
  <c r="W17" i="7"/>
  <c r="V17" i="7"/>
  <c r="U17" i="7"/>
  <c r="T17" i="7"/>
  <c r="S17" i="7"/>
  <c r="R17" i="7"/>
  <c r="Q17" i="7"/>
  <c r="P17" i="7"/>
  <c r="O17" i="7"/>
  <c r="N17" i="7"/>
  <c r="M17" i="7"/>
  <c r="L17" i="7"/>
  <c r="K17" i="7"/>
  <c r="J17" i="7"/>
  <c r="I17" i="7"/>
  <c r="H17" i="7"/>
  <c r="E17" i="7"/>
  <c r="Y16" i="7"/>
  <c r="X16" i="7"/>
  <c r="W16" i="7"/>
  <c r="V16" i="7"/>
  <c r="U16" i="7"/>
  <c r="T16" i="7"/>
  <c r="S16" i="7"/>
  <c r="R16" i="7"/>
  <c r="Q16" i="7"/>
  <c r="P16" i="7"/>
  <c r="O16" i="7"/>
  <c r="N16" i="7"/>
  <c r="M16" i="7"/>
  <c r="L16" i="7"/>
  <c r="K16" i="7"/>
  <c r="J16" i="7"/>
  <c r="I16" i="7"/>
  <c r="H16" i="7"/>
  <c r="E16" i="7"/>
  <c r="C16" i="7"/>
  <c r="F15" i="7"/>
  <c r="C15" i="7"/>
  <c r="C11" i="7"/>
  <c r="Y1" i="7"/>
  <c r="X1" i="7"/>
  <c r="W1" i="7"/>
  <c r="V1" i="7"/>
  <c r="U1" i="7"/>
  <c r="T1" i="7"/>
  <c r="S1" i="7"/>
  <c r="R1" i="7"/>
  <c r="Q1" i="7"/>
  <c r="P1" i="7"/>
  <c r="O1" i="7"/>
  <c r="N1" i="7"/>
  <c r="M1" i="7"/>
  <c r="L1" i="7"/>
  <c r="K1" i="7"/>
  <c r="J1" i="7"/>
  <c r="I1" i="7"/>
  <c r="H1" i="7"/>
  <c r="E1" i="7"/>
  <c r="C1" i="7"/>
  <c r="AC33" i="5"/>
  <c r="AN32" i="5"/>
  <c r="AE32" i="5"/>
  <c r="W32" i="5"/>
  <c r="AN31" i="5"/>
  <c r="AE31" i="5"/>
  <c r="W31" i="5"/>
  <c r="AN30" i="5"/>
  <c r="AE30" i="5"/>
  <c r="W30" i="5"/>
  <c r="AN29" i="5"/>
  <c r="AE29" i="5"/>
  <c r="W29" i="5"/>
  <c r="AN28" i="5"/>
  <c r="AE28" i="5"/>
  <c r="W28" i="5"/>
  <c r="AN27" i="5"/>
  <c r="AE27" i="5"/>
  <c r="W27" i="5"/>
  <c r="AN26" i="5"/>
  <c r="AE26" i="5"/>
  <c r="W26" i="5"/>
  <c r="AN25" i="5"/>
  <c r="AE25" i="5"/>
  <c r="W25" i="5"/>
  <c r="AN24" i="5"/>
  <c r="AE24" i="5"/>
  <c r="W24" i="5"/>
  <c r="AN23" i="5"/>
  <c r="AE23" i="5"/>
  <c r="W23" i="5"/>
  <c r="AN22" i="5"/>
  <c r="AE22" i="5"/>
  <c r="W22" i="5"/>
  <c r="AN21" i="5"/>
  <c r="AE21" i="5"/>
  <c r="W21" i="5"/>
  <c r="AN20" i="5"/>
  <c r="AE20" i="5"/>
  <c r="W20" i="5"/>
  <c r="AN19" i="5"/>
  <c r="AE19" i="5"/>
  <c r="W19" i="5"/>
  <c r="AN18" i="5"/>
  <c r="AE18" i="5"/>
  <c r="W18" i="5"/>
  <c r="AN17" i="5"/>
  <c r="AE17" i="5"/>
  <c r="W17" i="5"/>
  <c r="AN16" i="5"/>
  <c r="AE16" i="5"/>
  <c r="W16" i="5"/>
  <c r="N15" i="5"/>
  <c r="M15" i="5"/>
  <c r="AN14" i="5"/>
  <c r="AE14" i="5"/>
  <c r="W14" i="5"/>
  <c r="AH13" i="5"/>
  <c r="V13" i="5"/>
  <c r="U13" i="5"/>
  <c r="G11" i="5"/>
  <c r="F10" i="5"/>
  <c r="F9" i="5"/>
  <c r="X8" i="5"/>
  <c r="W8" i="5"/>
  <c r="V8" i="5"/>
  <c r="S8" i="5"/>
  <c r="R8" i="5"/>
  <c r="Q8" i="5"/>
  <c r="F8" i="5"/>
  <c r="X7" i="5"/>
  <c r="W7" i="5"/>
  <c r="V7" i="5"/>
  <c r="S7" i="5"/>
  <c r="R7" i="5"/>
  <c r="Q5" i="5"/>
  <c r="R2" i="5"/>
  <c r="J120" i="4"/>
  <c r="S108" i="4"/>
  <c r="J80" i="4"/>
  <c r="S68" i="4"/>
  <c r="J40" i="4"/>
  <c r="S28" i="4"/>
  <c r="D41" i="2"/>
  <c r="D40" i="2"/>
  <c r="D39" i="2"/>
  <c r="D38" i="2"/>
  <c r="D37" i="2"/>
  <c r="D36" i="2"/>
  <c r="E24" i="15"/>
  <c r="G22" i="15"/>
  <c r="E22" i="15"/>
  <c r="C22" i="15"/>
  <c r="G18" i="15"/>
  <c r="E18" i="15"/>
  <c r="C18" i="15"/>
  <c r="C14" i="15"/>
  <c r="E12" i="15"/>
  <c r="C12" i="15"/>
  <c r="G10" i="15"/>
  <c r="E10" i="15"/>
  <c r="C10" i="15"/>
  <c r="F11" i="5" a="1"/>
  <c r="O8" i="5" a="1"/>
  <c r="O8" i="5" l="1"/>
  <c r="F11" i="5"/>
  <c r="AF31" i="5" a="1"/>
  <c r="AF31" i="5" s="1"/>
  <c r="AF17" i="5" a="1"/>
  <c r="AF17" i="5" s="1"/>
  <c r="AF29" i="5" a="1"/>
  <c r="AF29" i="5" s="1"/>
  <c r="AF16" i="5" a="1"/>
  <c r="AF16" i="5" s="1"/>
  <c r="AF25" i="5" a="1"/>
  <c r="AF25" i="5" s="1"/>
  <c r="AF19" i="5" a="1"/>
  <c r="AF19" i="5" s="1"/>
  <c r="AF21" i="5" a="1"/>
  <c r="AF21" i="5" s="1"/>
  <c r="AF14" i="5" a="1"/>
  <c r="AF14" i="5" s="1"/>
  <c r="Z68" i="4"/>
  <c r="X68" i="4"/>
  <c r="U68" i="4" s="1"/>
  <c r="Y68" i="4"/>
  <c r="S70" i="4"/>
  <c r="I1" i="8"/>
  <c r="P1" i="8"/>
  <c r="Q1" i="8"/>
  <c r="S1" i="8"/>
  <c r="N1" i="8"/>
  <c r="J1" i="8"/>
  <c r="M1" i="8"/>
  <c r="O1" i="8"/>
  <c r="D35" i="2"/>
  <c r="S30" i="4"/>
  <c r="Y28" i="4"/>
  <c r="Z28" i="4"/>
  <c r="X28" i="4"/>
  <c r="U28" i="4" s="1"/>
  <c r="AG17" i="5" s="1" a="1"/>
  <c r="AG17" i="5" s="1"/>
  <c r="S110" i="4"/>
  <c r="Z108" i="4"/>
  <c r="Y108" i="4"/>
  <c r="X108" i="4"/>
  <c r="U108" i="4"/>
  <c r="C17" i="7" a="1"/>
  <c r="C17" i="7" s="1"/>
  <c r="B16" i="7"/>
  <c r="AO17" i="6"/>
  <c r="BE16" i="6" a="1"/>
  <c r="BE16" i="6" s="1"/>
  <c r="BF19" i="6" a="1"/>
  <c r="BF19" i="6" s="1"/>
  <c r="BD19" i="6" a="1"/>
  <c r="BD19" i="6" s="1"/>
  <c r="BG19" i="6" a="1"/>
  <c r="BG19" i="6" s="1"/>
  <c r="AQ17" i="6"/>
  <c r="BB19" i="6" a="1"/>
  <c r="BB19" i="6" s="1"/>
  <c r="BC19" i="6" a="1"/>
  <c r="BC19" i="6" s="1"/>
  <c r="AZ17" i="6" a="1"/>
  <c r="AZ17" i="6" s="1"/>
  <c r="AR19" i="6"/>
  <c r="AN17" i="6"/>
  <c r="AM17" i="6"/>
  <c r="AX17" i="6" a="1"/>
  <c r="AX17" i="6" s="1"/>
  <c r="AX16" i="6" a="1"/>
  <c r="AX16" i="6" s="1"/>
  <c r="AY16" i="6" a="1"/>
  <c r="AY16" i="6" s="1"/>
  <c r="AX14" i="6" a="1"/>
  <c r="AX14" i="6" s="1"/>
  <c r="AS14" i="6"/>
  <c r="AT14" i="6"/>
  <c r="AR14" i="6"/>
  <c r="AQ14" i="6"/>
  <c r="BB17" i="6" a="1"/>
  <c r="BB17" i="6" s="1"/>
  <c r="AU19" i="6"/>
  <c r="AQ16" i="6"/>
  <c r="BF16" i="6" a="1"/>
  <c r="BF16" i="6" s="1"/>
  <c r="AT19" i="6"/>
  <c r="AR16" i="6"/>
  <c r="AO19" i="6"/>
  <c r="BE17" i="6" a="1"/>
  <c r="BE17" i="6" s="1"/>
  <c r="AR17" i="6"/>
  <c r="AT17" i="6"/>
  <c r="AQ19" i="6"/>
  <c r="BC17" i="6" a="1"/>
  <c r="BC17" i="6" s="1"/>
  <c r="AO16" i="6"/>
  <c r="AS19" i="6"/>
  <c r="AY19" i="6" a="1"/>
  <c r="AY19" i="6" s="1"/>
  <c r="BA17" i="6" a="1"/>
  <c r="BA17" i="6" s="1"/>
  <c r="AM14" i="6"/>
  <c r="AZ14" i="6" a="1"/>
  <c r="AZ14" i="6" s="1"/>
  <c r="BC14" i="6" a="1"/>
  <c r="BC14" i="6" s="1"/>
  <c r="AV14" i="6"/>
  <c r="AU14" i="6"/>
  <c r="BG16" i="6" a="1"/>
  <c r="BG16" i="6" s="1"/>
  <c r="AP17" i="6"/>
  <c r="AP19" i="6"/>
  <c r="M18" i="6"/>
  <c r="AE18" i="6" s="1"/>
  <c r="BC16" i="6" a="1"/>
  <c r="BC16" i="6" s="1"/>
  <c r="AY17" i="6" a="1"/>
  <c r="AY17" i="6" s="1"/>
  <c r="AM16" i="6"/>
  <c r="AV16" i="6"/>
  <c r="AZ19" i="6" a="1"/>
  <c r="AZ19" i="6" s="1"/>
  <c r="BB16" i="6" a="1"/>
  <c r="BB16" i="6" s="1"/>
  <c r="AN16" i="6"/>
  <c r="AM19" i="6"/>
  <c r="AZ16" i="6" a="1"/>
  <c r="AZ16" i="6" s="1"/>
  <c r="AT16" i="6"/>
  <c r="AU16" i="6"/>
  <c r="BG14" i="6" a="1"/>
  <c r="BG14" i="6" s="1"/>
  <c r="AO14" i="6"/>
  <c r="BE14" i="6" a="1"/>
  <c r="BE14" i="6" s="1"/>
  <c r="BD14" i="6" a="1"/>
  <c r="BD14" i="6" s="1"/>
  <c r="AN14" i="6"/>
  <c r="AX19" i="6" a="1"/>
  <c r="AX19" i="6" s="1"/>
  <c r="BA19" i="6" a="1"/>
  <c r="BA19" i="6" s="1"/>
  <c r="BA16" i="6" a="1"/>
  <c r="BA16" i="6" s="1"/>
  <c r="BD16" i="6" a="1"/>
  <c r="BD16" i="6" s="1"/>
  <c r="AN19" i="6"/>
  <c r="AP16" i="6"/>
  <c r="BG17" i="6" a="1"/>
  <c r="BG17" i="6" s="1"/>
  <c r="AU17" i="6"/>
  <c r="BD17" i="6" a="1"/>
  <c r="BD17" i="6" s="1"/>
  <c r="AV17" i="6"/>
  <c r="AS16" i="6"/>
  <c r="AS17" i="6"/>
  <c r="BE19" i="6" a="1"/>
  <c r="BE19" i="6" s="1"/>
  <c r="BF17" i="6" a="1"/>
  <c r="BF17" i="6" s="1"/>
  <c r="AV19" i="6"/>
  <c r="BA14" i="6" a="1"/>
  <c r="BA14" i="6" s="1"/>
  <c r="AY14" i="6" a="1"/>
  <c r="AY14" i="6" s="1"/>
  <c r="AP14" i="6"/>
  <c r="BF14" i="6" a="1"/>
  <c r="BF14" i="6" s="1"/>
  <c r="BB14" i="6" a="1"/>
  <c r="BB14" i="6" s="1"/>
  <c r="AO21" i="6"/>
  <c r="BF21" i="6" a="1"/>
  <c r="BF21" i="6" s="1"/>
  <c r="BA21" i="6" a="1"/>
  <c r="BA21" i="6" s="1"/>
  <c r="AX21" i="6" a="1"/>
  <c r="AX21" i="6" s="1"/>
  <c r="AY21" i="6" a="1"/>
  <c r="AY21" i="6" s="1"/>
  <c r="AS21" i="6"/>
  <c r="AP21" i="6"/>
  <c r="BD21" i="6" a="1"/>
  <c r="BD21" i="6" s="1"/>
  <c r="BB21" i="6" a="1"/>
  <c r="BB21" i="6" s="1"/>
  <c r="AR21" i="6"/>
  <c r="AN21" i="6"/>
  <c r="AU21" i="6"/>
  <c r="AT21" i="6"/>
  <c r="BE21" i="6" a="1"/>
  <c r="BE21" i="6" s="1"/>
  <c r="BG21" i="6" a="1"/>
  <c r="BG21" i="6" s="1"/>
  <c r="AZ21" i="6" a="1"/>
  <c r="AZ21" i="6" s="1"/>
  <c r="AV21" i="6"/>
  <c r="AQ21" i="6"/>
  <c r="AM21" i="6"/>
  <c r="BC21" i="6" a="1"/>
  <c r="BC21" i="6" s="1"/>
  <c r="AN25" i="6"/>
  <c r="AX25" i="6" a="1"/>
  <c r="AX25" i="6" s="1"/>
  <c r="AT25" i="6"/>
  <c r="AQ25" i="6"/>
  <c r="BD25" i="6" a="1"/>
  <c r="BD25" i="6" s="1"/>
  <c r="AP25" i="6"/>
  <c r="BF25" i="6" a="1"/>
  <c r="BF25" i="6" s="1"/>
  <c r="AZ25" i="6" a="1"/>
  <c r="AZ25" i="6" s="1"/>
  <c r="AM25" i="6"/>
  <c r="AO25" i="6"/>
  <c r="AY25" i="6" a="1"/>
  <c r="AY25" i="6" s="1"/>
  <c r="AU25" i="6"/>
  <c r="AS25" i="6"/>
  <c r="AR25" i="6"/>
  <c r="BC25" i="6" a="1"/>
  <c r="BC25" i="6" s="1"/>
  <c r="AV25" i="6"/>
  <c r="BE25" i="6" a="1"/>
  <c r="BE25" i="6" s="1"/>
  <c r="BG25" i="6" a="1"/>
  <c r="BG25" i="6" s="1"/>
  <c r="BA25" i="6" a="1"/>
  <c r="BA25" i="6" s="1"/>
  <c r="BB25" i="6" a="1"/>
  <c r="BB25" i="6" s="1"/>
  <c r="AP29" i="6"/>
  <c r="BC29" i="6" a="1"/>
  <c r="BC29" i="6" s="1"/>
  <c r="AQ29" i="6"/>
  <c r="AN29" i="6"/>
  <c r="AR29" i="6"/>
  <c r="AZ29" i="6" a="1"/>
  <c r="AZ29" i="6" s="1"/>
  <c r="AM29" i="6"/>
  <c r="BB29" i="6" a="1"/>
  <c r="BB29" i="6" s="1"/>
  <c r="AU29" i="6"/>
  <c r="BE29" i="6" a="1"/>
  <c r="BE29" i="6" s="1"/>
  <c r="AT29" i="6"/>
  <c r="BG29" i="6" a="1"/>
  <c r="BG29" i="6" s="1"/>
  <c r="AX29" i="6" a="1"/>
  <c r="AX29" i="6" s="1"/>
  <c r="AS29" i="6"/>
  <c r="AY29" i="6" a="1"/>
  <c r="AY29" i="6" s="1"/>
  <c r="BA29" i="6" a="1"/>
  <c r="BA29" i="6" s="1"/>
  <c r="BD29" i="6" a="1"/>
  <c r="BD29" i="6" s="1"/>
  <c r="AO29" i="6"/>
  <c r="AV29" i="6"/>
  <c r="BF29" i="6" a="1"/>
  <c r="BF29" i="6" s="1"/>
  <c r="AS31" i="6"/>
  <c r="AQ31" i="6"/>
  <c r="AM31" i="6"/>
  <c r="AR31" i="6"/>
  <c r="AZ31" i="6" a="1"/>
  <c r="AZ31" i="6" s="1"/>
  <c r="BC31" i="6" a="1"/>
  <c r="BC31" i="6" s="1"/>
  <c r="BD31" i="6" a="1"/>
  <c r="BD31" i="6" s="1"/>
  <c r="AV31" i="6"/>
  <c r="AY31" i="6" a="1"/>
  <c r="AY31" i="6" s="1"/>
  <c r="BA31" i="6" a="1"/>
  <c r="BA31" i="6" s="1"/>
  <c r="BE31" i="6" a="1"/>
  <c r="BE31" i="6" s="1"/>
  <c r="AP31" i="6"/>
  <c r="AU31" i="6"/>
  <c r="BB31" i="6" a="1"/>
  <c r="BB31" i="6" s="1"/>
  <c r="AX31" i="6" a="1"/>
  <c r="AX31" i="6" s="1"/>
  <c r="AT31" i="6"/>
  <c r="BG31" i="6" a="1"/>
  <c r="BG31" i="6" s="1"/>
  <c r="AN31" i="6"/>
  <c r="BF31" i="6" a="1"/>
  <c r="BF31" i="6" s="1"/>
  <c r="AO31" i="6"/>
  <c r="M17" i="8"/>
  <c r="Q17" i="8" s="1"/>
  <c r="J17" i="8"/>
  <c r="K15" i="7"/>
  <c r="K14" i="7" s="1"/>
  <c r="H15" i="7"/>
  <c r="H14" i="7" s="1"/>
  <c r="O15" i="7"/>
  <c r="O14" i="7" s="1"/>
  <c r="M15" i="7"/>
  <c r="M14" i="7" s="1"/>
  <c r="Y15" i="7"/>
  <c r="Y14" i="7" s="1"/>
  <c r="W15" i="7"/>
  <c r="W14" i="7" s="1"/>
  <c r="X15" i="7"/>
  <c r="X14" i="7" s="1"/>
  <c r="Q15" i="7"/>
  <c r="Q14" i="7" s="1"/>
  <c r="L15" i="7"/>
  <c r="L14" i="7" s="1"/>
  <c r="T15" i="7"/>
  <c r="T14" i="7" s="1"/>
  <c r="S15" i="7"/>
  <c r="S14" i="7" s="1"/>
  <c r="R15" i="7"/>
  <c r="R14" i="7" s="1"/>
  <c r="P15" i="7"/>
  <c r="P14" i="7" s="1"/>
  <c r="U15" i="7"/>
  <c r="U14" i="7" s="1"/>
  <c r="J15" i="7"/>
  <c r="J14" i="7" s="1"/>
  <c r="V15" i="7"/>
  <c r="V14" i="7" s="1"/>
  <c r="N15" i="7"/>
  <c r="N14" i="7" s="1"/>
  <c r="E15" i="7"/>
  <c r="E14" i="7" s="1"/>
  <c r="F14" i="7"/>
  <c r="I15" i="7"/>
  <c r="I14" i="7" s="1"/>
  <c r="T14" i="5"/>
  <c r="X14" i="5" s="1" a="1"/>
  <c r="AB14" i="6"/>
  <c r="AC14" i="6"/>
  <c r="AD14" i="6"/>
  <c r="AE14" i="6"/>
  <c r="AF14" i="6"/>
  <c r="AG14" i="6"/>
  <c r="AH14" i="6"/>
  <c r="AI14" i="6"/>
  <c r="AJ14" i="6"/>
  <c r="AK14" i="6"/>
  <c r="S12" i="13"/>
  <c r="U12" i="13"/>
  <c r="N12" i="11"/>
  <c r="T16" i="5"/>
  <c r="AB16" i="6"/>
  <c r="AC16" i="6"/>
  <c r="AD16" i="6"/>
  <c r="AE16" i="6"/>
  <c r="AF16" i="6"/>
  <c r="AG16" i="6"/>
  <c r="AH16" i="6"/>
  <c r="AI16" i="6"/>
  <c r="AJ16" i="6"/>
  <c r="AK16" i="6"/>
  <c r="T17" i="5"/>
  <c r="AB17" i="6"/>
  <c r="AC17" i="6"/>
  <c r="AD17" i="6"/>
  <c r="AE17" i="6"/>
  <c r="AF17" i="6"/>
  <c r="AG17" i="6"/>
  <c r="AH17" i="6"/>
  <c r="AI17" i="6"/>
  <c r="AJ17" i="6"/>
  <c r="AK17" i="6"/>
  <c r="T18" i="5"/>
  <c r="AB18" i="6"/>
  <c r="AG16" i="5" s="1" a="1"/>
  <c r="AG16" i="5" s="1"/>
  <c r="AF18" i="6"/>
  <c r="AG18" i="6"/>
  <c r="AJ18" i="6"/>
  <c r="AK18" i="6"/>
  <c r="T19" i="5"/>
  <c r="AB19" i="6"/>
  <c r="AC19" i="6"/>
  <c r="AD19" i="6"/>
  <c r="AE19" i="6"/>
  <c r="AF19" i="6"/>
  <c r="AG19" i="6"/>
  <c r="AH19" i="6"/>
  <c r="AI19" i="6"/>
  <c r="AJ19" i="6"/>
  <c r="AK19" i="6"/>
  <c r="T20" i="5"/>
  <c r="T21" i="5"/>
  <c r="AC21" i="6"/>
  <c r="AD21" i="6"/>
  <c r="AB21" i="6"/>
  <c r="AE21" i="6"/>
  <c r="AF21" i="6"/>
  <c r="AG21" i="6"/>
  <c r="AH21" i="6"/>
  <c r="AI21" i="6"/>
  <c r="AJ21" i="6"/>
  <c r="AK21" i="6"/>
  <c r="T22" i="5"/>
  <c r="X22" i="5" s="1" a="1"/>
  <c r="X22" i="5" s="1"/>
  <c r="T23" i="5"/>
  <c r="X23" i="5" s="1" a="1"/>
  <c r="X23" i="5" s="1"/>
  <c r="T24" i="5"/>
  <c r="X24" i="5" s="1" a="1"/>
  <c r="X24" i="5" s="1"/>
  <c r="T25" i="5"/>
  <c r="AE25" i="6"/>
  <c r="AC25" i="6"/>
  <c r="AB25" i="6"/>
  <c r="AD25" i="6"/>
  <c r="AF25" i="6"/>
  <c r="AG25" i="6"/>
  <c r="AH25" i="6"/>
  <c r="AI25" i="6"/>
  <c r="AJ25" i="6"/>
  <c r="AK25" i="6"/>
  <c r="T26" i="5"/>
  <c r="X26" i="5" s="1" a="1"/>
  <c r="X26" i="5" s="1"/>
  <c r="T27" i="5"/>
  <c r="X27" i="5" s="1" a="1"/>
  <c r="X27" i="5" s="1"/>
  <c r="T28" i="5"/>
  <c r="X28" i="5" s="1" a="1"/>
  <c r="X28" i="5" s="1"/>
  <c r="T29" i="5"/>
  <c r="AG29" i="6"/>
  <c r="AB29" i="6"/>
  <c r="AH29" i="6"/>
  <c r="AE29" i="6"/>
  <c r="AC29" i="6"/>
  <c r="AD29" i="6"/>
  <c r="AF29" i="6"/>
  <c r="AI29" i="6"/>
  <c r="AJ29" i="6"/>
  <c r="AK29" i="6"/>
  <c r="T30" i="5"/>
  <c r="X30" i="5" s="1" a="1"/>
  <c r="X30" i="5" s="1"/>
  <c r="T31" i="5"/>
  <c r="AG31" i="6"/>
  <c r="AF31" i="6"/>
  <c r="AE31" i="6"/>
  <c r="AD31" i="6"/>
  <c r="AI31" i="6"/>
  <c r="AB31" i="6"/>
  <c r="AC31" i="6"/>
  <c r="AH31" i="6"/>
  <c r="AJ31" i="6"/>
  <c r="AK31" i="6"/>
  <c r="T32" i="5"/>
  <c r="X32" i="5" s="1" a="1"/>
  <c r="X32" i="5" s="1"/>
  <c r="M14" i="8"/>
  <c r="J14" i="8"/>
  <c r="P14" i="8"/>
  <c r="O14" i="8"/>
  <c r="Q14" i="8"/>
  <c r="M20" i="8"/>
  <c r="J20" i="8"/>
  <c r="Q20" i="8"/>
  <c r="J29" i="8"/>
  <c r="M29" i="8"/>
  <c r="P29" i="8"/>
  <c r="N15" i="11"/>
  <c r="S15" i="13"/>
  <c r="U15" i="13"/>
  <c r="N16" i="11"/>
  <c r="U16" i="13"/>
  <c r="S16" i="13"/>
  <c r="S17" i="13"/>
  <c r="U17" i="13"/>
  <c r="N17" i="11"/>
  <c r="J23" i="8"/>
  <c r="M23" i="8"/>
  <c r="O23" i="8" s="1"/>
  <c r="M8" i="12" a="1"/>
  <c r="M8" i="12" s="1"/>
  <c r="AC13" i="12"/>
  <c r="AD13" i="12" s="1"/>
  <c r="AE13" i="12" s="1"/>
  <c r="AF13" i="12" s="1"/>
  <c r="AG13" i="12" s="1"/>
  <c r="AH13" i="12" s="1"/>
  <c r="AI13" i="12" s="1"/>
  <c r="AJ13" i="12" s="1"/>
  <c r="AK13" i="12" s="1"/>
  <c r="AL13" i="12" s="1"/>
  <c r="AM13" i="12" s="1"/>
  <c r="AB10" i="12"/>
  <c r="J24" i="12" a="1"/>
  <c r="J27" i="12" a="1"/>
  <c r="J27" i="12" s="1"/>
  <c r="J26" i="12" a="1"/>
  <c r="J28" i="12" a="1"/>
  <c r="L23" i="12" a="1"/>
  <c r="L22" i="12" a="1"/>
  <c r="L22" i="12" s="1"/>
  <c r="K22" i="12" s="1"/>
  <c r="L18" i="12" a="1"/>
  <c r="L28" i="12" a="1"/>
  <c r="L28" i="12" s="1"/>
  <c r="L20" i="12" a="1"/>
  <c r="L24" i="12" a="1"/>
  <c r="J30" i="12" a="1"/>
  <c r="J30" i="12" s="1"/>
  <c r="L26" i="12" a="1"/>
  <c r="L26" i="12" s="1"/>
  <c r="J14" i="12" a="1"/>
  <c r="J14" i="12" s="1"/>
  <c r="L27" i="12" a="1"/>
  <c r="L27" i="12" s="1"/>
  <c r="K27" i="12" s="1"/>
  <c r="L14" i="12" a="1"/>
  <c r="L14" i="12" s="1"/>
  <c r="J20" i="12" a="1"/>
  <c r="J22" i="12" a="1"/>
  <c r="J22" i="12" s="1"/>
  <c r="N15" i="12"/>
  <c r="P10" i="12"/>
  <c r="O10" i="12" s="1"/>
  <c r="L15" i="12" a="1"/>
  <c r="Z12" i="11"/>
  <c r="P12" i="11"/>
  <c r="C12" i="11"/>
  <c r="L12" i="13"/>
  <c r="P15" i="11"/>
  <c r="L15" i="13"/>
  <c r="C15" i="11"/>
  <c r="Z15" i="11"/>
  <c r="C16" i="11"/>
  <c r="P16" i="11"/>
  <c r="L16" i="13"/>
  <c r="Z16" i="11"/>
  <c r="C17" i="11"/>
  <c r="P17" i="11"/>
  <c r="L17" i="13"/>
  <c r="Z17" i="11"/>
  <c r="L18" i="13"/>
  <c r="P18" i="11"/>
  <c r="Z18" i="11"/>
  <c r="C18" i="11"/>
  <c r="P19" i="11"/>
  <c r="Z19" i="11"/>
  <c r="C19" i="11"/>
  <c r="L19" i="13"/>
  <c r="Z20" i="11"/>
  <c r="L20" i="13"/>
  <c r="P20" i="11"/>
  <c r="C20" i="11"/>
  <c r="Z21" i="11"/>
  <c r="P21" i="11"/>
  <c r="C21" i="11"/>
  <c r="L21" i="13"/>
  <c r="L22" i="13"/>
  <c r="P22" i="11"/>
  <c r="C22" i="11"/>
  <c r="Z22" i="11"/>
  <c r="Z23" i="11"/>
  <c r="L23" i="13"/>
  <c r="P23" i="11"/>
  <c r="C23" i="11"/>
  <c r="J26" i="8"/>
  <c r="M26" i="8"/>
  <c r="P26" i="8"/>
  <c r="Q26" i="8"/>
  <c r="J32" i="8"/>
  <c r="M32" i="8"/>
  <c r="R12" i="13"/>
  <c r="T12" i="13"/>
  <c r="R15" i="13"/>
  <c r="T15" i="13"/>
  <c r="R16" i="13"/>
  <c r="T16" i="13"/>
  <c r="T17" i="13"/>
  <c r="R17" i="13"/>
  <c r="R18" i="13"/>
  <c r="T18" i="13"/>
  <c r="T19" i="13"/>
  <c r="R19" i="13"/>
  <c r="T20" i="13"/>
  <c r="R20" i="13"/>
  <c r="R21" i="13"/>
  <c r="T21" i="13"/>
  <c r="T22" i="13"/>
  <c r="R22" i="13"/>
  <c r="R23" i="13"/>
  <c r="T23" i="13"/>
  <c r="U18" i="13"/>
  <c r="S18" i="13"/>
  <c r="N18" i="11"/>
  <c r="U19" i="13"/>
  <c r="S19" i="13"/>
  <c r="N19" i="11"/>
  <c r="N20" i="11"/>
  <c r="U20" i="13"/>
  <c r="S20" i="13"/>
  <c r="U21" i="13"/>
  <c r="S21" i="13"/>
  <c r="N21" i="11"/>
  <c r="S22" i="13"/>
  <c r="U22" i="13"/>
  <c r="N22" i="11"/>
  <c r="N23" i="11"/>
  <c r="U23" i="13"/>
  <c r="S23" i="13"/>
  <c r="J14" i="13"/>
  <c r="M13" i="9" s="1"/>
  <c r="O11" i="6" s="1"/>
  <c r="B1" i="7" s="1"/>
  <c r="B42" i="14"/>
  <c r="AF28" i="5" a="1"/>
  <c r="AF22" i="5" a="1"/>
  <c r="AF24" i="5" a="1"/>
  <c r="AF20" i="5" a="1"/>
  <c r="AF30" i="5" a="1"/>
  <c r="AF18" i="5" a="1"/>
  <c r="AF26" i="5" a="1"/>
  <c r="AF23" i="5" a="1"/>
  <c r="AF32" i="5" a="1"/>
  <c r="AF27" i="5" a="1"/>
  <c r="AF27" i="5" l="1"/>
  <c r="AF32" i="5"/>
  <c r="AF23" i="5"/>
  <c r="AG23" i="5" s="1" a="1"/>
  <c r="AG23" i="5" s="1"/>
  <c r="AF26" i="5"/>
  <c r="AF18" i="5"/>
  <c r="AF30" i="5"/>
  <c r="AF20" i="5"/>
  <c r="R24" i="5" a="1"/>
  <c r="R24" i="5" s="1"/>
  <c r="AF24" i="5"/>
  <c r="AG24" i="5" s="1" a="1"/>
  <c r="AG24" i="5" s="1"/>
  <c r="AF22" i="5"/>
  <c r="AF28" i="5"/>
  <c r="Q32" i="8"/>
  <c r="S34" i="8"/>
  <c r="D23" i="13"/>
  <c r="P23" i="13"/>
  <c r="D15" i="13"/>
  <c r="P15" i="13"/>
  <c r="J20" i="12"/>
  <c r="K26" i="12"/>
  <c r="M26" i="12" a="1"/>
  <c r="M26" i="12" s="1"/>
  <c r="J26" i="12"/>
  <c r="Z22" i="5"/>
  <c r="AM22" i="5"/>
  <c r="L22" i="5"/>
  <c r="X21" i="5" a="1"/>
  <c r="X21" i="5" s="1"/>
  <c r="I22" i="12"/>
  <c r="AI18" i="6"/>
  <c r="AG19" i="5" a="1"/>
  <c r="AG19" i="5" s="1"/>
  <c r="X14" i="5"/>
  <c r="P32" i="8"/>
  <c r="D17" i="13"/>
  <c r="P17" i="13"/>
  <c r="K14" i="12"/>
  <c r="L20" i="12"/>
  <c r="K20" i="12" s="1"/>
  <c r="N29" i="8"/>
  <c r="R29" i="8" s="1"/>
  <c r="S31" i="8"/>
  <c r="N20" i="8"/>
  <c r="R20" i="8" s="1"/>
  <c r="N14" i="8"/>
  <c r="R14" i="8" s="1"/>
  <c r="AM32" i="5"/>
  <c r="Z32" i="5"/>
  <c r="L32" i="5"/>
  <c r="I32" i="12"/>
  <c r="X31" i="5" a="1"/>
  <c r="X31" i="5" s="1"/>
  <c r="I32" i="5"/>
  <c r="AM28" i="5"/>
  <c r="Z28" i="5"/>
  <c r="L28" i="5"/>
  <c r="I28" i="12"/>
  <c r="AM24" i="5"/>
  <c r="Z24" i="5"/>
  <c r="L24" i="5"/>
  <c r="I24" i="12"/>
  <c r="S19" i="8"/>
  <c r="AO18" i="6"/>
  <c r="AP18" i="6"/>
  <c r="AR18" i="6"/>
  <c r="AT18" i="6"/>
  <c r="AV18" i="6"/>
  <c r="BB18" i="6" a="1"/>
  <c r="BB18" i="6" s="1"/>
  <c r="AZ18" i="6" a="1"/>
  <c r="AZ18" i="6" s="1"/>
  <c r="BA18" i="6" a="1"/>
  <c r="BA18" i="6" s="1"/>
  <c r="BC18" i="6" a="1"/>
  <c r="BC18" i="6" s="1"/>
  <c r="BE18" i="6" a="1"/>
  <c r="BE18" i="6" s="1"/>
  <c r="BG18" i="6" a="1"/>
  <c r="BG18" i="6" s="1"/>
  <c r="AM18" i="6"/>
  <c r="AN18" i="6"/>
  <c r="AQ18" i="6"/>
  <c r="BD18" i="6" a="1"/>
  <c r="BD18" i="6" s="1"/>
  <c r="AU18" i="6"/>
  <c r="AX18" i="6" a="1"/>
  <c r="AX18" i="6" s="1"/>
  <c r="AY18" i="6" a="1"/>
  <c r="AY18" i="6" s="1"/>
  <c r="AS18" i="6"/>
  <c r="BF18" i="6" a="1"/>
  <c r="BF18" i="6" s="1"/>
  <c r="A1" i="8"/>
  <c r="S3" i="8"/>
  <c r="R1" i="8"/>
  <c r="N26" i="8"/>
  <c r="D22" i="13"/>
  <c r="P22" i="13"/>
  <c r="D19" i="13"/>
  <c r="P19" i="13"/>
  <c r="D18" i="13"/>
  <c r="P18" i="13"/>
  <c r="P16" i="13"/>
  <c r="D16" i="13"/>
  <c r="K28" i="12"/>
  <c r="O23" i="12" a="1"/>
  <c r="O23" i="12" s="1"/>
  <c r="L23" i="12"/>
  <c r="P23" i="8"/>
  <c r="Q29" i="8"/>
  <c r="O20" i="8"/>
  <c r="O32" i="8"/>
  <c r="R32" i="8" s="1"/>
  <c r="O26" i="8"/>
  <c r="S28" i="8"/>
  <c r="D20" i="13"/>
  <c r="P20" i="13"/>
  <c r="D12" i="13"/>
  <c r="P12" i="13"/>
  <c r="V12" i="13"/>
  <c r="K15" i="12"/>
  <c r="L15" i="12"/>
  <c r="J18" i="12" a="1"/>
  <c r="J23" i="12" a="1"/>
  <c r="L30" i="12" a="1"/>
  <c r="L30" i="12" s="1"/>
  <c r="K30" i="12" s="1"/>
  <c r="J32" i="12" a="1"/>
  <c r="J32" i="12" s="1"/>
  <c r="L32" i="12" a="1"/>
  <c r="L32" i="12" s="1"/>
  <c r="K32" i="12" s="1"/>
  <c r="AO7" i="12" a="1"/>
  <c r="AO7" i="12" s="1"/>
  <c r="O29" i="8"/>
  <c r="P20" i="8"/>
  <c r="S22" i="8"/>
  <c r="S16" i="8"/>
  <c r="A14" i="8"/>
  <c r="L30" i="5"/>
  <c r="I30" i="5"/>
  <c r="Z30" i="5"/>
  <c r="X29" i="5" a="1"/>
  <c r="X29" i="5" s="1"/>
  <c r="I30" i="12"/>
  <c r="AM30" i="5"/>
  <c r="I26" i="12"/>
  <c r="AM26" i="5"/>
  <c r="Z26" i="5"/>
  <c r="L26" i="5"/>
  <c r="I26" i="5"/>
  <c r="X25" i="5" a="1"/>
  <c r="X25" i="5" s="1"/>
  <c r="AM23" i="5"/>
  <c r="Z23" i="5"/>
  <c r="I23" i="12"/>
  <c r="L23" i="5"/>
  <c r="AH18" i="6"/>
  <c r="AD18" i="6"/>
  <c r="N17" i="8"/>
  <c r="O17" i="8"/>
  <c r="M22" i="6"/>
  <c r="R14" i="5" a="1"/>
  <c r="R14" i="5" s="1"/>
  <c r="AG14" i="5" a="1"/>
  <c r="AG14" i="5" s="1"/>
  <c r="S14" i="5" a="1"/>
  <c r="S14" i="5" s="1"/>
  <c r="S29" i="5" a="1"/>
  <c r="AG29" i="5" a="1"/>
  <c r="AG29" i="5" s="1"/>
  <c r="S31" i="5" a="1"/>
  <c r="AG31" i="5" a="1"/>
  <c r="AG31" i="5" s="1"/>
  <c r="N32" i="8"/>
  <c r="D21" i="13"/>
  <c r="P21" i="13"/>
  <c r="O24" i="12" a="1"/>
  <c r="O24" i="12" s="1"/>
  <c r="L24" i="12"/>
  <c r="L18" i="12"/>
  <c r="M28" i="12" a="1"/>
  <c r="M28" i="12" s="1"/>
  <c r="J28" i="12"/>
  <c r="M24" i="12" a="1"/>
  <c r="M24" i="12" s="1"/>
  <c r="J24" i="12"/>
  <c r="N23" i="8"/>
  <c r="R23" i="8" s="1"/>
  <c r="Q23" i="8"/>
  <c r="S25" i="8"/>
  <c r="I27" i="5"/>
  <c r="I28" i="5" s="1"/>
  <c r="Z27" i="5"/>
  <c r="L27" i="5"/>
  <c r="I27" i="12"/>
  <c r="AM27" i="5"/>
  <c r="AC18" i="6"/>
  <c r="G60" i="7"/>
  <c r="G56" i="7"/>
  <c r="G42" i="7"/>
  <c r="G40" i="7"/>
  <c r="G44" i="7"/>
  <c r="G64" i="7"/>
  <c r="G63" i="7"/>
  <c r="G47" i="7"/>
  <c r="G23" i="7"/>
  <c r="G17" i="7"/>
  <c r="G21" i="7"/>
  <c r="G57" i="7"/>
  <c r="G25" i="7"/>
  <c r="G36" i="7"/>
  <c r="G27" i="7"/>
  <c r="G38" i="7"/>
  <c r="G32" i="7"/>
  <c r="G30" i="7"/>
  <c r="G35" i="7"/>
  <c r="G22" i="7"/>
  <c r="G52" i="7"/>
  <c r="G49" i="7"/>
  <c r="G61" i="7"/>
  <c r="G43" i="7"/>
  <c r="G62" i="7"/>
  <c r="G54" i="7"/>
  <c r="G20" i="7"/>
  <c r="G31" i="7"/>
  <c r="G33" i="7"/>
  <c r="G26" i="7"/>
  <c r="G28" i="7"/>
  <c r="G34" i="7"/>
  <c r="G1" i="7"/>
  <c r="G29" i="7"/>
  <c r="G46" i="7"/>
  <c r="G37" i="7"/>
  <c r="G59" i="7"/>
  <c r="G41" i="7"/>
  <c r="G16" i="7"/>
  <c r="G45" i="7"/>
  <c r="G53" i="7"/>
  <c r="G24" i="7"/>
  <c r="G55" i="7"/>
  <c r="G18" i="7"/>
  <c r="G50" i="7"/>
  <c r="G58" i="7"/>
  <c r="G48" i="7"/>
  <c r="G19" i="7"/>
  <c r="G51" i="7"/>
  <c r="G39" i="7"/>
  <c r="P17" i="8"/>
  <c r="M20" i="6"/>
  <c r="C18" i="7" a="1"/>
  <c r="C18" i="7" s="1"/>
  <c r="B17" i="7"/>
  <c r="G1" i="8"/>
  <c r="G2" i="8" s="1" a="1"/>
  <c r="G2" i="8" s="1"/>
  <c r="H2" i="8" a="1"/>
  <c r="H2" i="8" s="1"/>
  <c r="H1" i="8" a="1"/>
  <c r="S21" i="5" a="1"/>
  <c r="AG21" i="5" a="1"/>
  <c r="AG21" i="5" s="1"/>
  <c r="S25" i="5" a="1"/>
  <c r="AG25" i="5" a="1"/>
  <c r="AG25" i="5" s="1"/>
  <c r="A29" i="8"/>
  <c r="A26" i="8"/>
  <c r="A17" i="8"/>
  <c r="A32" i="8"/>
  <c r="A20" i="8"/>
  <c r="A23" i="8"/>
  <c r="G21" i="6" l="1"/>
  <c r="S21" i="5"/>
  <c r="AB26" i="5" a="1"/>
  <c r="AB26" i="5" s="1"/>
  <c r="AA26" i="5" a="1"/>
  <c r="AA26" i="5" s="1"/>
  <c r="AB24" i="5" a="1"/>
  <c r="AB24" i="5" s="1"/>
  <c r="AA24" i="5" a="1"/>
  <c r="AA24" i="5" s="1"/>
  <c r="AB28" i="5" a="1"/>
  <c r="AB28" i="5" s="1"/>
  <c r="AA28" i="5" a="1"/>
  <c r="AA28" i="5" s="1"/>
  <c r="C32" i="12"/>
  <c r="M32" i="12" a="1"/>
  <c r="M32" i="12" s="1"/>
  <c r="M31" i="12" s="1" a="1"/>
  <c r="M31" i="12" s="1"/>
  <c r="O32" i="12" a="1"/>
  <c r="O32" i="12" s="1"/>
  <c r="AO32" i="12" a="1"/>
  <c r="AO32" i="12" s="1"/>
  <c r="D14" i="8"/>
  <c r="F16" i="8"/>
  <c r="C14" i="8"/>
  <c r="F31" i="8"/>
  <c r="AA29" i="8" a="1"/>
  <c r="AA29" i="8" s="1"/>
  <c r="U29" i="8" a="1"/>
  <c r="U29" i="8" s="1"/>
  <c r="Y29" i="8" a="1"/>
  <c r="Y29" i="8" s="1"/>
  <c r="Z31" i="8" a="1"/>
  <c r="Z31" i="8" s="1"/>
  <c r="W31" i="8" a="1"/>
  <c r="W31" i="8" s="1"/>
  <c r="AB29" i="8" a="1"/>
  <c r="AB29" i="8" s="1"/>
  <c r="E29" i="8" a="1"/>
  <c r="E29" i="8" s="1"/>
  <c r="Y31" i="8" a="1"/>
  <c r="Y31" i="8" s="1"/>
  <c r="AA31" i="8" a="1"/>
  <c r="AA31" i="8" s="1"/>
  <c r="AF29" i="8" a="1"/>
  <c r="AF29" i="8" s="1"/>
  <c r="V31" i="8" a="1"/>
  <c r="V31" i="8" s="1"/>
  <c r="V29" i="8" a="1"/>
  <c r="V29" i="8" s="1"/>
  <c r="Z29" i="8" a="1"/>
  <c r="Z29" i="8" s="1"/>
  <c r="AC29" i="8" a="1"/>
  <c r="AC29" i="8" s="1"/>
  <c r="AD29" i="8" a="1"/>
  <c r="AD29" i="8" s="1"/>
  <c r="AE29" i="8" a="1"/>
  <c r="AE29" i="8" s="1"/>
  <c r="W29" i="8" a="1"/>
  <c r="W29" i="8" s="1"/>
  <c r="X29" i="8" a="1"/>
  <c r="X29" i="8" s="1"/>
  <c r="C22" i="6"/>
  <c r="O22" i="5"/>
  <c r="R28" i="5" a="1"/>
  <c r="R28" i="5" s="1"/>
  <c r="AG28" i="5" a="1"/>
  <c r="AG28" i="5" s="1"/>
  <c r="R20" i="5" a="1"/>
  <c r="R20" i="5" s="1"/>
  <c r="AG20" i="5" a="1"/>
  <c r="AG20" i="5" s="1"/>
  <c r="O30" i="12" a="1"/>
  <c r="O30" i="12" s="1"/>
  <c r="C30" i="12"/>
  <c r="M30" i="12" a="1"/>
  <c r="M30" i="12" s="1"/>
  <c r="M29" i="12" s="1" a="1"/>
  <c r="M29" i="12" s="1"/>
  <c r="AO30" i="12" a="1"/>
  <c r="AO30" i="12" s="1"/>
  <c r="C30" i="6"/>
  <c r="O30" i="5"/>
  <c r="M23" i="12" a="1"/>
  <c r="M23" i="12" s="1"/>
  <c r="J23" i="12"/>
  <c r="H1" i="8"/>
  <c r="J2" i="8" s="1"/>
  <c r="B18" i="7"/>
  <c r="C19" i="7" a="1"/>
  <c r="C19" i="7" s="1"/>
  <c r="C23" i="6"/>
  <c r="O23" i="5"/>
  <c r="Z25" i="5"/>
  <c r="L25" i="5"/>
  <c r="I25" i="12"/>
  <c r="AM25" i="5"/>
  <c r="S26" i="8"/>
  <c r="I29" i="12"/>
  <c r="Z29" i="5"/>
  <c r="AM29" i="5"/>
  <c r="L29" i="5"/>
  <c r="S29" i="8"/>
  <c r="AE31" i="8" s="1" a="1"/>
  <c r="AE31" i="8" s="1"/>
  <c r="J18" i="12"/>
  <c r="AB32" i="8" a="1"/>
  <c r="AB32" i="8" s="1"/>
  <c r="AD32" i="8" a="1"/>
  <c r="AD32" i="8" s="1"/>
  <c r="E32" i="8" a="1"/>
  <c r="E32" i="8" s="1"/>
  <c r="AE32" i="8" a="1"/>
  <c r="AE32" i="8" s="1"/>
  <c r="X32" i="8" a="1"/>
  <c r="X32" i="8" s="1"/>
  <c r="F34" i="8"/>
  <c r="Z32" i="8" a="1"/>
  <c r="Z32" i="8" s="1"/>
  <c r="AF32" i="8" a="1"/>
  <c r="AF32" i="8" s="1"/>
  <c r="W32" i="8" a="1"/>
  <c r="W32" i="8" s="1"/>
  <c r="U32" i="8" a="1"/>
  <c r="U32" i="8" s="1"/>
  <c r="Y32" i="8" a="1"/>
  <c r="Y32" i="8" s="1"/>
  <c r="AC32" i="8" a="1"/>
  <c r="AC32" i="8" s="1"/>
  <c r="AA32" i="8" a="1"/>
  <c r="AA32" i="8" s="1"/>
  <c r="V32" i="8" a="1"/>
  <c r="V32" i="8" s="1"/>
  <c r="C32" i="6"/>
  <c r="O32" i="5"/>
  <c r="Y20" i="8" a="1"/>
  <c r="Y20" i="8" s="1"/>
  <c r="AA20" i="8" a="1"/>
  <c r="AA20" i="8" s="1"/>
  <c r="E20" i="8" a="1"/>
  <c r="E20" i="8" s="1"/>
  <c r="F22" i="8"/>
  <c r="AF20" i="8" a="1"/>
  <c r="AF20" i="8" s="1"/>
  <c r="X20" i="8" a="1"/>
  <c r="X20" i="8" s="1"/>
  <c r="V20" i="8" a="1"/>
  <c r="V20" i="8" s="1"/>
  <c r="AD20" i="8" a="1"/>
  <c r="AD20" i="8" s="1"/>
  <c r="U20" i="8" a="1"/>
  <c r="U20" i="8" s="1"/>
  <c r="AB20" i="8" a="1"/>
  <c r="AB20" i="8" s="1"/>
  <c r="AE20" i="8" a="1"/>
  <c r="AE20" i="8" s="1"/>
  <c r="Z20" i="8" a="1"/>
  <c r="Z20" i="8" s="1"/>
  <c r="AC20" i="8" a="1"/>
  <c r="AC20" i="8" s="1"/>
  <c r="W20" i="8" a="1"/>
  <c r="W20" i="8" s="1"/>
  <c r="AO22" i="12" a="1"/>
  <c r="C22" i="12"/>
  <c r="O22" i="12" a="1"/>
  <c r="O22" i="12" s="1"/>
  <c r="M22" i="12" a="1"/>
  <c r="AG22" i="5" a="1"/>
  <c r="AG22" i="5" s="1"/>
  <c r="S22" i="5" a="1"/>
  <c r="S22" i="5" s="1"/>
  <c r="R22" i="5" a="1"/>
  <c r="R22" i="5" s="1"/>
  <c r="AG30" i="5" a="1"/>
  <c r="AG30" i="5" s="1"/>
  <c r="S30" i="5" a="1"/>
  <c r="S30" i="5" s="1"/>
  <c r="R30" i="5" a="1"/>
  <c r="R30" i="5" s="1"/>
  <c r="R23" i="5" a="1"/>
  <c r="R23" i="5" s="1"/>
  <c r="G25" i="6"/>
  <c r="S25" i="5"/>
  <c r="AC25" i="5" s="1" a="1"/>
  <c r="AC25" i="5" s="1"/>
  <c r="AN20" i="6"/>
  <c r="BB20" i="6" a="1"/>
  <c r="BB20" i="6" s="1"/>
  <c r="AZ20" i="6" a="1"/>
  <c r="AZ20" i="6" s="1"/>
  <c r="AT20" i="6"/>
  <c r="AV20" i="6"/>
  <c r="BG20" i="6" a="1"/>
  <c r="BG20" i="6" s="1"/>
  <c r="AO20" i="6"/>
  <c r="BA20" i="6" a="1"/>
  <c r="BA20" i="6" s="1"/>
  <c r="AM20" i="6"/>
  <c r="AY20" i="6" a="1"/>
  <c r="AY20" i="6" s="1"/>
  <c r="AU20" i="6"/>
  <c r="BD20" i="6" a="1"/>
  <c r="BD20" i="6" s="1"/>
  <c r="BE20" i="6" a="1"/>
  <c r="BE20" i="6" s="1"/>
  <c r="AS20" i="6"/>
  <c r="AR20" i="6"/>
  <c r="AX20" i="6" a="1"/>
  <c r="AX20" i="6" s="1"/>
  <c r="AQ20" i="6"/>
  <c r="BF20" i="6" a="1"/>
  <c r="BF20" i="6" s="1"/>
  <c r="AP20" i="6"/>
  <c r="BC20" i="6" a="1"/>
  <c r="BC20" i="6" s="1"/>
  <c r="AE20" i="6"/>
  <c r="AI20" i="6"/>
  <c r="AC20" i="6"/>
  <c r="AF20" i="6"/>
  <c r="AJ20" i="6"/>
  <c r="AH20" i="6"/>
  <c r="AB20" i="6"/>
  <c r="AG20" i="6"/>
  <c r="AK20" i="6"/>
  <c r="AD20" i="6"/>
  <c r="O27" i="12" a="1"/>
  <c r="O27" i="12" s="1"/>
  <c r="AO27" i="12" a="1"/>
  <c r="AO27" i="12" s="1"/>
  <c r="Y27" i="12" s="1"/>
  <c r="C27" i="12"/>
  <c r="M27" i="12" a="1"/>
  <c r="K24" i="12"/>
  <c r="E14" i="12"/>
  <c r="R17" i="8"/>
  <c r="C23" i="12"/>
  <c r="AO23" i="12" a="1"/>
  <c r="AO23" i="12" s="1"/>
  <c r="Y23" i="12" s="1"/>
  <c r="C26" i="12"/>
  <c r="AO26" i="12" a="1"/>
  <c r="AO26" i="12" s="1"/>
  <c r="O26" i="12" a="1"/>
  <c r="O26" i="12" s="1"/>
  <c r="AB30" i="5" a="1"/>
  <c r="AB30" i="5" s="1"/>
  <c r="AB29" i="5" s="1" a="1"/>
  <c r="AB29" i="5" s="1"/>
  <c r="AA30" i="5" a="1"/>
  <c r="AA30" i="5" s="1"/>
  <c r="AA29" i="5" s="1" a="1"/>
  <c r="F46" i="8"/>
  <c r="K23" i="12"/>
  <c r="R26" i="8"/>
  <c r="C24" i="12"/>
  <c r="AO24" i="12" a="1"/>
  <c r="AO24" i="12" s="1"/>
  <c r="Y24" i="12" s="1"/>
  <c r="C28" i="12"/>
  <c r="AO28" i="12" a="1"/>
  <c r="AO28" i="12" s="1"/>
  <c r="O28" i="12" a="1"/>
  <c r="O28" i="12" s="1"/>
  <c r="N28" i="12" s="1"/>
  <c r="AB32" i="5" a="1"/>
  <c r="AB32" i="5" s="1"/>
  <c r="AB31" i="5" s="1" a="1"/>
  <c r="AB31" i="5" s="1"/>
  <c r="AA32" i="5" a="1"/>
  <c r="AA32" i="5" s="1"/>
  <c r="AA31" i="5" s="1" a="1"/>
  <c r="AA31" i="5" s="1"/>
  <c r="I21" i="12"/>
  <c r="AM21" i="5"/>
  <c r="Z21" i="5"/>
  <c r="L21" i="5"/>
  <c r="S23" i="8"/>
  <c r="AB22" i="5" a="1"/>
  <c r="AA22" i="5" a="1"/>
  <c r="AA22" i="5" s="1"/>
  <c r="S18" i="5" a="1"/>
  <c r="S18" i="5" s="1"/>
  <c r="G18" i="6" s="1"/>
  <c r="R18" i="5" a="1"/>
  <c r="R18" i="5" s="1"/>
  <c r="AG18" i="5" a="1"/>
  <c r="AG18" i="5" s="1"/>
  <c r="AG32" i="5" a="1"/>
  <c r="AG32" i="5" s="1"/>
  <c r="R32" i="5" a="1"/>
  <c r="R32" i="5" s="1"/>
  <c r="AB27" i="5" a="1"/>
  <c r="AA27" i="5" a="1"/>
  <c r="AA27" i="5" s="1"/>
  <c r="K18" i="12"/>
  <c r="BE22" i="6" a="1"/>
  <c r="BE22" i="6" s="1"/>
  <c r="AO22" i="6"/>
  <c r="BF22" i="6" a="1"/>
  <c r="BF22" i="6" s="1"/>
  <c r="AY22" i="6" a="1"/>
  <c r="AY22" i="6" s="1"/>
  <c r="AR22" i="6"/>
  <c r="BB22" i="6" a="1"/>
  <c r="BB22" i="6" s="1"/>
  <c r="AM22" i="6"/>
  <c r="AV22" i="6"/>
  <c r="BA22" i="6" a="1"/>
  <c r="BA22" i="6" s="1"/>
  <c r="AP22" i="6"/>
  <c r="BD22" i="6" a="1"/>
  <c r="BD22" i="6" s="1"/>
  <c r="AX22" i="6" a="1"/>
  <c r="AX22" i="6" s="1"/>
  <c r="BG22" i="6" a="1"/>
  <c r="BG22" i="6" s="1"/>
  <c r="BC22" i="6" a="1"/>
  <c r="BC22" i="6" s="1"/>
  <c r="AZ22" i="6" a="1"/>
  <c r="AZ22" i="6" s="1"/>
  <c r="AN22" i="6"/>
  <c r="AS22" i="6"/>
  <c r="AQ22" i="6"/>
  <c r="AT22" i="6"/>
  <c r="AU22" i="6"/>
  <c r="AD22" i="6"/>
  <c r="AG22" i="6"/>
  <c r="AK22" i="6"/>
  <c r="AB22" i="6"/>
  <c r="AH22" i="6"/>
  <c r="M24" i="6"/>
  <c r="AE22" i="6"/>
  <c r="AF22" i="6"/>
  <c r="AJ22" i="6"/>
  <c r="M23" i="6"/>
  <c r="AC22" i="6"/>
  <c r="AI22" i="6"/>
  <c r="D1" i="8"/>
  <c r="W1" i="8" a="1"/>
  <c r="W1" i="8" s="1"/>
  <c r="C1" i="8"/>
  <c r="AD3" i="8" a="1"/>
  <c r="AD3" i="8" s="1"/>
  <c r="AC1" i="8" a="1"/>
  <c r="AC1" i="8" s="1"/>
  <c r="X1" i="8" a="1"/>
  <c r="X1" i="8" s="1"/>
  <c r="AE3" i="8" a="1"/>
  <c r="AE3" i="8" s="1"/>
  <c r="Z1" i="8" a="1"/>
  <c r="Z1" i="8" s="1"/>
  <c r="Y3" i="8" a="1"/>
  <c r="Y3" i="8" s="1"/>
  <c r="Y1" i="8" a="1"/>
  <c r="Y1" i="8" s="1"/>
  <c r="W3" i="8" a="1"/>
  <c r="W3" i="8" s="1"/>
  <c r="AE1" i="8" a="1"/>
  <c r="AE1" i="8" s="1"/>
  <c r="AC3" i="8" a="1"/>
  <c r="AC3" i="8" s="1"/>
  <c r="V3" i="8" a="1"/>
  <c r="V3" i="8" s="1"/>
  <c r="AF3" i="8" a="1"/>
  <c r="AF3" i="8" s="1"/>
  <c r="X3" i="8" a="1"/>
  <c r="X3" i="8" s="1"/>
  <c r="AD1" i="8" a="1"/>
  <c r="AD1" i="8" s="1"/>
  <c r="AA3" i="8" a="1"/>
  <c r="AA3" i="8" s="1"/>
  <c r="E3" i="8" a="1"/>
  <c r="E3" i="8" s="1"/>
  <c r="U3" i="8" a="1"/>
  <c r="U3" i="8" s="1"/>
  <c r="AA1" i="8" a="1"/>
  <c r="AA1" i="8" s="1"/>
  <c r="V1" i="8" a="1"/>
  <c r="V1" i="8" s="1"/>
  <c r="U1" i="8" a="1"/>
  <c r="U1" i="8" s="1"/>
  <c r="AB1" i="8" a="1"/>
  <c r="AB1" i="8" s="1"/>
  <c r="F3" i="8"/>
  <c r="AF1" i="8" a="1"/>
  <c r="AF1" i="8" s="1"/>
  <c r="Z3" i="8" a="1"/>
  <c r="Z3" i="8" s="1"/>
  <c r="AB3" i="8" a="1"/>
  <c r="AB3" i="8" s="1"/>
  <c r="E1" i="8" a="1"/>
  <c r="E1" i="8" s="1"/>
  <c r="G31" i="6"/>
  <c r="S31" i="5"/>
  <c r="M26" i="6"/>
  <c r="C27" i="6"/>
  <c r="O27" i="5"/>
  <c r="AB23" i="8" a="1"/>
  <c r="AB23" i="8" s="1"/>
  <c r="E23" i="8" a="1"/>
  <c r="E23" i="8" s="1"/>
  <c r="W23" i="8" a="1"/>
  <c r="W23" i="8" s="1"/>
  <c r="AD23" i="8" a="1"/>
  <c r="AD23" i="8" s="1"/>
  <c r="AE23" i="8" a="1"/>
  <c r="AE23" i="8" s="1"/>
  <c r="U23" i="8" a="1"/>
  <c r="U23" i="8" s="1"/>
  <c r="AC23" i="8" a="1"/>
  <c r="AC23" i="8" s="1"/>
  <c r="Z23" i="8" a="1"/>
  <c r="Z23" i="8" s="1"/>
  <c r="AC25" i="8" a="1"/>
  <c r="AC25" i="8" s="1"/>
  <c r="AB25" i="8" a="1"/>
  <c r="AB25" i="8" s="1"/>
  <c r="AE25" i="8" a="1"/>
  <c r="AE25" i="8" s="1"/>
  <c r="AF25" i="8" a="1"/>
  <c r="AF25" i="8" s="1"/>
  <c r="U25" i="8" a="1"/>
  <c r="U25" i="8" s="1"/>
  <c r="AF23" i="8" a="1"/>
  <c r="AF23" i="8" s="1"/>
  <c r="AA25" i="8" a="1"/>
  <c r="AA25" i="8" s="1"/>
  <c r="X23" i="8" a="1"/>
  <c r="X23" i="8" s="1"/>
  <c r="AA23" i="8" a="1"/>
  <c r="AA23" i="8" s="1"/>
  <c r="X25" i="8" a="1"/>
  <c r="X25" i="8" s="1"/>
  <c r="V23" i="8" a="1"/>
  <c r="V23" i="8" s="1"/>
  <c r="Z25" i="8" a="1"/>
  <c r="Z25" i="8" s="1"/>
  <c r="Y23" i="8" a="1"/>
  <c r="Y23" i="8" s="1"/>
  <c r="F25" i="8"/>
  <c r="W25" i="8" a="1"/>
  <c r="W25" i="8" s="1"/>
  <c r="N24" i="12"/>
  <c r="G29" i="6"/>
  <c r="S29" i="5"/>
  <c r="AC29" i="5" s="1" a="1"/>
  <c r="AC29" i="5" s="1"/>
  <c r="AB23" i="5" a="1"/>
  <c r="AB23" i="5" s="1"/>
  <c r="AA23" i="5" a="1"/>
  <c r="AA23" i="5" s="1"/>
  <c r="AC26" i="5" a="1"/>
  <c r="AC26" i="5" s="1"/>
  <c r="C26" i="6"/>
  <c r="O26" i="5"/>
  <c r="N23" i="12"/>
  <c r="C24" i="6"/>
  <c r="O24" i="5"/>
  <c r="C28" i="6"/>
  <c r="O28" i="5"/>
  <c r="AM31" i="5"/>
  <c r="L31" i="5"/>
  <c r="I31" i="12"/>
  <c r="Z31" i="5"/>
  <c r="S32" i="8"/>
  <c r="AE34" i="8" s="1" a="1"/>
  <c r="I14" i="5"/>
  <c r="Z14" i="5"/>
  <c r="I14" i="12"/>
  <c r="AM14" i="5"/>
  <c r="L14" i="5"/>
  <c r="O14" i="5" s="1"/>
  <c r="D14" i="12" s="1"/>
  <c r="F24" i="6"/>
  <c r="E24" i="12"/>
  <c r="AC24" i="5" a="1"/>
  <c r="AC24" i="5" s="1"/>
  <c r="AG26" i="5" a="1"/>
  <c r="AG26" i="5" s="1"/>
  <c r="R26" i="5" a="1"/>
  <c r="R26" i="5" s="1"/>
  <c r="F26" i="6" s="1"/>
  <c r="AG27" i="5" a="1"/>
  <c r="AG27" i="5" s="1"/>
  <c r="R27" i="5" a="1"/>
  <c r="R27" i="5" s="1"/>
  <c r="AE28" i="8" l="1" a="1"/>
  <c r="AE28" i="8" s="1"/>
  <c r="AE34" i="8"/>
  <c r="F27" i="6"/>
  <c r="AC27" i="5" a="1"/>
  <c r="AC27" i="5" s="1"/>
  <c r="C31" i="6"/>
  <c r="O31" i="5"/>
  <c r="E24" i="6"/>
  <c r="D24" i="12"/>
  <c r="AF23" i="6"/>
  <c r="AR23" i="6"/>
  <c r="AQ23" i="6"/>
  <c r="AO23" i="6"/>
  <c r="BB23" i="6" a="1"/>
  <c r="BB23" i="6" s="1"/>
  <c r="AP23" i="6"/>
  <c r="AU23" i="6"/>
  <c r="BA23" i="6" a="1"/>
  <c r="BA23" i="6" s="1"/>
  <c r="BC23" i="6" a="1"/>
  <c r="BC23" i="6" s="1"/>
  <c r="AV23" i="6"/>
  <c r="BG23" i="6" a="1"/>
  <c r="BG23" i="6" s="1"/>
  <c r="BF23" i="6" a="1"/>
  <c r="BF23" i="6" s="1"/>
  <c r="AY23" i="6" a="1"/>
  <c r="AY23" i="6" s="1"/>
  <c r="BD23" i="6" a="1"/>
  <c r="BD23" i="6" s="1"/>
  <c r="BE23" i="6" a="1"/>
  <c r="BE23" i="6" s="1"/>
  <c r="AN23" i="6"/>
  <c r="AS23" i="6"/>
  <c r="AM23" i="6"/>
  <c r="AZ23" i="6" a="1"/>
  <c r="AZ23" i="6" s="1"/>
  <c r="AT23" i="6"/>
  <c r="AX23" i="6" a="1"/>
  <c r="AX23" i="6" s="1"/>
  <c r="AC23" i="6"/>
  <c r="AI23" i="6"/>
  <c r="AG23" i="6"/>
  <c r="AJ23" i="6"/>
  <c r="AD23" i="6"/>
  <c r="AH23" i="6"/>
  <c r="AE23" i="6"/>
  <c r="AB23" i="6"/>
  <c r="AK23" i="6"/>
  <c r="AP24" i="6"/>
  <c r="AQ24" i="6"/>
  <c r="BE24" i="6" a="1"/>
  <c r="BE24" i="6" s="1"/>
  <c r="BD24" i="6" a="1"/>
  <c r="BD24" i="6" s="1"/>
  <c r="AZ24" i="6" a="1"/>
  <c r="AZ24" i="6" s="1"/>
  <c r="BC24" i="6" a="1"/>
  <c r="BC24" i="6" s="1"/>
  <c r="AN24" i="6"/>
  <c r="AY24" i="6" a="1"/>
  <c r="AY24" i="6" s="1"/>
  <c r="BB24" i="6" a="1"/>
  <c r="BB24" i="6" s="1"/>
  <c r="AV24" i="6"/>
  <c r="AO24" i="6"/>
  <c r="AT24" i="6"/>
  <c r="BG24" i="6" a="1"/>
  <c r="BG24" i="6" s="1"/>
  <c r="BA24" i="6" a="1"/>
  <c r="BA24" i="6" s="1"/>
  <c r="AM24" i="6"/>
  <c r="AU24" i="6"/>
  <c r="AR24" i="6"/>
  <c r="BF24" i="6" a="1"/>
  <c r="BF24" i="6" s="1"/>
  <c r="AS24" i="6"/>
  <c r="AX24" i="6" a="1"/>
  <c r="AX24" i="6" s="1"/>
  <c r="AE24" i="6"/>
  <c r="AD24" i="6"/>
  <c r="AJ24" i="6"/>
  <c r="AF24" i="6"/>
  <c r="AC24" i="6"/>
  <c r="AK24" i="6"/>
  <c r="AG24" i="6"/>
  <c r="AI24" i="6"/>
  <c r="AB24" i="6"/>
  <c r="AH24" i="6"/>
  <c r="AB27" i="5"/>
  <c r="AB25" i="5" s="1" a="1"/>
  <c r="AB25" i="5" s="1"/>
  <c r="F18" i="6"/>
  <c r="AC18" i="5" a="1"/>
  <c r="AC18" i="5" s="1"/>
  <c r="H24" i="8" a="1"/>
  <c r="H24" i="8" s="1"/>
  <c r="H23" i="8" a="1"/>
  <c r="G23" i="8"/>
  <c r="G24" i="8" s="1" a="1"/>
  <c r="G24" i="8" s="1"/>
  <c r="J21" i="12" a="1"/>
  <c r="J21" i="12" s="1"/>
  <c r="C21" i="12"/>
  <c r="L21" i="12" a="1"/>
  <c r="Y28" i="12"/>
  <c r="C29" i="8"/>
  <c r="AA29" i="5"/>
  <c r="AC14" i="5" a="1"/>
  <c r="AC14" i="5" s="1"/>
  <c r="M21" i="12" a="1"/>
  <c r="M21" i="12" s="1"/>
  <c r="M22" i="12"/>
  <c r="E32" i="6"/>
  <c r="D32" i="12"/>
  <c r="Z34" i="8" a="1"/>
  <c r="E34" i="8" a="1"/>
  <c r="D32" i="8"/>
  <c r="D23" i="12"/>
  <c r="E23" i="6"/>
  <c r="F20" i="6"/>
  <c r="AC20" i="5" a="1"/>
  <c r="AC20" i="5" s="1"/>
  <c r="D26" i="12"/>
  <c r="E26" i="6"/>
  <c r="F32" i="6"/>
  <c r="E32" i="12"/>
  <c r="AC32" i="5" a="1"/>
  <c r="AC32" i="5" s="1"/>
  <c r="C21" i="6"/>
  <c r="O21" i="5"/>
  <c r="V28" i="8" a="1"/>
  <c r="X28" i="8" a="1"/>
  <c r="AD28" i="8" a="1"/>
  <c r="F28" i="8"/>
  <c r="U28" i="8" a="1"/>
  <c r="D26" i="8"/>
  <c r="Y28" i="8" a="1"/>
  <c r="AA28" i="8" a="1"/>
  <c r="AC28" i="8" a="1"/>
  <c r="C26" i="8"/>
  <c r="E28" i="8" a="1"/>
  <c r="E28" i="8" s="1"/>
  <c r="E26" i="8" a="1"/>
  <c r="E26" i="8" s="1"/>
  <c r="AE26" i="8" a="1"/>
  <c r="AE26" i="8" s="1"/>
  <c r="AF26" i="8" a="1"/>
  <c r="AF26" i="8" s="1"/>
  <c r="Z26" i="8" a="1"/>
  <c r="Z26" i="8" s="1"/>
  <c r="AB26" i="8" a="1"/>
  <c r="AB26" i="8" s="1"/>
  <c r="W26" i="8" a="1"/>
  <c r="W26" i="8" s="1"/>
  <c r="X23" i="12" a="1"/>
  <c r="X23" i="12" s="1"/>
  <c r="W23" i="12" a="1"/>
  <c r="W23" i="12" s="1"/>
  <c r="W27" i="12" a="1"/>
  <c r="W27" i="12" s="1"/>
  <c r="X27" i="12" a="1"/>
  <c r="X27" i="12" s="1"/>
  <c r="E23" i="12"/>
  <c r="F23" i="6"/>
  <c r="AC23" i="5" a="1"/>
  <c r="AC23" i="5" s="1"/>
  <c r="F22" i="6"/>
  <c r="E22" i="12"/>
  <c r="AC22" i="5" a="1"/>
  <c r="AC22" i="5" s="1"/>
  <c r="N22" i="12"/>
  <c r="O21" i="12" a="1"/>
  <c r="O21" i="12" s="1"/>
  <c r="AA34" i="8" a="1"/>
  <c r="U34" i="8" a="1"/>
  <c r="AD34" i="8" a="1"/>
  <c r="C25" i="12"/>
  <c r="J25" i="12" a="1"/>
  <c r="J25" i="12" s="1"/>
  <c r="L25" i="12" a="1"/>
  <c r="E30" i="6"/>
  <c r="D30" i="12"/>
  <c r="AC21" i="5" a="1"/>
  <c r="AC21" i="5" s="1"/>
  <c r="AO14" i="12" a="1"/>
  <c r="AO14" i="12" s="1"/>
  <c r="M14" i="12" a="1"/>
  <c r="M14" i="12" s="1"/>
  <c r="O14" i="12" a="1"/>
  <c r="O14" i="12" s="1"/>
  <c r="N14" i="12" s="1"/>
  <c r="C14" i="12"/>
  <c r="D28" i="12"/>
  <c r="E28" i="6"/>
  <c r="E25" i="8" a="1"/>
  <c r="E25" i="8" s="1"/>
  <c r="AD25" i="8" a="1"/>
  <c r="AD25" i="8" s="1"/>
  <c r="D23" i="8"/>
  <c r="V25" i="8" a="1"/>
  <c r="V25" i="8" s="1"/>
  <c r="Y25" i="8" a="1"/>
  <c r="Y25" i="8" s="1"/>
  <c r="AC31" i="5" a="1"/>
  <c r="AC31" i="5" s="1"/>
  <c r="AA21" i="5" a="1"/>
  <c r="W24" i="12" a="1"/>
  <c r="W24" i="12" s="1"/>
  <c r="X24" i="12" a="1"/>
  <c r="X24" i="12" s="1"/>
  <c r="N26" i="12"/>
  <c r="O25" i="12" a="1"/>
  <c r="O25" i="12" s="1"/>
  <c r="F30" i="6"/>
  <c r="G32" i="6" s="1"/>
  <c r="G22" i="6" s="1"/>
  <c r="G30" i="6" s="1"/>
  <c r="E27" i="12" s="1"/>
  <c r="E20" i="12" s="1"/>
  <c r="E26" i="12" s="1"/>
  <c r="E18" i="12" s="1"/>
  <c r="G27" i="6" s="1"/>
  <c r="E30" i="12"/>
  <c r="AC30" i="5" a="1"/>
  <c r="AC30" i="5" s="1"/>
  <c r="V34" i="8" a="1"/>
  <c r="AF34" i="8" a="1"/>
  <c r="X34" i="8" a="1"/>
  <c r="G29" i="8"/>
  <c r="G30" i="8" s="1" a="1"/>
  <c r="G30" i="8" s="1"/>
  <c r="H30" i="8" a="1"/>
  <c r="H30" i="8" s="1"/>
  <c r="H29" i="8" a="1"/>
  <c r="J29" i="12" a="1"/>
  <c r="J29" i="12" s="1"/>
  <c r="C29" i="12"/>
  <c r="L29" i="12" a="1"/>
  <c r="C25" i="6"/>
  <c r="O25" i="5"/>
  <c r="O29" i="12" a="1"/>
  <c r="O29" i="12" s="1"/>
  <c r="N29" i="12" s="1"/>
  <c r="N30" i="12"/>
  <c r="E28" i="12"/>
  <c r="F28" i="6"/>
  <c r="AC28" i="5" a="1"/>
  <c r="AC28" i="5" s="1"/>
  <c r="E31" i="8" a="1"/>
  <c r="E31" i="8" s="1"/>
  <c r="X31" i="8" a="1"/>
  <c r="X31" i="8" s="1"/>
  <c r="AB31" i="8" a="1"/>
  <c r="AB31" i="8" s="1"/>
  <c r="AC31" i="8" a="1"/>
  <c r="AC31" i="8" s="1"/>
  <c r="AD31" i="8" a="1"/>
  <c r="AD31" i="8" s="1"/>
  <c r="Y32" i="12"/>
  <c r="AO31" i="12" a="1"/>
  <c r="AO31" i="12" s="1"/>
  <c r="G32" i="8"/>
  <c r="G33" i="8" s="1" a="1"/>
  <c r="G33" i="8" s="1"/>
  <c r="H33" i="8" a="1"/>
  <c r="H33" i="8" s="1"/>
  <c r="H32" i="8" a="1"/>
  <c r="D27" i="12"/>
  <c r="E27" i="6"/>
  <c r="AB14" i="5" a="1"/>
  <c r="AB14" i="5" s="1"/>
  <c r="AA14" i="5" a="1"/>
  <c r="AA14" i="5" s="1"/>
  <c r="J31" i="12" a="1"/>
  <c r="J31" i="12" s="1"/>
  <c r="C31" i="12"/>
  <c r="L31" i="12" a="1"/>
  <c r="BD26" i="6" a="1"/>
  <c r="BD26" i="6" s="1"/>
  <c r="BE26" i="6" a="1"/>
  <c r="BE26" i="6" s="1"/>
  <c r="BB26" i="6" a="1"/>
  <c r="BB26" i="6" s="1"/>
  <c r="BA26" i="6" a="1"/>
  <c r="BA26" i="6" s="1"/>
  <c r="AZ26" i="6" a="1"/>
  <c r="AZ26" i="6" s="1"/>
  <c r="AO26" i="6"/>
  <c r="BC26" i="6" a="1"/>
  <c r="BC26" i="6" s="1"/>
  <c r="AQ26" i="6"/>
  <c r="AM26" i="6"/>
  <c r="AS26" i="6"/>
  <c r="AT26" i="6"/>
  <c r="BG26" i="6" a="1"/>
  <c r="BG26" i="6" s="1"/>
  <c r="AY26" i="6" a="1"/>
  <c r="AY26" i="6" s="1"/>
  <c r="AV26" i="6"/>
  <c r="AU26" i="6"/>
  <c r="AP26" i="6"/>
  <c r="AN26" i="6"/>
  <c r="AR26" i="6"/>
  <c r="BF26" i="6" a="1"/>
  <c r="BF26" i="6" s="1"/>
  <c r="AX26" i="6" a="1"/>
  <c r="AX26" i="6" s="1"/>
  <c r="AC26" i="6"/>
  <c r="AH26" i="6"/>
  <c r="M27" i="6"/>
  <c r="M28" i="6"/>
  <c r="AG26" i="6"/>
  <c r="AI26" i="6"/>
  <c r="AB26" i="6"/>
  <c r="AK26" i="6"/>
  <c r="AF26" i="6"/>
  <c r="AD26" i="6"/>
  <c r="AJ26" i="6"/>
  <c r="AE26" i="6"/>
  <c r="AB22" i="5"/>
  <c r="AB21" i="5" s="1" a="1"/>
  <c r="AB21" i="5" s="1"/>
  <c r="U46" i="8"/>
  <c r="V46" i="8"/>
  <c r="A11" i="12"/>
  <c r="P11" i="12" s="1"/>
  <c r="O11" i="12" s="1"/>
  <c r="X46" i="8"/>
  <c r="AA46" i="8"/>
  <c r="AE46" i="8"/>
  <c r="Y46" i="8"/>
  <c r="Z46" i="8"/>
  <c r="W46" i="8"/>
  <c r="AC46" i="8"/>
  <c r="AB46" i="8"/>
  <c r="AF46" i="8"/>
  <c r="AD72" i="9" s="1"/>
  <c r="AD46" i="8"/>
  <c r="Y26" i="12"/>
  <c r="AO25" i="12" a="1"/>
  <c r="AO25" i="12" s="1"/>
  <c r="Y25" i="12" s="1"/>
  <c r="Y17" i="8" a="1"/>
  <c r="Y17" i="8" s="1"/>
  <c r="AD17" i="8" a="1"/>
  <c r="AD17" i="8" s="1"/>
  <c r="F19" i="8"/>
  <c r="E17" i="8" a="1"/>
  <c r="E17" i="8" s="1"/>
  <c r="X17" i="8" a="1"/>
  <c r="X17" i="8" s="1"/>
  <c r="W17" i="8" a="1"/>
  <c r="W17" i="8" s="1"/>
  <c r="AC17" i="8" a="1"/>
  <c r="AC17" i="8" s="1"/>
  <c r="AF17" i="8" a="1"/>
  <c r="AF17" i="8" s="1"/>
  <c r="V17" i="8" a="1"/>
  <c r="V17" i="8" s="1"/>
  <c r="AB17" i="8" a="1"/>
  <c r="AB17" i="8" s="1"/>
  <c r="U17" i="8" a="1"/>
  <c r="U17" i="8" s="1"/>
  <c r="AA17" i="8" a="1"/>
  <c r="AA17" i="8" s="1"/>
  <c r="Z17" i="8" a="1"/>
  <c r="Z17" i="8" s="1"/>
  <c r="AE17" i="8" a="1"/>
  <c r="AE17" i="8" s="1"/>
  <c r="M25" i="12" a="1"/>
  <c r="M25" i="12" s="1"/>
  <c r="M27" i="12"/>
  <c r="N27" i="12" s="1"/>
  <c r="AO21" i="12" a="1"/>
  <c r="AO21" i="12" s="1"/>
  <c r="Y21" i="12" s="1"/>
  <c r="AO22" i="12"/>
  <c r="Y22" i="12" s="1"/>
  <c r="Y34" i="8" a="1"/>
  <c r="AB34" i="8" a="1"/>
  <c r="AC34" i="8" a="1"/>
  <c r="W34" i="8" a="1"/>
  <c r="C32" i="8"/>
  <c r="C29" i="6"/>
  <c r="O29" i="5"/>
  <c r="G26" i="8"/>
  <c r="G27" i="8" s="1" a="1"/>
  <c r="G27" i="8" s="1"/>
  <c r="H27" i="8" a="1"/>
  <c r="H27" i="8" s="1"/>
  <c r="H26" i="8" a="1"/>
  <c r="C20" i="7" a="1"/>
  <c r="C20" i="7" s="1"/>
  <c r="B19" i="7"/>
  <c r="AO29" i="12" a="1"/>
  <c r="AO29" i="12" s="1"/>
  <c r="Y30" i="12"/>
  <c r="E22" i="6"/>
  <c r="D22" i="12"/>
  <c r="U31" i="8" a="1"/>
  <c r="U31" i="8" s="1"/>
  <c r="AF31" i="8" a="1"/>
  <c r="AF31" i="8" s="1"/>
  <c r="D29" i="8"/>
  <c r="N32" i="12"/>
  <c r="O31" i="12" a="1"/>
  <c r="O31" i="12" s="1"/>
  <c r="N31" i="12" s="1"/>
  <c r="AA25" i="5" a="1"/>
  <c r="AA25" i="5" s="1"/>
  <c r="H26" i="8" l="1"/>
  <c r="J27" i="8" s="1"/>
  <c r="AB28" i="8" a="1"/>
  <c r="AB28" i="8" s="1"/>
  <c r="AB34" i="8"/>
  <c r="X21" i="12" a="1"/>
  <c r="X21" i="12" s="1"/>
  <c r="W21" i="12" a="1"/>
  <c r="W21" i="12" s="1"/>
  <c r="R72" i="9"/>
  <c r="Z47" i="8"/>
  <c r="N72" i="9"/>
  <c r="X47" i="8"/>
  <c r="BE27" i="6" a="1"/>
  <c r="BE27" i="6" s="1"/>
  <c r="AZ27" i="6" a="1"/>
  <c r="AZ27" i="6" s="1"/>
  <c r="AS27" i="6"/>
  <c r="BG27" i="6" a="1"/>
  <c r="BG27" i="6" s="1"/>
  <c r="AM27" i="6"/>
  <c r="BC27" i="6" a="1"/>
  <c r="BC27" i="6" s="1"/>
  <c r="AX27" i="6" a="1"/>
  <c r="AX27" i="6" s="1"/>
  <c r="AY27" i="6" a="1"/>
  <c r="AY27" i="6" s="1"/>
  <c r="AP27" i="6"/>
  <c r="AO27" i="6"/>
  <c r="BB27" i="6" a="1"/>
  <c r="BB27" i="6" s="1"/>
  <c r="AN27" i="6"/>
  <c r="AU27" i="6"/>
  <c r="AR27" i="6"/>
  <c r="BA27" i="6" a="1"/>
  <c r="BA27" i="6" s="1"/>
  <c r="BF27" i="6" a="1"/>
  <c r="BF27" i="6" s="1"/>
  <c r="AV27" i="6"/>
  <c r="AT27" i="6"/>
  <c r="AQ27" i="6"/>
  <c r="BD27" i="6" a="1"/>
  <c r="BD27" i="6" s="1"/>
  <c r="AF27" i="6"/>
  <c r="AI27" i="6"/>
  <c r="AE27" i="6"/>
  <c r="AD27" i="6"/>
  <c r="AJ27" i="6"/>
  <c r="AG27" i="6"/>
  <c r="AB27" i="6"/>
  <c r="AC27" i="6"/>
  <c r="AK27" i="6"/>
  <c r="AH27" i="6"/>
  <c r="M32" i="6"/>
  <c r="N25" i="12"/>
  <c r="T24" i="12"/>
  <c r="U24" i="12"/>
  <c r="V24" i="12" a="1"/>
  <c r="V24" i="12" s="1"/>
  <c r="A46" i="9"/>
  <c r="C46" i="10"/>
  <c r="A46" i="10" s="1"/>
  <c r="N21" i="12"/>
  <c r="X26" i="8" a="1"/>
  <c r="X26" i="8" s="1"/>
  <c r="X28" i="8"/>
  <c r="Z28" i="8" a="1"/>
  <c r="Z28" i="8" s="1"/>
  <c r="Z34" i="8"/>
  <c r="A47" i="9"/>
  <c r="C39" i="10"/>
  <c r="A39" i="10" s="1"/>
  <c r="C23" i="8"/>
  <c r="AA21" i="5"/>
  <c r="AD34" i="8"/>
  <c r="AC26" i="8" a="1"/>
  <c r="AC26" i="8" s="1"/>
  <c r="AC28" i="8"/>
  <c r="U26" i="8" a="1"/>
  <c r="U26" i="8" s="1"/>
  <c r="U28" i="8"/>
  <c r="V26" i="8" a="1"/>
  <c r="V26" i="8" s="1"/>
  <c r="V28" i="8"/>
  <c r="A25" i="9"/>
  <c r="A32" i="9"/>
  <c r="C53" i="10"/>
  <c r="A53" i="10" s="1"/>
  <c r="W30" i="12" a="1"/>
  <c r="W30" i="12" s="1"/>
  <c r="X30" i="12" a="1"/>
  <c r="X30" i="12" s="1"/>
  <c r="W28" i="8" a="1"/>
  <c r="W28" i="8" s="1"/>
  <c r="W34" i="8"/>
  <c r="X26" i="12" a="1"/>
  <c r="X26" i="12" s="1"/>
  <c r="W26" i="12" a="1"/>
  <c r="W26" i="12" s="1"/>
  <c r="X72" i="9"/>
  <c r="AC47" i="8"/>
  <c r="AB72" i="9"/>
  <c r="AE47" i="8"/>
  <c r="J72" i="9"/>
  <c r="V47" i="8"/>
  <c r="A57" i="9"/>
  <c r="J33" i="8"/>
  <c r="H32" i="8"/>
  <c r="A53" i="9"/>
  <c r="Y31" i="12"/>
  <c r="J30" i="8"/>
  <c r="H29" i="8"/>
  <c r="AF28" i="8" a="1"/>
  <c r="AF28" i="8" s="1"/>
  <c r="AF34" i="8"/>
  <c r="A16" i="9"/>
  <c r="A26" i="9"/>
  <c r="C1" i="10"/>
  <c r="A1" i="10" s="1"/>
  <c r="L25" i="12"/>
  <c r="K25" i="12" s="1"/>
  <c r="U34" i="8"/>
  <c r="T27" i="12"/>
  <c r="U27" i="12"/>
  <c r="V27" i="12" a="1"/>
  <c r="V27" i="12" s="1"/>
  <c r="AA26" i="8" a="1"/>
  <c r="AA26" i="8" s="1"/>
  <c r="AA28" i="8"/>
  <c r="D21" i="12"/>
  <c r="E21" i="6"/>
  <c r="I23" i="8"/>
  <c r="A18" i="9"/>
  <c r="X28" i="12" a="1"/>
  <c r="X28" i="12" s="1"/>
  <c r="W28" i="12" a="1"/>
  <c r="W28" i="12" s="1"/>
  <c r="Y34" i="8"/>
  <c r="X25" i="12" a="1"/>
  <c r="X25" i="12" s="1"/>
  <c r="W25" i="12" a="1"/>
  <c r="W25" i="12" s="1"/>
  <c r="V72" i="9"/>
  <c r="AB47" i="8"/>
  <c r="P72" i="9"/>
  <c r="Y47" i="8"/>
  <c r="D25" i="12"/>
  <c r="E25" i="6"/>
  <c r="I26" i="8"/>
  <c r="X34" i="8"/>
  <c r="C16" i="10"/>
  <c r="A16" i="10" s="1"/>
  <c r="Y29" i="12"/>
  <c r="C21" i="7" a="1"/>
  <c r="C21" i="7" s="1"/>
  <c r="B20" i="7"/>
  <c r="D29" i="12"/>
  <c r="E29" i="6"/>
  <c r="I29" i="8"/>
  <c r="AC34" i="8"/>
  <c r="W22" i="12" a="1"/>
  <c r="W22" i="12" s="1"/>
  <c r="X22" i="12" a="1"/>
  <c r="X22" i="12" s="1"/>
  <c r="Z72" i="9"/>
  <c r="AD47" i="8"/>
  <c r="L72" i="9"/>
  <c r="W47" i="8"/>
  <c r="T72" i="9"/>
  <c r="AA47" i="8"/>
  <c r="H72" i="9"/>
  <c r="U47" i="8"/>
  <c r="AS28" i="6"/>
  <c r="AU28" i="6"/>
  <c r="AX28" i="6" a="1"/>
  <c r="AX28" i="6" s="1"/>
  <c r="BA28" i="6" a="1"/>
  <c r="BA28" i="6" s="1"/>
  <c r="BF28" i="6" a="1"/>
  <c r="BF28" i="6" s="1"/>
  <c r="AO28" i="6"/>
  <c r="AT28" i="6"/>
  <c r="AQ28" i="6"/>
  <c r="BB28" i="6" a="1"/>
  <c r="BB28" i="6" s="1"/>
  <c r="BE28" i="6" a="1"/>
  <c r="BE28" i="6" s="1"/>
  <c r="AR28" i="6"/>
  <c r="AV28" i="6"/>
  <c r="AM28" i="6"/>
  <c r="BC28" i="6" a="1"/>
  <c r="BC28" i="6" s="1"/>
  <c r="BG28" i="6" a="1"/>
  <c r="BG28" i="6" s="1"/>
  <c r="AN28" i="6"/>
  <c r="AP28" i="6"/>
  <c r="AZ28" i="6" a="1"/>
  <c r="AZ28" i="6" s="1"/>
  <c r="BD28" i="6" a="1"/>
  <c r="BD28" i="6" s="1"/>
  <c r="AY28" i="6" a="1"/>
  <c r="AY28" i="6" s="1"/>
  <c r="AI28" i="6"/>
  <c r="AG28" i="6"/>
  <c r="AJ28" i="6"/>
  <c r="AE28" i="6"/>
  <c r="AC28" i="6"/>
  <c r="AK28" i="6"/>
  <c r="AH28" i="6"/>
  <c r="AF28" i="6"/>
  <c r="AD28" i="6"/>
  <c r="AB28" i="6"/>
  <c r="K31" i="12"/>
  <c r="L31" i="12"/>
  <c r="C37" i="9"/>
  <c r="F37" i="9" s="1"/>
  <c r="X32" i="12" a="1"/>
  <c r="X32" i="12" s="1"/>
  <c r="W32" i="12" a="1"/>
  <c r="W32" i="12" s="1"/>
  <c r="C22" i="10"/>
  <c r="A22" i="10" s="1"/>
  <c r="L29" i="12"/>
  <c r="K29" i="12" s="1"/>
  <c r="V34" i="8"/>
  <c r="A55" i="9"/>
  <c r="A20" i="9"/>
  <c r="A58" i="9"/>
  <c r="Y14" i="12"/>
  <c r="C32" i="10"/>
  <c r="A32" i="10" s="1"/>
  <c r="AA34" i="8"/>
  <c r="C17" i="10"/>
  <c r="A17" i="10" s="1"/>
  <c r="T23" i="12"/>
  <c r="U23" i="12"/>
  <c r="V23" i="12" a="1"/>
  <c r="V23" i="12" s="1"/>
  <c r="Y26" i="8" a="1"/>
  <c r="Y26" i="8" s="1"/>
  <c r="Y28" i="8"/>
  <c r="AD26" i="8" a="1"/>
  <c r="AD26" i="8" s="1"/>
  <c r="AD28" i="8"/>
  <c r="A54" i="9"/>
  <c r="C44" i="10"/>
  <c r="A44" i="10" s="1"/>
  <c r="E34" i="8"/>
  <c r="A64" i="9"/>
  <c r="C41" i="10"/>
  <c r="A41" i="10" s="1"/>
  <c r="L21" i="12"/>
  <c r="K21" i="12" s="1"/>
  <c r="H23" i="8"/>
  <c r="J24" i="8" s="1"/>
  <c r="M30" i="6"/>
  <c r="D31" i="12"/>
  <c r="E31" i="6"/>
  <c r="I32" i="8"/>
  <c r="C48" i="9"/>
  <c r="F48" i="9" s="1"/>
  <c r="U22" i="12" l="1"/>
  <c r="V22" i="12" a="1"/>
  <c r="V22" i="12" s="1"/>
  <c r="T22" i="12"/>
  <c r="BD32" i="6" a="1"/>
  <c r="BD32" i="6" s="1"/>
  <c r="AY32" i="6" a="1"/>
  <c r="AY32" i="6" s="1"/>
  <c r="AT32" i="6"/>
  <c r="BE32" i="6" a="1"/>
  <c r="BE32" i="6" s="1"/>
  <c r="BF32" i="6" a="1"/>
  <c r="BF32" i="6" s="1"/>
  <c r="AU32" i="6"/>
  <c r="BG32" i="6" a="1"/>
  <c r="BG32" i="6" s="1"/>
  <c r="AC73" i="10" s="1" a="1"/>
  <c r="AC73" i="10" s="1"/>
  <c r="BA32" i="6" a="1"/>
  <c r="BA32" i="6" s="1"/>
  <c r="AS32" i="6"/>
  <c r="AN32" i="6"/>
  <c r="AM32" i="6"/>
  <c r="AR32" i="6"/>
  <c r="AP32" i="6"/>
  <c r="BC32" i="6" a="1"/>
  <c r="BC32" i="6" s="1"/>
  <c r="AO32" i="6"/>
  <c r="AX32" i="6" a="1"/>
  <c r="AX32" i="6" s="1"/>
  <c r="AZ32" i="6" a="1"/>
  <c r="AZ32" i="6" s="1"/>
  <c r="AV32" i="6"/>
  <c r="BB32" i="6" a="1"/>
  <c r="BB32" i="6" s="1"/>
  <c r="AQ32" i="6"/>
  <c r="AE32" i="6"/>
  <c r="AE15" i="6" s="1"/>
  <c r="T15" i="6" s="1"/>
  <c r="T11" i="6" s="1"/>
  <c r="AK32" i="6"/>
  <c r="AF32" i="6"/>
  <c r="AG32" i="6"/>
  <c r="AI32" i="6"/>
  <c r="AI15" i="6" s="1"/>
  <c r="X15" i="6" s="1"/>
  <c r="X11" i="6" s="1"/>
  <c r="AC32" i="6"/>
  <c r="AD32" i="6"/>
  <c r="AJ32" i="6"/>
  <c r="AB32" i="6"/>
  <c r="AB15" i="6" s="1"/>
  <c r="Q15" i="6" s="1"/>
  <c r="Q11" i="6" s="1"/>
  <c r="AH32" i="6"/>
  <c r="C41" i="9"/>
  <c r="F41" i="9" s="1"/>
  <c r="C60" i="10"/>
  <c r="A60" i="10" s="1"/>
  <c r="A45" i="9"/>
  <c r="C24" i="10"/>
  <c r="A24" i="10" s="1"/>
  <c r="C33" i="10"/>
  <c r="A33" i="10" s="1"/>
  <c r="A27" i="9"/>
  <c r="C1" i="9"/>
  <c r="F1" i="9" s="1"/>
  <c r="C62" i="10"/>
  <c r="A62" i="10" s="1"/>
  <c r="A61" i="9"/>
  <c r="U21" i="12"/>
  <c r="T21" i="12"/>
  <c r="V21" i="12" a="1"/>
  <c r="V21" i="12" s="1"/>
  <c r="AO30" i="6"/>
  <c r="AV30" i="6"/>
  <c r="BF30" i="6" a="1"/>
  <c r="BF30" i="6" s="1"/>
  <c r="O73" i="10" s="1" a="1"/>
  <c r="O73" i="10" s="1"/>
  <c r="AT30" i="6"/>
  <c r="BD30" i="6" a="1"/>
  <c r="BD30" i="6" s="1"/>
  <c r="AM30" i="6"/>
  <c r="AZ30" i="6" a="1"/>
  <c r="AZ30" i="6" s="1"/>
  <c r="BC30" i="6" a="1"/>
  <c r="BC30" i="6" s="1"/>
  <c r="AN30" i="6"/>
  <c r="BE30" i="6" a="1"/>
  <c r="BE30" i="6" s="1"/>
  <c r="AU30" i="6"/>
  <c r="BB30" i="6" a="1"/>
  <c r="BB30" i="6" s="1"/>
  <c r="BG30" i="6" a="1"/>
  <c r="BG30" i="6" s="1"/>
  <c r="AP30" i="6"/>
  <c r="AQ30" i="6"/>
  <c r="AX30" i="6" a="1"/>
  <c r="AX30" i="6" s="1"/>
  <c r="AA73" i="10" s="1" a="1"/>
  <c r="AA73" i="10" s="1"/>
  <c r="BA30" i="6" a="1"/>
  <c r="BA30" i="6" s="1"/>
  <c r="AS30" i="6"/>
  <c r="AY30" i="6" a="1"/>
  <c r="AY30" i="6" s="1"/>
  <c r="AR30" i="6"/>
  <c r="AE30" i="6"/>
  <c r="AD30" i="6"/>
  <c r="AH30" i="6"/>
  <c r="AF30" i="6"/>
  <c r="AC30" i="6"/>
  <c r="AI30" i="6"/>
  <c r="AK30" i="6"/>
  <c r="AB30" i="6"/>
  <c r="AG30" i="6"/>
  <c r="AJ30" i="6"/>
  <c r="C47" i="10"/>
  <c r="A47" i="10" s="1"/>
  <c r="A28" i="9"/>
  <c r="C59" i="9"/>
  <c r="F59" i="9" s="1"/>
  <c r="C30" i="9"/>
  <c r="F30" i="9" s="1"/>
  <c r="A31" i="9"/>
  <c r="C53" i="9"/>
  <c r="F53" i="9" s="1"/>
  <c r="C55" i="9"/>
  <c r="F55" i="9" s="1"/>
  <c r="C58" i="10"/>
  <c r="A58" i="10" s="1"/>
  <c r="A21" i="9"/>
  <c r="C46" i="9"/>
  <c r="F46" i="9" s="1"/>
  <c r="C43" i="9"/>
  <c r="F43" i="9" s="1"/>
  <c r="C23" i="9"/>
  <c r="F23" i="9" s="1"/>
  <c r="C18" i="10"/>
  <c r="A18" i="10" s="1"/>
  <c r="C49" i="9"/>
  <c r="F49" i="9" s="1"/>
  <c r="C56" i="9"/>
  <c r="F56" i="9" s="1"/>
  <c r="A59" i="9"/>
  <c r="A30" i="9"/>
  <c r="C19" i="9"/>
  <c r="F19" i="9" s="1"/>
  <c r="A38" i="9"/>
  <c r="C49" i="10"/>
  <c r="A49" i="10" s="1"/>
  <c r="C33" i="9"/>
  <c r="F33" i="9" s="1"/>
  <c r="C64" i="9"/>
  <c r="F64" i="9" s="1"/>
  <c r="A42" i="9"/>
  <c r="C43" i="10"/>
  <c r="A43" i="10" s="1"/>
  <c r="A1" i="9"/>
  <c r="C57" i="10"/>
  <c r="A57" i="10" s="1"/>
  <c r="C29" i="9"/>
  <c r="F29" i="9" s="1"/>
  <c r="C21" i="9"/>
  <c r="F21" i="9" s="1"/>
  <c r="C36" i="10"/>
  <c r="A36" i="10" s="1"/>
  <c r="C30" i="10"/>
  <c r="A30" i="10" s="1"/>
  <c r="W14" i="12" a="1"/>
  <c r="W14" i="12" s="1"/>
  <c r="X14" i="12" a="1"/>
  <c r="C58" i="9"/>
  <c r="F58" i="9" s="1"/>
  <c r="T32" i="12"/>
  <c r="V32" i="12" a="1"/>
  <c r="V32" i="12" s="1"/>
  <c r="U32" i="12"/>
  <c r="C16" i="9"/>
  <c r="F16" i="9" s="1"/>
  <c r="C26" i="10"/>
  <c r="A26" i="10" s="1"/>
  <c r="C34" i="10"/>
  <c r="A34" i="10" s="1"/>
  <c r="C40" i="9"/>
  <c r="F40" i="9" s="1"/>
  <c r="I73" i="10" a="1"/>
  <c r="I73" i="10" s="1"/>
  <c r="C45" i="10"/>
  <c r="A45" i="10" s="1"/>
  <c r="C29" i="10"/>
  <c r="A29" i="10" s="1"/>
  <c r="C28" i="9"/>
  <c r="F28" i="9" s="1"/>
  <c r="C22" i="9"/>
  <c r="F22" i="9" s="1"/>
  <c r="C56" i="10"/>
  <c r="A56" i="10" s="1"/>
  <c r="C37" i="10"/>
  <c r="A37" i="10" s="1"/>
  <c r="C54" i="9"/>
  <c r="F54" i="9" s="1"/>
  <c r="S73" i="10" a="1"/>
  <c r="S73" i="10" s="1"/>
  <c r="C42" i="9"/>
  <c r="F42" i="9" s="1"/>
  <c r="C25" i="10"/>
  <c r="A25" i="10" s="1"/>
  <c r="A50" i="9"/>
  <c r="A35" i="9"/>
  <c r="A40" i="9"/>
  <c r="A63" i="9"/>
  <c r="C31" i="10"/>
  <c r="A31" i="10" s="1"/>
  <c r="C51" i="9"/>
  <c r="F51" i="9" s="1"/>
  <c r="C20" i="10"/>
  <c r="A20" i="10" s="1"/>
  <c r="C64" i="10"/>
  <c r="A64" i="10" s="1"/>
  <c r="C35" i="9"/>
  <c r="F35" i="9" s="1"/>
  <c r="C42" i="10"/>
  <c r="A42" i="10" s="1"/>
  <c r="A22" i="9"/>
  <c r="C27" i="9"/>
  <c r="F27" i="9" s="1"/>
  <c r="K73" i="10" a="1"/>
  <c r="K73" i="10" s="1"/>
  <c r="A37" i="9"/>
  <c r="C61" i="10"/>
  <c r="A61" i="10" s="1"/>
  <c r="B21" i="7"/>
  <c r="C22" i="7" a="1"/>
  <c r="C22" i="7" s="1"/>
  <c r="V25" i="12" a="1"/>
  <c r="V25" i="12" s="1"/>
  <c r="T25" i="12"/>
  <c r="U25" i="12"/>
  <c r="C24" i="9"/>
  <c r="F24" i="9" s="1"/>
  <c r="A24" i="9"/>
  <c r="C59" i="10"/>
  <c r="A59" i="10" s="1"/>
  <c r="C32" i="9"/>
  <c r="F32" i="9" s="1"/>
  <c r="C50" i="9"/>
  <c r="F50" i="9" s="1"/>
  <c r="A44" i="9"/>
  <c r="W31" i="12" a="1"/>
  <c r="W31" i="12" s="1"/>
  <c r="X31" i="12" a="1"/>
  <c r="X31" i="12" s="1"/>
  <c r="C34" i="9"/>
  <c r="F34" i="9" s="1"/>
  <c r="Q73" i="10" a="1"/>
  <c r="Q73" i="10" s="1"/>
  <c r="C54" i="10"/>
  <c r="A54" i="10" s="1"/>
  <c r="C26" i="9"/>
  <c r="F26" i="9" s="1"/>
  <c r="A60" i="9"/>
  <c r="C18" i="9"/>
  <c r="F18" i="9" s="1"/>
  <c r="C25" i="9"/>
  <c r="F25" i="9" s="1"/>
  <c r="C21" i="10"/>
  <c r="A21" i="10" s="1"/>
  <c r="A41" i="9"/>
  <c r="C19" i="10"/>
  <c r="A19" i="10" s="1"/>
  <c r="C50" i="10"/>
  <c r="A50" i="10" s="1"/>
  <c r="A19" i="9"/>
  <c r="A49" i="9"/>
  <c r="A29" i="9"/>
  <c r="C36" i="9"/>
  <c r="F36" i="9" s="1"/>
  <c r="A52" i="9"/>
  <c r="C38" i="10"/>
  <c r="A38" i="10" s="1"/>
  <c r="C60" i="9"/>
  <c r="F60" i="9" s="1"/>
  <c r="A17" i="9"/>
  <c r="C63" i="10"/>
  <c r="A63" i="10" s="1"/>
  <c r="AH15" i="6"/>
  <c r="W15" i="6" s="1"/>
  <c r="W11" i="6" s="1"/>
  <c r="C62" i="9"/>
  <c r="F62" i="9" s="1"/>
  <c r="C52" i="9"/>
  <c r="F52" i="9" s="1"/>
  <c r="C47" i="9"/>
  <c r="F47" i="9" s="1"/>
  <c r="C38" i="9"/>
  <c r="F38" i="9" s="1"/>
  <c r="A48" i="9"/>
  <c r="A23" i="9"/>
  <c r="C63" i="9"/>
  <c r="F63" i="9" s="1"/>
  <c r="X29" i="12" a="1"/>
  <c r="X29" i="12" s="1"/>
  <c r="W29" i="12" a="1"/>
  <c r="T28" i="12"/>
  <c r="V28" i="12" a="1"/>
  <c r="V28" i="12" s="1"/>
  <c r="U28" i="12"/>
  <c r="C23" i="10"/>
  <c r="A23" i="10" s="1"/>
  <c r="A15" i="9"/>
  <c r="C40" i="10"/>
  <c r="A40" i="10" s="1"/>
  <c r="C61" i="9"/>
  <c r="F61" i="9" s="1"/>
  <c r="A62" i="9"/>
  <c r="A56" i="9"/>
  <c r="C52" i="10"/>
  <c r="A52" i="10" s="1"/>
  <c r="V26" i="12" a="1"/>
  <c r="V26" i="12" s="1"/>
  <c r="T26" i="12"/>
  <c r="U26" i="12"/>
  <c r="A43" i="9"/>
  <c r="U30" i="12"/>
  <c r="T30" i="12"/>
  <c r="V30" i="12" a="1"/>
  <c r="V30" i="12" s="1"/>
  <c r="C57" i="9"/>
  <c r="F57" i="9" s="1"/>
  <c r="A51" i="9"/>
  <c r="C28" i="10"/>
  <c r="A28" i="10" s="1"/>
  <c r="A34" i="9"/>
  <c r="C20" i="9"/>
  <c r="F20" i="9" s="1"/>
  <c r="C51" i="10"/>
  <c r="A51" i="10" s="1"/>
  <c r="C55" i="10"/>
  <c r="A55" i="10" s="1"/>
  <c r="C35" i="10"/>
  <c r="A35" i="10" s="1"/>
  <c r="C48" i="10"/>
  <c r="A48" i="10" s="1"/>
  <c r="C45" i="9"/>
  <c r="F45" i="9" s="1"/>
  <c r="C27" i="10"/>
  <c r="A27" i="10" s="1"/>
  <c r="A36" i="9"/>
  <c r="C17" i="9"/>
  <c r="F17" i="9" s="1"/>
  <c r="A39" i="9"/>
  <c r="C31" i="9"/>
  <c r="F31" i="9" s="1"/>
  <c r="C44" i="9"/>
  <c r="F44" i="9" s="1"/>
  <c r="C39" i="9"/>
  <c r="F39" i="9" s="1"/>
  <c r="A33" i="9"/>
  <c r="AC71" i="10" l="1"/>
  <c r="B22" i="7"/>
  <c r="C23" i="7" a="1"/>
  <c r="C23" i="7" s="1"/>
  <c r="K71" i="10"/>
  <c r="I71" i="10" a="1"/>
  <c r="X20" i="5" a="1"/>
  <c r="X14" i="12"/>
  <c r="AJ15" i="6"/>
  <c r="Y15" i="6" s="1"/>
  <c r="Y11" i="6" s="1"/>
  <c r="AG15" i="6"/>
  <c r="V15" i="6" s="1"/>
  <c r="V11" i="6" s="1"/>
  <c r="S71" i="10"/>
  <c r="T29" i="12"/>
  <c r="W29" i="12"/>
  <c r="T31" i="12"/>
  <c r="U31" i="12"/>
  <c r="V31" i="12" a="1"/>
  <c r="V31" i="12" s="1"/>
  <c r="V14" i="12" a="1"/>
  <c r="V14" i="12" s="1"/>
  <c r="U14" i="12"/>
  <c r="T14" i="12"/>
  <c r="AD15" i="6"/>
  <c r="S15" i="6" s="1"/>
  <c r="S11" i="6" s="1"/>
  <c r="AF15" i="6"/>
  <c r="U15" i="6" s="1"/>
  <c r="U11" i="6" s="1"/>
  <c r="W73" i="10" a="1"/>
  <c r="W73" i="10" s="1"/>
  <c r="AE73" i="10" a="1"/>
  <c r="AE73" i="10" s="1"/>
  <c r="U73" i="10" a="1"/>
  <c r="U73" i="10" s="1"/>
  <c r="Y73" i="10" a="1"/>
  <c r="Y73" i="10" s="1"/>
  <c r="Q71" i="10"/>
  <c r="AC15" i="6"/>
  <c r="R15" i="6" s="1"/>
  <c r="R11" i="6" s="1"/>
  <c r="N11" i="6" s="1"/>
  <c r="AK15" i="6"/>
  <c r="Z15" i="6" s="1"/>
  <c r="Z11" i="6" s="1"/>
  <c r="M73" i="10" a="1"/>
  <c r="M73" i="10" s="1"/>
  <c r="Y71" i="10" l="1"/>
  <c r="U29" i="12"/>
  <c r="V29" i="12" a="1"/>
  <c r="V29" i="12" s="1"/>
  <c r="F11" i="6"/>
  <c r="M71" i="10"/>
  <c r="B23" i="7"/>
  <c r="C24" i="7" a="1"/>
  <c r="C24" i="7" s="1"/>
  <c r="I12" i="6"/>
  <c r="AA71" i="10"/>
  <c r="W71" i="10"/>
  <c r="X18" i="5" a="1"/>
  <c r="X18" i="5" s="1"/>
  <c r="X20" i="5"/>
  <c r="I71" i="10"/>
  <c r="U71" i="10"/>
  <c r="AE71" i="10"/>
  <c r="O71" i="10"/>
  <c r="Z20" i="5" l="1"/>
  <c r="I20" i="12"/>
  <c r="L20" i="5"/>
  <c r="AM20" i="5"/>
  <c r="I20" i="5"/>
  <c r="I21" i="5" s="1"/>
  <c r="I22" i="5" s="1"/>
  <c r="I23" i="5" s="1"/>
  <c r="I24" i="5" s="1"/>
  <c r="X19" i="5" a="1"/>
  <c r="X19" i="5" s="1"/>
  <c r="B24" i="7"/>
  <c r="C25" i="7" a="1"/>
  <c r="C25" i="7" s="1"/>
  <c r="AM18" i="5"/>
  <c r="L18" i="5"/>
  <c r="I18" i="5"/>
  <c r="I18" i="12"/>
  <c r="Z18" i="5"/>
  <c r="X17" i="5" a="1"/>
  <c r="X17" i="5" s="1"/>
  <c r="X16" i="5" a="1"/>
  <c r="X16" i="5" s="1"/>
  <c r="X15" i="5"/>
  <c r="Z15" i="5" l="1"/>
  <c r="AM15" i="5"/>
  <c r="AA72" i="10"/>
  <c r="AA75" i="10" s="1"/>
  <c r="K72" i="10"/>
  <c r="K75" i="10" s="1"/>
  <c r="S72" i="10"/>
  <c r="S75" i="10" s="1"/>
  <c r="O72" i="10"/>
  <c r="O75" i="10" s="1"/>
  <c r="AC72" i="10"/>
  <c r="AC75" i="10" s="1"/>
  <c r="Q72" i="10"/>
  <c r="Q75" i="10" s="1"/>
  <c r="I72" i="10"/>
  <c r="Y72" i="10"/>
  <c r="Y75" i="10" s="1"/>
  <c r="AC70" i="10"/>
  <c r="U72" i="10"/>
  <c r="U75" i="10" s="1"/>
  <c r="W72" i="10"/>
  <c r="W75" i="10" s="1"/>
  <c r="Q70" i="10"/>
  <c r="AE72" i="10"/>
  <c r="AE75" i="10" s="1"/>
  <c r="M72" i="10"/>
  <c r="M75" i="10" s="1"/>
  <c r="K70" i="10"/>
  <c r="S70" i="10"/>
  <c r="C18" i="12"/>
  <c r="AO18" i="12" a="1"/>
  <c r="AO18" i="12" s="1"/>
  <c r="O18" i="12" a="1"/>
  <c r="O18" i="12" s="1"/>
  <c r="M18" i="12" a="1"/>
  <c r="M18" i="12" s="1"/>
  <c r="AB20" i="5" a="1"/>
  <c r="AB20" i="5" s="1"/>
  <c r="AB19" i="5" s="1" a="1"/>
  <c r="AB19" i="5" s="1"/>
  <c r="AA20" i="5" a="1"/>
  <c r="AA20" i="5" s="1"/>
  <c r="AA19" i="5" s="1" a="1"/>
  <c r="AA70" i="10"/>
  <c r="Y70" i="10"/>
  <c r="AB18" i="5" a="1"/>
  <c r="AB18" i="5" s="1"/>
  <c r="AA18" i="5" a="1"/>
  <c r="AA18" i="5" s="1"/>
  <c r="AM16" i="5"/>
  <c r="L16" i="5"/>
  <c r="I16" i="12"/>
  <c r="Z16" i="5"/>
  <c r="O14" i="11" a="1"/>
  <c r="O14" i="11" s="1"/>
  <c r="S14" i="8"/>
  <c r="O70" i="10"/>
  <c r="U70" i="10"/>
  <c r="AM19" i="5"/>
  <c r="Z19" i="5"/>
  <c r="I19" i="12"/>
  <c r="L19" i="5"/>
  <c r="S20" i="8"/>
  <c r="AO20" i="12" a="1"/>
  <c r="AO20" i="12" s="1"/>
  <c r="C20" i="12"/>
  <c r="M20" i="12" a="1"/>
  <c r="M20" i="12" s="1"/>
  <c r="M19" i="12" s="1" a="1"/>
  <c r="M19" i="12" s="1"/>
  <c r="O20" i="12" a="1"/>
  <c r="O20" i="12" s="1"/>
  <c r="AE70" i="10"/>
  <c r="C26" i="7" a="1"/>
  <c r="C26" i="7" s="1"/>
  <c r="B25" i="7"/>
  <c r="AM17" i="5"/>
  <c r="L17" i="5"/>
  <c r="Z17" i="5"/>
  <c r="I17" i="12"/>
  <c r="S17" i="8"/>
  <c r="C18" i="6"/>
  <c r="O18" i="5"/>
  <c r="W70" i="10"/>
  <c r="C20" i="6"/>
  <c r="O20" i="5"/>
  <c r="M70" i="10"/>
  <c r="I70" i="10"/>
  <c r="Y9" i="10" s="1"/>
  <c r="C11" i="10" s="1" a="1"/>
  <c r="C19" i="6" l="1"/>
  <c r="O19" i="5"/>
  <c r="AC19" i="5" a="1"/>
  <c r="AC19" i="5" s="1"/>
  <c r="AA17" i="5" a="1"/>
  <c r="AA16" i="5" a="1"/>
  <c r="AA16" i="5" s="1"/>
  <c r="AA14" i="11" s="1" a="1"/>
  <c r="AA14" i="11" s="1"/>
  <c r="AA15" i="5"/>
  <c r="C20" i="8"/>
  <c r="AA19" i="5"/>
  <c r="Y18" i="12"/>
  <c r="AO17" i="12" a="1"/>
  <c r="AO17" i="12" s="1"/>
  <c r="AO16" i="12" a="1"/>
  <c r="AO16" i="12" s="1"/>
  <c r="C17" i="12"/>
  <c r="L17" i="12" a="1"/>
  <c r="L17" i="12" s="1"/>
  <c r="J17" i="12" a="1"/>
  <c r="J17" i="12" s="1"/>
  <c r="D18" i="12"/>
  <c r="E18" i="6"/>
  <c r="L19" i="12" a="1"/>
  <c r="L19" i="12" s="1"/>
  <c r="K19" i="12" s="1"/>
  <c r="J19" i="12" a="1"/>
  <c r="J19" i="12" s="1"/>
  <c r="C19" i="12"/>
  <c r="J16" i="12" a="1"/>
  <c r="J16" i="12" s="1"/>
  <c r="C16" i="12"/>
  <c r="L16" i="12" a="1"/>
  <c r="L16" i="12" s="1"/>
  <c r="AB17" i="5" a="1"/>
  <c r="AB17" i="5" s="1"/>
  <c r="AB16" i="5" a="1"/>
  <c r="AB15" i="5"/>
  <c r="G14" i="8"/>
  <c r="G15" i="8" s="1" a="1"/>
  <c r="G15" i="8" s="1"/>
  <c r="H15" i="8" a="1"/>
  <c r="H15" i="8" s="1"/>
  <c r="H14" i="8" a="1"/>
  <c r="R36" i="8"/>
  <c r="I36" i="8" s="1"/>
  <c r="C16" i="6"/>
  <c r="C14" i="6"/>
  <c r="O16" i="5"/>
  <c r="AC16" i="5" a="1"/>
  <c r="AC16" i="5" s="1"/>
  <c r="M17" i="12" a="1"/>
  <c r="M17" i="12" s="1"/>
  <c r="M16" i="12" a="1"/>
  <c r="B26" i="7"/>
  <c r="C27" i="7" a="1"/>
  <c r="C27" i="7" s="1"/>
  <c r="E20" i="6"/>
  <c r="D20" i="12"/>
  <c r="C17" i="6"/>
  <c r="O17" i="5"/>
  <c r="AC17" i="5" a="1"/>
  <c r="AC17" i="5" s="1"/>
  <c r="AC7" i="5" s="1"/>
  <c r="Y20" i="12"/>
  <c r="AO19" i="12" a="1"/>
  <c r="AO19" i="12" s="1"/>
  <c r="H18" i="8" a="1"/>
  <c r="H18" i="8" s="1"/>
  <c r="H17" i="8" a="1"/>
  <c r="G17" i="8"/>
  <c r="G18" i="8" s="1" a="1"/>
  <c r="G18" i="8" s="1"/>
  <c r="AD19" i="8" a="1"/>
  <c r="AD19" i="8" s="1"/>
  <c r="V19" i="8" a="1"/>
  <c r="V19" i="8" s="1"/>
  <c r="AF19" i="8" a="1"/>
  <c r="AF19" i="8" s="1"/>
  <c r="D17" i="8"/>
  <c r="AB19" i="8" a="1"/>
  <c r="AB19" i="8" s="1"/>
  <c r="W19" i="8" a="1"/>
  <c r="W19" i="8" s="1"/>
  <c r="W16" i="8" s="1" a="1"/>
  <c r="W16" i="8" s="1"/>
  <c r="Z19" i="8" a="1"/>
  <c r="Z19" i="8" s="1"/>
  <c r="Z16" i="8" s="1" a="1"/>
  <c r="Z16" i="8" s="1"/>
  <c r="AC19" i="8" a="1"/>
  <c r="AC19" i="8" s="1"/>
  <c r="AE19" i="8" a="1"/>
  <c r="AE19" i="8" s="1"/>
  <c r="AE16" i="8" s="1" a="1"/>
  <c r="AE16" i="8" s="1"/>
  <c r="E19" i="8" a="1"/>
  <c r="E19" i="8" s="1"/>
  <c r="E16" i="8" s="1" a="1"/>
  <c r="E16" i="8" s="1"/>
  <c r="Y19" i="8" a="1"/>
  <c r="Y19" i="8" s="1"/>
  <c r="Y16" i="8" s="1" a="1"/>
  <c r="Y16" i="8" s="1"/>
  <c r="X19" i="8" a="1"/>
  <c r="X19" i="8" s="1"/>
  <c r="U19" i="8" a="1"/>
  <c r="U19" i="8" s="1"/>
  <c r="AA19" i="8" a="1"/>
  <c r="AA19" i="8" s="1"/>
  <c r="AA16" i="8" a="1"/>
  <c r="AA16" i="8" s="1"/>
  <c r="AA14" i="8" s="1" a="1"/>
  <c r="AA14" i="8" s="1"/>
  <c r="AD16" i="8" a="1"/>
  <c r="AD16" i="8" s="1"/>
  <c r="AD14" i="8" s="1" a="1"/>
  <c r="AD14" i="8" s="1"/>
  <c r="V16" i="8" a="1"/>
  <c r="V16" i="8" s="1"/>
  <c r="V14" i="8" s="1" a="1"/>
  <c r="V14" i="8" s="1"/>
  <c r="N20" i="12"/>
  <c r="O19" i="12" a="1"/>
  <c r="O19" i="12" s="1"/>
  <c r="N19" i="12" s="1"/>
  <c r="G20" i="8"/>
  <c r="G21" i="8" s="1" a="1"/>
  <c r="G21" i="8" s="1"/>
  <c r="H21" i="8" a="1"/>
  <c r="H21" i="8" s="1"/>
  <c r="H20" i="8" a="1"/>
  <c r="Z22" i="8" a="1"/>
  <c r="Z22" i="8" s="1"/>
  <c r="AA22" i="8" a="1"/>
  <c r="AA22" i="8" s="1"/>
  <c r="E22" i="8" a="1"/>
  <c r="E22" i="8" s="1"/>
  <c r="Y22" i="8" a="1"/>
  <c r="Y22" i="8" s="1"/>
  <c r="AE22" i="8" a="1"/>
  <c r="AE22" i="8" s="1"/>
  <c r="U22" i="8" a="1"/>
  <c r="U22" i="8" s="1"/>
  <c r="U16" i="8" s="1" a="1"/>
  <c r="U16" i="8" s="1"/>
  <c r="AF22" i="8" a="1"/>
  <c r="AF22" i="8" s="1"/>
  <c r="AF16" i="8" s="1" a="1"/>
  <c r="AF16" i="8" s="1"/>
  <c r="AB22" i="8" a="1"/>
  <c r="AB22" i="8" s="1"/>
  <c r="AB16" i="8" s="1" a="1"/>
  <c r="AB16" i="8" s="1"/>
  <c r="V22" i="8" a="1"/>
  <c r="V22" i="8" s="1"/>
  <c r="W22" i="8" a="1"/>
  <c r="W22" i="8" s="1"/>
  <c r="D20" i="8"/>
  <c r="X22" i="8" a="1"/>
  <c r="X22" i="8" s="1"/>
  <c r="X16" i="8" s="1" a="1"/>
  <c r="X16" i="8" s="1"/>
  <c r="AD22" i="8" a="1"/>
  <c r="AD22" i="8" s="1"/>
  <c r="AC22" i="8" a="1"/>
  <c r="AC22" i="8" s="1"/>
  <c r="AC16" i="8" s="1" a="1"/>
  <c r="AC16" i="8" s="1"/>
  <c r="P14" i="11"/>
  <c r="G11" i="11" s="1"/>
  <c r="L14" i="13"/>
  <c r="C14" i="11"/>
  <c r="O24" i="11"/>
  <c r="O17" i="12" a="1"/>
  <c r="O17" i="12" s="1"/>
  <c r="N18" i="12"/>
  <c r="O16" i="12" a="1"/>
  <c r="O16" i="12" s="1"/>
  <c r="AE9" i="10"/>
  <c r="I75" i="10"/>
  <c r="H75" i="10" s="1"/>
  <c r="X14" i="8" l="1" a="1"/>
  <c r="X14" i="8" s="1"/>
  <c r="AF14" i="8" a="1"/>
  <c r="AF14" i="8" s="1"/>
  <c r="AE14" i="8" a="1"/>
  <c r="AE14" i="8" s="1"/>
  <c r="AC14" i="8" a="1"/>
  <c r="AC14" i="8" s="1"/>
  <c r="U14" i="8" a="1"/>
  <c r="U14" i="8" s="1"/>
  <c r="U44" i="8" a="1"/>
  <c r="U44" i="8" s="1"/>
  <c r="U45" i="8"/>
  <c r="Y14" i="8" a="1"/>
  <c r="Y14" i="8" s="1"/>
  <c r="Z14" i="8" a="1"/>
  <c r="Z14" i="8" s="1"/>
  <c r="AB14" i="8" a="1"/>
  <c r="AB14" i="8" s="1"/>
  <c r="E14" i="8" a="1"/>
  <c r="E14" i="8" s="1"/>
  <c r="E43" i="8" a="1"/>
  <c r="E44" i="8" a="1"/>
  <c r="E45" i="8"/>
  <c r="W14" i="8" a="1"/>
  <c r="W14" i="8" s="1"/>
  <c r="H17" i="8"/>
  <c r="J18" i="8" s="1"/>
  <c r="E16" i="6"/>
  <c r="D16" i="12"/>
  <c r="E14" i="6"/>
  <c r="I14" i="8"/>
  <c r="H14" i="8"/>
  <c r="J15" i="8" s="1"/>
  <c r="C17" i="8"/>
  <c r="U43" i="8" s="1" a="1"/>
  <c r="U43" i="8" s="1"/>
  <c r="AA17" i="5"/>
  <c r="AM14" i="13" s="1" a="1"/>
  <c r="N17" i="12"/>
  <c r="AB7" i="11"/>
  <c r="O25" i="11"/>
  <c r="AA7" i="11"/>
  <c r="E17" i="6"/>
  <c r="D17" i="12"/>
  <c r="I17" i="8"/>
  <c r="C28" i="7" a="1"/>
  <c r="C28" i="7" s="1"/>
  <c r="B27" i="7"/>
  <c r="O12" i="5" a="1"/>
  <c r="O12" i="5" s="1"/>
  <c r="Y16" i="12"/>
  <c r="AB14" i="11" a="1"/>
  <c r="AB16" i="5"/>
  <c r="Y19" i="12"/>
  <c r="AC11" i="5"/>
  <c r="K16" i="12"/>
  <c r="Y17" i="12"/>
  <c r="E19" i="6"/>
  <c r="D19" i="12"/>
  <c r="I20" i="8"/>
  <c r="AO14" i="13"/>
  <c r="O14" i="13" s="1"/>
  <c r="AN14" i="13" a="1"/>
  <c r="V14" i="13"/>
  <c r="V15" i="13" s="1"/>
  <c r="V16" i="13" s="1"/>
  <c r="V17" i="13" s="1"/>
  <c r="V18" i="13" s="1"/>
  <c r="V19" i="13" s="1"/>
  <c r="V20" i="13" s="1"/>
  <c r="V21" i="13" s="1"/>
  <c r="V22" i="13" s="1"/>
  <c r="V23" i="13" s="1"/>
  <c r="D14" i="13"/>
  <c r="L28" i="13"/>
  <c r="H20" i="8"/>
  <c r="J21" i="8" s="1"/>
  <c r="W20" i="12" a="1"/>
  <c r="W20" i="12" s="1"/>
  <c r="X20" i="12" a="1"/>
  <c r="X20" i="12" s="1"/>
  <c r="M16" i="12"/>
  <c r="N16" i="12" s="1"/>
  <c r="K17" i="12"/>
  <c r="X18" i="12" a="1"/>
  <c r="X18" i="12" s="1"/>
  <c r="W18" i="12" a="1"/>
  <c r="W18" i="12" s="1"/>
  <c r="AA24" i="11"/>
  <c r="T14" i="13" l="1"/>
  <c r="AD3" i="13" s="1"/>
  <c r="AM14" i="13"/>
  <c r="V43" i="8" a="1"/>
  <c r="V43" i="8" s="1"/>
  <c r="U38" i="8"/>
  <c r="L24" i="13"/>
  <c r="D33" i="14"/>
  <c r="T20" i="12"/>
  <c r="V20" i="12" a="1"/>
  <c r="V20" i="12" s="1"/>
  <c r="U20" i="12"/>
  <c r="B28" i="7"/>
  <c r="C29" i="7" a="1"/>
  <c r="C29" i="7" s="1"/>
  <c r="Z3" i="11"/>
  <c r="AA3" i="11" s="1" a="1"/>
  <c r="AA3" i="11" s="1"/>
  <c r="E41" i="8"/>
  <c r="E46" i="8" s="1"/>
  <c r="E40" i="8"/>
  <c r="E36" i="8" s="1"/>
  <c r="V44" i="8" a="1"/>
  <c r="V44" i="8" s="1"/>
  <c r="U39" i="8"/>
  <c r="AN14" i="13"/>
  <c r="U14" i="13" s="1"/>
  <c r="AD4" i="13" s="1"/>
  <c r="N14" i="11"/>
  <c r="N24" i="11" s="1"/>
  <c r="AB14" i="11"/>
  <c r="E43" i="8"/>
  <c r="E38" i="8" s="1"/>
  <c r="V45" i="8"/>
  <c r="U41" i="8"/>
  <c r="H71" i="9"/>
  <c r="U40" i="8"/>
  <c r="U42" i="8"/>
  <c r="U37" i="8" s="1"/>
  <c r="AK14" i="13" a="1"/>
  <c r="AJ14" i="13" a="1"/>
  <c r="P14" i="13"/>
  <c r="O28" i="13"/>
  <c r="W17" i="12" a="1"/>
  <c r="W17" i="12" s="1"/>
  <c r="X17" i="12" a="1"/>
  <c r="X17" i="12" s="1"/>
  <c r="X19" i="12" a="1"/>
  <c r="X19" i="12" s="1"/>
  <c r="W19" i="12" a="1"/>
  <c r="W16" i="12" a="1"/>
  <c r="W16" i="12" s="1"/>
  <c r="X16" i="12" a="1"/>
  <c r="X16" i="12" s="1"/>
  <c r="T18" i="12"/>
  <c r="V18" i="12" a="1"/>
  <c r="V18" i="12" s="1"/>
  <c r="U18" i="12"/>
  <c r="AL14" i="13"/>
  <c r="M14" i="13" s="1"/>
  <c r="M28" i="13" s="1"/>
  <c r="E39" i="8"/>
  <c r="E44" i="8"/>
  <c r="E42" i="8" s="1"/>
  <c r="E37" i="8" s="1"/>
  <c r="V41" i="8" l="1"/>
  <c r="J70" i="9" s="1"/>
  <c r="J73" i="9" s="1"/>
  <c r="J71" i="9"/>
  <c r="V40" i="8"/>
  <c r="V42" i="8"/>
  <c r="V37" i="8" s="1"/>
  <c r="W45" i="8"/>
  <c r="W44" i="8" a="1"/>
  <c r="W44" i="8" s="1"/>
  <c r="V39" i="8"/>
  <c r="O29" i="13"/>
  <c r="M24" i="13"/>
  <c r="N14" i="13"/>
  <c r="H69" i="9"/>
  <c r="U36" i="8"/>
  <c r="H68" i="9" s="1"/>
  <c r="C30" i="7" a="1"/>
  <c r="C30" i="7" s="1"/>
  <c r="B29" i="7"/>
  <c r="V38" i="8"/>
  <c r="W43" i="8" a="1"/>
  <c r="W43" i="8" s="1"/>
  <c r="AD15" i="11"/>
  <c r="AD12" i="11"/>
  <c r="AD17" i="11"/>
  <c r="AD16" i="11"/>
  <c r="AD20" i="11"/>
  <c r="AD21" i="11"/>
  <c r="AD18" i="11"/>
  <c r="AE17" i="11" s="1"/>
  <c r="M17" i="11" s="1"/>
  <c r="L17" i="11" s="1"/>
  <c r="AD22" i="11"/>
  <c r="AE21" i="11" s="1"/>
  <c r="M21" i="11" s="1"/>
  <c r="L21" i="11" s="1"/>
  <c r="AD23" i="11"/>
  <c r="AD19" i="11"/>
  <c r="AD14" i="11"/>
  <c r="AE12" i="11" s="1"/>
  <c r="M12" i="11" s="1"/>
  <c r="L12" i="11" s="1"/>
  <c r="V16" i="12" a="1"/>
  <c r="V16" i="12" s="1"/>
  <c r="U16" i="12"/>
  <c r="T16" i="12"/>
  <c r="V17" i="12" a="1"/>
  <c r="V17" i="12" s="1"/>
  <c r="T17" i="12"/>
  <c r="U17" i="12"/>
  <c r="AJ14" i="13"/>
  <c r="R14" i="13" s="1"/>
  <c r="M26" i="13" s="1"/>
  <c r="N25" i="11"/>
  <c r="L27" i="13"/>
  <c r="D32" i="14" s="1"/>
  <c r="W19" i="12"/>
  <c r="F33" i="14"/>
  <c r="D48" i="2" a="1"/>
  <c r="D48" i="2" s="1"/>
  <c r="AD6" i="13"/>
  <c r="AE6" i="13" s="1"/>
  <c r="AD27" i="13"/>
  <c r="D51" i="2" a="1"/>
  <c r="D51" i="2" s="1"/>
  <c r="N28" i="13"/>
  <c r="D54" i="2" a="1"/>
  <c r="D54" i="2" s="1"/>
  <c r="D52" i="2" a="1"/>
  <c r="D52" i="2" s="1"/>
  <c r="AC27" i="13"/>
  <c r="P24" i="13"/>
  <c r="D47" i="2" a="1"/>
  <c r="D47" i="2" s="1"/>
  <c r="D53" i="2" a="1"/>
  <c r="D53" i="2" s="1"/>
  <c r="O24" i="13"/>
  <c r="AK14" i="13"/>
  <c r="S14" i="13" s="1"/>
  <c r="M27" i="13" s="1"/>
  <c r="H70" i="9"/>
  <c r="H73" i="9" s="1"/>
  <c r="AB24" i="11"/>
  <c r="Z14" i="11"/>
  <c r="Z24" i="11" s="1"/>
  <c r="AD2" i="13"/>
  <c r="M25" i="13" l="1"/>
  <c r="AE4" i="13"/>
  <c r="O27" i="13" s="1"/>
  <c r="U19" i="12"/>
  <c r="T19" i="12"/>
  <c r="AE16" i="11"/>
  <c r="M16" i="11" s="1"/>
  <c r="L16" i="11" s="1"/>
  <c r="D46" i="2"/>
  <c r="V19" i="12" a="1"/>
  <c r="V19" i="12" s="1"/>
  <c r="AE18" i="11"/>
  <c r="M18" i="11" s="1"/>
  <c r="L18" i="11" s="1"/>
  <c r="AE20" i="11"/>
  <c r="M20" i="11" s="1"/>
  <c r="L20" i="11" s="1"/>
  <c r="J69" i="9"/>
  <c r="V36" i="8"/>
  <c r="J68" i="9" s="1"/>
  <c r="F34" i="14"/>
  <c r="G10" i="13"/>
  <c r="E33" i="14"/>
  <c r="N24" i="13"/>
  <c r="E34" i="14"/>
  <c r="AE23" i="11"/>
  <c r="M23" i="11" s="1"/>
  <c r="L23" i="11" s="1"/>
  <c r="AE22" i="11"/>
  <c r="M22" i="11" s="1"/>
  <c r="L22" i="11" s="1"/>
  <c r="AE19" i="11"/>
  <c r="M19" i="11" s="1"/>
  <c r="L19" i="11" s="1"/>
  <c r="AE14" i="11"/>
  <c r="M14" i="11" s="1"/>
  <c r="C31" i="7" a="1"/>
  <c r="C31" i="7" s="1"/>
  <c r="B30" i="7"/>
  <c r="W39" i="8"/>
  <c r="X44" i="8" a="1"/>
  <c r="X44" i="8" s="1"/>
  <c r="D50" i="2"/>
  <c r="AE15" i="11"/>
  <c r="M15" i="11" s="1"/>
  <c r="L15" i="11" s="1"/>
  <c r="W38" i="8"/>
  <c r="X43" i="8" a="1"/>
  <c r="X43" i="8" s="1"/>
  <c r="L71" i="9"/>
  <c r="W41" i="8"/>
  <c r="W40" i="8"/>
  <c r="W42" i="8"/>
  <c r="W37" i="8" s="1"/>
  <c r="X45" i="8"/>
  <c r="L70" i="9" l="1"/>
  <c r="L73" i="9" s="1"/>
  <c r="X41" i="8"/>
  <c r="N70" i="9" s="1"/>
  <c r="N73" i="9" s="1"/>
  <c r="N71" i="9"/>
  <c r="X40" i="8"/>
  <c r="X42" i="8"/>
  <c r="X37" i="8" s="1"/>
  <c r="Y45" i="8"/>
  <c r="S77" i="10"/>
  <c r="J43" i="12"/>
  <c r="B31" i="7"/>
  <c r="C32" i="7" a="1"/>
  <c r="C32" i="7" s="1"/>
  <c r="D1" i="2"/>
  <c r="Y44" i="8" a="1"/>
  <c r="Y44" i="8" s="1"/>
  <c r="X39" i="8"/>
  <c r="M24" i="11"/>
  <c r="L14" i="11"/>
  <c r="L24" i="11" s="1"/>
  <c r="F32" i="14"/>
  <c r="N27" i="13"/>
  <c r="X38" i="8"/>
  <c r="Y43" i="8" a="1"/>
  <c r="Y43" i="8" s="1"/>
  <c r="L69" i="9"/>
  <c r="W36" i="8"/>
  <c r="L68" i="9" s="1"/>
  <c r="L10" i="11" l="1"/>
  <c r="M10" i="13" s="1"/>
  <c r="L25" i="13"/>
  <c r="D30" i="14" s="1"/>
  <c r="L25" i="11"/>
  <c r="M25" i="11"/>
  <c r="G9" i="11" s="1"/>
  <c r="M10" i="11"/>
  <c r="N10" i="13" s="1"/>
  <c r="L26" i="13"/>
  <c r="Y40" i="8"/>
  <c r="Y41" i="8"/>
  <c r="P71" i="9"/>
  <c r="Y42" i="8"/>
  <c r="Y37" i="8" s="1"/>
  <c r="Z45" i="8"/>
  <c r="C33" i="7" a="1"/>
  <c r="C33" i="7" s="1"/>
  <c r="B32" i="7"/>
  <c r="E32" i="14"/>
  <c r="AE3" i="13"/>
  <c r="Y38" i="8"/>
  <c r="Z43" i="8" a="1"/>
  <c r="Z43" i="8" s="1"/>
  <c r="Z44" i="8" a="1"/>
  <c r="Z44" i="8" s="1"/>
  <c r="Y39" i="8"/>
  <c r="X36" i="8"/>
  <c r="N68" i="9" s="1"/>
  <c r="N69" i="9"/>
  <c r="C34" i="7" l="1" a="1"/>
  <c r="C34" i="7" s="1"/>
  <c r="B33" i="7"/>
  <c r="O26" i="13"/>
  <c r="AE2" i="13"/>
  <c r="R71" i="9"/>
  <c r="Z41" i="8"/>
  <c r="R70" i="9" s="1"/>
  <c r="R73" i="9" s="1"/>
  <c r="Z40" i="8"/>
  <c r="Z42" i="8"/>
  <c r="Z37" i="8" s="1"/>
  <c r="AA45" i="8"/>
  <c r="P69" i="9"/>
  <c r="Y36" i="8"/>
  <c r="P68" i="9" s="1"/>
  <c r="P70" i="9"/>
  <c r="P73" i="9" s="1"/>
  <c r="AA44" i="8" a="1"/>
  <c r="AA44" i="8" s="1"/>
  <c r="Z39" i="8"/>
  <c r="D31" i="14"/>
  <c r="AD26" i="13"/>
  <c r="AC26" i="13"/>
  <c r="Z38" i="8"/>
  <c r="AA43" i="8" a="1"/>
  <c r="AA43" i="8" s="1"/>
  <c r="AA38" i="8" l="1"/>
  <c r="AB43" i="8" a="1"/>
  <c r="AB43" i="8" s="1"/>
  <c r="Z36" i="8"/>
  <c r="R68" i="9" s="1"/>
  <c r="R69" i="9"/>
  <c r="N26" i="13"/>
  <c r="E31" i="14" s="1"/>
  <c r="F31" i="14"/>
  <c r="O25" i="13"/>
  <c r="AB44" i="8" a="1"/>
  <c r="AB44" i="8" s="1"/>
  <c r="AA39" i="8"/>
  <c r="AA40" i="8"/>
  <c r="T71" i="9"/>
  <c r="AA41" i="8"/>
  <c r="AA42" i="8"/>
  <c r="AA37" i="8" s="1"/>
  <c r="AB45" i="8"/>
  <c r="C35" i="7" a="1"/>
  <c r="C35" i="7" s="1"/>
  <c r="B34" i="7"/>
  <c r="T70" i="9" l="1"/>
  <c r="T73" i="9" s="1"/>
  <c r="C36" i="7" a="1"/>
  <c r="C36" i="7" s="1"/>
  <c r="B35" i="7"/>
  <c r="N25" i="13"/>
  <c r="E30" i="14" s="1"/>
  <c r="F30" i="14"/>
  <c r="AB38" i="8"/>
  <c r="AC43" i="8" a="1"/>
  <c r="AC43" i="8" s="1"/>
  <c r="AC44" i="8" a="1"/>
  <c r="AC44" i="8" s="1"/>
  <c r="AB39" i="8"/>
  <c r="AB41" i="8"/>
  <c r="V70" i="9" s="1"/>
  <c r="V73" i="9" s="1"/>
  <c r="AB40" i="8"/>
  <c r="V71" i="9"/>
  <c r="AB42" i="8"/>
  <c r="AB37" i="8" s="1"/>
  <c r="AC45" i="8"/>
  <c r="T69" i="9"/>
  <c r="AA36" i="8"/>
  <c r="T68" i="9" s="1"/>
  <c r="AD43" i="8" l="1" a="1"/>
  <c r="AD43" i="8" s="1"/>
  <c r="AC38" i="8"/>
  <c r="B36" i="7"/>
  <c r="C37" i="7" a="1"/>
  <c r="C37" i="7" s="1"/>
  <c r="AC40" i="8"/>
  <c r="X71" i="9"/>
  <c r="AC41" i="8"/>
  <c r="X70" i="9" s="1"/>
  <c r="X73" i="9" s="1"/>
  <c r="AC42" i="8"/>
  <c r="AC37" i="8" s="1"/>
  <c r="AD45" i="8"/>
  <c r="AB36" i="8"/>
  <c r="V68" i="9" s="1"/>
  <c r="V69" i="9"/>
  <c r="AD44" i="8" a="1"/>
  <c r="AD44" i="8" s="1"/>
  <c r="AC39" i="8"/>
  <c r="Z71" i="9" l="1"/>
  <c r="AD40" i="8"/>
  <c r="AD41" i="8"/>
  <c r="Z70" i="9" s="1"/>
  <c r="Z73" i="9" s="1"/>
  <c r="AD42" i="8"/>
  <c r="AD37" i="8" s="1"/>
  <c r="AE45" i="8"/>
  <c r="C38" i="7" a="1"/>
  <c r="C38" i="7" s="1"/>
  <c r="B37" i="7"/>
  <c r="AD39" i="8"/>
  <c r="AE44" i="8" a="1"/>
  <c r="AE44" i="8" s="1"/>
  <c r="AC36" i="8"/>
  <c r="X68" i="9" s="1"/>
  <c r="X69" i="9"/>
  <c r="AD38" i="8"/>
  <c r="AE43" i="8" a="1"/>
  <c r="AE43" i="8" s="1"/>
  <c r="AF43" i="8" l="1" a="1"/>
  <c r="AE38" i="8"/>
  <c r="C39" i="7" a="1"/>
  <c r="C39" i="7" s="1"/>
  <c r="B38" i="7"/>
  <c r="AD36" i="8"/>
  <c r="Z68" i="9" s="1"/>
  <c r="Z69" i="9"/>
  <c r="AF44" i="8" a="1"/>
  <c r="AF44" i="8" s="1"/>
  <c r="AF39" i="8" s="1"/>
  <c r="AE39" i="8"/>
  <c r="AE41" i="8"/>
  <c r="AB70" i="9" s="1"/>
  <c r="AB73" i="9" s="1"/>
  <c r="AB71" i="9"/>
  <c r="AE40" i="8"/>
  <c r="AE42" i="8"/>
  <c r="AE37" i="8" s="1"/>
  <c r="AF45" i="8"/>
  <c r="AF40" i="8" l="1"/>
  <c r="AD71" i="9"/>
  <c r="AF41" i="8"/>
  <c r="K10" i="8" a="1"/>
  <c r="K10" i="8" s="1"/>
  <c r="AE36" i="8"/>
  <c r="AB68" i="9" s="1"/>
  <c r="AB69" i="9"/>
  <c r="C40" i="7" a="1"/>
  <c r="C40" i="7" s="1"/>
  <c r="B39" i="7"/>
  <c r="AF38" i="8"/>
  <c r="AF43" i="8"/>
  <c r="AF42" i="8" s="1"/>
  <c r="AF37" i="8" s="1"/>
  <c r="AF47" i="8" l="1"/>
  <c r="T47" i="8" s="1"/>
  <c r="AD70" i="9"/>
  <c r="AD73" i="9" s="1"/>
  <c r="G73" i="9" s="1"/>
  <c r="F11" i="8" a="1"/>
  <c r="F11" i="8" s="1"/>
  <c r="C41" i="7" a="1"/>
  <c r="C41" i="7" s="1"/>
  <c r="B40" i="7"/>
  <c r="AD69" i="9"/>
  <c r="AF36" i="8"/>
  <c r="AD68" i="9" s="1"/>
  <c r="B41" i="7" l="1"/>
  <c r="C42" i="7" a="1"/>
  <c r="C42" i="7" s="1"/>
  <c r="C43" i="7" l="1" a="1"/>
  <c r="C43" i="7" s="1"/>
  <c r="B42" i="7"/>
  <c r="C44" i="7" l="1" a="1"/>
  <c r="C44" i="7" s="1"/>
  <c r="B43" i="7"/>
  <c r="C45" i="7" l="1" a="1"/>
  <c r="C45" i="7" s="1"/>
  <c r="B44" i="7"/>
  <c r="C46" i="7" l="1" a="1"/>
  <c r="C46" i="7" s="1"/>
  <c r="B45" i="7"/>
  <c r="B46" i="7" l="1"/>
  <c r="C47" i="7" a="1"/>
  <c r="C47" i="7" s="1"/>
  <c r="C48" i="7" l="1" a="1"/>
  <c r="C48" i="7" s="1"/>
  <c r="B47" i="7"/>
  <c r="C49" i="7" l="1" a="1"/>
  <c r="C49" i="7" s="1"/>
  <c r="B48" i="7"/>
  <c r="C50" i="7" l="1" a="1"/>
  <c r="C50" i="7" s="1"/>
  <c r="B49" i="7"/>
  <c r="C51" i="7" l="1" a="1"/>
  <c r="C51" i="7" s="1"/>
  <c r="B50" i="7"/>
  <c r="C52" i="7" l="1" a="1"/>
  <c r="C52" i="7" s="1"/>
  <c r="B51" i="7"/>
  <c r="B52" i="7" l="1"/>
  <c r="C53" i="7" a="1"/>
  <c r="C53" i="7" s="1"/>
  <c r="B53" i="7" l="1"/>
  <c r="C54" i="7" a="1"/>
  <c r="C54" i="7" s="1"/>
  <c r="C55" i="7" l="1" a="1"/>
  <c r="C55" i="7" s="1"/>
  <c r="B54" i="7"/>
  <c r="B55" i="7" l="1"/>
  <c r="C56" i="7" a="1"/>
  <c r="C56" i="7" s="1"/>
  <c r="B56" i="7" l="1"/>
  <c r="C57" i="7" a="1"/>
  <c r="C57" i="7" s="1"/>
  <c r="C58" i="7" l="1" a="1"/>
  <c r="C58" i="7" s="1"/>
  <c r="B57" i="7"/>
  <c r="B58" i="7" l="1"/>
  <c r="C59" i="7" a="1"/>
  <c r="C59" i="7" s="1"/>
  <c r="B59" i="7" l="1"/>
  <c r="C60" i="7" a="1"/>
  <c r="C60" i="7" s="1"/>
  <c r="B60" i="7" l="1"/>
  <c r="C61" i="7" a="1"/>
  <c r="C61" i="7" s="1"/>
  <c r="B61" i="7" l="1"/>
  <c r="C62" i="7" a="1"/>
  <c r="C62" i="7" s="1"/>
  <c r="C63" i="7" l="1" a="1"/>
  <c r="C63" i="7" s="1"/>
  <c r="B62" i="7"/>
  <c r="C64" i="7" l="1" a="1"/>
  <c r="C64" i="7" s="1"/>
  <c r="B63" i="7"/>
  <c r="B64" i="7" l="1"/>
  <c r="C10" i="7"/>
</calcChain>
</file>

<file path=xl/comments1.xml><?xml version="1.0" encoding="utf-8"?>
<comments xmlns="http://schemas.openxmlformats.org/spreadsheetml/2006/main">
  <authors>
    <author/>
  </authors>
  <commentList>
    <comment ref="C41" authorId="0" shapeId="0">
      <text>
        <r>
          <rPr>
            <sz val="9"/>
            <color indexed="8"/>
            <rFont val="Segoe UI"/>
            <family val="2"/>
          </rPr>
          <t>Informar a data-base do CTEF no formato mm-aaaa.</t>
        </r>
      </text>
    </comment>
  </commentList>
</comments>
</file>

<file path=xl/comments2.xml><?xml version="1.0" encoding="utf-8"?>
<comments xmlns="http://schemas.openxmlformats.org/spreadsheetml/2006/main">
  <authors>
    <author/>
  </authors>
  <commentList>
    <comment ref="I6"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authors>
    <author/>
  </authors>
  <commentList>
    <comment ref="AJ7" authorId="0" shapeId="0">
      <text>
        <r>
          <rPr>
            <b/>
            <sz val="9"/>
            <color indexed="8"/>
            <rFont val="Tahoma"/>
            <family val="2"/>
          </rPr>
          <t xml:space="preserve">QUANTIDADES:
</t>
        </r>
        <r>
          <rPr>
            <sz val="9"/>
            <color indexed="8"/>
            <rFont val="Tahoma"/>
            <family val="2"/>
          </rPr>
          <t>PREENCHA AS QUANTIDADES AQUI PARA ACOMPANHAMENTOS POR BM.</t>
        </r>
      </text>
    </comment>
    <comment ref="AL7" authorId="0" shapeId="0">
      <text>
        <r>
          <rPr>
            <b/>
            <sz val="9"/>
            <color indexed="8"/>
            <rFont val="Tahoma"/>
            <family val="2"/>
          </rPr>
          <t xml:space="preserve">PREÇO UNITÁRIO LICITADO:
</t>
        </r>
        <r>
          <rPr>
            <sz val="9"/>
            <color indexed="8"/>
            <rFont val="Tahoma"/>
            <family val="2"/>
          </rPr>
          <t>PREENCHA AQUI O PREÇO UNITÁRIO DA LICITAÇÃO.</t>
        </r>
      </text>
    </comment>
    <comment ref="L8"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authors>
    <author/>
  </authors>
  <commentList>
    <comment ref="D15" authorId="0" shapeId="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authors>
    <author/>
  </authors>
  <commentList>
    <comment ref="C7"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authors>
    <author/>
  </authors>
  <commentList>
    <comment ref="C8"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text>
        <r>
          <rPr>
            <sz val="9"/>
            <color indexed="8"/>
            <rFont val="Segoe UI"/>
            <family val="2"/>
          </rPr>
          <t>Digite nestes campos as datas das medições</t>
        </r>
      </text>
    </comment>
    <comment ref="AB13" authorId="0" shapeId="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authors>
    <author/>
  </authors>
  <commentList>
    <comment ref="D7"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<sst xmlns="http://schemas.openxmlformats.org/spreadsheetml/2006/main" count="1849" uniqueCount="1033">
  <si>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</si>
  <si>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</si>
  <si>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</si>
  <si>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</si>
  <si>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</si>
  <si>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</si>
  <si>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</si>
  <si>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</si>
  <si>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</si>
  <si>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</si>
  <si>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</si>
  <si>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</si>
  <si>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</si>
  <si>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</si>
  <si>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</si>
  <si>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</si>
  <si>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</si>
  <si>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</si>
  <si>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</si>
  <si>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</si>
  <si>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</si>
  <si>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</si>
  <si>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</si>
  <si>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</si>
  <si>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</si>
  <si>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</si>
  <si>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</si>
  <si>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</si>
  <si>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</si>
  <si>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</si>
  <si>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</si>
  <si>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</si>
  <si>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</si>
  <si>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</si>
  <si>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</si>
  <si>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</si>
  <si>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</si>
  <si>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</si>
  <si>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</si>
  <si>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</si>
  <si>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</si>
  <si>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</si>
  <si>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</si>
  <si>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</si>
  <si>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</si>
  <si>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</si>
  <si>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</si>
  <si>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</si>
  <si>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</si>
  <si>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</si>
  <si>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</si>
  <si>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</si>
  <si>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</si>
  <si>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</si>
  <si>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</si>
  <si>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</si>
  <si>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</si>
  <si>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</si>
  <si>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</si>
  <si>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</si>
  <si>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</si>
  <si>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</si>
  <si>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</si>
  <si>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</si>
  <si>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</si>
  <si>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</si>
  <si>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</si>
  <si>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</si>
  <si>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</si>
  <si>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</si>
  <si>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</si>
  <si>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</si>
  <si>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</si>
  <si>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</si>
  <si>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</si>
  <si>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</si>
  <si>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</si>
  <si>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</si>
  <si>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</si>
  <si>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</si>
  <si>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</si>
  <si>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</si>
  <si>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</si>
  <si>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</si>
  <si>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</si>
  <si>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</si>
  <si>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</si>
  <si>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</si>
  <si>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</si>
  <si>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</si>
  <si>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</si>
  <si>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</si>
  <si>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</si>
  <si>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</si>
  <si>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</si>
  <si>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</si>
  <si>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</si>
  <si>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</si>
  <si>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</si>
  <si>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</si>
  <si>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</si>
  <si>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</si>
  <si>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</si>
  <si>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</si>
  <si>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</si>
  <si>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</si>
  <si>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</si>
  <si>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</si>
  <si>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</si>
  <si>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</si>
  <si>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</si>
  <si>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</si>
  <si>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</si>
  <si>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</si>
  <si>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</si>
  <si>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</si>
  <si>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</si>
  <si>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</si>
  <si>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</si>
  <si>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</si>
  <si>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</si>
  <si>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</si>
  <si>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</si>
  <si>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</si>
  <si>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</si>
  <si>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</si>
  <si>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</si>
  <si>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</si>
  <si>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</si>
  <si>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</si>
  <si>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</si>
  <si>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</si>
  <si>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</si>
  <si>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</si>
  <si>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</si>
  <si>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</si>
  <si>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</si>
  <si>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</si>
  <si>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</si>
  <si>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</si>
  <si>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</si>
  <si>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</si>
  <si>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</si>
  <si>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</si>
  <si>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</si>
  <si>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</si>
  <si>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</si>
  <si>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</si>
  <si>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</si>
  <si>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</si>
  <si>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</si>
  <si>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</si>
  <si>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</si>
  <si>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</si>
  <si>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</si>
  <si>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</si>
  <si>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</si>
  <si>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</si>
  <si>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</si>
  <si>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</si>
  <si>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</si>
  <si>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</si>
  <si>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</si>
  <si>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</si>
  <si>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</si>
  <si>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</si>
  <si>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</si>
  <si>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</si>
  <si>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</si>
  <si>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</si>
  <si>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</si>
  <si>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</si>
  <si>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</si>
  <si>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</si>
  <si>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</si>
  <si>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</si>
  <si>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</si>
  <si>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</si>
  <si>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</si>
  <si>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</si>
  <si>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</si>
  <si>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</si>
  <si>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</si>
  <si>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</si>
  <si>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</si>
  <si>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</si>
  <si>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</si>
  <si>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</si>
  <si>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</si>
  <si>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</si>
  <si>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</si>
  <si>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</si>
  <si>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</si>
  <si>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</si>
  <si>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</si>
  <si>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</si>
  <si>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</si>
  <si>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</si>
  <si>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</si>
  <si>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</si>
  <si>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</si>
  <si>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</si>
  <si>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</si>
  <si>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</si>
  <si>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</si>
  <si>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</si>
  <si>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</si>
  <si>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</si>
  <si>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</si>
  <si>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</si>
  <si>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</si>
  <si>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</si>
  <si>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</si>
  <si>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</si>
  <si>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</si>
  <si>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</si>
  <si>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</si>
  <si>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</si>
  <si>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</si>
  <si>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</si>
  <si>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</si>
  <si>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</si>
  <si>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</si>
  <si>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</si>
  <si>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</si>
  <si>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</si>
  <si>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</si>
  <si>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</si>
  <si>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</si>
  <si>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</si>
  <si>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</si>
  <si>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</si>
  <si>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</si>
  <si>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</si>
  <si>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</si>
  <si>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</si>
  <si>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</si>
  <si>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</si>
  <si>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</si>
  <si>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</si>
  <si>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</si>
  <si>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</si>
  <si>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</si>
  <si>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</si>
  <si>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</si>
  <si>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</si>
  <si>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</si>
  <si>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</si>
  <si>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</si>
  <si>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</si>
  <si>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</si>
  <si>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</si>
  <si>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</si>
  <si>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</si>
  <si>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</si>
  <si>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</si>
  <si>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</si>
  <si>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</si>
  <si>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</si>
  <si>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</si>
  <si>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</si>
  <si>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</si>
  <si>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</si>
  <si>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</si>
  <si>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</si>
  <si>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</si>
  <si>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</si>
  <si>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</si>
  <si>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</si>
  <si>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</si>
  <si>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</si>
  <si>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</si>
  <si>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</si>
  <si>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</si>
  <si>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</si>
  <si>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</si>
  <si>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</si>
  <si>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</si>
  <si>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</si>
  <si>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</si>
  <si>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</si>
  <si>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</si>
  <si>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</si>
  <si>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</si>
  <si>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</si>
  <si>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</si>
  <si>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</si>
  <si>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</si>
  <si>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</si>
  <si>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</si>
  <si>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</si>
  <si>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</si>
  <si>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</si>
  <si>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</si>
  <si>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</si>
  <si>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</si>
  <si>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</si>
  <si>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</si>
  <si>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</si>
  <si>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</si>
  <si>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</si>
  <si>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</si>
  <si>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</si>
  <si>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</si>
  <si>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</si>
  <si>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</si>
  <si>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</si>
  <si>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</si>
  <si>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</si>
  <si>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</si>
  <si>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</si>
  <si>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</si>
  <si>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</si>
  <si>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</si>
  <si>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</si>
  <si>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</si>
  <si>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</si>
  <si>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</si>
  <si>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</si>
  <si>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</si>
  <si>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</si>
  <si>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</si>
  <si>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</si>
  <si>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</si>
  <si>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</si>
  <si>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</si>
  <si>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</si>
  <si>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</si>
  <si>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</si>
  <si>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</si>
  <si>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</si>
  <si>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</si>
  <si>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</si>
  <si>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</si>
  <si>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</si>
  <si>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</si>
  <si>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</si>
  <si>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</si>
  <si>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</si>
  <si>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</si>
  <si>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</si>
  <si>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</si>
  <si>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</si>
  <si>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</si>
  <si>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</si>
  <si>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</si>
  <si>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</si>
  <si>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</si>
  <si>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</si>
  <si>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</si>
  <si>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</si>
  <si>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</si>
  <si>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</si>
  <si>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</si>
  <si>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</si>
  <si>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</si>
  <si>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</si>
  <si>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</si>
  <si>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</si>
  <si>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</si>
  <si>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</si>
  <si>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</si>
  <si>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</si>
  <si>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</si>
  <si>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</si>
  <si>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</si>
  <si>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</si>
  <si>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</si>
  <si>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</si>
  <si>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</si>
  <si>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</si>
  <si>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</si>
  <si>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</si>
  <si>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</si>
  <si>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</si>
  <si>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</si>
  <si>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</si>
  <si>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</si>
  <si>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</si>
  <si>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</si>
  <si>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</si>
  <si>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</si>
  <si>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</si>
  <si>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</si>
  <si>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</si>
  <si>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</si>
  <si>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</si>
  <si>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</si>
  <si>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</si>
  <si>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</si>
  <si>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</si>
  <si>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</si>
  <si>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</si>
  <si>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</si>
  <si>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</si>
  <si>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</si>
  <si>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</si>
  <si>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</si>
  <si>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</si>
  <si>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</si>
  <si>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</si>
  <si>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</si>
  <si>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</si>
  <si>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</si>
  <si>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</si>
  <si>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</si>
  <si>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</si>
  <si>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</si>
  <si>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</si>
  <si>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</si>
  <si>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</si>
  <si>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</si>
  <si>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</si>
  <si>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</si>
  <si>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</si>
  <si>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</si>
  <si>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</si>
  <si>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</si>
  <si>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</si>
  <si>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</si>
  <si>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</si>
  <si>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</si>
  <si>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</si>
  <si>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</si>
  <si>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</si>
  <si>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</si>
  <si>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</si>
  <si>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</si>
  <si>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</si>
  <si>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</si>
  <si>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</si>
  <si>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</si>
  <si>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</si>
  <si>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</si>
  <si>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</si>
  <si>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</si>
  <si>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</si>
  <si>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</si>
  <si>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</si>
  <si>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</si>
  <si>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</si>
  <si>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</si>
  <si>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</si>
  <si>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</si>
  <si>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</si>
  <si>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</si>
  <si>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</si>
  <si>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</si>
  <si>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</si>
  <si>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</si>
  <si>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</si>
  <si>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</si>
  <si>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</si>
  <si>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</si>
  <si>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</si>
  <si>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</si>
  <si>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</si>
  <si>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</si>
  <si>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</si>
  <si>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</si>
  <si>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</si>
  <si>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</si>
  <si>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</si>
  <si>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</si>
  <si>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</si>
  <si>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</si>
  <si>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</si>
  <si>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</si>
  <si>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</si>
  <si>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</si>
  <si>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</si>
  <si>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</si>
  <si>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</si>
  <si>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</si>
  <si>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</si>
  <si>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</si>
  <si>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</si>
  <si>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</si>
  <si>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</si>
  <si>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</si>
  <si>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</si>
  <si>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</si>
  <si>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</si>
  <si>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</si>
  <si>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</si>
  <si>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</si>
  <si>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</si>
  <si>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</si>
  <si>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</si>
  <si>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</si>
  <si>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</si>
  <si>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</si>
  <si>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</si>
  <si>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</si>
  <si>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</si>
  <si>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</si>
  <si>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</si>
  <si>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</si>
  <si>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</si>
  <si>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</si>
  <si>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</si>
  <si>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</si>
  <si>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</si>
  <si>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</si>
  <si>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</si>
  <si>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</si>
  <si>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</si>
  <si>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</si>
  <si>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</si>
  <si>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</si>
  <si>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</si>
  <si>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</si>
  <si>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</si>
  <si>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</si>
  <si>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</si>
  <si>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</si>
  <si>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</si>
  <si>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</si>
  <si>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</si>
  <si>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</si>
  <si>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</si>
  <si>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</si>
  <si>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</si>
  <si>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</si>
  <si>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</si>
  <si>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</si>
  <si>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</si>
  <si>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</si>
  <si>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</si>
  <si>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</si>
  <si>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</si>
  <si>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</si>
  <si>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</si>
  <si>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</si>
  <si>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</si>
  <si>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</si>
  <si>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</si>
  <si>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</si>
  <si>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</si>
  <si>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</si>
  <si>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</si>
  <si>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</si>
  <si>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</si>
  <si>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</si>
  <si>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</si>
  <si>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</si>
  <si>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</si>
  <si>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</si>
  <si>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</si>
  <si>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</si>
  <si>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</si>
  <si>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</si>
  <si>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</si>
  <si>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</si>
  <si>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</si>
  <si>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</si>
  <si>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</si>
  <si>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</si>
  <si>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</si>
  <si>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</si>
  <si>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</si>
  <si>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</si>
  <si>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</si>
  <si>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</si>
  <si>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</si>
  <si>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</si>
  <si>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</si>
  <si>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</si>
  <si>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</si>
  <si>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</si>
  <si>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</si>
  <si>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</si>
  <si>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</si>
  <si>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</si>
  <si>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</si>
  <si>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</si>
  <si>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</si>
  <si>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</si>
  <si>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</si>
  <si>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</si>
  <si>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</si>
  <si>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</si>
  <si>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</si>
  <si>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</si>
  <si>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</si>
  <si>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</si>
  <si>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</si>
  <si>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</si>
  <si>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</si>
  <si>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</si>
  <si>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</si>
  <si>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</si>
  <si>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</si>
  <si>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</si>
  <si>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</si>
  <si>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</si>
  <si>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</si>
  <si>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</si>
  <si>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</si>
  <si>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</si>
  <si>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</si>
  <si>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</si>
  <si>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</si>
  <si>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</si>
  <si>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</si>
  <si>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</si>
  <si>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</si>
  <si>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</si>
  <si>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</si>
  <si>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</si>
  <si>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</si>
  <si>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</si>
  <si>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</si>
  <si>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</si>
  <si>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</si>
  <si>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</si>
  <si>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</si>
  <si>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</si>
  <si>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</si>
  <si>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</si>
  <si>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</si>
  <si>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</si>
  <si>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</si>
  <si>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</si>
  <si>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</si>
  <si>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</si>
  <si>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</si>
  <si>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</si>
  <si>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</si>
  <si>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</si>
  <si>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</si>
  <si>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</si>
  <si>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</si>
  <si>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</si>
  <si>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</si>
  <si>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</si>
  <si>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</si>
  <si>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</si>
  <si>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</si>
  <si>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</si>
  <si>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</si>
  <si>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</si>
  <si>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</si>
  <si>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</si>
  <si>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</si>
  <si>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</si>
  <si>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</si>
  <si>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</si>
  <si>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</si>
  <si>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</si>
  <si>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</si>
  <si>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</si>
  <si>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</si>
  <si>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</si>
  <si>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</si>
  <si>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</si>
  <si>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</si>
  <si>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</si>
  <si>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</si>
  <si>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</si>
  <si>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</si>
  <si>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</si>
  <si>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</si>
  <si>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</si>
  <si>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</si>
  <si>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</si>
  <si>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</si>
  <si>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</si>
  <si>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</si>
  <si>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</si>
  <si>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</si>
  <si>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</si>
  <si>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</si>
  <si>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</si>
  <si>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</si>
  <si>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</si>
  <si>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</si>
  <si>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</si>
  <si>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</si>
  <si>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</si>
  <si>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</si>
  <si>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</si>
  <si>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</si>
  <si>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</si>
  <si>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</si>
  <si>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</si>
  <si>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</si>
  <si>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</si>
  <si>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</si>
  <si>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</si>
  <si>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</si>
  <si>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</si>
  <si>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</si>
  <si>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</si>
  <si>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</si>
  <si>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</si>
  <si>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</si>
  <si>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</si>
  <si>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</si>
  <si>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</si>
  <si>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</si>
  <si>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</si>
  <si>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</si>
  <si>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</si>
  <si>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</si>
  <si>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</si>
  <si>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</si>
  <si>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</si>
  <si>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</si>
  <si>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</si>
  <si>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</si>
  <si>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</si>
  <si>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</si>
  <si>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</si>
  <si>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</si>
  <si>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</si>
  <si>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</si>
  <si>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</si>
  <si>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</si>
  <si>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</si>
  <si>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</si>
  <si>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</si>
  <si>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</si>
  <si>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</si>
  <si>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</si>
  <si>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</si>
  <si>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</si>
  <si>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</si>
  <si>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</si>
  <si>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</si>
  <si>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</si>
  <si>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</si>
  <si>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</si>
  <si>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</si>
  <si>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</si>
  <si>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</si>
  <si>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</si>
  <si>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</si>
  <si>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</si>
  <si>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</si>
  <si>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</si>
  <si>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</si>
  <si>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</si>
  <si>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</si>
  <si>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</si>
  <si>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</si>
  <si>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</si>
  <si>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</si>
  <si>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</si>
  <si>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</si>
  <si>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</si>
  <si>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</si>
  <si>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</si>
  <si>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</si>
  <si>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</si>
  <si>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</si>
  <si>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</si>
  <si>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</si>
  <si>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</si>
  <si>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</si>
  <si>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</si>
  <si>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</si>
  <si>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</si>
  <si>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</si>
  <si>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</si>
  <si>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</si>
  <si>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</si>
  <si>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</si>
  <si>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</si>
  <si>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</si>
  <si>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</si>
  <si>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</si>
  <si>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</si>
  <si>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</si>
  <si>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</si>
  <si>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</si>
  <si>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</si>
  <si>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</si>
  <si>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</si>
  <si>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</si>
  <si>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</si>
  <si>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</si>
  <si>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</si>
  <si>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</si>
  <si>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</si>
  <si>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</si>
  <si>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</si>
  <si>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</si>
  <si>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</si>
  <si>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</si>
  <si>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</si>
  <si>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</si>
  <si>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</si>
  <si>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</si>
  <si>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</si>
  <si>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</si>
  <si>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</si>
  <si>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</si>
  <si>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</si>
  <si>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</si>
  <si>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</si>
  <si>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</si>
  <si>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</si>
  <si>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</si>
  <si>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</si>
  <si>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</si>
  <si>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</si>
  <si>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</si>
  <si>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</si>
  <si>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</si>
  <si>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</si>
  <si>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</si>
  <si>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</si>
  <si>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</si>
  <si>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</si>
  <si>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</si>
  <si>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</si>
  <si>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</si>
  <si>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</si>
  <si>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</si>
  <si>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</si>
  <si>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</si>
  <si>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</si>
  <si>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</si>
  <si>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</si>
  <si>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</si>
  <si>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</si>
  <si>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</si>
  <si>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</si>
  <si>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</si>
  <si>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</si>
  <si>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</si>
  <si>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</si>
  <si>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</si>
  <si>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</si>
  <si>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</si>
  <si>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</si>
  <si>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</si>
  <si>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</si>
  <si>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</si>
  <si>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</si>
  <si>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</si>
  <si>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</si>
  <si>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</si>
  <si>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</si>
  <si>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</si>
  <si>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</si>
  <si>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</si>
  <si>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</si>
  <si>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</si>
  <si>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</si>
  <si>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</si>
  <si>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</si>
  <si>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</si>
  <si>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</si>
  <si>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</si>
  <si>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</si>
  <si>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</si>
  <si>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</si>
  <si>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</si>
  <si>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</si>
  <si>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</si>
  <si>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</si>
  <si>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</si>
  <si>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</si>
  <si>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</si>
  <si>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</si>
  <si>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</si>
  <si>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</si>
  <si>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</si>
  <si>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</si>
  <si>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</si>
  <si>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</si>
  <si>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</si>
  <si>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</si>
  <si>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</si>
  <si>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</si>
  <si>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</si>
  <si>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</si>
  <si>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</si>
  <si>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</si>
  <si>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</si>
  <si>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</si>
  <si>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</si>
  <si>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</si>
  <si>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</si>
  <si>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</si>
  <si>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</si>
  <si>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</si>
  <si>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</si>
  <si>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</si>
  <si>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</si>
  <si>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</si>
  <si>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</si>
  <si>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</si>
  <si>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</si>
  <si>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</si>
  <si>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</si>
  <si>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</si>
  <si>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</si>
  <si>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</si>
  <si>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</si>
  <si>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</si>
  <si>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</si>
  <si>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</si>
  <si>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</si>
  <si>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</si>
  <si>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</si>
  <si>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</si>
  <si>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</si>
  <si>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</si>
  <si>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</si>
  <si>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</si>
  <si>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</si>
  <si>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</si>
  <si>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</si>
  <si>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</si>
  <si>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</si>
  <si>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</si>
  <si>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</si>
  <si>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</si>
  <si>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</si>
  <si>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</si>
  <si>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</si>
  <si>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</si>
  <si>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</si>
  <si>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</si>
  <si>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</si>
  <si>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</si>
  <si>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</si>
  <si>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</si>
  <si>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</si>
  <si>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</si>
  <si>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</si>
  <si>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</si>
  <si>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</si>
  <si>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</si>
  <si>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</si>
  <si>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</si>
  <si>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</si>
  <si>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</si>
  <si>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</si>
  <si>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</si>
  <si>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</si>
  <si>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</si>
  <si>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</si>
  <si>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</si>
  <si>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</si>
  <si>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</si>
  <si>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</si>
  <si>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</si>
  <si>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</si>
  <si>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</si>
  <si>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</si>
  <si>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</si>
  <si>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</si>
  <si>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</si>
  <si>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</si>
  <si>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</si>
  <si>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</si>
  <si>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</si>
  <si>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</si>
  <si>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</si>
  <si>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</si>
  <si>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</si>
  <si>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</si>
  <si>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</si>
  <si>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</si>
  <si>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</si>
  <si>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</si>
  <si>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</si>
  <si>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</si>
  <si>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</si>
  <si>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</si>
  <si>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</si>
  <si>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</si>
  <si>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</si>
  <si>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</si>
  <si>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</si>
  <si>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</si>
  <si>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</si>
  <si>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</si>
  <si>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</si>
  <si>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</si>
  <si>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</si>
  <si>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</si>
  <si>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</si>
  <si>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</si>
  <si>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</si>
  <si>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</si>
  <si>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</si>
  <si>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</si>
  <si>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</si>
  <si>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</si>
  <si>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</si>
  <si>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</si>
  <si>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</si>
  <si>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</si>
  <si>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</si>
  <si>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</si>
  <si>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</si>
  <si>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</si>
  <si>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</si>
  <si>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</si>
  <si>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</si>
  <si>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</si>
  <si>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</si>
  <si>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PLACA DE OBRA</t>
  </si>
  <si>
    <t>SERVIÇOS PRELIMINARES</t>
  </si>
  <si>
    <t>PREFEITO MUNICIPAL</t>
  </si>
  <si>
    <t>GABRIEL ADAMS DOMINGUES</t>
  </si>
  <si>
    <t>CREA RS 247738</t>
  </si>
  <si>
    <t>103689</t>
  </si>
  <si>
    <t>MUNICÍPIO DE SÃO LUIZ GONZAGA</t>
  </si>
  <si>
    <t>RS</t>
  </si>
  <si>
    <t>JOSÉ ANTÔNIO FLACH WERLE</t>
  </si>
  <si>
    <t>SLG</t>
  </si>
  <si>
    <t>5914389</t>
  </si>
  <si>
    <t>5914359</t>
  </si>
  <si>
    <t>4011209</t>
  </si>
  <si>
    <t>105727</t>
  </si>
  <si>
    <t>MEIO-FIO</t>
  </si>
  <si>
    <t>94276</t>
  </si>
  <si>
    <t>5501710</t>
  </si>
  <si>
    <t>LIMPEZAS E AJUSTES DO TRECHO</t>
  </si>
  <si>
    <t>CALÇAMENTO PEDRA IRREGULAR</t>
  </si>
  <si>
    <t>CALÇAMENTO - PAVIMENTAÇÃO</t>
  </si>
  <si>
    <t>BASE EM BRITA GRADUADA H=5CM</t>
  </si>
  <si>
    <t>01</t>
  </si>
  <si>
    <t>PAVIMENTAÇÃO EM PEDRA IRREGULAR ASSENTADAS SOBRE COLCHÃO DE PÓ DE PEDRA E REJUNTADAS COM PÓ DE PEDRA</t>
  </si>
  <si>
    <t xml:space="preserve">CALÇAMENTO DE PEDRAS IRREGULARES - RINCÃO DE SANTANA EM FRENTE ESCOLA JOÃO XXIII E SALÃO PAROQUIAL </t>
  </si>
  <si>
    <t>14574615</t>
  </si>
  <si>
    <t>1.4. PAVIMENTAÇÃO EM PEDRA IRREGULAR ASSENTADAS SOBRE COLCHÃO DE PÓ DE PEDRA E REJUNTADAS COM PÓ DE PEDRA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</si>
</sst>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2">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0" fontId="0" fillId="16" borderId="23" xfId="0" applyFill="1" applyBorder="1" applyAlignment="1" applyProtection="1">
      <alignment vertical="center"/>
      <protection locked="0"/>
    </xf>
    <xf numFmtId="0" fontId="0" fillId="0" borderId="24"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5" xfId="0" applyNumberFormat="1" applyFill="1" applyBorder="1" applyAlignment="1" applyProtection="1">
      <alignment horizontal="left" vertical="center"/>
      <protection locked="0"/>
    </xf>
    <xf numFmtId="14" fontId="0" fillId="6" borderId="26"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6"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7" xfId="0" applyBorder="1"/>
    <xf numFmtId="0" fontId="27" fillId="0" borderId="28" xfId="0" applyFont="1" applyBorder="1" applyAlignment="1">
      <alignment horizontal="left" indent="1"/>
    </xf>
    <xf numFmtId="0" fontId="0" fillId="0" borderId="28"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29" xfId="0" applyBorder="1" applyAlignment="1">
      <alignment horizontal="center"/>
    </xf>
    <xf numFmtId="0" fontId="24" fillId="0" borderId="30" xfId="33" applyFont="1" applyBorder="1" applyAlignment="1">
      <alignment horizontal="center"/>
    </xf>
    <xf numFmtId="10" fontId="29" fillId="0" borderId="30" xfId="33" applyNumberFormat="1" applyFont="1" applyBorder="1" applyAlignment="1">
      <alignment horizontal="center"/>
    </xf>
    <xf numFmtId="0" fontId="24" fillId="0" borderId="29"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0" xfId="33" applyFont="1" applyBorder="1" applyAlignment="1">
      <alignment horizontal="center" vertical="center" wrapText="1"/>
    </xf>
    <xf numFmtId="0" fontId="8" fillId="0" borderId="0" xfId="33" applyFont="1" applyAlignment="1">
      <alignment horizontal="left"/>
    </xf>
    <xf numFmtId="0" fontId="30" fillId="0" borderId="30" xfId="33" applyFont="1" applyBorder="1" applyAlignment="1">
      <alignment horizontal="center" vertical="center"/>
    </xf>
    <xf numFmtId="10" fontId="30" fillId="6" borderId="30" xfId="33" applyNumberFormat="1" applyFont="1" applyFill="1" applyBorder="1" applyAlignment="1" applyProtection="1">
      <alignment horizontal="center" vertical="center"/>
      <protection locked="0"/>
    </xf>
    <xf numFmtId="10" fontId="30" fillId="0" borderId="30" xfId="33" applyNumberFormat="1" applyFont="1" applyBorder="1" applyAlignment="1">
      <alignment horizontal="center" vertical="center"/>
    </xf>
    <xf numFmtId="10" fontId="30" fillId="0" borderId="30" xfId="33" applyNumberFormat="1" applyFont="1" applyBorder="1" applyAlignment="1">
      <alignment horizontal="center" vertical="center" wrapText="1"/>
    </xf>
    <xf numFmtId="0" fontId="30" fillId="0" borderId="30" xfId="33" applyFont="1" applyBorder="1" applyAlignment="1">
      <alignment horizontal="center" vertical="center" wrapText="1"/>
    </xf>
    <xf numFmtId="0" fontId="30" fillId="8" borderId="30" xfId="33" applyFont="1" applyFill="1" applyBorder="1" applyAlignment="1">
      <alignment horizontal="center" vertical="center" wrapText="1"/>
    </xf>
    <xf numFmtId="10" fontId="17" fillId="8" borderId="30"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29" xfId="35" applyFont="1" applyBorder="1" applyAlignment="1">
      <alignment vertical="top"/>
    </xf>
    <xf numFmtId="0" fontId="0" fillId="0" borderId="30" xfId="0" applyBorder="1"/>
    <xf numFmtId="0" fontId="0" fillId="0" borderId="30" xfId="0" applyBorder="1" applyProtection="1">
      <protection locked="0"/>
    </xf>
    <xf numFmtId="0" fontId="0" fillId="0" borderId="13" xfId="33" applyFont="1" applyBorder="1" applyAlignment="1">
      <alignment vertical="top" wrapText="1"/>
    </xf>
    <xf numFmtId="0" fontId="0" fillId="0" borderId="27"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1" xfId="35" applyFont="1" applyBorder="1" applyAlignment="1">
      <alignment horizontal="left" vertical="top"/>
    </xf>
    <xf numFmtId="0" fontId="24" fillId="0" borderId="0" xfId="35" applyFont="1" applyAlignment="1">
      <alignment horizontal="center" vertical="top"/>
    </xf>
    <xf numFmtId="0" fontId="24" fillId="0" borderId="29" xfId="35" applyFont="1" applyBorder="1" applyAlignment="1">
      <alignment horizontal="center" vertical="top"/>
    </xf>
    <xf numFmtId="170" fontId="0" fillId="0" borderId="13" xfId="33" applyNumberFormat="1" applyFont="1" applyBorder="1" applyAlignment="1">
      <alignment vertical="top" shrinkToFit="1"/>
    </xf>
    <xf numFmtId="0" fontId="0" fillId="0" borderId="28"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2"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0" xfId="0" applyFont="1" applyBorder="1" applyAlignment="1">
      <alignment horizontal="center" vertical="center" wrapText="1"/>
    </xf>
    <xf numFmtId="0" fontId="45" fillId="0" borderId="30" xfId="0" applyFont="1" applyBorder="1" applyAlignment="1">
      <alignment horizontal="center" vertical="center" wrapText="1"/>
    </xf>
    <xf numFmtId="0" fontId="24" fillId="0" borderId="30" xfId="0" applyFont="1" applyBorder="1" applyAlignment="1">
      <alignment horizontal="center" vertical="center"/>
    </xf>
    <xf numFmtId="0" fontId="24" fillId="0" borderId="33"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0" xfId="0" applyFont="1" applyAlignment="1">
      <alignment horizontal="center" vertical="center" wrapText="1"/>
    </xf>
    <xf numFmtId="0" fontId="24" fillId="0" borderId="35" xfId="0" applyFont="1" applyBorder="1" applyAlignment="1">
      <alignment horizontal="center" vertical="center" wrapText="1"/>
    </xf>
    <xf numFmtId="0" fontId="39" fillId="0" borderId="0" xfId="0" applyFont="1" applyAlignment="1">
      <alignment horizontal="center"/>
    </xf>
    <xf numFmtId="0" fontId="8" fillId="16" borderId="36" xfId="0" applyFont="1" applyFill="1" applyBorder="1" applyAlignment="1" applyProtection="1">
      <alignment horizontal="center" vertical="center" wrapText="1"/>
      <protection locked="0"/>
    </xf>
    <xf numFmtId="0" fontId="8" fillId="0" borderId="36" xfId="0" applyFont="1" applyBorder="1" applyAlignment="1">
      <alignment horizontal="center" vertical="center" wrapText="1"/>
    </xf>
    <xf numFmtId="0" fontId="0" fillId="0" borderId="37" xfId="0" applyBorder="1" applyAlignment="1">
      <alignment vertical="center" wrapText="1" shrinkToFit="1"/>
    </xf>
    <xf numFmtId="49" fontId="0" fillId="16" borderId="38" xfId="0" applyNumberFormat="1" applyFill="1" applyBorder="1" applyAlignment="1" applyProtection="1">
      <alignment horizontal="center" vertical="center" wrapText="1"/>
      <protection locked="0"/>
    </xf>
    <xf numFmtId="49" fontId="0" fillId="6" borderId="38" xfId="0" applyNumberFormat="1" applyFill="1" applyBorder="1" applyAlignment="1" applyProtection="1">
      <alignment horizontal="center" vertical="center" wrapText="1"/>
      <protection locked="0"/>
    </xf>
    <xf numFmtId="0" fontId="0" fillId="6" borderId="38" xfId="0" applyFill="1" applyBorder="1" applyAlignment="1" applyProtection="1">
      <alignment horizontal="left" vertical="center" wrapText="1"/>
      <protection locked="0"/>
    </xf>
    <xf numFmtId="0" fontId="0" fillId="6" borderId="38" xfId="0" applyFill="1" applyBorder="1" applyAlignment="1" applyProtection="1">
      <alignment horizontal="center" vertical="center" wrapText="1"/>
      <protection locked="0"/>
    </xf>
    <xf numFmtId="171" fontId="0" fillId="0" borderId="38" xfId="48" applyFont="1" applyFill="1" applyBorder="1" applyAlignment="1" applyProtection="1">
      <alignment vertical="center" shrinkToFit="1"/>
    </xf>
    <xf numFmtId="171" fontId="0" fillId="6" borderId="38" xfId="48" applyFont="1" applyFill="1" applyBorder="1" applyAlignment="1" applyProtection="1">
      <alignment vertical="center" wrapText="1"/>
      <protection locked="0"/>
    </xf>
    <xf numFmtId="10" fontId="0" fillId="16" borderId="38" xfId="37" applyNumberFormat="1" applyFont="1" applyFill="1" applyBorder="1" applyAlignment="1" applyProtection="1">
      <alignment horizontal="center" vertical="center" wrapText="1"/>
      <protection locked="0"/>
    </xf>
    <xf numFmtId="171" fontId="0" fillId="0" borderId="39" xfId="48" applyFont="1" applyFill="1" applyBorder="1" applyAlignment="1" applyProtection="1">
      <alignment horizontal="center" vertical="center" shrinkToFit="1"/>
    </xf>
    <xf numFmtId="10" fontId="39" fillId="16" borderId="40" xfId="37" applyNumberFormat="1" applyFont="1" applyFill="1" applyBorder="1" applyAlignment="1" applyProtection="1">
      <alignment horizontal="center" vertical="center"/>
      <protection locked="0"/>
    </xf>
    <xf numFmtId="0" fontId="0" fillId="0" borderId="41" xfId="0" applyBorder="1"/>
    <xf numFmtId="0" fontId="0" fillId="0" borderId="42" xfId="0" applyBorder="1"/>
    <xf numFmtId="0" fontId="22" fillId="0" borderId="0" xfId="0" applyFont="1"/>
    <xf numFmtId="0" fontId="24" fillId="17" borderId="30" xfId="0" applyFont="1" applyFill="1" applyBorder="1" applyAlignment="1">
      <alignment horizontal="center" vertical="center"/>
    </xf>
    <xf numFmtId="171" fontId="24" fillId="17" borderId="43" xfId="48" applyFont="1" applyFill="1" applyBorder="1" applyAlignment="1" applyProtection="1">
      <alignment horizontal="center" vertical="center" shrinkToFit="1"/>
    </xf>
    <xf numFmtId="171" fontId="21" fillId="17" borderId="43" xfId="48" applyFont="1" applyFill="1" applyBorder="1" applyAlignment="1" applyProtection="1">
      <alignment horizontal="center" vertical="center" shrinkToFit="1"/>
    </xf>
    <xf numFmtId="0" fontId="0" fillId="4" borderId="43" xfId="0" applyFill="1" applyBorder="1"/>
    <xf numFmtId="0" fontId="30" fillId="0" borderId="0" xfId="0" applyFont="1"/>
    <xf numFmtId="0" fontId="30" fillId="0" borderId="31"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8" xfId="0" applyNumberFormat="1" applyBorder="1" applyAlignment="1">
      <alignment horizontal="left"/>
    </xf>
    <xf numFmtId="0" fontId="17" fillId="0" borderId="28"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1"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4" xfId="33" applyFont="1" applyBorder="1" applyAlignment="1">
      <alignment vertical="top"/>
    </xf>
    <xf numFmtId="0" fontId="0" fillId="0" borderId="28" xfId="33" applyFont="1" applyBorder="1" applyAlignment="1">
      <alignment vertical="top" wrapText="1"/>
    </xf>
    <xf numFmtId="0" fontId="22" fillId="0" borderId="28"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5" xfId="0" applyFill="1" applyBorder="1" applyAlignment="1" applyProtection="1">
      <alignment horizontal="center" textRotation="90" wrapText="1"/>
      <protection locked="0"/>
    </xf>
    <xf numFmtId="0" fontId="0" fillId="6" borderId="46" xfId="0" applyFill="1" applyBorder="1" applyAlignment="1" applyProtection="1">
      <alignment horizontal="center" textRotation="90" wrapText="1"/>
      <protection locked="0"/>
    </xf>
    <xf numFmtId="0" fontId="0" fillId="0" borderId="35" xfId="0" applyBorder="1" applyAlignment="1">
      <alignment horizontal="center" textRotation="90" wrapText="1"/>
    </xf>
    <xf numFmtId="0" fontId="0" fillId="0" borderId="45" xfId="0" applyBorder="1" applyAlignment="1">
      <alignment horizontal="center" textRotation="90" wrapText="1"/>
    </xf>
    <xf numFmtId="0" fontId="0" fillId="0" borderId="46" xfId="0" applyBorder="1" applyAlignment="1">
      <alignment horizontal="center" textRotation="90" wrapText="1"/>
    </xf>
    <xf numFmtId="0" fontId="24" fillId="0" borderId="47"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46" xfId="0" applyFont="1" applyBorder="1" applyAlignment="1">
      <alignment horizontal="center" vertical="center" wrapText="1"/>
    </xf>
    <xf numFmtId="0" fontId="0" fillId="0" borderId="38" xfId="0" applyBorder="1" applyAlignment="1">
      <alignment horizontal="left" vertical="center" wrapText="1"/>
    </xf>
    <xf numFmtId="0" fontId="0" fillId="0" borderId="38" xfId="0" applyBorder="1" applyAlignment="1">
      <alignment horizontal="center" vertical="center" wrapText="1"/>
    </xf>
    <xf numFmtId="0" fontId="47" fillId="0" borderId="0" xfId="0" applyFont="1" applyAlignment="1">
      <alignment horizontal="center"/>
    </xf>
    <xf numFmtId="0" fontId="21" fillId="0" borderId="34" xfId="48" applyNumberFormat="1" applyFont="1" applyFill="1" applyBorder="1" applyAlignment="1" applyProtection="1">
      <alignment horizontal="center" vertical="center" wrapText="1" shrinkToFit="1"/>
    </xf>
    <xf numFmtId="0" fontId="21" fillId="0" borderId="40" xfId="48" applyNumberFormat="1" applyFont="1" applyFill="1" applyBorder="1" applyAlignment="1" applyProtection="1">
      <alignment vertical="center" wrapText="1" shrinkToFit="1"/>
    </xf>
    <xf numFmtId="171" fontId="0" fillId="6" borderId="37" xfId="48" applyFont="1" applyFill="1" applyBorder="1" applyAlignment="1" applyProtection="1">
      <alignment vertical="center" shrinkToFit="1"/>
      <protection locked="0"/>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 fontId="0" fillId="0" borderId="50" xfId="48" applyNumberFormat="1" applyFont="1" applyFill="1" applyBorder="1" applyAlignment="1" applyProtection="1">
      <alignment horizontal="center" vertical="center" shrinkToFit="1"/>
    </xf>
    <xf numFmtId="1" fontId="0" fillId="0" borderId="51" xfId="48" applyNumberFormat="1" applyFont="1" applyFill="1" applyBorder="1" applyAlignment="1" applyProtection="1">
      <alignment horizontal="center" vertical="center" shrinkToFit="1"/>
    </xf>
    <xf numFmtId="0" fontId="24" fillId="17" borderId="30" xfId="0" applyFont="1" applyFill="1" applyBorder="1" applyAlignment="1">
      <alignment horizontal="right" vertical="center"/>
    </xf>
    <xf numFmtId="4" fontId="24" fillId="17" borderId="52" xfId="0" applyNumberFormat="1" applyFont="1" applyFill="1" applyBorder="1" applyAlignment="1">
      <alignment horizontal="right" vertical="center" shrinkToFit="1"/>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35" xfId="0" applyNumberFormat="1" applyFont="1" applyFill="1" applyBorder="1" applyAlignment="1">
      <alignment horizontal="right" vertical="center" shrinkToFit="1"/>
    </xf>
    <xf numFmtId="0" fontId="24" fillId="17" borderId="35" xfId="0" applyFont="1" applyFill="1" applyBorder="1" applyAlignment="1">
      <alignment horizontal="right" vertical="center" shrinkToFit="1"/>
    </xf>
    <xf numFmtId="167" fontId="0" fillId="0" borderId="28" xfId="0" applyNumberFormat="1" applyBorder="1"/>
    <xf numFmtId="0" fontId="0" fillId="0" borderId="28" xfId="0" applyBorder="1"/>
    <xf numFmtId="0" fontId="0" fillId="0" borderId="0" xfId="33" applyFont="1" applyAlignment="1">
      <alignment vertical="center"/>
    </xf>
    <xf numFmtId="0" fontId="46" fillId="0" borderId="30" xfId="0" applyFont="1" applyBorder="1" applyAlignment="1">
      <alignment horizontal="center" vertical="center"/>
    </xf>
    <xf numFmtId="171" fontId="56" fillId="0" borderId="30" xfId="48" applyFill="1" applyBorder="1" applyAlignment="1" applyProtection="1"/>
    <xf numFmtId="0" fontId="0" fillId="18" borderId="43"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5" xfId="38" applyNumberFormat="1" applyFont="1" applyFill="1" applyBorder="1" applyAlignment="1" applyProtection="1">
      <alignment horizontal="center"/>
    </xf>
    <xf numFmtId="10" fontId="46" fillId="0" borderId="32" xfId="34" applyNumberFormat="1" applyFont="1" applyBorder="1" applyAlignment="1">
      <alignment horizontal="center"/>
    </xf>
    <xf numFmtId="172" fontId="46" fillId="0" borderId="56" xfId="34" applyNumberFormat="1" applyFont="1" applyBorder="1" applyAlignment="1">
      <alignment horizontal="left"/>
    </xf>
    <xf numFmtId="10" fontId="46" fillId="0" borderId="57" xfId="34" applyNumberFormat="1" applyFont="1" applyBorder="1" applyAlignment="1">
      <alignment horizontal="left"/>
    </xf>
    <xf numFmtId="1" fontId="46" fillId="0" borderId="57" xfId="34" applyNumberFormat="1" applyFont="1" applyBorder="1" applyAlignment="1">
      <alignment horizontal="center"/>
    </xf>
    <xf numFmtId="0" fontId="46" fillId="0" borderId="57" xfId="34" applyFont="1" applyBorder="1" applyAlignment="1">
      <alignment horizontal="center"/>
    </xf>
    <xf numFmtId="173" fontId="56" fillId="0" borderId="58" xfId="48" applyNumberFormat="1" applyFill="1" applyBorder="1" applyAlignment="1" applyProtection="1">
      <alignment horizontal="right" shrinkToFit="1"/>
    </xf>
    <xf numFmtId="173" fontId="0" fillId="0" borderId="32" xfId="48" applyNumberFormat="1" applyFont="1" applyFill="1" applyBorder="1" applyAlignment="1" applyProtection="1">
      <alignment horizontal="center" vertical="center"/>
    </xf>
    <xf numFmtId="0" fontId="46" fillId="0" borderId="29" xfId="34" applyFont="1" applyBorder="1" applyAlignment="1">
      <alignment horizontal="center"/>
    </xf>
    <xf numFmtId="0" fontId="46" fillId="0" borderId="59" xfId="34" applyFont="1" applyBorder="1"/>
    <xf numFmtId="0" fontId="32" fillId="0" borderId="59" xfId="34" applyFont="1" applyBorder="1"/>
    <xf numFmtId="0" fontId="46" fillId="0" borderId="59" xfId="34" applyFont="1" applyBorder="1" applyAlignment="1">
      <alignment horizontal="center"/>
    </xf>
    <xf numFmtId="165" fontId="0" fillId="0" borderId="59" xfId="49" applyFont="1" applyFill="1" applyBorder="1" applyAlignment="1" applyProtection="1">
      <alignment horizontal="right" shrinkToFit="1"/>
    </xf>
    <xf numFmtId="173" fontId="0" fillId="0" borderId="29" xfId="48" applyNumberFormat="1" applyFont="1" applyFill="1" applyBorder="1" applyAlignment="1" applyProtection="1">
      <alignment horizontal="center" vertical="center"/>
    </xf>
    <xf numFmtId="165" fontId="48" fillId="0" borderId="60"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1" xfId="34" applyFont="1" applyBorder="1"/>
    <xf numFmtId="0" fontId="46" fillId="0" borderId="12" xfId="34" applyFont="1" applyBorder="1"/>
    <xf numFmtId="0" fontId="24" fillId="0" borderId="31" xfId="49" applyNumberFormat="1" applyFont="1" applyFill="1" applyBorder="1" applyAlignment="1" applyProtection="1">
      <alignment horizontal="left"/>
    </xf>
    <xf numFmtId="165" fontId="24" fillId="0" borderId="31"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29" xfId="34" applyFont="1" applyBorder="1" applyAlignment="1">
      <alignment horizontal="center"/>
    </xf>
    <xf numFmtId="0" fontId="46" fillId="0" borderId="44" xfId="34" applyFont="1" applyBorder="1"/>
    <xf numFmtId="0" fontId="46" fillId="16" borderId="30" xfId="34" applyFont="1" applyFill="1" applyBorder="1" applyAlignment="1" applyProtection="1">
      <alignment horizontal="center"/>
      <protection locked="0"/>
    </xf>
    <xf numFmtId="0" fontId="46" fillId="0" borderId="28" xfId="34" applyFont="1" applyBorder="1"/>
    <xf numFmtId="0" fontId="49" fillId="0" borderId="47"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8" xfId="34" applyFont="1" applyBorder="1" applyAlignment="1" applyProtection="1">
      <alignment horizontal="center"/>
      <protection locked="0"/>
    </xf>
    <xf numFmtId="0" fontId="46" fillId="0" borderId="0" xfId="34" applyFont="1" applyAlignment="1">
      <alignment horizontal="center" wrapText="1"/>
    </xf>
    <xf numFmtId="174" fontId="49" fillId="0" borderId="52" xfId="34" applyNumberFormat="1" applyFont="1" applyBorder="1" applyAlignment="1">
      <alignment horizontal="center"/>
    </xf>
    <xf numFmtId="0" fontId="49" fillId="0" borderId="28" xfId="34" applyFont="1" applyBorder="1" applyAlignment="1">
      <alignment horizontal="left" vertical="center" wrapText="1"/>
    </xf>
    <xf numFmtId="0" fontId="46" fillId="0" borderId="28" xfId="34" applyFont="1" applyBorder="1" applyAlignment="1">
      <alignment horizontal="center" vertical="center"/>
    </xf>
    <xf numFmtId="0" fontId="46" fillId="0" borderId="28" xfId="34" applyFont="1" applyBorder="1" applyAlignment="1">
      <alignment horizontal="center" vertical="center" wrapText="1"/>
    </xf>
    <xf numFmtId="174" fontId="49" fillId="0" borderId="53" xfId="34" applyNumberFormat="1" applyFont="1" applyBorder="1" applyAlignment="1" applyProtection="1">
      <alignment horizontal="center"/>
      <protection locked="0"/>
    </xf>
    <xf numFmtId="0" fontId="46" fillId="8" borderId="32" xfId="34" applyFont="1" applyFill="1" applyBorder="1"/>
    <xf numFmtId="165" fontId="24" fillId="0" borderId="0" xfId="49" applyFont="1" applyFill="1" applyBorder="1" applyAlignment="1" applyProtection="1">
      <alignment horizontal="center" shrinkToFit="1"/>
    </xf>
    <xf numFmtId="165" fontId="0" fillId="8" borderId="61" xfId="49" applyFont="1" applyFill="1" applyBorder="1" applyAlignment="1" applyProtection="1">
      <alignment horizontal="center"/>
    </xf>
    <xf numFmtId="165" fontId="0" fillId="8" borderId="62" xfId="49" applyFont="1" applyFill="1" applyBorder="1" applyAlignment="1" applyProtection="1">
      <alignment horizontal="right"/>
    </xf>
    <xf numFmtId="171" fontId="56" fillId="0" borderId="38" xfId="48" applyFill="1" applyBorder="1" applyAlignment="1" applyProtection="1">
      <alignment shrinkToFit="1"/>
    </xf>
    <xf numFmtId="0" fontId="46" fillId="8" borderId="29" xfId="34" applyFont="1" applyFill="1" applyBorder="1"/>
    <xf numFmtId="165" fontId="0" fillId="0" borderId="36" xfId="49" applyFont="1" applyFill="1" applyBorder="1" applyAlignment="1" applyProtection="1">
      <alignment horizontal="center"/>
    </xf>
    <xf numFmtId="165" fontId="0" fillId="0" borderId="64" xfId="49" applyFont="1" applyFill="1" applyBorder="1" applyAlignment="1" applyProtection="1">
      <alignment horizontal="right"/>
    </xf>
    <xf numFmtId="0" fontId="49" fillId="0" borderId="0" xfId="34" applyFont="1" applyAlignment="1">
      <alignment horizontal="left"/>
    </xf>
    <xf numFmtId="0" fontId="46" fillId="8" borderId="29" xfId="34" applyFont="1" applyFill="1" applyBorder="1" applyAlignment="1">
      <alignment horizontal="center"/>
    </xf>
    <xf numFmtId="165" fontId="0" fillId="8" borderId="36" xfId="49" applyFont="1" applyFill="1" applyBorder="1" applyAlignment="1" applyProtection="1">
      <alignment horizontal="center"/>
    </xf>
    <xf numFmtId="165" fontId="0" fillId="8" borderId="64" xfId="49" applyFont="1" applyFill="1" applyBorder="1" applyAlignment="1" applyProtection="1">
      <alignment horizontal="right"/>
    </xf>
    <xf numFmtId="171" fontId="56" fillId="0" borderId="41" xfId="48" applyFill="1" applyBorder="1" applyAlignment="1" applyProtection="1">
      <alignment shrinkToFit="1"/>
    </xf>
    <xf numFmtId="165" fontId="0" fillId="0" borderId="56" xfId="49" applyFont="1" applyFill="1" applyBorder="1" applyAlignment="1" applyProtection="1">
      <alignment horizontal="center"/>
    </xf>
    <xf numFmtId="165" fontId="0" fillId="0" borderId="58" xfId="49" applyFont="1" applyFill="1" applyBorder="1" applyAlignment="1" applyProtection="1">
      <alignment horizontal="right"/>
    </xf>
    <xf numFmtId="0" fontId="46" fillId="8" borderId="13" xfId="34" applyFont="1" applyFill="1" applyBorder="1"/>
    <xf numFmtId="165" fontId="24" fillId="8" borderId="67" xfId="49" applyFont="1" applyFill="1" applyBorder="1" applyAlignment="1" applyProtection="1">
      <alignment horizontal="center"/>
    </xf>
    <xf numFmtId="165" fontId="24" fillId="8" borderId="68" xfId="49" applyFont="1" applyFill="1" applyBorder="1" applyAlignment="1" applyProtection="1">
      <alignment horizontal="right"/>
    </xf>
    <xf numFmtId="0" fontId="46" fillId="0" borderId="28" xfId="34" applyFont="1" applyBorder="1" applyAlignment="1">
      <alignment horizontal="center"/>
    </xf>
    <xf numFmtId="165" fontId="0" fillId="0" borderId="28" xfId="49" applyFont="1" applyFill="1" applyBorder="1" applyAlignment="1" applyProtection="1">
      <alignment horizontal="center"/>
    </xf>
    <xf numFmtId="0" fontId="0" fillId="0" borderId="38" xfId="0" applyBorder="1" applyAlignment="1">
      <alignment horizontal="center"/>
    </xf>
    <xf numFmtId="1" fontId="0" fillId="6" borderId="38"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1" xfId="0" applyFont="1" applyFill="1" applyBorder="1"/>
    <xf numFmtId="0" fontId="24" fillId="8" borderId="72" xfId="0" applyFont="1" applyFill="1" applyBorder="1"/>
    <xf numFmtId="0" fontId="24" fillId="8" borderId="73" xfId="0" applyFont="1" applyFill="1" applyBorder="1"/>
    <xf numFmtId="0" fontId="0" fillId="18" borderId="38" xfId="0" applyFill="1" applyBorder="1" applyAlignment="1">
      <alignment horizontal="center"/>
    </xf>
    <xf numFmtId="0" fontId="0" fillId="18" borderId="38" xfId="0" applyFill="1" applyBorder="1"/>
    <xf numFmtId="0" fontId="0" fillId="8" borderId="74" xfId="0" applyFill="1" applyBorder="1"/>
    <xf numFmtId="0" fontId="0" fillId="8" borderId="75" xfId="0" applyFill="1" applyBorder="1"/>
    <xf numFmtId="0" fontId="0" fillId="8" borderId="76" xfId="0" applyFill="1" applyBorder="1"/>
    <xf numFmtId="0" fontId="46" fillId="19" borderId="30"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1" xfId="0" applyBorder="1"/>
    <xf numFmtId="0" fontId="52" fillId="0" borderId="0" xfId="0" applyFont="1"/>
    <xf numFmtId="0" fontId="24" fillId="0" borderId="0" xfId="0" applyFont="1" applyAlignment="1">
      <alignment horizontal="right"/>
    </xf>
    <xf numFmtId="0" fontId="23" fillId="0" borderId="31" xfId="0" applyFont="1" applyBorder="1"/>
    <xf numFmtId="0" fontId="24" fillId="8" borderId="30" xfId="0" applyFont="1" applyFill="1" applyBorder="1" applyAlignment="1">
      <alignment horizontal="center"/>
    </xf>
    <xf numFmtId="0" fontId="24" fillId="0" borderId="32"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0" xfId="0" applyNumberFormat="1" applyBorder="1" applyAlignment="1">
      <alignment horizontal="center" vertical="center" wrapText="1"/>
    </xf>
    <xf numFmtId="0" fontId="24" fillId="0" borderId="29"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2" xfId="0" applyFont="1" applyBorder="1" applyAlignment="1">
      <alignment horizontal="center"/>
    </xf>
    <xf numFmtId="178" fontId="0" fillId="0" borderId="44"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7" xfId="0" applyNumberFormat="1" applyFont="1" applyBorder="1" applyAlignment="1">
      <alignment horizontal="center" vertical="center"/>
    </xf>
    <xf numFmtId="0" fontId="0" fillId="0" borderId="38" xfId="0" applyBorder="1" applyAlignment="1">
      <alignment horizontal="center" vertical="center"/>
    </xf>
    <xf numFmtId="178" fontId="0" fillId="0" borderId="36" xfId="0" applyNumberFormat="1" applyBorder="1" applyAlignment="1">
      <alignment horizontal="center" vertical="center"/>
    </xf>
    <xf numFmtId="178" fontId="0" fillId="0" borderId="74" xfId="0" applyNumberFormat="1" applyBorder="1" applyAlignment="1">
      <alignment horizontal="center" vertical="center"/>
    </xf>
    <xf numFmtId="178" fontId="0" fillId="0" borderId="64" xfId="0" applyNumberFormat="1" applyBorder="1" applyAlignment="1">
      <alignment horizontal="center" vertical="center"/>
    </xf>
    <xf numFmtId="178" fontId="0" fillId="0" borderId="40" xfId="0" applyNumberFormat="1" applyBorder="1" applyAlignment="1">
      <alignment horizontal="center" vertical="center"/>
    </xf>
    <xf numFmtId="178" fontId="0" fillId="6" borderId="65" xfId="0" applyNumberFormat="1" applyFill="1" applyBorder="1" applyAlignment="1" applyProtection="1">
      <alignment horizontal="center" vertical="center"/>
      <protection locked="0"/>
    </xf>
    <xf numFmtId="178" fontId="0" fillId="6" borderId="42"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3" xfId="0" applyFont="1" applyBorder="1" applyAlignment="1">
      <alignment horizontal="center" vertical="center" wrapText="1"/>
    </xf>
    <xf numFmtId="0" fontId="24" fillId="0" borderId="32"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7" xfId="0" applyFill="1" applyBorder="1"/>
    <xf numFmtId="0" fontId="0" fillId="8" borderId="10" xfId="0" applyFill="1" applyBorder="1"/>
    <xf numFmtId="178" fontId="17" fillId="8" borderId="77"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2" xfId="0" applyNumberFormat="1" applyFont="1" applyFill="1" applyBorder="1" applyAlignment="1">
      <alignment horizontal="center" vertical="center"/>
    </xf>
    <xf numFmtId="0" fontId="0" fillId="18" borderId="32" xfId="0" applyFill="1" applyBorder="1"/>
    <xf numFmtId="0" fontId="0" fillId="18" borderId="32" xfId="0" applyFill="1" applyBorder="1" applyAlignment="1">
      <alignment horizontal="center"/>
    </xf>
    <xf numFmtId="0" fontId="0" fillId="18" borderId="77"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4" xfId="0" applyFill="1" applyBorder="1"/>
    <xf numFmtId="0" fontId="0" fillId="8" borderId="28" xfId="0" applyFill="1" applyBorder="1"/>
    <xf numFmtId="181" fontId="8" fillId="8" borderId="44"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27"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4" xfId="0" applyFill="1" applyBorder="1"/>
    <xf numFmtId="0" fontId="0" fillId="18" borderId="28" xfId="0" applyFill="1" applyBorder="1" applyAlignment="1">
      <alignment horizontal="center"/>
    </xf>
    <xf numFmtId="0" fontId="0" fillId="18" borderId="28" xfId="0" applyFill="1" applyBorder="1"/>
    <xf numFmtId="0" fontId="0" fillId="18" borderId="27"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7" xfId="0" applyBorder="1"/>
    <xf numFmtId="0" fontId="37" fillId="0" borderId="0" xfId="0" applyFont="1" applyAlignment="1">
      <alignment horizontal="left" vertical="center" indent="12"/>
    </xf>
    <xf numFmtId="0" fontId="0" fillId="0" borderId="44" xfId="33" applyFont="1" applyBorder="1" applyAlignment="1">
      <alignment vertical="top" wrapText="1"/>
    </xf>
    <xf numFmtId="182" fontId="0" fillId="0" borderId="27" xfId="33" applyNumberFormat="1" applyFont="1" applyBorder="1" applyAlignment="1">
      <alignment horizontal="left" vertical="top" wrapText="1"/>
    </xf>
    <xf numFmtId="0" fontId="0" fillId="0" borderId="32" xfId="0" applyBorder="1"/>
    <xf numFmtId="0" fontId="0" fillId="0" borderId="29" xfId="0" applyBorder="1"/>
    <xf numFmtId="49" fontId="0" fillId="0" borderId="13" xfId="33" applyNumberFormat="1" applyFont="1" applyBorder="1" applyAlignment="1">
      <alignment vertical="top" wrapText="1"/>
    </xf>
    <xf numFmtId="0" fontId="23" fillId="0" borderId="44" xfId="0" applyFont="1" applyBorder="1"/>
    <xf numFmtId="14" fontId="24" fillId="6" borderId="35" xfId="0" applyNumberFormat="1" applyFont="1" applyFill="1" applyBorder="1" applyAlignment="1" applyProtection="1">
      <alignment horizontal="center" vertical="center" wrapText="1"/>
      <protection locked="0"/>
    </xf>
    <xf numFmtId="14" fontId="24" fillId="6" borderId="45"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0" fontId="24" fillId="0" borderId="32" xfId="0" applyFont="1" applyBorder="1" applyAlignment="1">
      <alignment horizontal="center" vertical="center"/>
    </xf>
    <xf numFmtId="183" fontId="24" fillId="8" borderId="32" xfId="0" applyNumberFormat="1" applyFont="1" applyFill="1" applyBorder="1" applyAlignment="1">
      <alignment horizontal="center" vertical="center" wrapText="1"/>
    </xf>
    <xf numFmtId="171" fontId="0" fillId="0" borderId="36" xfId="48" applyFont="1" applyFill="1" applyBorder="1" applyAlignment="1" applyProtection="1">
      <alignment vertical="center" shrinkToFit="1"/>
    </xf>
    <xf numFmtId="171" fontId="0" fillId="0" borderId="64" xfId="48" applyFont="1" applyFill="1" applyBorder="1" applyAlignment="1" applyProtection="1">
      <alignment vertical="center" shrinkToFit="1"/>
    </xf>
    <xf numFmtId="171" fontId="0" fillId="0" borderId="37" xfId="48" applyFont="1" applyFill="1" applyBorder="1" applyAlignment="1" applyProtection="1">
      <alignment horizontal="center" vertical="center" shrinkToFit="1"/>
    </xf>
    <xf numFmtId="171" fontId="0" fillId="0" borderId="38" xfId="48" applyFont="1" applyFill="1" applyBorder="1" applyAlignment="1" applyProtection="1">
      <alignment horizontal="center" vertical="center" shrinkToFit="1"/>
    </xf>
    <xf numFmtId="171" fontId="0" fillId="6" borderId="37" xfId="48" applyFont="1" applyFill="1" applyBorder="1" applyAlignment="1" applyProtection="1">
      <protection locked="0"/>
    </xf>
    <xf numFmtId="171" fontId="0" fillId="6" borderId="39" xfId="48" applyFont="1" applyFill="1" applyBorder="1" applyAlignment="1" applyProtection="1">
      <protection locked="0"/>
    </xf>
    <xf numFmtId="165" fontId="0" fillId="0" borderId="38"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0" xfId="0" applyFill="1" applyBorder="1"/>
    <xf numFmtId="0" fontId="0" fillId="17" borderId="33" xfId="0" applyFill="1" applyBorder="1"/>
    <xf numFmtId="0" fontId="0" fillId="17" borderId="59" xfId="0" applyFill="1" applyBorder="1"/>
    <xf numFmtId="0" fontId="0" fillId="17" borderId="78" xfId="0" applyFill="1" applyBorder="1"/>
    <xf numFmtId="0" fontId="23" fillId="0" borderId="0" xfId="0" applyFont="1" applyAlignment="1">
      <alignment horizontal="left" vertical="center" indent="15"/>
    </xf>
    <xf numFmtId="0" fontId="0" fillId="0" borderId="43" xfId="0" applyBorder="1" applyAlignment="1">
      <alignment horizontal="center" wrapText="1"/>
    </xf>
    <xf numFmtId="0" fontId="24" fillId="0" borderId="30" xfId="0" applyFont="1" applyBorder="1" applyAlignment="1">
      <alignment horizontal="right" vertical="center" wrapText="1"/>
    </xf>
    <xf numFmtId="184" fontId="24" fillId="0" borderId="30" xfId="31" applyNumberFormat="1" applyFont="1" applyFill="1" applyBorder="1" applyAlignment="1" applyProtection="1">
      <alignment horizontal="right" vertical="center" shrinkToFit="1"/>
    </xf>
    <xf numFmtId="0" fontId="24" fillId="0" borderId="12" xfId="35" applyFont="1" applyBorder="1"/>
    <xf numFmtId="0" fontId="0" fillId="0" borderId="27" xfId="0" applyBorder="1" applyAlignment="1">
      <alignment shrinkToFit="1"/>
    </xf>
    <xf numFmtId="0" fontId="0" fillId="0" borderId="29" xfId="33" applyFont="1" applyBorder="1" applyAlignment="1">
      <alignment vertical="top" wrapText="1"/>
    </xf>
    <xf numFmtId="4" fontId="0" fillId="0" borderId="13" xfId="33" applyNumberFormat="1" applyFont="1" applyBorder="1" applyAlignment="1">
      <alignment horizontal="left" vertical="top" wrapText="1"/>
    </xf>
    <xf numFmtId="4" fontId="0" fillId="0" borderId="44"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4" xfId="0" applyNumberFormat="1" applyFont="1" applyBorder="1" applyAlignment="1">
      <alignment horizontal="center"/>
    </xf>
    <xf numFmtId="10" fontId="24" fillId="0" borderId="27" xfId="0" applyNumberFormat="1" applyFont="1" applyBorder="1" applyAlignment="1">
      <alignment horizontal="center" shrinkToFit="1"/>
    </xf>
    <xf numFmtId="178" fontId="0" fillId="0" borderId="28" xfId="0" applyNumberFormat="1" applyBorder="1" applyAlignment="1">
      <alignment horizontal="center" vertical="center"/>
    </xf>
    <xf numFmtId="0" fontId="0" fillId="0" borderId="10" xfId="0" applyBorder="1" applyAlignment="1">
      <alignment wrapText="1"/>
    </xf>
    <xf numFmtId="0" fontId="0" fillId="0" borderId="38" xfId="0" applyBorder="1" applyAlignment="1">
      <alignment horizontal="left" vertical="top"/>
    </xf>
    <xf numFmtId="49" fontId="0" fillId="0" borderId="38" xfId="0" applyNumberFormat="1" applyBorder="1" applyAlignment="1">
      <alignment horizontal="center" vertical="center" wrapText="1"/>
    </xf>
    <xf numFmtId="0" fontId="0" fillId="0" borderId="39" xfId="0" applyBorder="1" applyAlignment="1">
      <alignment horizontal="center" vertical="center"/>
    </xf>
    <xf numFmtId="0" fontId="0" fillId="0" borderId="74" xfId="0" applyBorder="1" applyAlignment="1">
      <alignment horizontal="center" vertical="center"/>
    </xf>
    <xf numFmtId="178" fontId="0" fillId="0" borderId="0" xfId="0" applyNumberFormat="1" applyAlignment="1">
      <alignment horizontal="center" vertical="center"/>
    </xf>
    <xf numFmtId="10" fontId="0" fillId="0" borderId="64" xfId="0" applyNumberFormat="1" applyBorder="1" applyAlignment="1">
      <alignment horizontal="center" vertical="center"/>
    </xf>
    <xf numFmtId="0" fontId="0" fillId="0" borderId="31" xfId="0" applyBorder="1" applyAlignment="1">
      <alignment horizontal="center" vertical="center" wrapText="1"/>
    </xf>
    <xf numFmtId="181" fontId="8" fillId="8" borderId="79" xfId="0" applyNumberFormat="1" applyFont="1" applyFill="1" applyBorder="1" applyAlignment="1">
      <alignment horizontal="center"/>
    </xf>
    <xf numFmtId="181" fontId="8" fillId="8" borderId="80" xfId="0" applyNumberFormat="1" applyFont="1" applyFill="1" applyBorder="1" applyAlignment="1">
      <alignment horizontal="center"/>
    </xf>
    <xf numFmtId="181" fontId="8" fillId="8" borderId="61" xfId="0" applyNumberFormat="1" applyFont="1" applyFill="1" applyBorder="1" applyAlignment="1">
      <alignment horizontal="center"/>
    </xf>
    <xf numFmtId="181" fontId="8" fillId="8" borderId="62" xfId="0" applyNumberFormat="1" applyFont="1" applyFill="1" applyBorder="1" applyAlignment="1">
      <alignment horizontal="center"/>
    </xf>
    <xf numFmtId="0" fontId="0" fillId="18" borderId="31"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0" xfId="0" applyNumberFormat="1" applyFill="1" applyBorder="1" applyAlignment="1">
      <alignment horizontal="center" vertical="center"/>
    </xf>
    <xf numFmtId="178" fontId="0" fillId="8" borderId="36" xfId="0" applyNumberFormat="1" applyFill="1" applyBorder="1" applyAlignment="1">
      <alignment horizontal="center" vertical="center"/>
    </xf>
    <xf numFmtId="178" fontId="0" fillId="8" borderId="74" xfId="0" applyNumberFormat="1" applyFill="1" applyBorder="1" applyAlignment="1">
      <alignment horizontal="center" vertical="center"/>
    </xf>
    <xf numFmtId="178" fontId="0" fillId="8" borderId="64" xfId="0" applyNumberFormat="1" applyFill="1" applyBorder="1" applyAlignment="1">
      <alignment horizontal="center" vertical="center"/>
    </xf>
    <xf numFmtId="0" fontId="0" fillId="18" borderId="79" xfId="0" applyFill="1" applyBorder="1" applyAlignment="1">
      <alignment horizontal="right"/>
    </xf>
    <xf numFmtId="178" fontId="55" fillId="0" borderId="38" xfId="0" applyNumberFormat="1" applyFont="1" applyBorder="1"/>
    <xf numFmtId="178" fontId="0" fillId="0" borderId="81" xfId="0" applyNumberFormat="1" applyBorder="1" applyAlignment="1">
      <alignment horizontal="center" vertical="center"/>
    </xf>
    <xf numFmtId="178" fontId="0" fillId="0" borderId="56"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0" fontId="0" fillId="18" borderId="82" xfId="0" applyFill="1" applyBorder="1" applyAlignment="1">
      <alignment horizontal="right"/>
    </xf>
    <xf numFmtId="178" fontId="17" fillId="8" borderId="30" xfId="0" applyNumberFormat="1" applyFont="1" applyFill="1" applyBorder="1" applyAlignment="1">
      <alignment horizontal="center" vertical="center"/>
    </xf>
    <xf numFmtId="178" fontId="17" fillId="8" borderId="43"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8" xfId="48" applyNumberFormat="1" applyFont="1" applyFill="1" applyBorder="1" applyAlignment="1" applyProtection="1">
      <alignment vertical="top" shrinkToFit="1"/>
    </xf>
    <xf numFmtId="180" fontId="24" fillId="0" borderId="66" xfId="48" applyNumberFormat="1" applyFont="1" applyFill="1" applyBorder="1" applyAlignment="1" applyProtection="1">
      <alignment horizontal="right" vertical="top" shrinkToFit="1"/>
    </xf>
    <xf numFmtId="10" fontId="24" fillId="0" borderId="66"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8"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4" xfId="0" applyBorder="1"/>
    <xf numFmtId="0" fontId="0" fillId="0" borderId="85" xfId="0" applyBorder="1"/>
    <xf numFmtId="0" fontId="0" fillId="0" borderId="86" xfId="0" applyBorder="1"/>
    <xf numFmtId="0" fontId="24" fillId="0" borderId="0" xfId="0" applyFont="1" applyAlignment="1">
      <alignment vertical="center"/>
    </xf>
    <xf numFmtId="0" fontId="0" fillId="0" borderId="87" xfId="0" applyBorder="1"/>
    <xf numFmtId="0" fontId="0" fillId="0" borderId="87" xfId="0" applyBorder="1" applyAlignment="1">
      <alignment vertical="center"/>
    </xf>
    <xf numFmtId="0" fontId="0" fillId="0" borderId="88" xfId="0" applyBorder="1"/>
    <xf numFmtId="0" fontId="0" fillId="0" borderId="89" xfId="0" applyBorder="1"/>
    <xf numFmtId="0" fontId="0" fillId="0" borderId="90" xfId="0" applyBorder="1"/>
    <xf numFmtId="0" fontId="0" fillId="21" borderId="43" xfId="0" applyFill="1" applyBorder="1"/>
    <xf numFmtId="0" fontId="0" fillId="21" borderId="30" xfId="0" applyFill="1" applyBorder="1"/>
    <xf numFmtId="0" fontId="0" fillId="21" borderId="30"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7" xfId="0" applyFont="1" applyFill="1" applyBorder="1" applyAlignment="1" applyProtection="1">
      <alignment horizontal="center" vertical="center" wrapText="1"/>
      <protection locked="0"/>
    </xf>
    <xf numFmtId="0" fontId="0" fillId="22" borderId="43" xfId="0" applyFill="1" applyBorder="1"/>
    <xf numFmtId="0" fontId="0" fillId="23" borderId="30" xfId="0" applyFill="1" applyBorder="1"/>
    <xf numFmtId="171" fontId="21" fillId="17" borderId="30" xfId="48" applyFont="1" applyFill="1" applyBorder="1" applyAlignment="1" applyProtection="1">
      <alignment horizontal="center" vertical="center" shrinkToFit="1"/>
    </xf>
    <xf numFmtId="0" fontId="42" fillId="0" borderId="49" xfId="0" applyFont="1" applyBorder="1" applyAlignment="1">
      <alignment horizontal="center" vertical="center" wrapText="1"/>
    </xf>
    <xf numFmtId="171" fontId="0" fillId="0" borderId="37" xfId="48" applyFont="1" applyFill="1" applyBorder="1" applyAlignment="1" applyProtection="1">
      <alignment vertical="center" shrinkToFit="1"/>
    </xf>
    <xf numFmtId="10" fontId="0" fillId="0" borderId="39"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0" xfId="48" applyFont="1" applyFill="1" applyBorder="1" applyAlignment="1" applyProtection="1">
      <alignment vertical="center" wrapText="1"/>
      <protection locked="0"/>
    </xf>
    <xf numFmtId="0" fontId="46" fillId="22" borderId="30" xfId="34" applyFont="1" applyFill="1" applyBorder="1" applyAlignment="1">
      <alignment horizontal="center"/>
    </xf>
    <xf numFmtId="0" fontId="46" fillId="21" borderId="43" xfId="34" applyFont="1" applyFill="1" applyBorder="1" applyAlignment="1">
      <alignment horizontal="center"/>
    </xf>
    <xf numFmtId="0" fontId="0" fillId="21" borderId="35" xfId="0" applyFill="1" applyBorder="1"/>
    <xf numFmtId="0" fontId="0" fillId="21" borderId="45" xfId="0" applyFill="1" applyBorder="1"/>
    <xf numFmtId="0" fontId="0" fillId="21" borderId="46" xfId="0" applyFill="1" applyBorder="1"/>
    <xf numFmtId="171" fontId="0" fillId="6" borderId="38"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7" xfId="48" applyFont="1" applyFill="1" applyBorder="1" applyAlignment="1" applyProtection="1">
      <alignment vertical="center" wrapText="1"/>
      <protection locked="0"/>
    </xf>
    <xf numFmtId="10" fontId="24" fillId="17" borderId="69" xfId="48" applyNumberFormat="1" applyFont="1" applyFill="1" applyBorder="1" applyAlignment="1" applyProtection="1">
      <alignment horizontal="center" vertical="center"/>
    </xf>
    <xf numFmtId="171" fontId="24" fillId="17" borderId="69" xfId="48" applyFont="1" applyFill="1" applyBorder="1" applyAlignment="1" applyProtection="1">
      <alignment horizontal="center" vertical="center"/>
    </xf>
    <xf numFmtId="10" fontId="24" fillId="17" borderId="70"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0" xfId="0" applyNumberFormat="1" applyFill="1" applyBorder="1" applyProtection="1">
      <protection locked="0"/>
    </xf>
    <xf numFmtId="4" fontId="0" fillId="6" borderId="63" xfId="0" applyNumberFormat="1" applyFill="1" applyBorder="1" applyProtection="1">
      <protection locked="0"/>
    </xf>
    <xf numFmtId="4" fontId="0" fillId="6" borderId="69" xfId="0" applyNumberFormat="1" applyFill="1" applyBorder="1" applyProtection="1">
      <protection locked="0"/>
    </xf>
    <xf numFmtId="4" fontId="0" fillId="6" borderId="70" xfId="0" applyNumberFormat="1" applyFill="1" applyBorder="1" applyProtection="1">
      <protection locked="0"/>
    </xf>
    <xf numFmtId="0" fontId="0" fillId="0" borderId="91" xfId="0" applyBorder="1" applyAlignment="1">
      <alignment horizontal="center"/>
    </xf>
    <xf numFmtId="0" fontId="0" fillId="0" borderId="92" xfId="0" applyBorder="1" applyAlignment="1">
      <alignment horizontal="center"/>
    </xf>
    <xf numFmtId="0" fontId="0" fillId="0" borderId="93" xfId="0" applyBorder="1" applyAlignment="1">
      <alignment horizontal="center"/>
    </xf>
    <xf numFmtId="0" fontId="24" fillId="0" borderId="59" xfId="0" applyFont="1" applyBorder="1"/>
    <xf numFmtId="0" fontId="0" fillId="6" borderId="35" xfId="0" applyFill="1" applyBorder="1" applyAlignment="1" applyProtection="1">
      <alignment horizontal="center" textRotation="90" wrapText="1"/>
      <protection locked="0"/>
    </xf>
    <xf numFmtId="171" fontId="0" fillId="0" borderId="35" xfId="48" applyFont="1" applyFill="1" applyBorder="1" applyAlignment="1" applyProtection="1">
      <alignment vertical="center" shrinkToFit="1"/>
    </xf>
    <xf numFmtId="185" fontId="0" fillId="0" borderId="38" xfId="48" applyNumberFormat="1" applyFont="1" applyFill="1" applyBorder="1" applyAlignment="1" applyProtection="1">
      <alignment vertical="center" shrinkToFit="1"/>
    </xf>
    <xf numFmtId="49" fontId="24" fillId="17" borderId="28" xfId="0" applyNumberFormat="1" applyFont="1" applyFill="1" applyBorder="1" applyAlignment="1">
      <alignment horizontal="center" vertical="center"/>
    </xf>
    <xf numFmtId="171" fontId="24" fillId="17" borderId="28" xfId="48" applyFont="1" applyFill="1" applyBorder="1" applyAlignment="1" applyProtection="1">
      <alignment horizontal="center" vertical="center"/>
    </xf>
    <xf numFmtId="171" fontId="24" fillId="17" borderId="27"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8" xfId="0" applyNumberFormat="1" applyBorder="1" applyAlignment="1">
      <alignment horizontal="left"/>
    </xf>
    <xf numFmtId="0" fontId="17" fillId="0" borderId="89" xfId="33" applyFont="1" applyBorder="1" applyAlignment="1">
      <alignment vertical="center"/>
    </xf>
    <xf numFmtId="0" fontId="0" fillId="0" borderId="89" xfId="0" applyBorder="1" applyAlignment="1">
      <alignment horizontal="center"/>
    </xf>
    <xf numFmtId="0" fontId="46" fillId="0" borderId="89" xfId="34" applyFont="1" applyBorder="1" applyAlignment="1">
      <alignment horizontal="center"/>
    </xf>
    <xf numFmtId="0" fontId="0" fillId="0" borderId="39" xfId="0" applyBorder="1" applyAlignment="1">
      <alignment horizontal="center" vertical="center" wrapText="1"/>
    </xf>
    <xf numFmtId="165" fontId="0" fillId="6" borderId="38" xfId="0" applyNumberFormat="1" applyFill="1" applyBorder="1" applyAlignment="1" applyProtection="1">
      <alignment horizontal="center" vertical="center"/>
      <protection locked="0"/>
    </xf>
    <xf numFmtId="0" fontId="0" fillId="6" borderId="81" xfId="0" applyFill="1" applyBorder="1" applyAlignment="1" applyProtection="1">
      <alignment horizontal="left" vertical="center" wrapText="1"/>
      <protection locked="0"/>
    </xf>
    <xf numFmtId="49" fontId="0" fillId="6" borderId="65" xfId="0" applyNumberFormat="1" applyFill="1" applyBorder="1" applyAlignment="1" applyProtection="1">
      <alignment horizontal="center" vertical="center" wrapText="1"/>
      <protection locked="0"/>
    </xf>
    <xf numFmtId="49" fontId="0" fillId="16" borderId="94" xfId="0" applyNumberFormat="1" applyFill="1" applyBorder="1" applyAlignment="1" applyProtection="1">
      <alignment horizontal="center" vertical="center"/>
      <protection locked="0"/>
    </xf>
    <xf numFmtId="49" fontId="0" fillId="6" borderId="39" xfId="48" applyNumberFormat="1" applyFont="1" applyFill="1" applyBorder="1" applyAlignment="1" applyProtection="1">
      <alignment horizontal="left" vertical="center" wrapText="1" shrinkToFit="1"/>
      <protection locked="0"/>
    </xf>
    <xf numFmtId="49" fontId="24" fillId="17" borderId="30" xfId="0" applyNumberFormat="1" applyFont="1" applyFill="1" applyBorder="1" applyAlignment="1">
      <alignment horizontal="left" vertical="center"/>
    </xf>
    <xf numFmtId="171" fontId="0" fillId="0" borderId="39" xfId="48" applyFont="1" applyFill="1" applyBorder="1" applyAlignment="1" applyProtection="1">
      <alignment vertical="center" shrinkToFit="1"/>
    </xf>
    <xf numFmtId="171" fontId="24" fillId="17" borderId="66" xfId="48" applyFont="1" applyFill="1" applyBorder="1" applyAlignment="1" applyProtection="1">
      <alignment horizontal="center" vertical="center" shrinkToFit="1"/>
    </xf>
    <xf numFmtId="171" fontId="24" fillId="17" borderId="70" xfId="48" applyFont="1" applyFill="1" applyBorder="1" applyAlignment="1" applyProtection="1">
      <alignment horizontal="center" vertical="center"/>
    </xf>
    <xf numFmtId="0" fontId="0" fillId="16" borderId="39" xfId="0" applyFill="1" applyBorder="1" applyAlignment="1" applyProtection="1">
      <alignment shrinkToFit="1"/>
      <protection locked="0"/>
    </xf>
    <xf numFmtId="0" fontId="0" fillId="0" borderId="95" xfId="0" applyBorder="1" applyAlignment="1">
      <alignment vertical="center"/>
    </xf>
    <xf numFmtId="0" fontId="0" fillId="16" borderId="96" xfId="0" applyFill="1" applyBorder="1" applyAlignment="1" applyProtection="1">
      <alignment vertical="center"/>
      <protection locked="0"/>
    </xf>
    <xf numFmtId="43" fontId="0" fillId="0" borderId="0" xfId="0" applyNumberFormat="1"/>
    <xf numFmtId="0" fontId="12" fillId="0" borderId="89" xfId="0" applyFont="1" applyBorder="1" applyAlignment="1">
      <alignment horizontal="left" indent="1"/>
    </xf>
    <xf numFmtId="0" fontId="57" fillId="25" borderId="83" xfId="30" applyFont="1" applyFill="1" applyBorder="1" applyAlignment="1">
      <alignment horizontal="center" vertical="center"/>
    </xf>
    <xf numFmtId="0" fontId="17" fillId="25" borderId="83" xfId="30" applyFont="1" applyFill="1" applyBorder="1" applyAlignment="1">
      <alignment horizontal="center" vertical="center"/>
    </xf>
    <xf numFmtId="0" fontId="23" fillId="25" borderId="83" xfId="30" applyFont="1" applyFill="1" applyBorder="1" applyAlignment="1">
      <alignment horizontal="center" vertical="center"/>
    </xf>
    <xf numFmtId="0" fontId="0" fillId="26" borderId="0" xfId="0" applyFill="1"/>
    <xf numFmtId="0" fontId="24" fillId="25" borderId="83"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7" xfId="0" applyFont="1" applyBorder="1" applyAlignment="1">
      <alignment horizontal="center" wrapText="1"/>
    </xf>
    <xf numFmtId="0" fontId="12" fillId="20" borderId="100" xfId="0" applyFont="1" applyFill="1" applyBorder="1" applyAlignment="1">
      <alignment horizontal="center" vertical="center"/>
    </xf>
    <xf numFmtId="0" fontId="49" fillId="0" borderId="102"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3" xfId="0" applyBorder="1" applyAlignment="1">
      <alignment horizontal="center" wrapText="1"/>
    </xf>
    <xf numFmtId="167" fontId="0" fillId="0" borderId="89" xfId="0" applyNumberFormat="1" applyBorder="1"/>
    <xf numFmtId="186" fontId="0" fillId="0" borderId="89" xfId="0" applyNumberFormat="1" applyBorder="1" applyAlignment="1">
      <alignment horizontal="left"/>
    </xf>
    <xf numFmtId="0" fontId="12" fillId="0" borderId="93" xfId="0" applyFont="1" applyBorder="1" applyAlignment="1">
      <alignment horizontal="center"/>
    </xf>
    <xf numFmtId="0" fontId="46" fillId="6" borderId="30"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0"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89" xfId="0" applyFont="1" applyBorder="1" applyAlignment="1">
      <alignment horizontal="left" wrapText="1"/>
    </xf>
    <xf numFmtId="0" fontId="0" fillId="0" borderId="28" xfId="33" applyFont="1" applyBorder="1" applyAlignment="1">
      <alignment horizontal="left" vertical="top" wrapText="1"/>
    </xf>
    <xf numFmtId="0" fontId="65" fillId="0" borderId="29" xfId="35" applyFont="1" applyBorder="1" applyAlignment="1">
      <alignment horizontal="left" vertical="top"/>
    </xf>
    <xf numFmtId="0" fontId="0" fillId="0" borderId="44"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3"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5" xfId="0" applyNumberFormat="1" applyFill="1" applyBorder="1" applyAlignment="1" applyProtection="1">
      <alignment horizontal="center" vertical="center"/>
      <protection locked="0"/>
    </xf>
    <xf numFmtId="0" fontId="0" fillId="0" borderId="38"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5"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09" xfId="49" applyFont="1" applyFill="1" applyBorder="1" applyAlignment="1" applyProtection="1">
      <alignment horizontal="center"/>
    </xf>
    <xf numFmtId="165" fontId="24" fillId="8" borderId="74" xfId="49" applyFont="1" applyFill="1" applyBorder="1" applyAlignment="1" applyProtection="1">
      <alignment horizontal="right"/>
    </xf>
    <xf numFmtId="165" fontId="56" fillId="0" borderId="110" xfId="49" applyFill="1" applyBorder="1" applyAlignment="1" applyProtection="1">
      <alignment horizontal="right"/>
    </xf>
    <xf numFmtId="10" fontId="0" fillId="29" borderId="51" xfId="38" applyNumberFormat="1" applyFont="1" applyFill="1" applyBorder="1" applyAlignment="1" applyProtection="1"/>
    <xf numFmtId="171" fontId="56" fillId="29" borderId="38" xfId="48" applyFill="1" applyBorder="1" applyAlignment="1" applyProtection="1">
      <alignment shrinkToFit="1"/>
    </xf>
    <xf numFmtId="165" fontId="24" fillId="29" borderId="66" xfId="49" applyFont="1" applyFill="1" applyBorder="1" applyAlignment="1" applyProtection="1">
      <alignment shrinkToFit="1"/>
    </xf>
    <xf numFmtId="171" fontId="24" fillId="29" borderId="94" xfId="48" applyFont="1" applyFill="1" applyBorder="1" applyAlignment="1" applyProtection="1">
      <alignment shrinkToFit="1"/>
    </xf>
    <xf numFmtId="10" fontId="56" fillId="0" borderId="111" xfId="37" applyNumberFormat="1" applyFill="1" applyBorder="1" applyAlignment="1" applyProtection="1">
      <alignment shrinkToFit="1"/>
    </xf>
    <xf numFmtId="0" fontId="46" fillId="0" borderId="112" xfId="34" applyFont="1" applyBorder="1" applyAlignment="1">
      <alignment horizontal="center"/>
    </xf>
    <xf numFmtId="0" fontId="46" fillId="0" borderId="86" xfId="34" applyFont="1" applyBorder="1"/>
    <xf numFmtId="0" fontId="69" fillId="0" borderId="0" xfId="34" applyFont="1"/>
    <xf numFmtId="11" fontId="46" fillId="0" borderId="0" xfId="34" applyNumberFormat="1" applyFont="1" applyAlignment="1">
      <alignment horizontal="center"/>
    </xf>
    <xf numFmtId="0" fontId="49" fillId="0" borderId="114" xfId="34" applyFont="1" applyBorder="1" applyAlignment="1">
      <alignment horizontal="center"/>
    </xf>
    <xf numFmtId="174" fontId="49" fillId="0" borderId="115" xfId="34" applyNumberFormat="1" applyFont="1" applyBorder="1" applyAlignment="1">
      <alignment horizontal="center"/>
    </xf>
    <xf numFmtId="10" fontId="0" fillId="29" borderId="116" xfId="38" applyNumberFormat="1" applyFont="1" applyFill="1" applyBorder="1" applyAlignment="1" applyProtection="1"/>
    <xf numFmtId="171" fontId="24" fillId="29" borderId="57"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4"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0" xfId="0" applyFont="1" applyFill="1" applyBorder="1" applyAlignment="1">
      <alignment horizontal="center" vertical="center"/>
    </xf>
    <xf numFmtId="171" fontId="56" fillId="31" borderId="27" xfId="48" applyFill="1" applyBorder="1" applyAlignment="1" applyProtection="1"/>
    <xf numFmtId="0" fontId="70" fillId="0" borderId="0" xfId="0" applyFont="1" applyAlignment="1">
      <alignment horizontal="left"/>
    </xf>
    <xf numFmtId="0" fontId="0" fillId="0" borderId="118" xfId="0" applyBorder="1"/>
    <xf numFmtId="0" fontId="0" fillId="0" borderId="119" xfId="0" applyBorder="1"/>
    <xf numFmtId="0" fontId="49" fillId="32" borderId="102" xfId="0" applyFont="1" applyFill="1" applyBorder="1" applyAlignment="1">
      <alignment horizontal="center"/>
    </xf>
    <xf numFmtId="0" fontId="12" fillId="32" borderId="120" xfId="0" applyFont="1" applyFill="1" applyBorder="1" applyAlignment="1">
      <alignment horizontal="right" vertical="center"/>
    </xf>
    <xf numFmtId="1" fontId="0" fillId="6" borderId="38"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1" xfId="0" applyBorder="1" applyProtection="1">
      <protection locked="0"/>
    </xf>
    <xf numFmtId="1" fontId="0" fillId="0" borderId="88"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0" xfId="0" applyFont="1" applyFill="1" applyBorder="1" applyAlignment="1">
      <alignment horizontal="center" vertical="center"/>
    </xf>
    <xf numFmtId="0" fontId="0" fillId="21" borderId="13" xfId="0" applyFill="1" applyBorder="1" applyAlignment="1">
      <alignment horizontal="left"/>
    </xf>
    <xf numFmtId="0" fontId="24" fillId="0" borderId="28"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8" xfId="0" applyFont="1" applyBorder="1" applyAlignment="1">
      <alignment horizontal="right" vertical="center" wrapText="1"/>
    </xf>
    <xf numFmtId="0" fontId="20" fillId="0" borderId="28" xfId="0" applyFont="1" applyBorder="1" applyAlignment="1">
      <alignment horizontal="center" vertical="center" wrapText="1"/>
    </xf>
    <xf numFmtId="0" fontId="74" fillId="8" borderId="71" xfId="0" applyFont="1" applyFill="1" applyBorder="1"/>
    <xf numFmtId="184" fontId="74" fillId="0" borderId="0" xfId="0" applyNumberFormat="1" applyFont="1"/>
    <xf numFmtId="0" fontId="77" fillId="0" borderId="0" xfId="0" applyFont="1"/>
    <xf numFmtId="178" fontId="0" fillId="6" borderId="65" xfId="0" applyNumberFormat="1" applyFill="1" applyBorder="1" applyAlignment="1" applyProtection="1">
      <alignment horizontal="right" vertical="center"/>
      <protection locked="0"/>
    </xf>
    <xf numFmtId="178" fontId="0" fillId="6" borderId="41"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8" xfId="33" applyFont="1" applyBorder="1"/>
    <xf numFmtId="0" fontId="0" fillId="0" borderId="0" xfId="0" quotePrefix="1" applyAlignment="1">
      <alignment horizontal="left" vertical="top"/>
    </xf>
    <xf numFmtId="10" fontId="62" fillId="0" borderId="113" xfId="38" applyNumberFormat="1" applyFont="1" applyFill="1" applyBorder="1" applyAlignment="1" applyProtection="1">
      <alignment horizontal="center"/>
      <protection locked="0"/>
    </xf>
    <xf numFmtId="49" fontId="56" fillId="0" borderId="121" xfId="50" applyNumberFormat="1" applyFont="1" applyBorder="1" applyAlignment="1">
      <alignment horizontal="center" vertical="center" wrapText="1"/>
    </xf>
    <xf numFmtId="49" fontId="56" fillId="0" borderId="121" xfId="50" quotePrefix="1" applyNumberFormat="1" applyFont="1" applyBorder="1" applyAlignment="1">
      <alignment horizontal="center" vertical="center" wrapText="1"/>
    </xf>
    <xf numFmtId="4" fontId="56" fillId="28" borderId="121" xfId="50" applyNumberFormat="1" applyFont="1" applyFill="1" applyBorder="1" applyAlignment="1">
      <alignment horizontal="center" vertical="center"/>
    </xf>
    <xf numFmtId="189" fontId="56" fillId="0" borderId="121" xfId="50" applyNumberFormat="1" applyFont="1" applyBorder="1" applyAlignment="1">
      <alignment horizontal="center" vertical="center"/>
    </xf>
    <xf numFmtId="10" fontId="56" fillId="0" borderId="121" xfId="37" applyNumberFormat="1" applyBorder="1" applyAlignment="1">
      <alignment horizontal="center" vertical="center"/>
    </xf>
    <xf numFmtId="189" fontId="56" fillId="28" borderId="121" xfId="50" applyNumberFormat="1" applyFont="1" applyFill="1" applyBorder="1" applyAlignment="1">
      <alignment horizontal="center" vertical="center"/>
    </xf>
    <xf numFmtId="1" fontId="56" fillId="0" borderId="121" xfId="50" applyNumberFormat="1" applyFont="1" applyBorder="1" applyAlignment="1">
      <alignment horizontal="center" vertical="center" wrapText="1"/>
    </xf>
    <xf numFmtId="4" fontId="56" fillId="0" borderId="121" xfId="50" applyNumberFormat="1" applyFont="1" applyBorder="1" applyAlignment="1">
      <alignment horizontal="center" vertical="center"/>
    </xf>
    <xf numFmtId="2" fontId="56" fillId="0" borderId="121" xfId="50" applyNumberFormat="1" applyFont="1" applyBorder="1" applyAlignment="1">
      <alignment horizontal="center" vertical="center"/>
    </xf>
    <xf numFmtId="0" fontId="73" fillId="0" borderId="0" xfId="0" applyFont="1" applyAlignment="1">
      <alignment horizontal="left" vertical="center"/>
    </xf>
    <xf numFmtId="0" fontId="56" fillId="0" borderId="124" xfId="50" applyFont="1" applyBorder="1" applyAlignment="1">
      <alignment horizontal="center" vertical="center" wrapText="1"/>
    </xf>
    <xf numFmtId="0" fontId="32" fillId="0" borderId="91" xfId="0" applyFont="1" applyBorder="1" applyAlignment="1">
      <alignment horizontal="center"/>
    </xf>
    <xf numFmtId="0" fontId="24" fillId="0" borderId="93" xfId="0" applyFont="1" applyBorder="1" applyAlignment="1">
      <alignment horizontal="center"/>
    </xf>
    <xf numFmtId="0" fontId="24" fillId="0" borderId="91" xfId="0" applyFont="1" applyBorder="1" applyAlignment="1">
      <alignment horizontal="center"/>
    </xf>
    <xf numFmtId="0" fontId="28" fillId="0" borderId="125" xfId="0" applyFont="1" applyBorder="1"/>
    <xf numFmtId="0" fontId="27" fillId="0" borderId="126" xfId="0" applyFont="1" applyBorder="1" applyAlignment="1">
      <alignment horizontal="left" indent="1"/>
    </xf>
    <xf numFmtId="0" fontId="0" fillId="0" borderId="126" xfId="0" applyBorder="1" applyAlignment="1">
      <alignment vertical="center" wrapText="1"/>
    </xf>
    <xf numFmtId="0" fontId="28" fillId="0" borderId="127" xfId="0" applyFont="1" applyBorder="1"/>
    <xf numFmtId="0" fontId="47" fillId="0" borderId="0" xfId="0" applyFont="1" applyAlignment="1" applyProtection="1">
      <alignment horizontal="center" vertical="center"/>
      <protection locked="0"/>
    </xf>
    <xf numFmtId="0" fontId="0" fillId="0" borderId="128" xfId="0" applyBorder="1"/>
    <xf numFmtId="0" fontId="0" fillId="0" borderId="126" xfId="0" applyBorder="1"/>
    <xf numFmtId="0" fontId="0" fillId="0" borderId="127" xfId="0" applyBorder="1"/>
    <xf numFmtId="0" fontId="0" fillId="0" borderId="130" xfId="0" applyBorder="1"/>
    <xf numFmtId="0" fontId="24" fillId="0" borderId="132" xfId="0" applyFont="1" applyBorder="1"/>
    <xf numFmtId="0" fontId="24" fillId="0" borderId="133" xfId="0" applyFont="1" applyBorder="1"/>
    <xf numFmtId="49" fontId="24" fillId="17" borderId="123" xfId="0" applyNumberFormat="1" applyFont="1" applyFill="1" applyBorder="1" applyAlignment="1">
      <alignment horizontal="center" vertical="center"/>
    </xf>
    <xf numFmtId="171" fontId="24" fillId="17" borderId="123" xfId="48" applyFont="1" applyFill="1" applyBorder="1" applyAlignment="1" applyProtection="1">
      <alignment horizontal="center" vertical="center"/>
    </xf>
    <xf numFmtId="10" fontId="24" fillId="17" borderId="123" xfId="37" applyNumberFormat="1" applyFont="1" applyFill="1" applyBorder="1" applyAlignment="1" applyProtection="1">
      <alignment horizontal="center" vertical="center"/>
    </xf>
    <xf numFmtId="0" fontId="0" fillId="22" borderId="122" xfId="0" applyFill="1" applyBorder="1"/>
    <xf numFmtId="0" fontId="0" fillId="22" borderId="123" xfId="0" applyFill="1" applyBorder="1"/>
    <xf numFmtId="0" fontId="0" fillId="21" borderId="122" xfId="0" applyFill="1" applyBorder="1"/>
    <xf numFmtId="0" fontId="0" fillId="21" borderId="123" xfId="0" applyFill="1" applyBorder="1"/>
    <xf numFmtId="171" fontId="56" fillId="0" borderId="121" xfId="48" applyBorder="1" applyAlignment="1" applyProtection="1">
      <alignment shrinkToFit="1"/>
    </xf>
    <xf numFmtId="171" fontId="74" fillId="0" borderId="121" xfId="48" applyFont="1" applyBorder="1" applyAlignment="1" applyProtection="1">
      <alignment shrinkToFit="1"/>
    </xf>
    <xf numFmtId="0" fontId="0" fillId="0" borderId="121" xfId="0" applyBorder="1" applyAlignment="1">
      <alignment horizontal="center" wrapText="1"/>
    </xf>
    <xf numFmtId="0" fontId="12" fillId="0" borderId="122" xfId="0" applyFont="1" applyBorder="1"/>
    <xf numFmtId="0" fontId="12" fillId="0" borderId="121" xfId="0" applyFont="1" applyBorder="1" applyAlignment="1">
      <alignment horizontal="center"/>
    </xf>
    <xf numFmtId="171" fontId="24" fillId="30" borderId="121" xfId="0" applyNumberFormat="1" applyFont="1" applyFill="1" applyBorder="1"/>
    <xf numFmtId="0" fontId="46" fillId="31" borderId="122" xfId="0" applyFont="1" applyFill="1" applyBorder="1" applyAlignment="1">
      <alignment horizontal="left" vertical="center"/>
    </xf>
    <xf numFmtId="171" fontId="56" fillId="31" borderId="121" xfId="48" applyFill="1" applyBorder="1" applyAlignment="1" applyProtection="1">
      <alignment horizontal="left" vertical="center" shrinkToFit="1"/>
    </xf>
    <xf numFmtId="171" fontId="56" fillId="18" borderId="121" xfId="48" applyFill="1" applyBorder="1" applyAlignment="1" applyProtection="1">
      <alignment horizontal="left" vertical="center" shrinkToFit="1"/>
    </xf>
    <xf numFmtId="0" fontId="0" fillId="18" borderId="122" xfId="0" applyFill="1" applyBorder="1"/>
    <xf numFmtId="0" fontId="0" fillId="18" borderId="123" xfId="0" applyFill="1" applyBorder="1"/>
    <xf numFmtId="0" fontId="0" fillId="18" borderId="121" xfId="0" applyFill="1" applyBorder="1" applyAlignment="1">
      <alignment horizontal="center"/>
    </xf>
    <xf numFmtId="0" fontId="0" fillId="0" borderId="121" xfId="0" applyBorder="1" applyAlignment="1">
      <alignment horizontal="center"/>
    </xf>
    <xf numFmtId="0" fontId="24" fillId="17" borderId="121" xfId="0" applyFont="1" applyFill="1" applyBorder="1" applyAlignment="1">
      <alignment horizontal="left" vertical="center"/>
    </xf>
    <xf numFmtId="0" fontId="47" fillId="21" borderId="122" xfId="0" applyFont="1" applyFill="1" applyBorder="1"/>
    <xf numFmtId="0" fontId="0" fillId="0" borderId="123" xfId="0" applyBorder="1"/>
    <xf numFmtId="0" fontId="0" fillId="4" borderId="122" xfId="0" applyFill="1" applyBorder="1"/>
    <xf numFmtId="0" fontId="0" fillId="4" borderId="123" xfId="0" applyFill="1" applyBorder="1"/>
    <xf numFmtId="0" fontId="46" fillId="21" borderId="122" xfId="34" applyFont="1" applyFill="1" applyBorder="1" applyAlignment="1">
      <alignment horizontal="center"/>
    </xf>
    <xf numFmtId="0" fontId="46" fillId="21" borderId="123" xfId="34" applyFont="1" applyFill="1" applyBorder="1" applyAlignment="1">
      <alignment horizontal="center"/>
    </xf>
    <xf numFmtId="0" fontId="46" fillId="23" borderId="123" xfId="34" applyFont="1" applyFill="1" applyBorder="1"/>
    <xf numFmtId="0" fontId="46" fillId="22" borderId="122" xfId="34" applyFont="1" applyFill="1" applyBorder="1"/>
    <xf numFmtId="0" fontId="46" fillId="22" borderId="123" xfId="34" applyFont="1" applyFill="1" applyBorder="1"/>
    <xf numFmtId="0" fontId="46" fillId="24" borderId="123" xfId="34" applyFont="1" applyFill="1" applyBorder="1" applyAlignment="1">
      <alignment horizontal="center"/>
    </xf>
    <xf numFmtId="165" fontId="0" fillId="22" borderId="123" xfId="49" applyFont="1" applyFill="1" applyBorder="1" applyAlignment="1" applyProtection="1">
      <alignment horizontal="center"/>
    </xf>
    <xf numFmtId="0" fontId="24" fillId="0" borderId="122" xfId="0" applyFont="1" applyBorder="1" applyAlignment="1">
      <alignment horizontal="center" vertical="center" wrapText="1"/>
    </xf>
    <xf numFmtId="0" fontId="24" fillId="0" borderId="123" xfId="0" applyFont="1" applyBorder="1" applyAlignment="1">
      <alignment horizontal="center" vertical="center" wrapText="1"/>
    </xf>
    <xf numFmtId="0" fontId="0" fillId="0" borderId="122" xfId="0" applyBorder="1" applyAlignment="1">
      <alignment horizontal="center" wrapText="1"/>
    </xf>
    <xf numFmtId="178" fontId="17" fillId="8" borderId="122" xfId="0" applyNumberFormat="1" applyFont="1" applyFill="1" applyBorder="1" applyAlignment="1">
      <alignment horizontal="center" vertical="center"/>
    </xf>
    <xf numFmtId="178" fontId="17" fillId="8" borderId="123" xfId="0" applyNumberFormat="1" applyFont="1" applyFill="1" applyBorder="1" applyAlignment="1">
      <alignment horizontal="center" vertical="center"/>
    </xf>
    <xf numFmtId="0" fontId="56" fillId="0" borderId="121" xfId="50" applyFont="1" applyBorder="1" applyAlignment="1">
      <alignment horizontal="center" vertical="center" wrapText="1"/>
    </xf>
    <xf numFmtId="0" fontId="79" fillId="0" borderId="0" xfId="0" applyFont="1" applyAlignment="1">
      <alignment vertical="center"/>
    </xf>
    <xf numFmtId="0" fontId="0" fillId="16" borderId="134" xfId="48" applyNumberFormat="1" applyFont="1" applyFill="1" applyBorder="1" applyAlignment="1" applyProtection="1">
      <alignment horizontal="left" vertical="center"/>
      <protection locked="0"/>
    </xf>
    <xf numFmtId="0" fontId="0" fillId="0" borderId="134" xfId="0" applyBorder="1" applyAlignment="1">
      <alignment horizontal="center"/>
    </xf>
    <xf numFmtId="0" fontId="24" fillId="0" borderId="0" xfId="0" applyFont="1" applyAlignment="1">
      <alignment horizontal="center" wrapText="1"/>
    </xf>
    <xf numFmtId="0" fontId="46" fillId="0" borderId="139" xfId="34" applyFont="1" applyBorder="1" applyAlignment="1">
      <alignment horizontal="center"/>
    </xf>
    <xf numFmtId="0" fontId="46" fillId="0" borderId="92" xfId="34" applyFont="1" applyBorder="1" applyAlignment="1">
      <alignment horizontal="center"/>
    </xf>
    <xf numFmtId="0" fontId="46" fillId="0" borderId="93"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1" xfId="0" applyBorder="1"/>
    <xf numFmtId="0" fontId="0" fillId="0" borderId="140" xfId="0" applyBorder="1"/>
    <xf numFmtId="0" fontId="0" fillId="0" borderId="140" xfId="0" applyBorder="1" applyAlignment="1">
      <alignment horizontal="center"/>
    </xf>
    <xf numFmtId="10" fontId="0" fillId="0" borderId="140" xfId="0" applyNumberFormat="1" applyBorder="1" applyAlignment="1">
      <alignment horizontal="center"/>
    </xf>
    <xf numFmtId="0" fontId="38" fillId="0" borderId="0" xfId="0" applyFont="1" applyAlignment="1">
      <alignment horizontal="center"/>
    </xf>
    <xf numFmtId="0" fontId="38" fillId="0" borderId="140" xfId="0" applyFont="1" applyBorder="1"/>
    <xf numFmtId="0" fontId="56" fillId="0" borderId="142" xfId="50" applyFont="1" applyBorder="1" applyAlignment="1">
      <alignment horizontal="center" vertical="center" wrapText="1"/>
    </xf>
    <xf numFmtId="49" fontId="56" fillId="0" borderId="142" xfId="50" applyNumberFormat="1" applyFont="1" applyBorder="1" applyAlignment="1">
      <alignment horizontal="center" vertical="center" wrapText="1"/>
    </xf>
    <xf numFmtId="49" fontId="56" fillId="0" borderId="142" xfId="50" quotePrefix="1" applyNumberFormat="1" applyFont="1" applyBorder="1" applyAlignment="1">
      <alignment horizontal="center" vertical="center" wrapText="1"/>
    </xf>
    <xf numFmtId="4" fontId="56" fillId="28" borderId="142" xfId="50" applyNumberFormat="1" applyFont="1" applyFill="1" applyBorder="1" applyAlignment="1">
      <alignment horizontal="center" vertical="center"/>
    </xf>
    <xf numFmtId="189" fontId="56" fillId="0" borderId="142" xfId="50" applyNumberFormat="1" applyFont="1" applyBorder="1" applyAlignment="1">
      <alignment horizontal="center" vertical="center"/>
    </xf>
    <xf numFmtId="2" fontId="56" fillId="0" borderId="142" xfId="50" applyNumberFormat="1" applyFont="1" applyBorder="1" applyAlignment="1">
      <alignment horizontal="center" vertical="center"/>
    </xf>
    <xf numFmtId="189" fontId="56" fillId="28" borderId="142" xfId="50" applyNumberFormat="1" applyFont="1" applyFill="1" applyBorder="1" applyAlignment="1">
      <alignment horizontal="center" vertical="center"/>
    </xf>
    <xf numFmtId="189" fontId="56" fillId="28" borderId="142" xfId="50" applyNumberFormat="1" applyFont="1" applyFill="1" applyBorder="1" applyAlignment="1">
      <alignment horizontal="center" vertical="center" wrapText="1"/>
    </xf>
    <xf numFmtId="1" fontId="56" fillId="0" borderId="142" xfId="50" applyNumberFormat="1" applyFont="1" applyBorder="1" applyAlignment="1">
      <alignment horizontal="center" vertical="center" wrapText="1"/>
    </xf>
    <xf numFmtId="4" fontId="56" fillId="0" borderId="142" xfId="50" applyNumberFormat="1" applyFont="1" applyBorder="1" applyAlignment="1">
      <alignment horizontal="center" vertical="center"/>
    </xf>
    <xf numFmtId="0" fontId="18" fillId="0" borderId="129" xfId="0" applyFont="1" applyBorder="1" applyAlignment="1">
      <alignment horizontal="center" vertical="center"/>
    </xf>
    <xf numFmtId="0" fontId="19" fillId="20" borderId="0" xfId="0" applyFont="1" applyFill="1" applyAlignment="1">
      <alignment horizontal="center" vertical="center"/>
    </xf>
    <xf numFmtId="0" fontId="12" fillId="0" borderId="97" xfId="0" applyFont="1" applyBorder="1" applyAlignment="1">
      <alignment horizontal="center" vertical="center"/>
    </xf>
    <xf numFmtId="0" fontId="24" fillId="0" borderId="131" xfId="0" applyFont="1" applyBorder="1" applyAlignment="1">
      <alignment horizontal="center"/>
    </xf>
    <xf numFmtId="0" fontId="0" fillId="0" borderId="10" xfId="33" applyFont="1" applyBorder="1" applyAlignment="1">
      <alignment horizontal="left" vertical="center"/>
    </xf>
    <xf numFmtId="0" fontId="8" fillId="0" borderId="30" xfId="33" applyFont="1" applyBorder="1" applyAlignment="1">
      <alignment horizontal="left" vertical="center" wrapText="1"/>
    </xf>
    <xf numFmtId="49" fontId="0" fillId="6" borderId="30" xfId="33" applyNumberFormat="1" applyFont="1" applyFill="1" applyBorder="1" applyAlignment="1" applyProtection="1">
      <alignment horizontal="left" vertical="top" wrapText="1"/>
      <protection locked="0"/>
    </xf>
    <xf numFmtId="167" fontId="0" fillId="0" borderId="28" xfId="33" applyNumberFormat="1" applyFont="1" applyBorder="1" applyAlignment="1">
      <alignment horizontal="left"/>
    </xf>
    <xf numFmtId="186" fontId="0" fillId="0" borderId="28"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0" xfId="33" applyFont="1" applyBorder="1" applyAlignment="1">
      <alignment horizontal="center" vertical="center" wrapText="1"/>
    </xf>
    <xf numFmtId="4" fontId="30" fillId="0" borderId="30" xfId="33" applyNumberFormat="1" applyFont="1" applyBorder="1" applyAlignment="1">
      <alignment horizontal="center" vertical="center"/>
    </xf>
    <xf numFmtId="4" fontId="17" fillId="0" borderId="30" xfId="33" applyNumberFormat="1" applyFont="1" applyBorder="1" applyAlignment="1">
      <alignment horizontal="center" vertical="center" wrapText="1"/>
    </xf>
    <xf numFmtId="0" fontId="30" fillId="8" borderId="30"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0" xfId="33" applyFont="1" applyBorder="1" applyAlignment="1">
      <alignment horizontal="center" vertical="center"/>
    </xf>
    <xf numFmtId="0" fontId="17" fillId="0" borderId="30" xfId="33" applyFont="1" applyBorder="1" applyAlignment="1">
      <alignment horizontal="center" vertical="center"/>
    </xf>
    <xf numFmtId="0" fontId="24" fillId="0" borderId="29"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0" xfId="33" applyFont="1" applyBorder="1" applyAlignment="1">
      <alignment horizontal="center"/>
    </xf>
    <xf numFmtId="0" fontId="0" fillId="0" borderId="13" xfId="33" applyFont="1" applyBorder="1" applyAlignment="1">
      <alignment horizontal="left" vertical="top" wrapText="1"/>
    </xf>
    <xf numFmtId="0" fontId="0" fillId="0" borderId="29" xfId="0" applyBorder="1" applyAlignment="1">
      <alignment horizontal="center"/>
    </xf>
    <xf numFmtId="0" fontId="24" fillId="0" borderId="13" xfId="0" applyFont="1" applyBorder="1" applyAlignment="1">
      <alignment horizontal="center"/>
    </xf>
    <xf numFmtId="0" fontId="8" fillId="0" borderId="30" xfId="33" applyFont="1" applyBorder="1" applyAlignment="1">
      <alignment horizontal="left"/>
    </xf>
    <xf numFmtId="10" fontId="8" fillId="6" borderId="30"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0" xfId="33" applyFont="1" applyBorder="1" applyAlignment="1">
      <alignment horizontal="left" wrapText="1"/>
    </xf>
    <xf numFmtId="0" fontId="0" fillId="0" borderId="30" xfId="0" applyBorder="1" applyAlignment="1">
      <alignment horizontal="center"/>
    </xf>
    <xf numFmtId="0" fontId="24" fillId="0" borderId="31"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4" xfId="33" applyFont="1" applyBorder="1" applyAlignment="1">
      <alignment horizontal="left" vertical="top" wrapText="1"/>
    </xf>
    <xf numFmtId="186" fontId="0" fillId="0" borderId="0" xfId="0" applyNumberFormat="1" applyAlignment="1">
      <alignment horizontal="left"/>
    </xf>
    <xf numFmtId="0" fontId="24" fillId="17" borderId="122" xfId="0" applyFont="1" applyFill="1" applyBorder="1" applyAlignment="1">
      <alignment horizontal="left" vertical="center" wrapText="1"/>
    </xf>
    <xf numFmtId="0" fontId="24" fillId="17" borderId="123" xfId="0" applyFont="1" applyFill="1" applyBorder="1" applyAlignment="1">
      <alignment horizontal="left" vertical="center" wrapText="1"/>
    </xf>
    <xf numFmtId="0" fontId="30" fillId="0" borderId="30"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0" xfId="0" applyFont="1" applyBorder="1" applyAlignment="1">
      <alignment horizontal="left" wrapText="1"/>
    </xf>
    <xf numFmtId="167" fontId="0" fillId="0" borderId="28" xfId="0" applyNumberFormat="1" applyBorder="1" applyAlignment="1">
      <alignment horizontal="left"/>
    </xf>
    <xf numFmtId="0" fontId="0" fillId="0" borderId="30" xfId="0" applyBorder="1" applyAlignment="1">
      <alignment horizontal="left" wrapText="1"/>
    </xf>
    <xf numFmtId="0" fontId="46" fillId="0" borderId="99" xfId="34" applyFont="1" applyBorder="1" applyAlignment="1">
      <alignment horizontal="left"/>
    </xf>
    <xf numFmtId="0" fontId="46" fillId="0" borderId="89" xfId="34" applyFont="1" applyBorder="1" applyAlignment="1">
      <alignment horizontal="left"/>
    </xf>
    <xf numFmtId="0" fontId="46" fillId="0" borderId="107" xfId="34" applyFont="1" applyBorder="1" applyAlignment="1">
      <alignment horizontal="left"/>
    </xf>
    <xf numFmtId="0" fontId="1" fillId="0" borderId="121"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86" xfId="0" applyFont="1" applyBorder="1" applyAlignment="1">
      <alignment horizontal="center" vertical="center" wrapText="1"/>
    </xf>
    <xf numFmtId="0" fontId="1" fillId="0" borderId="88" xfId="0" applyFont="1" applyBorder="1" applyAlignment="1">
      <alignment horizontal="center" vertical="center" wrapText="1"/>
    </xf>
    <xf numFmtId="0" fontId="0" fillId="16" borderId="105" xfId="0" applyFill="1" applyBorder="1" applyAlignment="1" applyProtection="1">
      <alignment horizontal="left" vertical="center"/>
      <protection locked="0"/>
    </xf>
    <xf numFmtId="0" fontId="0" fillId="16" borderId="106"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0" xfId="0" applyFont="1" applyFill="1" applyBorder="1" applyAlignment="1">
      <alignment horizontal="left" vertical="center" wrapText="1"/>
    </xf>
    <xf numFmtId="0" fontId="23" fillId="0" borderId="0" xfId="0" applyFont="1" applyAlignment="1">
      <alignment horizontal="left" vertical="center" indent="10"/>
    </xf>
    <xf numFmtId="0" fontId="0" fillId="0" borderId="137" xfId="0" applyBorder="1" applyAlignment="1">
      <alignment horizontal="center"/>
    </xf>
    <xf numFmtId="0" fontId="0" fillId="0" borderId="138" xfId="0" applyBorder="1" applyAlignment="1">
      <alignment horizontal="center"/>
    </xf>
    <xf numFmtId="0" fontId="37" fillId="0" borderId="0" xfId="0" applyFont="1" applyAlignment="1">
      <alignment horizontal="left" vertical="center" indent="10"/>
    </xf>
    <xf numFmtId="0" fontId="24" fillId="0" borderId="135" xfId="0" applyFont="1" applyBorder="1" applyAlignment="1">
      <alignment horizontal="center"/>
    </xf>
    <xf numFmtId="0" fontId="24" fillId="0" borderId="136" xfId="0" applyFont="1" applyBorder="1" applyAlignment="1">
      <alignment horizontal="center"/>
    </xf>
    <xf numFmtId="0" fontId="12" fillId="0" borderId="101" xfId="0" applyFont="1" applyBorder="1" applyAlignment="1">
      <alignment horizontal="right" vertical="center"/>
    </xf>
    <xf numFmtId="0" fontId="12" fillId="0" borderId="117" xfId="0" applyFont="1" applyBorder="1" applyAlignment="1">
      <alignment horizontal="right" vertical="center"/>
    </xf>
    <xf numFmtId="10" fontId="46" fillId="32" borderId="121" xfId="37" applyNumberFormat="1" applyFont="1" applyFill="1" applyBorder="1" applyAlignment="1" applyProtection="1">
      <alignment horizontal="center"/>
    </xf>
    <xf numFmtId="10" fontId="56" fillId="32" borderId="102" xfId="37" applyNumberFormat="1" applyFill="1" applyBorder="1" applyAlignment="1" applyProtection="1">
      <alignment horizontal="center" shrinkToFit="1"/>
    </xf>
    <xf numFmtId="10" fontId="56" fillId="32" borderId="104" xfId="37" applyNumberFormat="1" applyFill="1" applyBorder="1" applyAlignment="1" applyProtection="1">
      <alignment horizontal="center" shrinkToFit="1"/>
    </xf>
    <xf numFmtId="10" fontId="46" fillId="32" borderId="102" xfId="37" applyNumberFormat="1" applyFont="1" applyFill="1" applyBorder="1" applyAlignment="1" applyProtection="1">
      <alignment horizontal="center"/>
    </xf>
    <xf numFmtId="10" fontId="46" fillId="32" borderId="104" xfId="37" applyNumberFormat="1" applyFont="1" applyFill="1" applyBorder="1" applyAlignment="1" applyProtection="1">
      <alignment horizontal="center"/>
    </xf>
    <xf numFmtId="186" fontId="63" fillId="0" borderId="28" xfId="0" applyNumberFormat="1" applyFont="1" applyBorder="1" applyAlignment="1">
      <alignment horizontal="left"/>
    </xf>
    <xf numFmtId="171" fontId="56" fillId="0" borderId="102" xfId="48" applyBorder="1" applyAlignment="1" applyProtection="1">
      <alignment horizontal="center" shrinkToFit="1"/>
    </xf>
    <xf numFmtId="171" fontId="56" fillId="0" borderId="104" xfId="48" applyBorder="1" applyAlignment="1" applyProtection="1">
      <alignment horizontal="center" shrinkToFit="1"/>
    </xf>
    <xf numFmtId="171" fontId="56" fillId="0" borderId="121" xfId="48" applyBorder="1" applyAlignment="1" applyProtection="1">
      <alignment horizontal="center" shrinkToFit="1"/>
    </xf>
    <xf numFmtId="188" fontId="46" fillId="0" borderId="102" xfId="48" applyNumberFormat="1" applyFont="1" applyBorder="1" applyAlignment="1" applyProtection="1">
      <alignment horizontal="center" shrinkToFit="1"/>
    </xf>
    <xf numFmtId="188" fontId="46" fillId="0" borderId="104" xfId="48" applyNumberFormat="1" applyFont="1" applyBorder="1" applyAlignment="1" applyProtection="1">
      <alignment horizontal="center" shrinkToFit="1"/>
    </xf>
    <xf numFmtId="187" fontId="49" fillId="20" borderId="121"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3" xfId="0" applyFont="1" applyBorder="1" applyAlignment="1">
      <alignment horizontal="right" vertical="center"/>
    </xf>
    <xf numFmtId="188" fontId="46" fillId="0" borderId="121" xfId="48" applyNumberFormat="1" applyFont="1" applyBorder="1" applyAlignment="1" applyProtection="1">
      <alignment horizontal="center" shrinkToFit="1"/>
    </xf>
    <xf numFmtId="0" fontId="0" fillId="0" borderId="88" xfId="0" applyBorder="1" applyAlignment="1">
      <alignment horizontal="center" wrapText="1"/>
    </xf>
    <xf numFmtId="0" fontId="0" fillId="0" borderId="89" xfId="0" applyBorder="1" applyAlignment="1">
      <alignment horizontal="center" wrapText="1"/>
    </xf>
    <xf numFmtId="0" fontId="0" fillId="0" borderId="90" xfId="0" applyBorder="1" applyAlignment="1">
      <alignment horizontal="center" wrapText="1"/>
    </xf>
    <xf numFmtId="0" fontId="46" fillId="0" borderId="90" xfId="34" applyFont="1" applyBorder="1" applyAlignment="1">
      <alignment horizontal="left"/>
    </xf>
    <xf numFmtId="173" fontId="24" fillId="0" borderId="30"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8" xfId="34" applyFont="1" applyBorder="1" applyAlignment="1">
      <alignment horizontal="center" vertical="center" wrapText="1"/>
    </xf>
    <xf numFmtId="0" fontId="50" fillId="0" borderId="11" xfId="34" applyFont="1" applyBorder="1" applyAlignment="1">
      <alignment horizontal="left" vertical="top"/>
    </xf>
    <xf numFmtId="0" fontId="46" fillId="0" borderId="30" xfId="34" applyFont="1" applyBorder="1" applyAlignment="1">
      <alignment horizontal="center" wrapText="1"/>
    </xf>
    <xf numFmtId="0" fontId="49" fillId="0" borderId="122" xfId="34" applyFont="1" applyBorder="1" applyAlignment="1">
      <alignment horizontal="center" vertical="center" wrapText="1"/>
    </xf>
    <xf numFmtId="0" fontId="49" fillId="0" borderId="123" xfId="34" applyFont="1" applyBorder="1" applyAlignment="1">
      <alignment horizontal="left" vertical="center" wrapText="1"/>
    </xf>
    <xf numFmtId="186" fontId="0" fillId="0" borderId="28" xfId="0" applyNumberFormat="1" applyBorder="1" applyAlignment="1">
      <alignment horizontal="left"/>
    </xf>
    <xf numFmtId="0" fontId="0" fillId="16" borderId="108" xfId="0" applyFill="1" applyBorder="1" applyAlignment="1" applyProtection="1">
      <alignment horizontal="left" vertical="center"/>
      <protection locked="0"/>
    </xf>
    <xf numFmtId="165" fontId="24" fillId="0" borderId="43"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4"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3" xfId="0" applyFont="1" applyFill="1" applyBorder="1" applyAlignment="1">
      <alignment horizontal="center" vertical="center"/>
    </xf>
    <xf numFmtId="0" fontId="53" fillId="0" borderId="122" xfId="0" applyFont="1" applyBorder="1" applyAlignment="1">
      <alignment horizontal="center" vertical="center" wrapText="1"/>
    </xf>
    <xf numFmtId="0" fontId="22" fillId="0" borderId="0" xfId="0" applyFont="1" applyAlignment="1">
      <alignment horizontal="center" vertical="center" wrapText="1"/>
    </xf>
    <xf numFmtId="4" fontId="24" fillId="0" borderId="31" xfId="0" applyNumberFormat="1" applyFont="1" applyBorder="1" applyAlignment="1">
      <alignment horizontal="left"/>
    </xf>
    <xf numFmtId="0" fontId="24" fillId="0" borderId="29" xfId="35" applyFont="1" applyBorder="1" applyAlignment="1">
      <alignment horizontal="center"/>
    </xf>
    <xf numFmtId="49" fontId="0" fillId="0" borderId="44" xfId="0" applyNumberFormat="1" applyBorder="1" applyAlignment="1">
      <alignment horizontal="left"/>
    </xf>
    <xf numFmtId="0" fontId="24" fillId="0" borderId="30" xfId="0" applyFont="1" applyBorder="1" applyAlignment="1">
      <alignment horizontal="right" vertical="center"/>
    </xf>
    <xf numFmtId="10" fontId="56" fillId="0" borderId="29"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4" xfId="48" applyNumberFormat="1" applyFill="1" applyBorder="1" applyAlignment="1" applyProtection="1">
      <alignment horizontal="center" shrinkToFit="1"/>
    </xf>
    <xf numFmtId="10" fontId="56" fillId="0" borderId="31" xfId="37" applyNumberFormat="1" applyFill="1" applyBorder="1" applyAlignment="1" applyProtection="1">
      <alignment horizontal="center"/>
    </xf>
    <xf numFmtId="0" fontId="0" fillId="0" borderId="0" xfId="0" applyAlignment="1">
      <alignment horizontal="center"/>
    </xf>
    <xf numFmtId="14" fontId="0" fillId="6" borderId="45" xfId="0" applyNumberFormat="1" applyFill="1" applyBorder="1" applyAlignment="1" applyProtection="1">
      <alignment horizontal="center"/>
      <protection locked="0"/>
    </xf>
    <xf numFmtId="0" fontId="0" fillId="0" borderId="38" xfId="0" applyBorder="1" applyAlignment="1">
      <alignment horizontal="left"/>
    </xf>
    <xf numFmtId="0" fontId="31" fillId="0" borderId="98" xfId="0" applyFont="1" applyBorder="1" applyAlignment="1">
      <alignment horizontal="center" vertical="top" wrapText="1"/>
    </xf>
    <xf numFmtId="176" fontId="24" fillId="8" borderId="30" xfId="0" applyNumberFormat="1" applyFont="1" applyFill="1" applyBorder="1" applyAlignment="1">
      <alignment horizontal="center" shrinkToFit="1"/>
    </xf>
    <xf numFmtId="14" fontId="0" fillId="6" borderId="35" xfId="0" applyNumberFormat="1" applyFill="1" applyBorder="1" applyAlignment="1" applyProtection="1">
      <alignment horizontal="center"/>
      <protection locked="0"/>
    </xf>
    <xf numFmtId="10" fontId="56" fillId="0" borderId="77" xfId="37" applyNumberFormat="1" applyFill="1" applyBorder="1" applyAlignment="1" applyProtection="1">
      <alignment horizontal="center"/>
    </xf>
    <xf numFmtId="0" fontId="49" fillId="0" borderId="29"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0" fillId="18" borderId="38" xfId="0" applyFill="1" applyBorder="1"/>
    <xf numFmtId="10" fontId="56" fillId="0" borderId="32" xfId="37" applyNumberFormat="1" applyFill="1" applyBorder="1" applyAlignment="1" applyProtection="1">
      <alignment horizontal="center"/>
    </xf>
    <xf numFmtId="0" fontId="24" fillId="8" borderId="30" xfId="0" applyFont="1" applyFill="1" applyBorder="1" applyAlignment="1">
      <alignment horizontal="center"/>
    </xf>
    <xf numFmtId="14" fontId="0" fillId="6" borderId="46"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8"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29" xfId="0" applyFont="1" applyBorder="1" applyAlignment="1">
      <alignment horizontal="left" vertical="center"/>
    </xf>
    <xf numFmtId="0" fontId="0" fillId="0" borderId="29" xfId="0" applyBorder="1" applyAlignment="1">
      <alignment horizontal="left"/>
    </xf>
    <xf numFmtId="0" fontId="0" fillId="6" borderId="13" xfId="0" applyFill="1" applyBorder="1" applyAlignment="1" applyProtection="1">
      <alignment horizontal="left" vertical="top"/>
      <protection locked="0"/>
    </xf>
    <xf numFmtId="0" fontId="24" fillId="17" borderId="44" xfId="0" applyFont="1" applyFill="1" applyBorder="1" applyAlignment="1">
      <alignment horizontal="left" vertical="center" wrapText="1"/>
    </xf>
    <xf numFmtId="0" fontId="23" fillId="6" borderId="31"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1"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1"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4"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30" fillId="6" borderId="27" xfId="0" applyFont="1" applyFill="1" applyBorder="1" applyAlignment="1" applyProtection="1">
      <alignment horizontal="left" vertical="top" wrapText="1"/>
      <protection locked="0"/>
    </xf>
    <xf numFmtId="0" fontId="0" fillId="8" borderId="79" xfId="0" applyFill="1" applyBorder="1" applyAlignment="1">
      <alignment horizontal="center" vertical="center"/>
    </xf>
    <xf numFmtId="0" fontId="0" fillId="8" borderId="62" xfId="0" applyFill="1" applyBorder="1" applyAlignment="1">
      <alignment horizontal="center" vertical="center"/>
    </xf>
    <xf numFmtId="10" fontId="24" fillId="8" borderId="30" xfId="0" applyNumberFormat="1" applyFont="1" applyFill="1" applyBorder="1" applyAlignment="1">
      <alignment horizontal="center" vertical="center"/>
    </xf>
    <xf numFmtId="0" fontId="0" fillId="0" borderId="40" xfId="0" applyBorder="1" applyAlignment="1">
      <alignment horizontal="center" vertical="center"/>
    </xf>
    <xf numFmtId="0" fontId="0" fillId="0" borderId="64" xfId="0" applyBorder="1" applyAlignment="1">
      <alignment horizontal="center" vertical="center"/>
    </xf>
    <xf numFmtId="0" fontId="0" fillId="8" borderId="40" xfId="0" applyFill="1" applyBorder="1" applyAlignment="1">
      <alignment horizontal="center" vertical="center"/>
    </xf>
    <xf numFmtId="0" fontId="0" fillId="8" borderId="64" xfId="0" applyFill="1" applyBorder="1" applyAlignment="1">
      <alignment horizontal="center" vertical="center"/>
    </xf>
    <xf numFmtId="0" fontId="0" fillId="0" borderId="82" xfId="0" applyBorder="1" applyAlignment="1">
      <alignment horizontal="center" vertical="center"/>
    </xf>
    <xf numFmtId="0" fontId="0" fillId="0" borderId="68" xfId="0" applyBorder="1" applyAlignment="1">
      <alignment horizontal="center" vertical="center"/>
    </xf>
    <xf numFmtId="0" fontId="17" fillId="8" borderId="30" xfId="0" applyFont="1" applyFill="1" applyBorder="1" applyAlignment="1">
      <alignment horizontal="center" vertical="center"/>
    </xf>
    <xf numFmtId="0" fontId="17" fillId="8" borderId="43" xfId="0" applyFont="1" applyFill="1" applyBorder="1" applyAlignment="1">
      <alignment horizontal="center" vertical="center"/>
    </xf>
    <xf numFmtId="0" fontId="8" fillId="0" borderId="10" xfId="0" applyFont="1" applyBorder="1" applyAlignment="1">
      <alignment horizontal="right"/>
    </xf>
    <xf numFmtId="0" fontId="24" fillId="0" borderId="30" xfId="0" applyFont="1" applyBorder="1" applyAlignment="1">
      <alignment horizontal="center"/>
    </xf>
    <xf numFmtId="0" fontId="24" fillId="0" borderId="59" xfId="0" applyFont="1" applyBorder="1" applyAlignment="1">
      <alignment horizontal="center"/>
    </xf>
    <xf numFmtId="0" fontId="24" fillId="0" borderId="30" xfId="0" applyFont="1" applyBorder="1" applyAlignment="1">
      <alignment horizontal="center" vertical="center"/>
    </xf>
    <xf numFmtId="49" fontId="0" fillId="0" borderId="13" xfId="0" applyNumberFormat="1" applyBorder="1" applyAlignment="1">
      <alignment horizontal="left"/>
    </xf>
    <xf numFmtId="0" fontId="24" fillId="0" borderId="32" xfId="0" applyFont="1" applyBorder="1" applyAlignment="1">
      <alignment horizontal="center"/>
    </xf>
    <xf numFmtId="0" fontId="53" fillId="0" borderId="30" xfId="0" applyFont="1" applyBorder="1" applyAlignment="1">
      <alignment horizontal="center" vertical="center" wrapText="1"/>
    </xf>
    <xf numFmtId="4" fontId="24" fillId="0" borderId="29"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7" xfId="33" applyFont="1" applyBorder="1" applyAlignment="1">
      <alignment horizontal="right"/>
    </xf>
    <xf numFmtId="180" fontId="24" fillId="0" borderId="39" xfId="48" applyNumberFormat="1" applyFont="1" applyFill="1" applyBorder="1" applyAlignment="1" applyProtection="1">
      <alignment vertical="top" shrinkToFit="1"/>
    </xf>
    <xf numFmtId="0" fontId="0" fillId="0" borderId="69" xfId="33" applyFont="1" applyBorder="1" applyAlignment="1">
      <alignment horizontal="right"/>
    </xf>
    <xf numFmtId="10" fontId="24" fillId="0" borderId="70"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0"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1" xfId="33" applyFont="1" applyBorder="1" applyAlignment="1">
      <alignment horizontal="center" vertical="center" wrapText="1"/>
    </xf>
    <xf numFmtId="0" fontId="0" fillId="0" borderId="63"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cellStyle name="Normal" xfId="0" builtinId="0"/>
    <cellStyle name="Normal 2" xfId="33"/>
    <cellStyle name="Normal 3" xfId="34"/>
    <cellStyle name="Normal 4" xfId="50"/>
    <cellStyle name="Normal_FICHA DE VERIFICAÇÃO PRELIMINAR - Plano R" xfId="35"/>
    <cellStyle name="Nota" xfId="36" builtinId="10" customBuiltin="1"/>
    <cellStyle name="Porcentagem" xfId="37" builtinId="5"/>
    <cellStyle name="Porcentagem 2" xfId="38"/>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cellStyle name="Total" xfId="47" builtinId="25" customBuiltin="1"/>
    <cellStyle name="Vírgula" xfId="48" builtinId="3"/>
    <cellStyle name="Vírgula 2" xfId="49"/>
  </cellStyles>
  <dxfs count="384">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ea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ea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ea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ea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0" t="s">
        <v>0</v>
      </c>
    </row>
    <row r="5" spans="1:4" ht="18.75" x14ac:dyDescent="0.3">
      <c r="A5" s="41"/>
      <c r="B5" s="42"/>
      <c r="C5" s="42"/>
      <c r="D5" s="43"/>
    </row>
    <row r="6" spans="1:4" ht="18.75" x14ac:dyDescent="0.3">
      <c r="A6" s="44" t="s">
        <v>1</v>
      </c>
      <c r="B6" s="45"/>
      <c r="C6" s="45"/>
      <c r="D6" s="3"/>
    </row>
    <row r="7" spans="1:4" ht="15" x14ac:dyDescent="0.25">
      <c r="A7" s="4"/>
      <c r="B7" s="46" t="s">
        <v>2</v>
      </c>
      <c r="C7" s="46"/>
      <c r="D7" s="3"/>
    </row>
    <row r="8" spans="1:4" ht="15" x14ac:dyDescent="0.25">
      <c r="A8" s="4"/>
      <c r="B8" s="46"/>
      <c r="C8" s="47" t="str">
        <f>IF(D8&lt;&gt;"","▪","")</f>
        <v>▪</v>
      </c>
      <c r="D8" s="498" t="s">
        <v>3</v>
      </c>
    </row>
    <row r="9" spans="1:4" ht="15" x14ac:dyDescent="0.25">
      <c r="A9" s="4"/>
      <c r="B9" s="46"/>
      <c r="C9" s="47" t="str">
        <f>IF(D9&lt;&gt;"","▪","")</f>
        <v/>
      </c>
      <c r="D9" s="498"/>
    </row>
    <row r="10" spans="1:4" ht="18.75" x14ac:dyDescent="0.3">
      <c r="A10" s="601" t="s">
        <v>4</v>
      </c>
      <c r="B10" s="602"/>
      <c r="C10" s="602"/>
      <c r="D10" s="603"/>
    </row>
    <row r="11" spans="1:4" ht="15" x14ac:dyDescent="0.25">
      <c r="A11" s="4"/>
      <c r="B11" s="46" t="s">
        <v>2</v>
      </c>
      <c r="C11" s="46"/>
      <c r="D11" s="498"/>
    </row>
    <row r="12" spans="1:4" ht="15" x14ac:dyDescent="0.25">
      <c r="A12" s="4"/>
      <c r="B12" s="46"/>
      <c r="C12" s="47" t="str">
        <f>IF(D12&lt;&gt;"","▪","")</f>
        <v>▪</v>
      </c>
      <c r="D12" s="498" t="s">
        <v>5</v>
      </c>
    </row>
    <row r="13" spans="1:4" ht="15" x14ac:dyDescent="0.25">
      <c r="A13" s="4"/>
      <c r="B13" s="46" t="s">
        <v>6</v>
      </c>
      <c r="C13" s="46"/>
      <c r="D13" s="498"/>
    </row>
    <row r="14" spans="1:4" ht="15" x14ac:dyDescent="0.25">
      <c r="A14" s="413"/>
      <c r="B14" s="46"/>
      <c r="C14" s="47" t="str">
        <f>IF(D14&lt;&gt;"","▪","")</f>
        <v>▪</v>
      </c>
      <c r="D14" s="498" t="s">
        <v>7</v>
      </c>
    </row>
    <row r="15" spans="1:4" ht="15" x14ac:dyDescent="0.2">
      <c r="A15" s="413"/>
      <c r="C15" s="47" t="str">
        <f>IF(D15&lt;&gt;"","▪","")</f>
        <v>▪</v>
      </c>
      <c r="D15" s="498" t="s">
        <v>8</v>
      </c>
    </row>
    <row r="16" spans="1:4" x14ac:dyDescent="0.2">
      <c r="A16" s="417"/>
      <c r="D16" s="85"/>
    </row>
    <row r="17" spans="1:4" ht="18.75" x14ac:dyDescent="0.3">
      <c r="A17" s="601" t="s">
        <v>9</v>
      </c>
      <c r="B17" s="602"/>
      <c r="C17" s="602"/>
      <c r="D17" s="603"/>
    </row>
    <row r="18" spans="1:4" ht="15" x14ac:dyDescent="0.25">
      <c r="A18" s="4"/>
      <c r="B18" s="46" t="s">
        <v>2</v>
      </c>
      <c r="C18" s="46"/>
      <c r="D18" s="498"/>
    </row>
    <row r="19" spans="1:4" ht="15" x14ac:dyDescent="0.25">
      <c r="A19" s="4"/>
      <c r="B19" s="46"/>
      <c r="C19" s="47" t="str">
        <f>IF(D19&lt;&gt;"","▪","")</f>
        <v>▪</v>
      </c>
      <c r="D19" s="498" t="s">
        <v>5</v>
      </c>
    </row>
    <row r="20" spans="1:4" ht="15" x14ac:dyDescent="0.25">
      <c r="A20" s="4"/>
      <c r="B20" s="46"/>
      <c r="C20" s="47" t="str">
        <f>IF(D20&lt;&gt;"","▪","")</f>
        <v>▪</v>
      </c>
      <c r="D20" s="498" t="s">
        <v>10</v>
      </c>
    </row>
    <row r="21" spans="1:4" ht="15" x14ac:dyDescent="0.25">
      <c r="A21" s="413"/>
      <c r="B21" s="46" t="s">
        <v>11</v>
      </c>
      <c r="C21" s="46"/>
      <c r="D21" s="498"/>
    </row>
    <row r="22" spans="1:4" ht="15" x14ac:dyDescent="0.25">
      <c r="A22" s="413"/>
      <c r="B22" s="46"/>
      <c r="C22" s="47" t="str">
        <f>IF(D22&lt;&gt;"","▪","")</f>
        <v>▪</v>
      </c>
      <c r="D22" s="498" t="s">
        <v>12</v>
      </c>
    </row>
    <row r="23" spans="1:4" ht="15" x14ac:dyDescent="0.25">
      <c r="A23" s="413"/>
      <c r="B23" s="46" t="s">
        <v>13</v>
      </c>
      <c r="C23" s="46"/>
      <c r="D23" s="498"/>
    </row>
    <row r="24" spans="1:4" ht="15" x14ac:dyDescent="0.25">
      <c r="A24" s="413"/>
      <c r="B24" s="46"/>
      <c r="C24" s="47" t="str">
        <f>IF(D24&lt;&gt;"","▪","")</f>
        <v>▪</v>
      </c>
      <c r="D24" s="498" t="s">
        <v>14</v>
      </c>
    </row>
    <row r="25" spans="1:4" ht="15" x14ac:dyDescent="0.25">
      <c r="A25" s="413"/>
      <c r="B25" s="46" t="s">
        <v>15</v>
      </c>
      <c r="C25" s="46"/>
      <c r="D25" s="498"/>
    </row>
    <row r="26" spans="1:4" ht="15" x14ac:dyDescent="0.25">
      <c r="A26" s="413"/>
      <c r="B26" s="46"/>
      <c r="C26" s="47" t="str">
        <f>IF(D26&lt;&gt;"","▪","")</f>
        <v>▪</v>
      </c>
      <c r="D26" s="498" t="s">
        <v>16</v>
      </c>
    </row>
    <row r="27" spans="1:4" ht="15" x14ac:dyDescent="0.25">
      <c r="A27" s="413"/>
      <c r="B27" s="46" t="s">
        <v>17</v>
      </c>
      <c r="C27" s="46"/>
      <c r="D27" s="498"/>
    </row>
    <row r="28" spans="1:4" ht="15" x14ac:dyDescent="0.25">
      <c r="A28" s="413"/>
      <c r="B28" s="46"/>
      <c r="C28" s="47" t="str">
        <f>IF(D28&lt;&gt;"","▪","")</f>
        <v>▪</v>
      </c>
      <c r="D28" s="498" t="s">
        <v>18</v>
      </c>
    </row>
    <row r="29" spans="1:4" x14ac:dyDescent="0.2">
      <c r="A29" s="417"/>
      <c r="D29" s="85"/>
    </row>
    <row r="30" spans="1:4" ht="18.75" x14ac:dyDescent="0.3">
      <c r="A30" s="601" t="s">
        <v>19</v>
      </c>
      <c r="B30" s="602"/>
      <c r="C30" s="602"/>
      <c r="D30" s="603"/>
    </row>
    <row r="31" spans="1:4" ht="15" x14ac:dyDescent="0.25">
      <c r="A31" s="4"/>
      <c r="B31" s="46" t="s">
        <v>2</v>
      </c>
      <c r="C31" s="46"/>
      <c r="D31" s="498"/>
    </row>
    <row r="32" spans="1:4" ht="15" x14ac:dyDescent="0.25">
      <c r="A32" s="4"/>
      <c r="B32" s="46"/>
      <c r="C32" s="47" t="str">
        <f>IF(D32&lt;&gt;"","▪","")</f>
        <v>▪</v>
      </c>
      <c r="D32" s="498" t="s">
        <v>10</v>
      </c>
    </row>
    <row r="33" spans="1:5" ht="15" x14ac:dyDescent="0.25">
      <c r="A33" s="4"/>
      <c r="B33" s="46" t="s">
        <v>20</v>
      </c>
      <c r="C33" s="47"/>
      <c r="D33" s="498"/>
    </row>
    <row r="34" spans="1:5" ht="15" x14ac:dyDescent="0.25">
      <c r="A34" s="4"/>
      <c r="B34" s="46"/>
      <c r="C34" s="47" t="str">
        <f>IF(D34&lt;&gt;"","▪","")</f>
        <v>▪</v>
      </c>
      <c r="D34" s="498" t="s">
        <v>21</v>
      </c>
    </row>
    <row r="35" spans="1:5" ht="15" x14ac:dyDescent="0.25">
      <c r="A35" s="4"/>
      <c r="B35" s="46"/>
      <c r="C35" s="46"/>
      <c r="D35" s="499"/>
      <c r="E35" s="46"/>
    </row>
    <row r="36" spans="1:5" x14ac:dyDescent="0.2">
      <c r="A36" s="417"/>
      <c r="D36" s="85"/>
    </row>
    <row r="37" spans="1:5" ht="18.75" x14ac:dyDescent="0.3">
      <c r="A37" s="601" t="s">
        <v>22</v>
      </c>
      <c r="B37" s="602"/>
      <c r="C37" s="602"/>
      <c r="D37" s="603"/>
    </row>
    <row r="38" spans="1:5" ht="15" x14ac:dyDescent="0.25">
      <c r="A38" s="4"/>
      <c r="B38" s="46" t="s">
        <v>23</v>
      </c>
      <c r="C38" s="46"/>
      <c r="D38" s="498"/>
    </row>
    <row r="39" spans="1:5" ht="15" x14ac:dyDescent="0.25">
      <c r="A39" s="4"/>
      <c r="B39" s="46"/>
      <c r="C39" s="47" t="str">
        <f>IF(D39&lt;&gt;"","▪","")</f>
        <v>▪</v>
      </c>
      <c r="D39" s="498" t="s">
        <v>24</v>
      </c>
    </row>
    <row r="40" spans="1:5" ht="15" x14ac:dyDescent="0.25">
      <c r="A40" s="4"/>
      <c r="B40" s="46" t="s">
        <v>13</v>
      </c>
      <c r="C40" s="46"/>
      <c r="D40" s="498"/>
    </row>
    <row r="41" spans="1:5" ht="15" x14ac:dyDescent="0.25">
      <c r="A41" s="4"/>
      <c r="B41" s="46"/>
      <c r="C41" s="47" t="str">
        <f>IF(D41&lt;&gt;"","▪","")</f>
        <v>▪</v>
      </c>
      <c r="D41" s="498" t="s">
        <v>25</v>
      </c>
    </row>
    <row r="42" spans="1:5" ht="15" x14ac:dyDescent="0.25">
      <c r="A42" s="4"/>
      <c r="B42" s="46" t="s">
        <v>15</v>
      </c>
      <c r="C42" s="46"/>
      <c r="D42" s="498"/>
      <c r="E42" s="46"/>
    </row>
    <row r="43" spans="1:5" ht="15" x14ac:dyDescent="0.25">
      <c r="A43" s="4"/>
      <c r="B43" s="46"/>
      <c r="C43" s="47" t="str">
        <f>IF(D43&lt;&gt;"","▪","")</f>
        <v>▪</v>
      </c>
      <c r="D43" s="498" t="s">
        <v>26</v>
      </c>
    </row>
    <row r="44" spans="1:5" ht="15" x14ac:dyDescent="0.25">
      <c r="A44" s="4"/>
      <c r="B44" s="46"/>
      <c r="C44" s="46"/>
      <c r="D44" s="499"/>
    </row>
    <row r="45" spans="1:5" ht="18.75" x14ac:dyDescent="0.3">
      <c r="A45" s="601" t="s">
        <v>27</v>
      </c>
      <c r="B45" s="602"/>
      <c r="C45" s="602"/>
      <c r="D45" s="603"/>
    </row>
    <row r="46" spans="1:5" ht="15" x14ac:dyDescent="0.25">
      <c r="A46" s="4"/>
      <c r="B46" s="46" t="s">
        <v>2</v>
      </c>
      <c r="C46" s="46"/>
      <c r="D46" s="498"/>
    </row>
    <row r="47" spans="1:5" ht="15" x14ac:dyDescent="0.25">
      <c r="A47" s="4"/>
      <c r="B47" s="46"/>
      <c r="C47" s="47" t="str">
        <f>IF(D47&lt;&gt;"","▪","")</f>
        <v>▪</v>
      </c>
      <c r="D47" s="498" t="s">
        <v>28</v>
      </c>
    </row>
    <row r="48" spans="1:5" ht="15" x14ac:dyDescent="0.25">
      <c r="A48" s="4"/>
      <c r="B48" s="46"/>
      <c r="C48" s="46"/>
      <c r="D48" s="499"/>
    </row>
    <row r="49" spans="1:4" ht="18.75" x14ac:dyDescent="0.3">
      <c r="A49" s="601" t="s">
        <v>29</v>
      </c>
      <c r="B49" s="602"/>
      <c r="C49" s="602"/>
      <c r="D49" s="603"/>
    </row>
    <row r="50" spans="1:4" ht="15" x14ac:dyDescent="0.25">
      <c r="A50" s="4"/>
      <c r="B50" s="46" t="s">
        <v>2</v>
      </c>
      <c r="C50" s="46"/>
      <c r="D50" s="498"/>
    </row>
    <row r="51" spans="1:4" ht="15" x14ac:dyDescent="0.25">
      <c r="A51" s="4"/>
      <c r="B51" s="46"/>
      <c r="C51" s="47" t="str">
        <f>IF(D51&lt;&gt;"","▪","")</f>
        <v>▪</v>
      </c>
      <c r="D51" s="498" t="s">
        <v>30</v>
      </c>
    </row>
    <row r="52" spans="1:4" ht="15" x14ac:dyDescent="0.25">
      <c r="A52" s="4"/>
      <c r="B52" s="46"/>
      <c r="C52" s="47" t="str">
        <f>IF(D52&lt;&gt;"","▪","")</f>
        <v>▪</v>
      </c>
      <c r="D52" s="498" t="s">
        <v>31</v>
      </c>
    </row>
    <row r="53" spans="1:4" ht="15" x14ac:dyDescent="0.25">
      <c r="A53" s="4"/>
      <c r="B53" s="46"/>
      <c r="C53" s="46"/>
      <c r="D53" s="499"/>
    </row>
    <row r="54" spans="1:4" ht="18.75" x14ac:dyDescent="0.3">
      <c r="A54" s="604" t="s">
        <v>32</v>
      </c>
      <c r="B54" s="602"/>
      <c r="C54" s="602"/>
      <c r="D54" s="603"/>
    </row>
    <row r="55" spans="1:4" ht="15" x14ac:dyDescent="0.25">
      <c r="A55" s="413"/>
      <c r="B55" s="46" t="s">
        <v>2</v>
      </c>
      <c r="C55" s="46"/>
      <c r="D55" s="498"/>
    </row>
    <row r="56" spans="1:4" ht="15" x14ac:dyDescent="0.25">
      <c r="A56" s="413"/>
      <c r="B56" s="46"/>
      <c r="C56" s="47" t="str">
        <f t="shared" ref="C56" si="0">IF(D56&lt;&gt;"","▪","")</f>
        <v>▪</v>
      </c>
      <c r="D56" s="498" t="s">
        <v>33</v>
      </c>
    </row>
    <row r="57" spans="1:4" ht="30" customHeight="1" x14ac:dyDescent="0.25">
      <c r="A57" s="413"/>
      <c r="B57" s="46"/>
      <c r="C57" s="47" t="str">
        <f t="shared" ref="C57:C62" si="1">IF(D57&lt;&gt;"","▪","")</f>
        <v>▪</v>
      </c>
      <c r="D57" s="498" t="s">
        <v>34</v>
      </c>
    </row>
    <row r="58" spans="1:4" ht="30" customHeight="1" x14ac:dyDescent="0.25">
      <c r="A58" s="413"/>
      <c r="B58" s="46"/>
      <c r="C58" s="47" t="str">
        <f t="shared" si="1"/>
        <v>▪</v>
      </c>
      <c r="D58" s="498" t="s">
        <v>35</v>
      </c>
    </row>
    <row r="59" spans="1:4" ht="30" customHeight="1" x14ac:dyDescent="0.25">
      <c r="A59" s="413"/>
      <c r="B59" s="46"/>
      <c r="C59" s="47" t="str">
        <f t="shared" si="1"/>
        <v>▪</v>
      </c>
      <c r="D59" s="498" t="s">
        <v>36</v>
      </c>
    </row>
    <row r="60" spans="1:4" ht="25.5" x14ac:dyDescent="0.25">
      <c r="A60" s="413"/>
      <c r="B60" s="46"/>
      <c r="C60" s="47" t="str">
        <f t="shared" si="1"/>
        <v>▪</v>
      </c>
      <c r="D60" s="498" t="s">
        <v>37</v>
      </c>
    </row>
    <row r="61" spans="1:4" ht="15" x14ac:dyDescent="0.25">
      <c r="A61" s="413"/>
      <c r="B61" s="46"/>
      <c r="C61" s="47" t="str">
        <f t="shared" si="1"/>
        <v>▪</v>
      </c>
      <c r="D61" s="498" t="s">
        <v>38</v>
      </c>
    </row>
    <row r="62" spans="1:4" ht="30" customHeight="1" x14ac:dyDescent="0.25">
      <c r="A62" s="413"/>
      <c r="B62" s="46"/>
      <c r="C62" s="47" t="str">
        <f t="shared" si="1"/>
        <v>▪</v>
      </c>
      <c r="D62" s="498" t="s">
        <v>39</v>
      </c>
    </row>
    <row r="63" spans="1:4" ht="15" x14ac:dyDescent="0.25">
      <c r="A63" s="413"/>
      <c r="B63" s="46" t="s">
        <v>40</v>
      </c>
      <c r="C63" s="46"/>
      <c r="D63" s="498"/>
    </row>
    <row r="64" spans="1:4" ht="15" x14ac:dyDescent="0.25">
      <c r="A64" s="413"/>
      <c r="B64" s="46"/>
      <c r="C64" s="47" t="str">
        <f>IF(D64&lt;&gt;"","▪","")</f>
        <v>▪</v>
      </c>
      <c r="D64" s="498" t="s">
        <v>41</v>
      </c>
    </row>
    <row r="65" spans="1:4" ht="15" x14ac:dyDescent="0.25">
      <c r="A65" s="413"/>
      <c r="B65" s="46"/>
      <c r="C65" s="47" t="str">
        <f>IF(D65&lt;&gt;"","▪","")</f>
        <v>▪</v>
      </c>
      <c r="D65" s="498" t="s">
        <v>42</v>
      </c>
    </row>
    <row r="66" spans="1:4" ht="15" x14ac:dyDescent="0.25">
      <c r="A66" s="413"/>
      <c r="B66" s="46"/>
      <c r="C66" s="47"/>
      <c r="D66" s="500" t="s">
        <v>43</v>
      </c>
    </row>
    <row r="67" spans="1:4" ht="15" x14ac:dyDescent="0.25">
      <c r="A67" s="413"/>
      <c r="B67" s="46"/>
      <c r="C67" s="47" t="str">
        <f>IF(D67&lt;&gt;"","▪","")</f>
        <v>▪</v>
      </c>
      <c r="D67" s="498" t="s">
        <v>44</v>
      </c>
    </row>
    <row r="68" spans="1:4" ht="15" x14ac:dyDescent="0.25">
      <c r="A68" s="413"/>
      <c r="B68" s="46"/>
      <c r="C68" s="47"/>
      <c r="D68" s="500" t="s">
        <v>45</v>
      </c>
    </row>
    <row r="69" spans="1:4" ht="15" x14ac:dyDescent="0.25">
      <c r="A69" s="413"/>
      <c r="B69" s="46"/>
      <c r="C69" s="47" t="str">
        <f>IF(D69&lt;&gt;"","▪","")</f>
        <v>▪</v>
      </c>
      <c r="D69" s="498" t="s">
        <v>46</v>
      </c>
    </row>
    <row r="70" spans="1:4" ht="15" x14ac:dyDescent="0.25">
      <c r="A70" s="413"/>
      <c r="B70" s="46"/>
      <c r="C70" s="47" t="str">
        <f>IF(D70&lt;&gt;"","▪","")</f>
        <v>▪</v>
      </c>
      <c r="D70" s="498" t="s">
        <v>47</v>
      </c>
    </row>
    <row r="71" spans="1:4" ht="15" x14ac:dyDescent="0.25">
      <c r="A71" s="413"/>
      <c r="B71" s="46" t="s">
        <v>23</v>
      </c>
      <c r="C71" s="46"/>
      <c r="D71" s="498"/>
    </row>
    <row r="72" spans="1:4" ht="15" x14ac:dyDescent="0.25">
      <c r="A72" s="413"/>
      <c r="B72" s="46"/>
      <c r="C72" s="47" t="str">
        <f>IF(D72&lt;&gt;"","▪","")</f>
        <v>▪</v>
      </c>
      <c r="D72" s="498" t="s">
        <v>48</v>
      </c>
    </row>
    <row r="73" spans="1:4" ht="15" x14ac:dyDescent="0.25">
      <c r="A73" s="413"/>
      <c r="B73" s="46" t="s">
        <v>49</v>
      </c>
      <c r="C73" s="46"/>
      <c r="D73" s="498"/>
    </row>
    <row r="74" spans="1:4" ht="15" x14ac:dyDescent="0.25">
      <c r="A74" s="413"/>
      <c r="B74" s="46"/>
      <c r="C74" s="47" t="str">
        <f>IF(D74&lt;&gt;"","▪","")</f>
        <v>▪</v>
      </c>
      <c r="D74" s="498" t="s">
        <v>50</v>
      </c>
    </row>
    <row r="75" spans="1:4" ht="15" x14ac:dyDescent="0.25">
      <c r="A75" s="413"/>
      <c r="B75" s="46"/>
      <c r="C75" s="47" t="str">
        <f>IF(D75&lt;&gt;"","▪","")</f>
        <v>▪</v>
      </c>
      <c r="D75" s="498" t="s">
        <v>51</v>
      </c>
    </row>
    <row r="76" spans="1:4" ht="15" x14ac:dyDescent="0.25">
      <c r="A76" s="413"/>
      <c r="B76" s="46"/>
      <c r="C76" s="47" t="str">
        <f>IF(D76&lt;&gt;"","▪","")</f>
        <v>▪</v>
      </c>
      <c r="D76" s="498" t="s">
        <v>52</v>
      </c>
    </row>
    <row r="77" spans="1:4" ht="15" x14ac:dyDescent="0.25">
      <c r="A77" s="413"/>
      <c r="B77" s="46"/>
      <c r="C77" s="47" t="str">
        <f>IF(D77&lt;&gt;"","▪","")</f>
        <v>▪</v>
      </c>
      <c r="D77" s="498" t="s">
        <v>53</v>
      </c>
    </row>
    <row r="78" spans="1:4" ht="15" x14ac:dyDescent="0.25">
      <c r="A78" s="413"/>
      <c r="B78" s="46" t="s">
        <v>54</v>
      </c>
      <c r="C78" s="46"/>
      <c r="D78" s="498"/>
    </row>
    <row r="79" spans="1:4" ht="15" x14ac:dyDescent="0.25">
      <c r="A79" s="413"/>
      <c r="B79" s="46"/>
      <c r="C79" s="47" t="str">
        <f>IF(D79&lt;&gt;"","▪","")</f>
        <v>▪</v>
      </c>
      <c r="D79" s="498" t="s">
        <v>50</v>
      </c>
    </row>
    <row r="80" spans="1:4" ht="15" x14ac:dyDescent="0.25">
      <c r="A80" s="413"/>
      <c r="B80" s="46"/>
      <c r="C80" s="47" t="str">
        <f>IF(D80&lt;&gt;"","▪","")</f>
        <v>▪</v>
      </c>
      <c r="D80" s="498" t="s">
        <v>55</v>
      </c>
    </row>
    <row r="81" spans="1:4" ht="15" x14ac:dyDescent="0.25">
      <c r="A81" s="413"/>
      <c r="B81" s="46"/>
      <c r="C81" s="47" t="str">
        <f>IF(D81&lt;&gt;"","▪","")</f>
        <v>▪</v>
      </c>
      <c r="D81" s="498" t="s">
        <v>52</v>
      </c>
    </row>
    <row r="82" spans="1:4" ht="15" x14ac:dyDescent="0.25">
      <c r="A82" s="413"/>
      <c r="B82" s="46"/>
      <c r="C82" s="47" t="str">
        <f>IF(D82&lt;&gt;"","▪","")</f>
        <v>▪</v>
      </c>
      <c r="D82" s="498" t="s">
        <v>53</v>
      </c>
    </row>
    <row r="83" spans="1:4" ht="15" x14ac:dyDescent="0.25">
      <c r="A83" s="413"/>
      <c r="B83" s="46" t="s">
        <v>17</v>
      </c>
      <c r="C83" s="46"/>
      <c r="D83" s="498"/>
    </row>
    <row r="84" spans="1:4" ht="20.100000000000001" customHeight="1" x14ac:dyDescent="0.25">
      <c r="A84" s="413"/>
      <c r="B84" s="46"/>
      <c r="C84" s="47" t="str">
        <f>IF(D84&lt;&gt;"","▪","")</f>
        <v>▪</v>
      </c>
      <c r="D84" s="498" t="s">
        <v>56</v>
      </c>
    </row>
    <row r="85" spans="1:4" ht="15" x14ac:dyDescent="0.25">
      <c r="A85" s="413"/>
      <c r="B85" s="46" t="s">
        <v>57</v>
      </c>
      <c r="C85" s="46"/>
      <c r="D85" s="498"/>
    </row>
    <row r="86" spans="1:4" ht="20.100000000000001" customHeight="1" x14ac:dyDescent="0.25">
      <c r="A86" s="413"/>
      <c r="B86" s="46"/>
      <c r="C86" s="47" t="str">
        <f>IF(D86&lt;&gt;"","▪","")</f>
        <v>▪</v>
      </c>
      <c r="D86" s="498" t="s">
        <v>58</v>
      </c>
    </row>
    <row r="87" spans="1:4" ht="15" x14ac:dyDescent="0.25">
      <c r="A87" s="417"/>
      <c r="B87" s="476"/>
      <c r="C87" s="476"/>
      <c r="D87" s="501"/>
    </row>
    <row r="88" spans="1:4" ht="18.75" x14ac:dyDescent="0.3">
      <c r="A88" s="601" t="s">
        <v>59</v>
      </c>
      <c r="B88" s="602"/>
      <c r="C88" s="602"/>
      <c r="D88" s="603"/>
    </row>
    <row r="89" spans="1:4" ht="15" x14ac:dyDescent="0.25">
      <c r="A89" s="4"/>
      <c r="B89" s="46" t="s">
        <v>2</v>
      </c>
      <c r="C89" s="46"/>
      <c r="D89" s="498"/>
    </row>
    <row r="90" spans="1:4" ht="15" x14ac:dyDescent="0.25">
      <c r="A90" s="4"/>
      <c r="B90" s="46"/>
      <c r="C90" s="47" t="str">
        <f>IF(D90&lt;&gt;"","▪","")</f>
        <v>▪</v>
      </c>
      <c r="D90" s="498" t="s">
        <v>60</v>
      </c>
    </row>
    <row r="91" spans="1:4" ht="15" x14ac:dyDescent="0.25">
      <c r="A91" s="4"/>
      <c r="B91" s="46" t="s">
        <v>40</v>
      </c>
      <c r="C91" s="46"/>
      <c r="D91" s="498"/>
    </row>
    <row r="92" spans="1:4" ht="15" x14ac:dyDescent="0.25">
      <c r="A92" s="4"/>
      <c r="B92" s="46"/>
      <c r="C92" s="47" t="str">
        <f>IF(D92&lt;&gt;"","▪","")</f>
        <v>▪</v>
      </c>
      <c r="D92" s="498" t="s">
        <v>61</v>
      </c>
    </row>
    <row r="93" spans="1:4" ht="38.25" x14ac:dyDescent="0.25">
      <c r="A93" s="4"/>
      <c r="B93" s="46"/>
      <c r="C93" s="47" t="str">
        <f>IF(D93&lt;&gt;"","▪","")</f>
        <v>▪</v>
      </c>
      <c r="D93" s="498" t="s">
        <v>62</v>
      </c>
    </row>
    <row r="94" spans="1:4" ht="25.5" x14ac:dyDescent="0.25">
      <c r="A94" s="4"/>
      <c r="B94" s="46"/>
      <c r="C94" s="47" t="str">
        <f>IF(D94&lt;&gt;"","▪","")</f>
        <v>▪</v>
      </c>
      <c r="D94" s="498" t="s">
        <v>63</v>
      </c>
    </row>
    <row r="95" spans="1:4" ht="15" x14ac:dyDescent="0.25">
      <c r="A95" s="4"/>
      <c r="B95" s="46" t="s">
        <v>23</v>
      </c>
      <c r="C95" s="46"/>
      <c r="D95" s="498"/>
    </row>
    <row r="96" spans="1:4" ht="15" x14ac:dyDescent="0.25">
      <c r="A96" s="4"/>
      <c r="B96" s="46"/>
      <c r="C96" s="47" t="str">
        <f>IF(D96&lt;&gt;"","▪","")</f>
        <v>▪</v>
      </c>
      <c r="D96" s="498" t="s">
        <v>64</v>
      </c>
    </row>
    <row r="97" spans="1:4" ht="15" x14ac:dyDescent="0.25">
      <c r="A97" s="4"/>
      <c r="B97" s="46" t="s">
        <v>11</v>
      </c>
      <c r="C97" s="46"/>
      <c r="D97" s="498"/>
    </row>
    <row r="98" spans="1:4" ht="15" x14ac:dyDescent="0.25">
      <c r="A98" s="4"/>
      <c r="B98" s="46"/>
      <c r="C98" s="47" t="str">
        <f>IF(D98&lt;&gt;"","▪","")</f>
        <v>▪</v>
      </c>
      <c r="D98" s="498" t="s">
        <v>65</v>
      </c>
    </row>
    <row r="99" spans="1:4" ht="15" x14ac:dyDescent="0.25">
      <c r="A99" s="413"/>
      <c r="B99" s="46" t="s">
        <v>49</v>
      </c>
      <c r="C99" s="46"/>
      <c r="D99" s="498"/>
    </row>
    <row r="100" spans="1:4" ht="25.5" x14ac:dyDescent="0.25">
      <c r="A100" s="413"/>
      <c r="B100" s="46"/>
      <c r="C100" s="47" t="str">
        <f>IF(D100&lt;&gt;"","▪","")</f>
        <v>▪</v>
      </c>
      <c r="D100" s="498" t="s">
        <v>66</v>
      </c>
    </row>
    <row r="101" spans="1:4" ht="15" x14ac:dyDescent="0.25">
      <c r="A101" s="413"/>
      <c r="B101" s="46"/>
      <c r="C101" s="47" t="str">
        <f>IF(D101&lt;&gt;"","▪","")</f>
        <v>▪</v>
      </c>
      <c r="D101" s="498" t="s">
        <v>67</v>
      </c>
    </row>
    <row r="102" spans="1:4" ht="15" x14ac:dyDescent="0.25">
      <c r="A102" s="413"/>
      <c r="B102" s="46" t="s">
        <v>20</v>
      </c>
      <c r="C102" s="46"/>
      <c r="D102" s="498"/>
    </row>
    <row r="103" spans="1:4" ht="15" x14ac:dyDescent="0.25">
      <c r="A103" s="413"/>
      <c r="B103" s="46"/>
      <c r="C103" s="47" t="str">
        <f>IF(D103&lt;&gt;"","▪","")</f>
        <v>▪</v>
      </c>
      <c r="D103" s="498" t="s">
        <v>68</v>
      </c>
    </row>
    <row r="104" spans="1:4" ht="15" x14ac:dyDescent="0.25">
      <c r="A104" s="4"/>
      <c r="B104" s="46" t="s">
        <v>54</v>
      </c>
      <c r="C104" s="46"/>
      <c r="D104" s="498"/>
    </row>
    <row r="105" spans="1:4" ht="15" x14ac:dyDescent="0.25">
      <c r="A105" s="4"/>
      <c r="B105" s="46"/>
      <c r="C105" s="47" t="str">
        <f>IF(D105&lt;&gt;"","▪","")</f>
        <v>▪</v>
      </c>
      <c r="D105" s="498" t="s">
        <v>69</v>
      </c>
    </row>
    <row r="106" spans="1:4" ht="15" x14ac:dyDescent="0.25">
      <c r="A106" s="4"/>
      <c r="B106" s="46"/>
      <c r="C106" s="47" t="str">
        <f>IF(D106&lt;&gt;"","▪","")</f>
        <v>▪</v>
      </c>
      <c r="D106" s="498" t="s">
        <v>70</v>
      </c>
    </row>
    <row r="107" spans="1:4" ht="15" x14ac:dyDescent="0.25">
      <c r="A107" s="4"/>
      <c r="B107" s="46" t="s">
        <v>71</v>
      </c>
      <c r="C107" s="46"/>
      <c r="D107" s="498"/>
    </row>
    <row r="108" spans="1:4" ht="15" x14ac:dyDescent="0.25">
      <c r="A108" s="4"/>
      <c r="B108" s="46"/>
      <c r="C108" s="47" t="str">
        <f>IF(D108&lt;&gt;"","▪","")</f>
        <v>▪</v>
      </c>
      <c r="D108" s="498" t="s">
        <v>72</v>
      </c>
    </row>
    <row r="109" spans="1:4" ht="15" x14ac:dyDescent="0.25">
      <c r="A109" s="4"/>
      <c r="B109" s="46"/>
      <c r="C109" s="47" t="str">
        <f>IF(D109&lt;&gt;"","▪","")</f>
        <v>▪</v>
      </c>
      <c r="D109" s="498" t="s">
        <v>73</v>
      </c>
    </row>
    <row r="110" spans="1:4" ht="15" x14ac:dyDescent="0.25">
      <c r="A110" s="4"/>
      <c r="B110" s="46"/>
      <c r="C110" s="47" t="str">
        <f>IF(D110&lt;&gt;"","▪","")</f>
        <v>▪</v>
      </c>
      <c r="D110" s="498" t="s">
        <v>74</v>
      </c>
    </row>
    <row r="111" spans="1:4" ht="15" x14ac:dyDescent="0.25">
      <c r="A111" s="4"/>
      <c r="B111" s="46" t="s">
        <v>17</v>
      </c>
      <c r="C111" s="46"/>
      <c r="D111" s="498"/>
    </row>
    <row r="112" spans="1:4" ht="15" x14ac:dyDescent="0.25">
      <c r="A112" s="4"/>
      <c r="B112" s="46"/>
      <c r="C112" s="47" t="str">
        <f>IF(D112&lt;&gt;"","▪","")</f>
        <v>▪</v>
      </c>
      <c r="D112" s="498" t="s">
        <v>75</v>
      </c>
    </row>
    <row r="113" spans="1:4" ht="15" x14ac:dyDescent="0.25">
      <c r="A113" s="4"/>
      <c r="B113" s="46" t="s">
        <v>76</v>
      </c>
      <c r="C113" s="46"/>
      <c r="D113" s="498"/>
    </row>
    <row r="114" spans="1:4" ht="15" x14ac:dyDescent="0.25">
      <c r="A114" s="4"/>
      <c r="B114" s="46"/>
      <c r="C114" s="47" t="str">
        <f>IF(D114&lt;&gt;"","▪","")</f>
        <v>▪</v>
      </c>
      <c r="D114" s="498" t="s">
        <v>77</v>
      </c>
    </row>
    <row r="115" spans="1:4" ht="15" x14ac:dyDescent="0.25">
      <c r="A115" s="4"/>
      <c r="B115" s="46" t="s">
        <v>78</v>
      </c>
      <c r="C115" s="46"/>
      <c r="D115" s="498"/>
    </row>
    <row r="116" spans="1:4" ht="15" x14ac:dyDescent="0.25">
      <c r="A116" s="4"/>
      <c r="B116" s="46"/>
      <c r="C116" s="47" t="str">
        <f>IF(D116&lt;&gt;"","▪","")</f>
        <v>▪</v>
      </c>
      <c r="D116" s="498" t="s">
        <v>79</v>
      </c>
    </row>
    <row r="117" spans="1:4" ht="15" x14ac:dyDescent="0.25">
      <c r="A117" s="417"/>
      <c r="B117" s="476"/>
      <c r="C117" s="476"/>
      <c r="D117" s="501"/>
    </row>
    <row r="118" spans="1:4" ht="18.75" x14ac:dyDescent="0.3">
      <c r="A118" s="601" t="s">
        <v>80</v>
      </c>
      <c r="B118" s="602"/>
      <c r="C118" s="602"/>
      <c r="D118" s="603"/>
    </row>
    <row r="119" spans="1:4" ht="15" x14ac:dyDescent="0.25">
      <c r="A119" s="4"/>
      <c r="B119" s="46" t="s">
        <v>40</v>
      </c>
      <c r="C119" s="46"/>
      <c r="D119" s="498"/>
    </row>
    <row r="120" spans="1:4" ht="25.5" x14ac:dyDescent="0.25">
      <c r="A120" s="4"/>
      <c r="B120" s="46"/>
      <c r="C120" s="47" t="str">
        <f>IF(D120&lt;&gt;"","▪","")</f>
        <v>▪</v>
      </c>
      <c r="D120" s="498" t="s">
        <v>81</v>
      </c>
    </row>
    <row r="121" spans="1:4" ht="15" x14ac:dyDescent="0.25">
      <c r="A121" s="4"/>
      <c r="B121" s="46" t="s">
        <v>11</v>
      </c>
      <c r="C121" s="46"/>
      <c r="D121" s="498"/>
    </row>
    <row r="122" spans="1:4" ht="15" x14ac:dyDescent="0.25">
      <c r="A122" s="4"/>
      <c r="B122" s="46"/>
      <c r="C122" s="47" t="str">
        <f>IF(D122&lt;&gt;"","▪","")</f>
        <v>▪</v>
      </c>
      <c r="D122" s="498" t="s">
        <v>82</v>
      </c>
    </row>
    <row r="123" spans="1:4" ht="15" x14ac:dyDescent="0.25">
      <c r="A123" s="4"/>
      <c r="B123" s="46" t="s">
        <v>23</v>
      </c>
      <c r="C123" s="46"/>
      <c r="D123" s="498"/>
    </row>
    <row r="124" spans="1:4" ht="15" x14ac:dyDescent="0.25">
      <c r="A124" s="4"/>
      <c r="B124" s="46"/>
      <c r="C124" s="47" t="str">
        <f>IF(D124&lt;&gt;"","▪","")</f>
        <v>▪</v>
      </c>
      <c r="D124" s="498" t="s">
        <v>83</v>
      </c>
    </row>
    <row r="125" spans="1:4" ht="15" x14ac:dyDescent="0.25">
      <c r="A125" s="417"/>
      <c r="B125" s="476"/>
      <c r="C125" s="476"/>
      <c r="D125" s="501"/>
    </row>
    <row r="126" spans="1:4" ht="18.75" x14ac:dyDescent="0.3">
      <c r="A126" s="601" t="s">
        <v>931</v>
      </c>
      <c r="B126" s="602"/>
      <c r="C126" s="602"/>
      <c r="D126" s="603"/>
    </row>
    <row r="127" spans="1:4" ht="15" x14ac:dyDescent="0.25">
      <c r="A127" s="4"/>
      <c r="B127" s="46" t="s">
        <v>2</v>
      </c>
      <c r="C127" s="46"/>
      <c r="D127" s="498"/>
    </row>
    <row r="128" spans="1:4" ht="15" x14ac:dyDescent="0.25">
      <c r="A128" s="4"/>
      <c r="B128" s="46"/>
      <c r="C128" s="47" t="str">
        <f>IF(D128&lt;&gt;"","▪","")</f>
        <v>▪</v>
      </c>
      <c r="D128" s="498" t="s">
        <v>932</v>
      </c>
    </row>
    <row r="129" spans="1:4" ht="15" x14ac:dyDescent="0.25">
      <c r="A129" s="417"/>
      <c r="B129" s="476"/>
      <c r="C129" s="476"/>
      <c r="D129" s="501"/>
    </row>
    <row r="130" spans="1:4" ht="18.75" x14ac:dyDescent="0.3">
      <c r="A130" s="601" t="s">
        <v>933</v>
      </c>
      <c r="B130" s="602"/>
      <c r="C130" s="602"/>
      <c r="D130" s="603"/>
    </row>
    <row r="131" spans="1:4" ht="15" x14ac:dyDescent="0.25">
      <c r="A131" s="4"/>
      <c r="B131" s="46" t="s">
        <v>40</v>
      </c>
      <c r="C131" s="46"/>
      <c r="D131" s="498"/>
    </row>
    <row r="132" spans="1:4" ht="15" x14ac:dyDescent="0.25">
      <c r="A132" s="4"/>
      <c r="B132" s="46"/>
      <c r="C132" s="47" t="str">
        <f>IF(D132&lt;&gt;"","▪","")</f>
        <v>▪</v>
      </c>
      <c r="D132" s="498" t="s">
        <v>935</v>
      </c>
    </row>
    <row r="133" spans="1:4" ht="15" x14ac:dyDescent="0.25">
      <c r="A133" s="4"/>
      <c r="B133" s="46"/>
      <c r="C133" s="47" t="str">
        <f>IF(D133&lt;&gt;"","▪","")</f>
        <v>▪</v>
      </c>
      <c r="D133" s="498" t="s">
        <v>938</v>
      </c>
    </row>
    <row r="134" spans="1:4" ht="15" x14ac:dyDescent="0.25">
      <c r="A134" s="4"/>
      <c r="B134" s="46" t="s">
        <v>71</v>
      </c>
      <c r="C134" s="46"/>
      <c r="D134" s="498"/>
    </row>
    <row r="135" spans="1:4" ht="15" x14ac:dyDescent="0.25">
      <c r="A135" s="413"/>
      <c r="B135" s="46"/>
      <c r="C135" s="47" t="str">
        <f>IF(D135&lt;&gt;"","▪","")</f>
        <v>▪</v>
      </c>
      <c r="D135" s="498" t="s">
        <v>936</v>
      </c>
    </row>
    <row r="136" spans="1:4" ht="15" x14ac:dyDescent="0.25">
      <c r="A136" s="4"/>
      <c r="B136" s="46" t="s">
        <v>17</v>
      </c>
      <c r="C136" s="46"/>
      <c r="D136" s="498"/>
    </row>
    <row r="137" spans="1:4" ht="15" x14ac:dyDescent="0.2">
      <c r="A137" s="413"/>
      <c r="C137" s="47" t="str">
        <f>IF(D137&lt;&gt;"","▪","")</f>
        <v>▪</v>
      </c>
      <c r="D137" s="498" t="s">
        <v>934</v>
      </c>
    </row>
    <row r="138" spans="1:4" ht="15" x14ac:dyDescent="0.25">
      <c r="A138" s="417"/>
      <c r="B138" s="476"/>
      <c r="C138" s="476"/>
      <c r="D138" s="501"/>
    </row>
    <row r="139" spans="1:4" ht="18.75" x14ac:dyDescent="0.3">
      <c r="A139" s="601" t="s">
        <v>944</v>
      </c>
      <c r="B139" s="602"/>
      <c r="C139" s="602"/>
      <c r="D139" s="603"/>
    </row>
    <row r="140" spans="1:4" ht="15" x14ac:dyDescent="0.25">
      <c r="A140" s="4"/>
      <c r="B140" s="46" t="s">
        <v>40</v>
      </c>
      <c r="C140" s="46"/>
      <c r="D140" s="498"/>
    </row>
    <row r="141" spans="1:4" ht="25.5" x14ac:dyDescent="0.25">
      <c r="A141" s="4"/>
      <c r="B141" s="46"/>
      <c r="C141" s="47" t="str">
        <f>IF(D141&lt;&gt;"","▪","")</f>
        <v>▪</v>
      </c>
      <c r="D141" s="498" t="s">
        <v>949</v>
      </c>
    </row>
    <row r="142" spans="1:4" ht="15" x14ac:dyDescent="0.25">
      <c r="A142" s="4"/>
      <c r="B142" s="46" t="s">
        <v>23</v>
      </c>
      <c r="C142" s="46"/>
      <c r="D142" s="498"/>
    </row>
    <row r="143" spans="1:4" ht="15" x14ac:dyDescent="0.25">
      <c r="A143" s="413"/>
      <c r="B143" s="46"/>
      <c r="C143" s="47" t="str">
        <f>IF(D143&lt;&gt;"","▪","")</f>
        <v>▪</v>
      </c>
      <c r="D143" s="498" t="s">
        <v>945</v>
      </c>
    </row>
    <row r="144" spans="1:4" ht="15" x14ac:dyDescent="0.25">
      <c r="A144" s="4"/>
      <c r="B144" s="46" t="s">
        <v>11</v>
      </c>
      <c r="C144" s="46"/>
      <c r="D144" s="498"/>
    </row>
    <row r="145" spans="1:4" ht="15" x14ac:dyDescent="0.2">
      <c r="A145" s="413"/>
      <c r="C145" s="47" t="str">
        <f>IF(D145&lt;&gt;"","▪","")</f>
        <v>▪</v>
      </c>
      <c r="D145" s="498" t="s">
        <v>945</v>
      </c>
    </row>
    <row r="146" spans="1:4" ht="15" x14ac:dyDescent="0.25">
      <c r="A146" s="4"/>
      <c r="B146" s="46" t="s">
        <v>49</v>
      </c>
      <c r="C146" s="46"/>
      <c r="D146" s="498"/>
    </row>
    <row r="147" spans="1:4" ht="15" x14ac:dyDescent="0.2">
      <c r="A147" s="413"/>
      <c r="C147" s="47" t="str">
        <f>IF(D147&lt;&gt;"","▪","")</f>
        <v>▪</v>
      </c>
      <c r="D147" s="498" t="s">
        <v>946</v>
      </c>
    </row>
    <row r="148" spans="1:4" ht="15" x14ac:dyDescent="0.25">
      <c r="A148" s="4"/>
      <c r="B148" s="46" t="s">
        <v>20</v>
      </c>
      <c r="C148" s="46"/>
      <c r="D148" s="498"/>
    </row>
    <row r="149" spans="1:4" ht="15" x14ac:dyDescent="0.2">
      <c r="A149" s="413"/>
      <c r="C149" s="47" t="str">
        <f>IF(D149&lt;&gt;"","▪","")</f>
        <v>▪</v>
      </c>
      <c r="D149" s="498" t="s">
        <v>945</v>
      </c>
    </row>
    <row r="150" spans="1:4" ht="15" x14ac:dyDescent="0.25">
      <c r="A150" s="4"/>
      <c r="B150" s="46" t="s">
        <v>54</v>
      </c>
      <c r="C150" s="46"/>
      <c r="D150" s="498"/>
    </row>
    <row r="151" spans="1:4" ht="15" x14ac:dyDescent="0.2">
      <c r="A151" s="413"/>
      <c r="C151" s="47" t="str">
        <f>IF(D151&lt;&gt;"","▪","")</f>
        <v>▪</v>
      </c>
      <c r="D151" s="498" t="s">
        <v>947</v>
      </c>
    </row>
    <row r="152" spans="1:4" ht="15" x14ac:dyDescent="0.25">
      <c r="A152" s="4"/>
      <c r="B152" s="46" t="s">
        <v>71</v>
      </c>
      <c r="C152" s="46"/>
      <c r="D152" s="498"/>
    </row>
    <row r="153" spans="1:4" ht="15" x14ac:dyDescent="0.2">
      <c r="A153" s="413"/>
      <c r="C153" s="47" t="str">
        <f>IF(D153&lt;&gt;"","▪","")</f>
        <v>▪</v>
      </c>
      <c r="D153" s="498" t="s">
        <v>948</v>
      </c>
    </row>
    <row r="154" spans="1:4" ht="15" x14ac:dyDescent="0.25">
      <c r="A154" s="417"/>
      <c r="B154" s="476"/>
      <c r="C154" s="476"/>
      <c r="D154" s="501"/>
    </row>
    <row r="155" spans="1:4" ht="18.75" x14ac:dyDescent="0.3">
      <c r="A155" s="601" t="s">
        <v>951</v>
      </c>
      <c r="B155" s="602"/>
      <c r="C155" s="602"/>
      <c r="D155" s="603"/>
    </row>
    <row r="156" spans="1:4" ht="15" x14ac:dyDescent="0.25">
      <c r="A156" s="4"/>
      <c r="B156" s="46" t="s">
        <v>2</v>
      </c>
      <c r="C156" s="46"/>
      <c r="D156" s="498"/>
    </row>
    <row r="157" spans="1:4" ht="15" x14ac:dyDescent="0.25">
      <c r="A157" s="4"/>
      <c r="B157" s="46"/>
      <c r="C157" s="47" t="str">
        <f>IF(D157&lt;&gt;"","▪","")</f>
        <v>▪</v>
      </c>
      <c r="D157" s="498" t="s">
        <v>986</v>
      </c>
    </row>
    <row r="158" spans="1:4" ht="15" x14ac:dyDescent="0.25">
      <c r="A158" s="4"/>
      <c r="B158" s="46" t="s">
        <v>40</v>
      </c>
      <c r="C158" s="46"/>
      <c r="D158" s="498"/>
    </row>
    <row r="159" spans="1:4" ht="25.5" x14ac:dyDescent="0.25">
      <c r="A159" s="4"/>
      <c r="B159" s="46"/>
      <c r="C159" s="47" t="str">
        <f>IF(D159&lt;&gt;"","▪","")</f>
        <v>▪</v>
      </c>
      <c r="D159" s="498" t="s">
        <v>987</v>
      </c>
    </row>
    <row r="160" spans="1:4" ht="25.5" x14ac:dyDescent="0.25">
      <c r="A160" s="4"/>
      <c r="B160" s="46"/>
      <c r="C160" s="47" t="str">
        <f>IF(D160&lt;&gt;"","▪","")</f>
        <v>▪</v>
      </c>
      <c r="D160" s="498" t="s">
        <v>993</v>
      </c>
    </row>
    <row r="161" spans="1:4" ht="38.25" x14ac:dyDescent="0.25">
      <c r="A161" s="4"/>
      <c r="B161" s="46"/>
      <c r="C161" s="47" t="str">
        <f>IF(D161&lt;&gt;"","▪","")</f>
        <v>▪</v>
      </c>
      <c r="D161" s="498" t="s">
        <v>953</v>
      </c>
    </row>
    <row r="162" spans="1:4" ht="15" x14ac:dyDescent="0.25">
      <c r="A162" s="4"/>
      <c r="B162" s="46" t="s">
        <v>11</v>
      </c>
      <c r="C162" s="46"/>
      <c r="D162" s="498"/>
    </row>
    <row r="163" spans="1:4" ht="15" x14ac:dyDescent="0.2">
      <c r="A163" s="413"/>
      <c r="C163" s="47" t="str">
        <f>IF(D163&lt;&gt;"","▪","")</f>
        <v>▪</v>
      </c>
      <c r="D163" s="498" t="s">
        <v>983</v>
      </c>
    </row>
    <row r="164" spans="1:4" ht="15" x14ac:dyDescent="0.2">
      <c r="A164" s="413"/>
      <c r="C164" s="47" t="str">
        <f>IF(D164&lt;&gt;"","▪","")</f>
        <v>▪</v>
      </c>
      <c r="D164" s="498" t="s">
        <v>952</v>
      </c>
    </row>
    <row r="165" spans="1:4" ht="15" x14ac:dyDescent="0.2">
      <c r="A165" s="413"/>
      <c r="C165" s="47" t="str">
        <f>IF(D165&lt;&gt;"","▪","")</f>
        <v>▪</v>
      </c>
      <c r="D165" s="498" t="s">
        <v>997</v>
      </c>
    </row>
    <row r="166" spans="1:4" ht="15" x14ac:dyDescent="0.2">
      <c r="A166" s="413"/>
      <c r="C166" s="47" t="str">
        <f>IF(D166&lt;&gt;"","▪","")</f>
        <v>▪</v>
      </c>
      <c r="D166" s="498" t="s">
        <v>988</v>
      </c>
    </row>
    <row r="167" spans="1:4" ht="15" x14ac:dyDescent="0.2">
      <c r="A167" s="413"/>
      <c r="C167" s="47" t="str">
        <f>IF(D167&lt;&gt;"","▪","")</f>
        <v>▪</v>
      </c>
      <c r="D167" s="498" t="s">
        <v>989</v>
      </c>
    </row>
    <row r="168" spans="1:4" ht="15" x14ac:dyDescent="0.25">
      <c r="A168" s="4"/>
      <c r="B168" s="46" t="s">
        <v>20</v>
      </c>
      <c r="C168" s="46"/>
      <c r="D168" s="498"/>
    </row>
    <row r="169" spans="1:4" ht="25.5" x14ac:dyDescent="0.2">
      <c r="A169" s="413"/>
      <c r="C169" s="47" t="str">
        <f>IF(D169&lt;&gt;"","▪","")</f>
        <v>▪</v>
      </c>
      <c r="D169" s="498" t="s">
        <v>990</v>
      </c>
    </row>
    <row r="170" spans="1:4" ht="15" x14ac:dyDescent="0.2">
      <c r="A170" s="413"/>
      <c r="C170" s="47" t="str">
        <f t="shared" ref="C170:C171" si="2">IF(D170&lt;&gt;"","▪","")</f>
        <v>▪</v>
      </c>
      <c r="D170" s="498" t="s">
        <v>991</v>
      </c>
    </row>
    <row r="171" spans="1:4" ht="15" x14ac:dyDescent="0.2">
      <c r="A171" s="413"/>
      <c r="C171" s="47" t="str">
        <f t="shared" si="2"/>
        <v>▪</v>
      </c>
      <c r="D171" s="498" t="s">
        <v>992</v>
      </c>
    </row>
    <row r="172" spans="1:4" ht="15" x14ac:dyDescent="0.25">
      <c r="A172" s="4"/>
      <c r="B172" s="46" t="s">
        <v>54</v>
      </c>
      <c r="C172" s="46"/>
      <c r="D172" s="498"/>
    </row>
    <row r="173" spans="1:4" ht="15" x14ac:dyDescent="0.2">
      <c r="A173" s="413"/>
      <c r="C173" s="47" t="str">
        <f>IF(D173&lt;&gt;"","▪","")</f>
        <v>▪</v>
      </c>
      <c r="D173" s="498" t="s">
        <v>947</v>
      </c>
    </row>
    <row r="174" spans="1:4" ht="15" x14ac:dyDescent="0.25">
      <c r="A174" s="4"/>
      <c r="B174" s="46" t="s">
        <v>76</v>
      </c>
      <c r="C174" s="46"/>
      <c r="D174" s="498"/>
    </row>
    <row r="175" spans="1:4" ht="15" x14ac:dyDescent="0.2">
      <c r="A175" s="413"/>
      <c r="C175" s="47" t="str">
        <f>IF(D175&lt;&gt;"","▪","")</f>
        <v>▪</v>
      </c>
      <c r="D175" s="498" t="s">
        <v>984</v>
      </c>
    </row>
    <row r="176" spans="1:4" ht="15" x14ac:dyDescent="0.25">
      <c r="A176" s="4"/>
      <c r="B176" s="46" t="s">
        <v>17</v>
      </c>
      <c r="C176" s="46"/>
      <c r="D176" s="498"/>
    </row>
    <row r="177" spans="1:4" ht="15" x14ac:dyDescent="0.2">
      <c r="A177" s="413"/>
      <c r="C177" s="47" t="str">
        <f>IF(D177&lt;&gt;"","▪","")</f>
        <v>▪</v>
      </c>
      <c r="D177" s="498" t="s">
        <v>985</v>
      </c>
    </row>
    <row r="178" spans="1:4" ht="15" x14ac:dyDescent="0.25">
      <c r="A178" s="417"/>
      <c r="B178" s="476"/>
      <c r="C178" s="476"/>
      <c r="D178" s="501"/>
    </row>
    <row r="179" spans="1:4" ht="18.75" x14ac:dyDescent="0.3">
      <c r="A179" s="601" t="s">
        <v>998</v>
      </c>
      <c r="B179" s="602"/>
      <c r="C179" s="602"/>
      <c r="D179" s="603"/>
    </row>
    <row r="180" spans="1:4" ht="15" x14ac:dyDescent="0.25">
      <c r="A180" s="4"/>
      <c r="B180" s="46" t="s">
        <v>2</v>
      </c>
      <c r="C180" s="46"/>
      <c r="D180" s="498"/>
    </row>
    <row r="181" spans="1:4" ht="15" x14ac:dyDescent="0.25">
      <c r="A181" s="4"/>
      <c r="B181" s="46"/>
      <c r="C181" s="47" t="str">
        <f>IF(D181&lt;&gt;"","▪","")</f>
        <v>▪</v>
      </c>
      <c r="D181" s="498" t="s">
        <v>999</v>
      </c>
    </row>
    <row r="182" spans="1:4" ht="15" x14ac:dyDescent="0.25">
      <c r="A182" s="4"/>
      <c r="B182" s="46" t="s">
        <v>40</v>
      </c>
      <c r="C182" s="46"/>
      <c r="D182" s="498"/>
    </row>
    <row r="183" spans="1:4" ht="15" x14ac:dyDescent="0.25">
      <c r="A183" s="4"/>
      <c r="B183" s="46"/>
      <c r="C183" s="47" t="str">
        <f>IF(D183&lt;&gt;"","▪","")</f>
        <v>▪</v>
      </c>
      <c r="D183" s="498" t="s">
        <v>1000</v>
      </c>
    </row>
    <row r="184" spans="1:4" ht="15" x14ac:dyDescent="0.25">
      <c r="A184" s="4"/>
      <c r="B184" s="46"/>
      <c r="C184" s="47" t="str">
        <f>IF(D184&lt;&gt;"","▪","")</f>
        <v>▪</v>
      </c>
      <c r="D184" s="498" t="s">
        <v>1001</v>
      </c>
    </row>
    <row r="185" spans="1:4" ht="15" x14ac:dyDescent="0.25">
      <c r="A185" s="417"/>
      <c r="B185" s="476"/>
      <c r="C185" s="476"/>
      <c r="D185" s="501"/>
    </row>
    <row r="186" spans="1:4" ht="18.75" x14ac:dyDescent="0.3">
      <c r="A186" s="601" t="s">
        <v>1002</v>
      </c>
      <c r="B186" s="602"/>
      <c r="C186" s="602"/>
      <c r="D186" s="603"/>
    </row>
    <row r="187" spans="1:4" ht="15" x14ac:dyDescent="0.25">
      <c r="A187" s="4"/>
      <c r="B187" s="46" t="s">
        <v>11</v>
      </c>
      <c r="C187" s="46"/>
      <c r="D187" s="498"/>
    </row>
    <row r="188" spans="1:4" ht="15" x14ac:dyDescent="0.25">
      <c r="A188" s="4"/>
      <c r="B188" s="46"/>
      <c r="C188" s="47" t="str">
        <f>IF(D188&lt;&gt;"","▪","")</f>
        <v>▪</v>
      </c>
      <c r="D188" s="498" t="s">
        <v>1003</v>
      </c>
    </row>
    <row r="189" spans="1:4" ht="15" x14ac:dyDescent="0.25">
      <c r="A189" s="417"/>
      <c r="B189" s="476"/>
      <c r="C189" s="476"/>
      <c r="D189" s="501"/>
    </row>
    <row r="190" spans="1:4" ht="18.75" x14ac:dyDescent="0.3">
      <c r="A190" s="601" t="s">
        <v>1005</v>
      </c>
      <c r="B190" s="602"/>
      <c r="C190" s="602"/>
      <c r="D190" s="603"/>
    </row>
    <row r="191" spans="1:4" ht="15" x14ac:dyDescent="0.25">
      <c r="A191" s="4"/>
      <c r="B191" s="46" t="s">
        <v>23</v>
      </c>
      <c r="C191" s="46"/>
      <c r="D191" s="498"/>
    </row>
    <row r="192" spans="1:4" ht="15" x14ac:dyDescent="0.25">
      <c r="A192" s="4"/>
      <c r="B192" s="46"/>
      <c r="C192" s="47" t="str">
        <f>IF(D192&lt;&gt;"","▪","")</f>
        <v>▪</v>
      </c>
      <c r="D192" s="498" t="s">
        <v>1006</v>
      </c>
    </row>
    <row r="193" spans="1:4" ht="15" x14ac:dyDescent="0.25">
      <c r="A193" s="417"/>
      <c r="B193" s="476"/>
      <c r="C193" s="476"/>
      <c r="D193" s="501"/>
    </row>
  </sheetData>
  <sheetProtection algorithmName="SHA-512" hashValue="t05w1+0G/EMx3wIWBWtCoiUDZzv7JNn1b1dyozImLD9pNw+BFTp5NflGlLVFE8k/9s/bMpi9vtOAEZxNb07o5A==" saltValue="SWHUnHmlced7aylSvP9mYg=="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3"/>
      <c r="B1" s="403"/>
      <c r="C1" s="403"/>
      <c r="D1" s="403"/>
      <c r="E1" s="403"/>
      <c r="F1" s="403"/>
      <c r="G1" s="403"/>
      <c r="H1" s="403"/>
      <c r="I1" s="403"/>
      <c r="J1" s="490" t="s">
        <v>84</v>
      </c>
      <c r="K1" s="509" t="b">
        <v>1</v>
      </c>
    </row>
    <row r="2" spans="1:15" ht="22.5" customHeight="1" x14ac:dyDescent="0.2">
      <c r="A2" s="403"/>
      <c r="B2" s="405"/>
      <c r="C2" s="405"/>
      <c r="D2" s="405"/>
      <c r="E2" s="676" t="str">
        <f>CHOOSE(MATCH(Objeto,{"PM","PO"}),"PLANILHA MÚLTIPLA ","PLANILHA ORÇAMENTÁRIA ")&amp; Versao</f>
        <v>PLANILHA MÚLTIPLA v3.16</v>
      </c>
      <c r="F2" s="676"/>
      <c r="G2" s="676"/>
      <c r="H2" s="407"/>
      <c r="I2" s="405"/>
      <c r="J2" s="490" t="s">
        <v>1004</v>
      </c>
      <c r="K2" s="509" t="b">
        <v>1</v>
      </c>
    </row>
    <row r="3" spans="1:15" ht="22.5" customHeight="1" x14ac:dyDescent="0.2">
      <c r="A3" s="403"/>
      <c r="B3" s="405"/>
      <c r="C3" s="405"/>
      <c r="D3" s="405"/>
      <c r="E3" s="676"/>
      <c r="F3" s="676"/>
      <c r="G3" s="676"/>
      <c r="H3" s="407"/>
      <c r="I3" s="405"/>
      <c r="O3" s="605">
        <v>1</v>
      </c>
    </row>
    <row r="4" spans="1:15" ht="17.100000000000001" customHeight="1" x14ac:dyDescent="0.2">
      <c r="A4" s="403"/>
      <c r="B4" s="405"/>
      <c r="C4" s="405"/>
      <c r="D4" s="405"/>
      <c r="E4" s="405"/>
      <c r="F4" s="406"/>
      <c r="G4" s="407"/>
      <c r="H4" s="407"/>
      <c r="I4" s="405"/>
      <c r="J4" s="150" t="str">
        <f>IF(VALUE(MENU!$O$4)=2,"BM","PLE")</f>
        <v>BM</v>
      </c>
      <c r="O4" s="605">
        <v>2</v>
      </c>
    </row>
    <row r="5" spans="1:15" ht="17.100000000000001" customHeight="1" thickBot="1" x14ac:dyDescent="0.25">
      <c r="A5" s="403"/>
      <c r="B5" s="405"/>
      <c r="C5" s="405"/>
      <c r="D5" s="405"/>
      <c r="E5" s="405"/>
      <c r="F5" s="406"/>
      <c r="G5" s="407"/>
      <c r="H5" s="407"/>
      <c r="I5" s="405"/>
      <c r="J5" s="150" t="s">
        <v>85</v>
      </c>
    </row>
    <row r="6" spans="1:15" ht="21" customHeight="1" thickBot="1" x14ac:dyDescent="0.25">
      <c r="A6" s="403"/>
      <c r="B6" s="403"/>
      <c r="C6" s="403"/>
      <c r="D6" s="403"/>
      <c r="E6" s="508" t="s">
        <v>86</v>
      </c>
      <c r="F6" s="404"/>
      <c r="G6" s="508" t="s">
        <v>87</v>
      </c>
      <c r="H6" s="403"/>
      <c r="I6" s="403"/>
      <c r="J6" s="150" t="s">
        <v>88</v>
      </c>
    </row>
    <row r="7" spans="1:15" x14ac:dyDescent="0.2">
      <c r="A7" s="403"/>
      <c r="B7" s="403"/>
      <c r="C7" s="403"/>
      <c r="D7" s="403"/>
      <c r="E7" s="403"/>
      <c r="F7" s="403"/>
      <c r="G7" s="403"/>
      <c r="H7" s="403"/>
      <c r="I7" s="403"/>
      <c r="J7" s="150" t="s">
        <v>76</v>
      </c>
      <c r="K7" s="606"/>
      <c r="L7" s="607"/>
      <c r="M7" s="607"/>
      <c r="N7" s="608"/>
    </row>
    <row r="8" spans="1:15" ht="21" customHeight="1" x14ac:dyDescent="0.2">
      <c r="A8" s="405"/>
      <c r="B8" s="675" t="str">
        <f>IF($O$3&lt;&gt;2,"DOCUMENTAÇÃO DA PROPOSTA","PROPOSTA: Para visualizar/preencher esta seção, altere o TIPO DE ORÇAMENTO para 'Proposto'")</f>
        <v>DOCUMENTAÇÃO DA PROPOSTA</v>
      </c>
      <c r="C8" s="675"/>
      <c r="D8" s="675"/>
      <c r="E8" s="675"/>
      <c r="F8" s="675"/>
      <c r="G8" s="675"/>
      <c r="H8" s="675"/>
      <c r="I8" s="403"/>
      <c r="J8" s="150" t="s">
        <v>78</v>
      </c>
      <c r="K8" s="411"/>
      <c r="L8" s="412" t="s">
        <v>89</v>
      </c>
      <c r="M8" s="412"/>
      <c r="N8" s="413"/>
    </row>
    <row r="9" spans="1:15" ht="13.5" thickBot="1" x14ac:dyDescent="0.25">
      <c r="A9" s="403"/>
      <c r="B9" s="403"/>
      <c r="C9" s="403"/>
      <c r="D9" s="403"/>
      <c r="E9" s="403"/>
      <c r="F9" s="403"/>
      <c r="G9" s="403"/>
      <c r="H9" s="403"/>
      <c r="I9" s="403"/>
      <c r="K9" s="411"/>
      <c r="L9" t="s">
        <v>90</v>
      </c>
      <c r="N9" s="413"/>
    </row>
    <row r="10" spans="1:15" ht="21" customHeight="1" thickBot="1" x14ac:dyDescent="0.25">
      <c r="A10" s="403"/>
      <c r="B10" s="403"/>
      <c r="C10" s="477" t="str" cm="1">
        <f t="array" ref="C10">IF(TIPOORCAMENTO&lt;&gt;"Proposto","","                    BDI                    ")</f>
        <v xml:space="preserve">                    BDI                    </v>
      </c>
      <c r="D10" s="404"/>
      <c r="E10" s="477" t="str" cm="1">
        <f t="array" ref="E10">IF(TIPOORCAMENTO&lt;&gt;"Proposto","","             ORÇAMENTO             ")</f>
        <v xml:space="preserve">             ORÇAMENTO             </v>
      </c>
      <c r="F10" s="404"/>
      <c r="G10" s="479" t="str" cm="1">
        <f t="array" ref="G10">IF(TIPOORCAMENTO&lt;&gt;"Proposto","","MEMÓRIA DE CÁLCULO / PLQ")</f>
        <v>MEMÓRIA DE CÁLCULO / PLQ</v>
      </c>
      <c r="H10" s="403"/>
      <c r="I10" s="403"/>
      <c r="K10" s="411"/>
      <c r="L10" s="5"/>
      <c r="M10" s="3"/>
      <c r="N10" s="414" t="s">
        <v>91</v>
      </c>
    </row>
    <row r="11" spans="1:15" ht="13.5" thickBot="1" x14ac:dyDescent="0.25">
      <c r="A11" s="403"/>
      <c r="B11" s="403"/>
      <c r="C11" s="404"/>
      <c r="D11" s="404"/>
      <c r="E11" s="404"/>
      <c r="F11" s="404"/>
      <c r="G11" s="404"/>
      <c r="H11" s="403"/>
      <c r="I11" s="403"/>
      <c r="K11" s="411"/>
      <c r="N11" s="413"/>
    </row>
    <row r="12" spans="1:15" ht="21" customHeight="1" thickBot="1" x14ac:dyDescent="0.25">
      <c r="A12" s="403"/>
      <c r="B12" s="403"/>
      <c r="C12" s="477" t="str" cm="1">
        <f t="array" ref="C12">IF(TIPOORCAMENTO&lt;&gt;"Proposto","","                    QCI                    ")</f>
        <v xml:space="preserve">                    QCI                    </v>
      </c>
      <c r="D12" s="404"/>
      <c r="E12" s="478" t="str" cm="1">
        <f t="array" ref="E12">IF(TIPOORCAMENTO&lt;&gt;"Proposto","","CRONOGRAMA FÍSICO-FINANCEIRO")</f>
        <v>CRONOGRAMA FÍSICO-FINANCEIRO</v>
      </c>
      <c r="F12" s="404"/>
      <c r="G12" s="404"/>
      <c r="H12" s="403"/>
      <c r="I12" s="403"/>
      <c r="K12" s="411"/>
      <c r="L12" s="6"/>
      <c r="M12" s="3"/>
      <c r="N12" s="414" t="s">
        <v>92</v>
      </c>
    </row>
    <row r="13" spans="1:15" x14ac:dyDescent="0.2">
      <c r="A13" s="403"/>
      <c r="B13" s="403"/>
      <c r="C13" s="403"/>
      <c r="D13" s="403"/>
      <c r="E13" s="403"/>
      <c r="F13" s="403"/>
      <c r="G13" s="403"/>
      <c r="H13" s="403"/>
      <c r="I13" s="403"/>
      <c r="K13" s="411"/>
      <c r="N13" s="413"/>
    </row>
    <row r="14" spans="1:15" x14ac:dyDescent="0.2">
      <c r="A14" s="403"/>
      <c r="B14" s="403"/>
      <c r="C14" s="403"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06-2026.xlsm.</v>
      </c>
      <c r="D14" s="403"/>
      <c r="E14" s="403"/>
      <c r="F14" s="403"/>
      <c r="G14" s="403"/>
      <c r="H14" s="403"/>
      <c r="I14" s="403"/>
      <c r="K14" s="411"/>
      <c r="N14" s="413"/>
    </row>
    <row r="15" spans="1:15" x14ac:dyDescent="0.2">
      <c r="A15" s="403"/>
      <c r="B15" s="403"/>
      <c r="C15" s="403"/>
      <c r="D15" s="403"/>
      <c r="E15" s="403"/>
      <c r="F15" s="403"/>
      <c r="G15" s="403"/>
      <c r="H15" s="403"/>
      <c r="I15" s="403"/>
      <c r="K15" s="411"/>
      <c r="L15" t="s">
        <v>93</v>
      </c>
      <c r="N15" s="413"/>
    </row>
    <row r="16" spans="1:15" ht="21" customHeight="1" x14ac:dyDescent="0.2">
      <c r="A16" s="403"/>
      <c r="B16" s="675" t="str">
        <f>IF($O$3&lt;&gt;2,"PÓS-LICITADO: Para visualizar/preencher esta seção, altere o TIPO DE ORÇAMENTO para 'Licitado'","RESULTADO DO PROCESSO LICITATÓRIO")</f>
        <v>PÓS-LICITADO: Para visualizar/preencher esta seção, altere o TIPO DE ORÇAMENTO para 'Licitado'</v>
      </c>
      <c r="C16" s="675"/>
      <c r="D16" s="675"/>
      <c r="E16" s="675"/>
      <c r="F16" s="675"/>
      <c r="G16" s="675"/>
      <c r="H16" s="675"/>
      <c r="I16" s="403"/>
      <c r="K16" s="411"/>
      <c r="L16" s="480"/>
      <c r="M16" s="3"/>
      <c r="N16" s="414" t="s">
        <v>94</v>
      </c>
    </row>
    <row r="17" spans="1:14" ht="13.5" thickBot="1" x14ac:dyDescent="0.25">
      <c r="A17" s="403"/>
      <c r="B17" s="403"/>
      <c r="C17" s="403"/>
      <c r="D17" s="403"/>
      <c r="E17" s="403"/>
      <c r="F17" s="403"/>
      <c r="G17" s="403"/>
      <c r="H17" s="403"/>
      <c r="I17" s="403"/>
      <c r="K17" s="411"/>
      <c r="N17" s="413"/>
    </row>
    <row r="18" spans="1:14" ht="21" customHeight="1" thickBot="1" x14ac:dyDescent="0.25">
      <c r="A18" s="403"/>
      <c r="B18" s="403"/>
      <c r="C18" s="477" t="str" cm="1">
        <f t="array" ref="C18">IF(TIPOORCAMENTO&lt;&gt;"Licitado","","             ORÇAMENTO             ")</f>
        <v/>
      </c>
      <c r="D18" s="404"/>
      <c r="E18" s="477" t="str" cm="1">
        <f t="array" ref="E18">IF(TIPOORCAMENTO&lt;&gt;"Licitado","","                    QCI                    ")</f>
        <v/>
      </c>
      <c r="F18" s="404"/>
      <c r="G18" s="478" t="str" cm="1">
        <f t="array" ref="G18">IF(TIPOORCAMENTO&lt;&gt;"Licitado","","CRONOGRAMA FÍSICO-FINANCEIRO")</f>
        <v/>
      </c>
      <c r="H18" s="403"/>
      <c r="I18" s="403"/>
      <c r="K18" s="411"/>
      <c r="L18" s="408"/>
      <c r="M18" s="3"/>
      <c r="N18" s="414" t="s">
        <v>95</v>
      </c>
    </row>
    <row r="19" spans="1:14" x14ac:dyDescent="0.2">
      <c r="A19" s="403"/>
      <c r="B19" s="403"/>
      <c r="C19" s="403"/>
      <c r="D19" s="403"/>
      <c r="E19" s="403"/>
      <c r="F19" s="403"/>
      <c r="G19" s="403"/>
      <c r="H19" s="403"/>
      <c r="I19" s="403"/>
      <c r="K19" s="415"/>
      <c r="L19" s="416"/>
      <c r="M19" s="416"/>
      <c r="N19" s="417"/>
    </row>
    <row r="20" spans="1:14" ht="21" customHeight="1" x14ac:dyDescent="0.2">
      <c r="A20" s="405"/>
      <c r="B20" s="675" t="str">
        <f>IF($O$3&lt;&gt;2,"ACOMPANHAMENTO: Para visualizar/preencher esta seção, altere o TIPO DE ORÇAMENTO para 'Licitado'","ACOMPANHAMENTO DO EMPREENDIMENTO")</f>
        <v>ACOMPANHAMENTO: Para visualizar/preencher esta seção, altere o TIPO DE ORÇAMENTO para 'Licitado'</v>
      </c>
      <c r="C20" s="675"/>
      <c r="D20" s="675"/>
      <c r="E20" s="675"/>
      <c r="F20" s="675"/>
      <c r="G20" s="675"/>
      <c r="H20" s="675"/>
      <c r="I20" s="403"/>
    </row>
    <row r="21" spans="1:14" ht="13.5" thickBot="1" x14ac:dyDescent="0.25">
      <c r="A21" s="403"/>
      <c r="B21" s="403"/>
      <c r="C21" s="403"/>
      <c r="D21" s="403"/>
      <c r="E21" s="403"/>
      <c r="F21" s="403"/>
      <c r="G21" s="403"/>
      <c r="H21" s="403"/>
      <c r="I21" s="403"/>
    </row>
    <row r="22" spans="1:14" ht="21" customHeight="1" thickBot="1" x14ac:dyDescent="0.25">
      <c r="A22" s="403"/>
      <c r="B22" s="403"/>
      <c r="C22" s="481" t="str" cm="1">
        <f t="array" ref="C22">IF(OR(TIPOORCAMENTO&lt;&gt;"Licitado",ACOMPANHAMENTO&lt;&gt;"PLE"),"","PLAN. DE LEVANT. DE EVENTOS - PLE")</f>
        <v/>
      </c>
      <c r="D22" s="404"/>
      <c r="E22" s="477" t="str" cm="1">
        <f t="array" ref="E22">IF(TIPOORCAMENTO&lt;&gt;"Licitado","","                    RRE                    ")</f>
        <v/>
      </c>
      <c r="F22" s="404"/>
      <c r="G22" s="479" t="str" cm="1">
        <f t="array" ref="G22">IF(OR(TIPOORCAMENTO&lt;&gt;"Licitado",ACOMPANHAMENTO&lt;&gt;"BM"),"","  BOLETIM DE MEDIÇÃO - BM  ")</f>
        <v/>
      </c>
      <c r="H22" s="403"/>
      <c r="I22" s="403"/>
    </row>
    <row r="23" spans="1:14" ht="13.5" thickBot="1" x14ac:dyDescent="0.25">
      <c r="A23" s="403"/>
      <c r="B23" s="403"/>
      <c r="C23" s="404"/>
      <c r="D23" s="404"/>
      <c r="E23" s="404"/>
      <c r="F23" s="404"/>
      <c r="G23" s="404"/>
      <c r="H23" s="403"/>
      <c r="I23" s="403"/>
    </row>
    <row r="24" spans="1:14" ht="21" customHeight="1" thickBot="1" x14ac:dyDescent="0.25">
      <c r="A24" s="403"/>
      <c r="B24" s="403"/>
      <c r="C24" s="404"/>
      <c r="D24" s="404"/>
      <c r="E24" s="481" t="str" cm="1">
        <f t="array" ref="E24">IF(TIPOORCAMENTO&lt;&gt;"Licitado","","OF. DE SOLICITAÇÃO DE DESBLOQUEIO")</f>
        <v/>
      </c>
      <c r="F24" s="404"/>
      <c r="G24" s="404"/>
      <c r="H24" s="403"/>
      <c r="I24" s="403"/>
    </row>
    <row r="25" spans="1:14" x14ac:dyDescent="0.2">
      <c r="A25" s="403"/>
      <c r="B25" s="403"/>
      <c r="C25" s="403"/>
      <c r="D25" s="403"/>
      <c r="E25" s="403"/>
      <c r="F25" s="403"/>
      <c r="G25" s="403"/>
      <c r="H25" s="403"/>
      <c r="I25" s="403"/>
    </row>
  </sheetData>
  <sheetProtection algorithmName="SHA-512" hashValue="nDkF8C+LKUPSbY2iLMRw74YvEDmWuFLjlY4i996K2oT0xC/tI10/vpwzMGYallmGi3A2oGdAbrc2Fs2uu6eYjA==" saltValue="zy6gIp8xO4m3sLO9XempSw==" spinCount="100000" sheet="1" objects="1" scenarios="1" autoFilter="0"/>
  <mergeCells count="4">
    <mergeCell ref="B20:H20"/>
    <mergeCell ref="B8:H8"/>
    <mergeCell ref="E2:G3"/>
    <mergeCell ref="B16:H16"/>
  </mergeCells>
  <phoneticPr fontId="38" type="noConversion"/>
  <conditionalFormatting sqref="C10:G14">
    <cfRule type="expression" dxfId="383" priority="70" stopIfTrue="1">
      <formula>TIPOORCAMENTO="Licitado"</formula>
    </cfRule>
  </conditionalFormatting>
  <conditionalFormatting sqref="C18:G18 E22:E24">
    <cfRule type="expression" dxfId="382" priority="71" stopIfTrue="1">
      <formula>TIPOORCAMENTO&lt;&gt;"Licitado"</formula>
    </cfRule>
  </conditionalFormatting>
  <conditionalFormatting sqref="C22">
    <cfRule type="expression" dxfId="381" priority="73" stopIfTrue="1">
      <formula>OR(TIPOORCAMENTO&lt;&gt;"Licitado",ACOMPANHAMENTO&lt;&gt;"PLE")</formula>
    </cfRule>
  </conditionalFormatting>
  <conditionalFormatting sqref="G22">
    <cfRule type="expression" dxfId="380" priority="74" stopIfTrue="1">
      <formula>OR(TIPOORCAMENTO&lt;&gt;"Licitado",ACOMPANHAMENTO&lt;&gt;"BM")</formula>
    </cfRule>
  </conditionalFormatting>
  <conditionalFormatting sqref="B16:H16 B20:H20">
    <cfRule type="expression" dxfId="379" priority="599" stopIfTrue="1">
      <formula>$O$3&lt;&gt;2</formula>
    </cfRule>
  </conditionalFormatting>
  <conditionalFormatting sqref="B8:H8">
    <cfRule type="expression" dxfId="378" priority="601" stopIfTrue="1">
      <formula>$O$3&lt;&gt;1</formula>
    </cfRule>
  </conditionalFormatting>
  <hyperlinks>
    <hyperlink ref="E6" location="DADOS!E3" display="DADOS DO CONTRATO"/>
    <hyperlink ref="G6" location="Novo!A1" display="NOVIDADES DA VERSÃO"/>
    <hyperlink ref="C10" location="BDI!Q11" display="BDI!Q11"/>
    <hyperlink ref="E10" location="ORÇAMENTO!M13" display="ORÇAMENTO"/>
    <hyperlink ref="G10" location="CÁLCULO!D13" display="MEMÓRIA DE CÁLCULO / PLQ"/>
    <hyperlink ref="E12" location="CRONO!G12" display="CRONOGRAMA FÍSICO-FINANCEIRO"/>
    <hyperlink ref="C18" location="ORÇAMENTO!AM15" display="             ORÇAMENTO             "/>
    <hyperlink ref="E18" location="QCI!D13" display="                    QCI                    "/>
    <hyperlink ref="G18" location="CRONO!G12" display="CRONOGRAMA FÍSICO-FINANCEIRO"/>
    <hyperlink ref="E22" location="RRE!E13" display="                    RRE                    "/>
    <hyperlink ref="G22" location="BM!D13" display="BM!D13"/>
    <hyperlink ref="E24" location="Ofício!C6" display="OF. DE SOLICITAÇÃO DE DESBLOQUEIO"/>
    <hyperlink ref="C12" location="QCI!D13" display="QCI!D13"/>
    <hyperlink ref="C22" location="PLE!J8" display="PLAN. DE LEVANT. DE EVENTOS - PLE"/>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3"/>
      <c r="D1" s="520"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09"/>
      <c r="N1" s="678" t="s">
        <v>97</v>
      </c>
      <c r="O1" s="678"/>
      <c r="P1" s="678"/>
      <c r="Q1" s="678"/>
      <c r="R1" s="678"/>
      <c r="S1" s="678"/>
      <c r="T1" s="678"/>
      <c r="U1" s="678"/>
      <c r="V1" s="678"/>
      <c r="W1" s="678"/>
      <c r="X1" s="678"/>
      <c r="Y1" s="678"/>
      <c r="Z1" s="678"/>
      <c r="AA1" s="678"/>
      <c r="AB1" s="678"/>
      <c r="AC1" s="678"/>
      <c r="AD1" s="678"/>
      <c r="AE1" s="678"/>
      <c r="AF1" s="678"/>
      <c r="AG1" s="678"/>
      <c r="AH1" s="678"/>
      <c r="AI1" s="678"/>
      <c r="AJ1" s="678"/>
      <c r="AK1" s="678"/>
      <c r="AL1" s="678"/>
      <c r="AM1" s="678"/>
      <c r="AN1" s="678"/>
      <c r="AO1" s="678"/>
      <c r="AP1" s="678"/>
      <c r="AQ1" s="678"/>
      <c r="AR1" s="678"/>
      <c r="AS1" s="678"/>
      <c r="AT1" s="678"/>
      <c r="AV1" s="610" t="s">
        <v>98</v>
      </c>
      <c r="AW1" s="611"/>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8" t="s">
        <v>117</v>
      </c>
      <c r="AW2" s="83" t="s">
        <v>118</v>
      </c>
    </row>
    <row r="3" spans="2:49" ht="15.75" thickBot="1" x14ac:dyDescent="0.3">
      <c r="B3" s="677" t="s">
        <v>119</v>
      </c>
      <c r="C3" s="677"/>
      <c r="D3" s="561"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2"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1013</v>
      </c>
      <c r="D5" s="562"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1014</v>
      </c>
      <c r="D6" s="562"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1016</v>
      </c>
      <c r="D7" s="562"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1016</v>
      </c>
      <c r="D8" s="562"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0</v>
      </c>
      <c r="D9" s="562" t="str">
        <f t="shared" ca="1" si="0"/>
        <v/>
      </c>
      <c r="I9" t="s">
        <v>973</v>
      </c>
      <c r="L9" s="12" t="s">
        <v>106</v>
      </c>
      <c r="U9" t="s">
        <v>198</v>
      </c>
      <c r="V9" s="7" t="s">
        <v>126</v>
      </c>
      <c r="W9" t="s">
        <v>199</v>
      </c>
      <c r="X9" s="7" t="s">
        <v>128</v>
      </c>
      <c r="AV9" t="s">
        <v>200</v>
      </c>
      <c r="AW9" t="s">
        <v>201</v>
      </c>
    </row>
    <row r="10" spans="2:49" x14ac:dyDescent="0.2">
      <c r="B10" s="17" t="s">
        <v>202</v>
      </c>
      <c r="C10" s="19">
        <v>0</v>
      </c>
      <c r="D10" s="562" t="str">
        <f t="shared" ca="1" si="0"/>
        <v/>
      </c>
      <c r="L10" s="12" t="s">
        <v>107</v>
      </c>
      <c r="U10" t="s">
        <v>203</v>
      </c>
      <c r="V10" s="7" t="s">
        <v>148</v>
      </c>
      <c r="W10" t="s">
        <v>204</v>
      </c>
      <c r="X10" s="7" t="s">
        <v>121</v>
      </c>
      <c r="AV10" t="s">
        <v>205</v>
      </c>
      <c r="AW10" t="s">
        <v>206</v>
      </c>
    </row>
    <row r="11" spans="2:49" x14ac:dyDescent="0.2">
      <c r="B11" s="17" t="s">
        <v>207</v>
      </c>
      <c r="C11" s="20">
        <v>0</v>
      </c>
      <c r="D11" s="562"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7" t="s">
        <v>220</v>
      </c>
      <c r="C15" s="677"/>
      <c r="D15" s="561" t="str">
        <f ca="1">IF(COUNTIF(D16:D19,"◄")=0,"","Falta preencher a linha "&amp;MATCH("◄",D16:D19,0)+ROW(D15))</f>
        <v/>
      </c>
      <c r="L15" s="12" t="s">
        <v>112</v>
      </c>
      <c r="AV15" t="s">
        <v>221</v>
      </c>
      <c r="AW15" t="s">
        <v>222</v>
      </c>
    </row>
    <row r="16" spans="2:49" x14ac:dyDescent="0.2">
      <c r="B16" s="24" t="s">
        <v>223</v>
      </c>
      <c r="C16" s="25" t="s">
        <v>1025</v>
      </c>
      <c r="D16" s="562" t="str">
        <f t="shared" ref="D16:D19" ca="1" si="1">IF(OFFSET(D16,0,-1)="","◄","")</f>
        <v/>
      </c>
      <c r="L16" s="12" t="s">
        <v>113</v>
      </c>
      <c r="AV16" t="s">
        <v>224</v>
      </c>
      <c r="AW16" t="s">
        <v>225</v>
      </c>
    </row>
    <row r="17" spans="2:49" x14ac:dyDescent="0.2">
      <c r="B17" s="17" t="s">
        <v>226</v>
      </c>
      <c r="C17" s="25" t="s">
        <v>1026</v>
      </c>
      <c r="D17" s="562" t="str">
        <f t="shared" ca="1" si="1"/>
        <v/>
      </c>
      <c r="L17" s="12" t="s">
        <v>114</v>
      </c>
      <c r="AV17" t="s">
        <v>227</v>
      </c>
      <c r="AW17" t="s">
        <v>228</v>
      </c>
    </row>
    <row r="18" spans="2:49" x14ac:dyDescent="0.2">
      <c r="B18" s="17" t="s">
        <v>229</v>
      </c>
      <c r="C18" s="26" t="s">
        <v>966</v>
      </c>
      <c r="D18" s="562" t="str">
        <f ca="1">IF(OR(OFFSET(D18,0,-1)="",OFFSET(D18,0,-1)="(SELECIONAR)"),"◄","")</f>
        <v/>
      </c>
      <c r="L18" s="12" t="s">
        <v>115</v>
      </c>
      <c r="AV18" t="s">
        <v>230</v>
      </c>
      <c r="AW18" t="s">
        <v>231</v>
      </c>
    </row>
    <row r="19" spans="2:49" ht="13.5" thickBot="1" x14ac:dyDescent="0.25">
      <c r="B19" s="27" t="s">
        <v>232</v>
      </c>
      <c r="C19" s="28">
        <v>46174</v>
      </c>
      <c r="D19" s="562" t="str">
        <f t="shared" ca="1" si="1"/>
        <v/>
      </c>
      <c r="L19" s="12" t="s">
        <v>116</v>
      </c>
      <c r="AV19" t="s">
        <v>233</v>
      </c>
      <c r="AW19" t="s">
        <v>234</v>
      </c>
    </row>
    <row r="20" spans="2:49" ht="13.5" thickBot="1" x14ac:dyDescent="0.25">
      <c r="C20" s="29"/>
      <c r="L20" s="12"/>
      <c r="AV20" t="s">
        <v>235</v>
      </c>
      <c r="AW20" t="s">
        <v>236</v>
      </c>
    </row>
    <row r="21" spans="2:49" ht="15.75" thickBot="1" x14ac:dyDescent="0.3">
      <c r="B21" s="677" t="s">
        <v>237</v>
      </c>
      <c r="C21" s="677"/>
      <c r="D21" s="561" t="str">
        <f ca="1">IF(COUNTIF(D22:D25,"◄")=0,"","Falta preencher a linha "&amp;MATCH("◄",D22:D25,0)+ROW(D21))</f>
        <v/>
      </c>
      <c r="L21" s="12"/>
      <c r="AV21" t="s">
        <v>238</v>
      </c>
      <c r="AW21" t="s">
        <v>239</v>
      </c>
    </row>
    <row r="22" spans="2:49" x14ac:dyDescent="0.2">
      <c r="B22" s="15" t="s">
        <v>240</v>
      </c>
      <c r="C22" s="30" t="s">
        <v>1010</v>
      </c>
      <c r="D22" s="562" t="str">
        <f t="shared" ref="D22:D24" ca="1" si="2">IF(OFFSET(D22,0,-1)="","◄","")</f>
        <v/>
      </c>
      <c r="AV22" t="s">
        <v>241</v>
      </c>
      <c r="AW22" t="s">
        <v>242</v>
      </c>
    </row>
    <row r="23" spans="2:49" x14ac:dyDescent="0.2">
      <c r="B23" s="17" t="s">
        <v>243</v>
      </c>
      <c r="C23" s="18" t="s">
        <v>1011</v>
      </c>
      <c r="D23" s="562" t="str">
        <f t="shared" ca="1" si="2"/>
        <v/>
      </c>
      <c r="AV23" t="s">
        <v>244</v>
      </c>
      <c r="AW23" t="s">
        <v>245</v>
      </c>
    </row>
    <row r="24" spans="2:49" x14ac:dyDescent="0.2">
      <c r="B24" s="17" t="s">
        <v>246</v>
      </c>
      <c r="C24" s="18" t="s">
        <v>1031</v>
      </c>
      <c r="D24" s="562" t="str">
        <f t="shared" ca="1" si="2"/>
        <v/>
      </c>
      <c r="AV24" t="s">
        <v>247</v>
      </c>
      <c r="AW24" t="s">
        <v>248</v>
      </c>
    </row>
    <row r="25" spans="2:49" ht="13.5" thickBot="1" x14ac:dyDescent="0.25">
      <c r="B25" s="21" t="s">
        <v>249</v>
      </c>
      <c r="C25" s="31">
        <v>46252</v>
      </c>
      <c r="D25" s="562" t="s">
        <v>250</v>
      </c>
      <c r="AV25" t="s">
        <v>251</v>
      </c>
      <c r="AW25" t="s">
        <v>252</v>
      </c>
    </row>
    <row r="26" spans="2:49" ht="13.5" thickBot="1" x14ac:dyDescent="0.25">
      <c r="AV26" t="s">
        <v>253</v>
      </c>
      <c r="AW26" t="s">
        <v>254</v>
      </c>
    </row>
    <row r="27" spans="2:49" ht="15.75" thickBot="1" x14ac:dyDescent="0.3">
      <c r="B27" s="677" t="s">
        <v>255</v>
      </c>
      <c r="C27" s="677"/>
      <c r="D27" s="561" t="str">
        <f ca="1">IF(COUNTIF(D28:D29,"◄")=0,"","Falta preencher a linha "&amp;MATCH("◄",D28:D29,0)+ROW(D27))</f>
        <v/>
      </c>
      <c r="AV27" t="s">
        <v>256</v>
      </c>
      <c r="AW27" t="s">
        <v>257</v>
      </c>
    </row>
    <row r="28" spans="2:49" x14ac:dyDescent="0.2">
      <c r="B28" s="13" t="s">
        <v>240</v>
      </c>
      <c r="C28" s="32" t="s">
        <v>1015</v>
      </c>
      <c r="D28" s="562" t="str">
        <f t="shared" ref="D28:D29" ca="1" si="3">IF(OFFSET(D28,0,-1)="","◄","")</f>
        <v/>
      </c>
      <c r="AV28" t="s">
        <v>258</v>
      </c>
      <c r="AW28" t="s">
        <v>259</v>
      </c>
    </row>
    <row r="29" spans="2:49" ht="13.5" thickBot="1" x14ac:dyDescent="0.25">
      <c r="B29" s="21" t="s">
        <v>260</v>
      </c>
      <c r="C29" s="33" t="s">
        <v>1009</v>
      </c>
      <c r="D29" s="562" t="str">
        <f t="shared" ca="1" si="3"/>
        <v/>
      </c>
      <c r="AV29" t="s">
        <v>261</v>
      </c>
      <c r="AW29" t="s">
        <v>262</v>
      </c>
    </row>
    <row r="30" spans="2:49" ht="16.5" thickBot="1" x14ac:dyDescent="0.25">
      <c r="B30" s="8"/>
      <c r="AV30" t="s">
        <v>263</v>
      </c>
      <c r="AW30" t="s">
        <v>262</v>
      </c>
    </row>
    <row r="31" spans="2:49" ht="13.5" thickBot="1" x14ac:dyDescent="0.25">
      <c r="B31" s="473" t="s">
        <v>264</v>
      </c>
      <c r="C31" s="474" t="s">
        <v>950</v>
      </c>
      <c r="D31" s="562"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7" t="s">
        <v>273</v>
      </c>
      <c r="C35" s="677"/>
      <c r="D35" s="561" t="str">
        <f ca="1">IF(COUNTIF(D36:D39,"◄")=0,"","Falta preencher a linha "&amp;MATCH("◄",D36:D39,0)+ROW(D35))</f>
        <v/>
      </c>
      <c r="AV35" t="s">
        <v>274</v>
      </c>
      <c r="AW35" t="s">
        <v>275</v>
      </c>
    </row>
    <row r="36" spans="2:49" x14ac:dyDescent="0.2">
      <c r="B36" s="13" t="s">
        <v>276</v>
      </c>
      <c r="C36" s="34"/>
      <c r="D36" s="562" t="str" cm="1">
        <f t="array" aca="1" ref="D36" ca="1">IF(AND(TIPOORCAMENTO="Licitado",OFFSET(D36,0,-1)=""),"◄","")</f>
        <v/>
      </c>
      <c r="AV36" t="s">
        <v>277</v>
      </c>
      <c r="AW36" t="s">
        <v>278</v>
      </c>
    </row>
    <row r="37" spans="2:49" x14ac:dyDescent="0.2">
      <c r="B37" s="15" t="s">
        <v>279</v>
      </c>
      <c r="C37" s="16"/>
      <c r="D37" s="562" t="str" cm="1">
        <f t="array" aca="1" ref="D37" ca="1">IF(AND(TIPOORCAMENTO="Licitado",OFFSET(D37,0,-1)=""),"◄","")</f>
        <v/>
      </c>
      <c r="AV37" t="s">
        <v>280</v>
      </c>
      <c r="AW37" t="s">
        <v>281</v>
      </c>
    </row>
    <row r="38" spans="2:49" x14ac:dyDescent="0.2">
      <c r="B38" s="17" t="s">
        <v>282</v>
      </c>
      <c r="C38" s="18"/>
      <c r="D38" s="562" t="str" cm="1">
        <f t="array" aca="1" ref="D38" ca="1">IF(AND(TIPOORCAMENTO="Licitado",OFFSET(D38,0,-1)=""),"◄","")</f>
        <v/>
      </c>
      <c r="AV38" t="s">
        <v>283</v>
      </c>
      <c r="AW38" t="s">
        <v>284</v>
      </c>
    </row>
    <row r="39" spans="2:49" x14ac:dyDescent="0.2">
      <c r="B39" s="17" t="s">
        <v>285</v>
      </c>
      <c r="C39" s="18"/>
      <c r="D39" s="562" t="str" cm="1">
        <f t="array" aca="1" ref="D39" ca="1">IF(AND(TIPOORCAMENTO="Licitado",OFFSET(D39,0,-1)=""),"◄","")</f>
        <v/>
      </c>
      <c r="AV39" t="s">
        <v>286</v>
      </c>
      <c r="AW39" t="s">
        <v>287</v>
      </c>
    </row>
    <row r="40" spans="2:49" x14ac:dyDescent="0.2">
      <c r="B40" s="17" t="s">
        <v>288</v>
      </c>
      <c r="C40" s="26" t="s">
        <v>968</v>
      </c>
      <c r="D40" s="562" t="str" cm="1">
        <f t="array" aca="1" ref="D40" ca="1">IF(AND(TIPOORCAMENTO="Licitado",OR(OFFSET(D40,0,-1)="",OFFSET(D40,0,-1)="(SELECIONAR)")),"◄","")</f>
        <v/>
      </c>
      <c r="AV40" t="s">
        <v>289</v>
      </c>
      <c r="AW40" t="s">
        <v>290</v>
      </c>
    </row>
    <row r="41" spans="2:49" ht="13.5" thickBot="1" x14ac:dyDescent="0.25">
      <c r="B41" s="27" t="s">
        <v>291</v>
      </c>
      <c r="C41" s="35"/>
      <c r="D41" s="562"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7" t="s">
        <v>303</v>
      </c>
      <c r="C46" s="677"/>
      <c r="D46" s="561" t="str">
        <f ca="1">IF(COUNTIF(D47:D48,"◄")=0,"","Falta preencher a linha "&amp;MATCH("◄",D47:D48,0)+ROW(D46))</f>
        <v/>
      </c>
      <c r="AV46" t="s">
        <v>304</v>
      </c>
      <c r="AW46" t="s">
        <v>305</v>
      </c>
    </row>
    <row r="47" spans="2:49" x14ac:dyDescent="0.2">
      <c r="B47" s="13" t="s">
        <v>306</v>
      </c>
      <c r="C47" s="34"/>
      <c r="D47" s="562" t="str" cm="1">
        <f t="array" aca="1" ref="D47" ca="1">IF(AND(TIPOORCAMENTO="Licitado",OFFSET(D47,0,-1)="",IFERROR(RRE!$O$28,0)&gt;0),"◄","")</f>
        <v/>
      </c>
      <c r="AV47" t="s">
        <v>307</v>
      </c>
      <c r="AW47" t="s">
        <v>308</v>
      </c>
    </row>
    <row r="48" spans="2:49" ht="13.5" thickBot="1" x14ac:dyDescent="0.25">
      <c r="B48" s="27" t="s">
        <v>309</v>
      </c>
      <c r="C48" s="36"/>
      <c r="D48" s="562"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7" t="s">
        <v>314</v>
      </c>
      <c r="C50" s="677"/>
      <c r="D50" s="561" t="str">
        <f ca="1">IF(COUNTIF(D51:D54,"◄")=0,"","Falta preencher a linha "&amp;MATCH("◄",D51:D54,0)+ROW(D50))</f>
        <v/>
      </c>
      <c r="AV50" t="s">
        <v>315</v>
      </c>
      <c r="AW50" t="s">
        <v>316</v>
      </c>
    </row>
    <row r="51" spans="2:49" x14ac:dyDescent="0.2">
      <c r="B51" s="13" t="s">
        <v>240</v>
      </c>
      <c r="C51" s="37"/>
      <c r="D51" s="562" t="str" cm="1">
        <f t="array" aca="1" ref="D51" ca="1">IF(AND(TIPOORCAMENTO="Licitado",OFFSET(D51,0,-1)="",IFERROR(RRE!$O$28,0)&gt;0),"◄","")</f>
        <v/>
      </c>
      <c r="AV51" t="s">
        <v>317</v>
      </c>
      <c r="AW51" t="s">
        <v>318</v>
      </c>
    </row>
    <row r="52" spans="2:49" x14ac:dyDescent="0.2">
      <c r="B52" s="17" t="s">
        <v>319</v>
      </c>
      <c r="C52" s="18"/>
      <c r="D52" s="562" t="str" cm="1">
        <f t="array" aca="1" ref="D52" ca="1">IF(AND(TIPOORCAMENTO="Licitado",OFFSET(D52,0,-1)="",IFERROR(RRE!$O$28,0)&gt;0),"◄","")</f>
        <v/>
      </c>
      <c r="AV52" t="s">
        <v>320</v>
      </c>
      <c r="AW52" t="s">
        <v>321</v>
      </c>
    </row>
    <row r="53" spans="2:49" x14ac:dyDescent="0.2">
      <c r="B53" s="17" t="s">
        <v>322</v>
      </c>
      <c r="C53" s="18"/>
      <c r="D53" s="562" t="str" cm="1">
        <f t="array" aca="1" ref="D53" ca="1">IF(AND(TIPOORCAMENTO="Licitado",OFFSET(D53,0,-1)="",IFERROR(RRE!$O$28,0)&gt;0),"◄","")</f>
        <v/>
      </c>
      <c r="AV53" t="s">
        <v>323</v>
      </c>
      <c r="AW53" t="s">
        <v>324</v>
      </c>
    </row>
    <row r="54" spans="2:49" ht="13.5" thickBot="1" x14ac:dyDescent="0.25">
      <c r="B54" s="21" t="s">
        <v>325</v>
      </c>
      <c r="C54" s="38"/>
      <c r="D54" s="562" t="str" cm="1">
        <f t="array" aca="1" ref="D54" ca="1">IF(AND(TIPOORCAMENTO="Licitado",OFFSET(D54,0,-1)="",IFERROR(RRE!$O$28,0)&gt;0),"◄","")</f>
        <v/>
      </c>
      <c r="AV54" t="s">
        <v>326</v>
      </c>
      <c r="AW54" t="s">
        <v>327</v>
      </c>
    </row>
    <row r="55" spans="2:49" x14ac:dyDescent="0.2">
      <c r="C55" s="29"/>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7" t="s">
        <v>337</v>
      </c>
      <c r="C59" s="677"/>
      <c r="AV59" t="s">
        <v>338</v>
      </c>
      <c r="AW59" t="s">
        <v>339</v>
      </c>
    </row>
    <row r="60" spans="2:49" x14ac:dyDescent="0.2">
      <c r="B60" s="13" t="s">
        <v>240</v>
      </c>
      <c r="C60" s="37"/>
      <c r="AV60" t="s">
        <v>340</v>
      </c>
      <c r="AW60" t="s">
        <v>341</v>
      </c>
    </row>
    <row r="61" spans="2:49" ht="13.5" thickBot="1" x14ac:dyDescent="0.25">
      <c r="B61" s="27" t="s">
        <v>342</v>
      </c>
      <c r="C61" s="39"/>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8"/>
      <c r="AW222" s="83"/>
    </row>
  </sheetData>
  <sheetProtection algorithmName="SHA-512" hashValue="rOmKUC93W60zuBO1VToteUzDDGqtmYscHptSUxDIaHv54BYxNUfb1dMeF3C6NhvJht9Kc0o7E9WzPAiJN+tO6w==" saltValue="c4XQ3Ip/B5PfxLUfh0Fk+A==" spinCount="100000" sheet="1" objects="1" scenarios="1" autoFilter="0"/>
  <sortState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377" priority="2" stopIfTrue="1">
      <formula>CAIXA.Modo=FALSE</formula>
    </cfRule>
  </conditionalFormatting>
  <conditionalFormatting sqref="B59:C61">
    <cfRule type="expression" dxfId="376" priority="3" stopIfTrue="1">
      <formula>CAIXA.Modo=FALSE</formula>
    </cfRule>
  </conditionalFormatting>
  <dataValidations count="7">
    <dataValidation type="date" allowBlank="1" showErrorMessage="1" errorTitle="Dados inválidos" error="Digite somente datas válidas no formato mm/aaaa." sqref="C19 C25 C36 C41 C47:C48">
      <formula1>36526</formula1>
      <formula2>72686</formula2>
    </dataValidation>
    <dataValidation type="list" allowBlank="1" showInputMessage="1" showErrorMessage="1" errorTitle="Erro:" error="Selecione na lista o regime previdênciário." prompt="Selecione na lista o regime previdênciário." sqref="C18">
      <formula1>DADOS.Lista.RegimePreviden</formula1>
    </dataValidation>
    <dataValidation type="decimal" allowBlank="1" showErrorMessage="1" error="Digite um valor em percentual._x000a__x000a_Ou seja um valor de 0% (zero) até 100% (cem). " sqref="C11 C13:C14">
      <formula1>0</formula1>
      <formula2>1</formula2>
    </dataValidation>
    <dataValidation type="list" allowBlank="1" showInputMessage="1" showErrorMessage="1" errorTitle="Erro:" error="Selecione na lista a fonte de recursos." prompt="Selecione na lista a fonte de recursos." sqref="C4">
      <formula1>DADOS.Lista.FonteRecursos</formula1>
    </dataValidation>
    <dataValidation type="decimal" operator="greaterThan" allowBlank="1" showErrorMessage="1" error="Digite um valor maior do que 0." sqref="C12">
      <formula1>0</formula1>
      <formula2>0</formula2>
    </dataValidation>
    <dataValidation type="list" allowBlank="1" showInputMessage="1" showErrorMessage="1" errorTitle="Erro:" error="Selecione na lista o regime de execução do CTEF." prompt="Selecione na lista o regime de execução do CTEF." sqref="C4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8" hidden="1" customWidth="1"/>
    <col min="5" max="6" width="11.42578125" style="48" hidden="1" customWidth="1"/>
    <col min="7" max="7" width="11.85546875" style="48" hidden="1" customWidth="1"/>
    <col min="8" max="8" width="10.5703125" customWidth="1"/>
    <col min="9" max="9" width="3.5703125" customWidth="1"/>
    <col min="10" max="15" width="10.5703125" style="48" customWidth="1"/>
    <col min="16" max="16" width="12.85546875" style="48" customWidth="1"/>
    <col min="17" max="19" width="10.5703125" style="48" customWidth="1"/>
  </cols>
  <sheetData>
    <row r="1" spans="1:21" ht="15.75" x14ac:dyDescent="0.25">
      <c r="E1" s="49" t="s">
        <v>641</v>
      </c>
      <c r="F1" s="49" t="s">
        <v>642</v>
      </c>
      <c r="G1" s="49" t="s">
        <v>643</v>
      </c>
      <c r="O1" s="50" t="str">
        <f>"Quadro de Composição do BDI"</f>
        <v>Quadro de Composição do BDI</v>
      </c>
      <c r="R1" s="703" t="s">
        <v>644</v>
      </c>
      <c r="S1" s="703"/>
    </row>
    <row r="2" spans="1:21" x14ac:dyDescent="0.2">
      <c r="A2" s="48" t="s">
        <v>645</v>
      </c>
      <c r="B2" s="52" t="s">
        <v>646</v>
      </c>
      <c r="C2" s="48" t="str">
        <f t="shared" ref="C2:C49" si="0">CONCATENATE(A2,"-",B2)</f>
        <v>Construção e Reforma de Edifícios-AC</v>
      </c>
      <c r="E2" s="53">
        <v>0.03</v>
      </c>
      <c r="F2" s="53">
        <v>0.04</v>
      </c>
      <c r="G2" s="53">
        <v>5.5E-2</v>
      </c>
      <c r="R2" s="704" t="s">
        <v>647</v>
      </c>
      <c r="S2" s="704"/>
    </row>
    <row r="3" spans="1:21" x14ac:dyDescent="0.2">
      <c r="A3" s="48" t="str">
        <f>A2</f>
        <v>Construção e Reforma de Edifícios</v>
      </c>
      <c r="B3" s="52" t="s">
        <v>648</v>
      </c>
      <c r="C3" s="48" t="str">
        <f t="shared" si="0"/>
        <v>Construção e Reforma de Edifícios-SG</v>
      </c>
      <c r="E3" s="53">
        <v>8.0000000000000002E-3</v>
      </c>
      <c r="F3" s="53">
        <v>8.0000000000000002E-3</v>
      </c>
      <c r="G3" s="53">
        <v>0.01</v>
      </c>
    </row>
    <row r="4" spans="1:21" x14ac:dyDescent="0.2">
      <c r="A4" s="48" t="str">
        <f>A3</f>
        <v>Construção e Reforma de Edifícios</v>
      </c>
      <c r="B4" s="52" t="s">
        <v>649</v>
      </c>
      <c r="C4" s="48" t="str">
        <f t="shared" si="0"/>
        <v>Construção e Reforma de Edifícios-R</v>
      </c>
      <c r="E4" s="53">
        <v>9.7000000000000003E-3</v>
      </c>
      <c r="F4" s="53">
        <v>1.2699999999999999E-2</v>
      </c>
      <c r="G4" s="53">
        <v>1.2699999999999999E-2</v>
      </c>
      <c r="J4" s="699" t="s">
        <v>650</v>
      </c>
      <c r="K4" s="699"/>
      <c r="L4" s="699" t="s">
        <v>651</v>
      </c>
      <c r="M4" s="699"/>
      <c r="N4" s="699" t="s">
        <v>652</v>
      </c>
      <c r="O4" s="699"/>
      <c r="P4" s="699"/>
      <c r="Q4" s="699"/>
      <c r="R4" s="699"/>
      <c r="S4" s="699"/>
    </row>
    <row r="5" spans="1:21" ht="12.75" customHeight="1" x14ac:dyDescent="0.2">
      <c r="A5" s="48" t="str">
        <f>A4</f>
        <v>Construção e Reforma de Edifícios</v>
      </c>
      <c r="B5" s="52" t="s">
        <v>653</v>
      </c>
      <c r="C5" s="48" t="str">
        <f t="shared" si="0"/>
        <v>Construção e Reforma de Edifícios-DF</v>
      </c>
      <c r="E5" s="53">
        <v>5.8999999999999999E-3</v>
      </c>
      <c r="F5" s="53">
        <v>1.23E-2</v>
      </c>
      <c r="G5" s="53">
        <v>1.3899999999999999E-2</v>
      </c>
      <c r="J5" s="702" t="str">
        <f>Import.CR</f>
        <v>SLG</v>
      </c>
      <c r="K5" s="702"/>
      <c r="L5" s="702" t="str">
        <f>Import.TransfereGOV</f>
        <v>SLG</v>
      </c>
      <c r="M5" s="702"/>
      <c r="N5" s="702" t="str">
        <f>Import.Proponente</f>
        <v>MUNICÍPIO DE SÃO LUIZ GONZAGA</v>
      </c>
      <c r="O5" s="702"/>
      <c r="P5" s="702"/>
      <c r="Q5" s="702"/>
      <c r="R5" s="702"/>
      <c r="S5" s="702"/>
    </row>
    <row r="6" spans="1:21" x14ac:dyDescent="0.2">
      <c r="A6" s="48" t="str">
        <f>A5</f>
        <v>Construção e Reforma de Edifícios</v>
      </c>
      <c r="B6" s="52" t="s">
        <v>654</v>
      </c>
      <c r="C6" s="48" t="str">
        <f t="shared" si="0"/>
        <v>Construção e Reforma de Edifícios-L</v>
      </c>
      <c r="E6" s="53">
        <v>6.1600000000000002E-2</v>
      </c>
      <c r="F6" s="53">
        <v>7.400000000000001E-2</v>
      </c>
      <c r="G6" s="53">
        <v>8.9600000000000013E-2</v>
      </c>
      <c r="I6" s="692" t="s">
        <v>655</v>
      </c>
      <c r="J6" s="56"/>
      <c r="K6" s="56"/>
      <c r="L6" s="56"/>
      <c r="M6" s="56"/>
      <c r="N6" s="56"/>
      <c r="O6" s="56"/>
      <c r="P6" s="56"/>
      <c r="Q6" s="56"/>
      <c r="R6" s="56"/>
      <c r="S6" s="56"/>
    </row>
    <row r="7" spans="1:21" ht="25.5" x14ac:dyDescent="0.25">
      <c r="A7" s="48" t="str">
        <f>A6</f>
        <v>Construção e Reforma de Edifícios</v>
      </c>
      <c r="B7" s="57" t="s">
        <v>656</v>
      </c>
      <c r="C7" s="48" t="str">
        <f t="shared" si="0"/>
        <v>Construção e Reforma de Edifícios-BDI PAD</v>
      </c>
      <c r="E7" s="53">
        <v>0.2034</v>
      </c>
      <c r="F7" s="53">
        <v>0.22120000000000001</v>
      </c>
      <c r="G7" s="53">
        <v>0.25</v>
      </c>
      <c r="I7" s="692"/>
      <c r="J7" s="699" t="s">
        <v>657</v>
      </c>
      <c r="K7" s="699"/>
      <c r="L7" s="699"/>
      <c r="M7" s="699"/>
      <c r="N7" s="699"/>
      <c r="O7" s="699"/>
      <c r="P7" s="699"/>
      <c r="Q7" s="699"/>
      <c r="R7" s="699"/>
      <c r="S7" s="699"/>
      <c r="U7" s="520" t="str">
        <f ca="1">IF(OR(U10&lt;&gt;"",U11&lt;&gt;""),"Falta preencher os percentuais do ISS",IF(U14&lt;&gt;"","Falta preencher o BDI 1",IF(U54&lt;&gt;"","Falta preencher o BDI 2",IF(U94&lt;&gt;"","Falta preencher o BDI 3",""))))</f>
        <v/>
      </c>
    </row>
    <row r="8" spans="1:21" ht="15.75" x14ac:dyDescent="0.25">
      <c r="A8" s="48" t="s">
        <v>658</v>
      </c>
      <c r="B8" s="52" t="s">
        <v>646</v>
      </c>
      <c r="C8" s="48" t="str">
        <f t="shared" si="0"/>
        <v>Construção de Praças Urbanas, Rodovias, Ferrovias e recapeamento e pavimentação de vias urbanas-AC</v>
      </c>
      <c r="E8" s="53">
        <v>3.7999999999999999E-2</v>
      </c>
      <c r="F8" s="53">
        <v>4.0099999999999997E-2</v>
      </c>
      <c r="G8" s="53">
        <v>4.6699999999999998E-2</v>
      </c>
      <c r="I8" s="692"/>
      <c r="J8" s="707" t="str">
        <f>Import.Apelido&amp;" / "&amp;Import.DescLote</f>
        <v>CALÇAMENTO PEDRA IRREGULAR / CALÇAMENTO - PAVIMENTAÇÃO</v>
      </c>
      <c r="K8" s="707"/>
      <c r="L8" s="707"/>
      <c r="M8" s="707"/>
      <c r="N8" s="707"/>
      <c r="O8" s="707"/>
      <c r="P8" s="707"/>
      <c r="Q8" s="707"/>
      <c r="R8" s="707"/>
      <c r="S8" s="707"/>
      <c r="U8" s="520" t="str">
        <f ca="1">IF(U29="FORA DO INTERVALO","BDI 1 fora do intervalo",IF(U69="FORA DO INTERVALO","BDI 2 fora do intervalo",IF(U109="FORA DO INTERVALO","BDI 3 fora do intervalo","")))</f>
        <v/>
      </c>
    </row>
    <row r="9" spans="1:21" x14ac:dyDescent="0.2">
      <c r="A9" s="48" t="s">
        <v>658</v>
      </c>
      <c r="B9" s="52" t="s">
        <v>648</v>
      </c>
      <c r="C9" s="48" t="str">
        <f t="shared" si="0"/>
        <v>Construção de Praças Urbanas, Rodovias, Ferrovias e recapeamento e pavimentação de vias urbanas-SG</v>
      </c>
      <c r="E9" s="53">
        <v>3.2000000000000002E-3</v>
      </c>
      <c r="F9" s="53">
        <v>4.0000000000000001E-3</v>
      </c>
      <c r="G9" s="53">
        <v>7.4000000000000003E-3</v>
      </c>
      <c r="I9" s="692"/>
      <c r="J9" s="56"/>
      <c r="K9" s="56"/>
      <c r="L9" s="56"/>
      <c r="M9" s="56"/>
      <c r="N9" s="56"/>
      <c r="O9" s="56"/>
      <c r="P9" s="56"/>
      <c r="Q9" s="56"/>
      <c r="R9" s="56"/>
      <c r="S9" s="56"/>
    </row>
    <row r="10" spans="1:21" ht="12.75" customHeight="1" x14ac:dyDescent="0.2">
      <c r="A10" s="48" t="s">
        <v>658</v>
      </c>
      <c r="B10" s="52" t="s">
        <v>649</v>
      </c>
      <c r="C10" s="48" t="str">
        <f t="shared" si="0"/>
        <v>Construção de Praças Urbanas, Rodovias, Ferrovias e recapeamento e pavimentação de vias urbanas-R</v>
      </c>
      <c r="E10" s="53">
        <v>5.0000000000000001E-3</v>
      </c>
      <c r="F10" s="53">
        <v>5.6000000000000008E-3</v>
      </c>
      <c r="G10" s="53">
        <v>9.7000000000000003E-3</v>
      </c>
      <c r="I10" s="692"/>
      <c r="J10" s="708" t="s">
        <v>659</v>
      </c>
      <c r="K10" s="708"/>
      <c r="L10" s="708"/>
      <c r="M10" s="708"/>
      <c r="N10" s="708"/>
      <c r="O10" s="708"/>
      <c r="P10" s="708"/>
      <c r="Q10" s="708"/>
      <c r="R10" s="706">
        <v>0.4</v>
      </c>
      <c r="S10" s="706"/>
      <c r="U10" s="570" t="str">
        <f>IF(R10="","Falta definir a base de cálculo para o ISS","")</f>
        <v/>
      </c>
    </row>
    <row r="11" spans="1:21" ht="12.75" customHeight="1" x14ac:dyDescent="0.2">
      <c r="A11" s="48" t="s">
        <v>658</v>
      </c>
      <c r="B11" s="52" t="s">
        <v>653</v>
      </c>
      <c r="C11" s="48" t="str">
        <f t="shared" si="0"/>
        <v>Construção de Praças Urbanas, Rodovias, Ferrovias e recapeamento e pavimentação de vias urbanas-DF</v>
      </c>
      <c r="E11" s="53">
        <v>1.0200000000000001E-2</v>
      </c>
      <c r="F11" s="53">
        <v>1.11E-2</v>
      </c>
      <c r="G11" s="53">
        <v>1.21E-2</v>
      </c>
      <c r="I11" s="105" t="s">
        <v>660</v>
      </c>
      <c r="J11" s="705" t="s">
        <v>661</v>
      </c>
      <c r="K11" s="705"/>
      <c r="L11" s="705"/>
      <c r="M11" s="705"/>
      <c r="N11" s="705"/>
      <c r="O11" s="705"/>
      <c r="P11" s="705"/>
      <c r="Q11" s="705"/>
      <c r="R11" s="706">
        <v>0.03</v>
      </c>
      <c r="S11" s="706"/>
      <c r="U11" s="570" t="str">
        <f>IF(R11="","Falta definir a alíquota do ISS","")</f>
        <v/>
      </c>
    </row>
    <row r="12" spans="1:21" x14ac:dyDescent="0.2">
      <c r="A12" s="48" t="s">
        <v>658</v>
      </c>
      <c r="B12" s="52" t="s">
        <v>654</v>
      </c>
      <c r="C12" s="48" t="str">
        <f t="shared" si="0"/>
        <v>Construção de Praças Urbanas, Rodovias, Ferrovias e recapeamento e pavimentação de vias urbanas-L</v>
      </c>
      <c r="E12" s="53">
        <v>6.6400000000000001E-2</v>
      </c>
      <c r="F12" s="53">
        <v>7.2999999999999995E-2</v>
      </c>
      <c r="G12" s="53">
        <v>8.6899999999999991E-2</v>
      </c>
      <c r="I12" s="7" t="s">
        <v>536</v>
      </c>
      <c r="J12" s="58"/>
      <c r="K12" s="58"/>
      <c r="L12" s="58"/>
      <c r="M12" s="58"/>
      <c r="N12" s="58"/>
      <c r="O12" s="58"/>
      <c r="P12" s="58"/>
      <c r="Q12" s="58"/>
      <c r="R12" s="58"/>
      <c r="S12" s="58"/>
    </row>
    <row r="13" spans="1:21" ht="15" customHeight="1" x14ac:dyDescent="0.2">
      <c r="A13" s="48" t="s">
        <v>658</v>
      </c>
      <c r="B13" s="57" t="s">
        <v>656</v>
      </c>
      <c r="C13" s="48" t="str">
        <f t="shared" si="0"/>
        <v>Construção de Praças Urbanas, Rodovias, Ferrovias e recapeamento e pavimentação de vias urbanas-BDI PAD</v>
      </c>
      <c r="E13" s="53">
        <v>0.19600000000000001</v>
      </c>
      <c r="F13" s="53">
        <v>0.2097</v>
      </c>
      <c r="G13" s="53">
        <v>0.24230000000000002</v>
      </c>
      <c r="I13" s="7" t="s">
        <v>536</v>
      </c>
    </row>
    <row r="14" spans="1:21" ht="15.75" x14ac:dyDescent="0.25">
      <c r="A14" s="48" t="s">
        <v>662</v>
      </c>
      <c r="B14" s="52" t="s">
        <v>646</v>
      </c>
      <c r="C14" s="48" t="str">
        <f t="shared" si="0"/>
        <v>Construção de Redes de Abastecimento de Água, Coleta de Esgoto-AC</v>
      </c>
      <c r="E14" s="53">
        <v>3.4300000000000004E-2</v>
      </c>
      <c r="F14" s="53">
        <v>4.9299999999999997E-2</v>
      </c>
      <c r="G14" s="53">
        <v>6.7099999999999993E-2</v>
      </c>
      <c r="I14" s="7" t="s">
        <v>536</v>
      </c>
      <c r="J14" s="701" t="s">
        <v>663</v>
      </c>
      <c r="K14" s="701"/>
      <c r="L14" s="701"/>
      <c r="M14" s="701"/>
      <c r="N14" s="701"/>
      <c r="O14" s="701"/>
      <c r="P14" s="701"/>
      <c r="Q14" s="701"/>
      <c r="R14" s="701"/>
      <c r="S14" s="701"/>
      <c r="U14" s="520" t="str">
        <f ca="1">IF(COUNTIF(ORÇAMENTO!$V$15:$V$33,BDI_1.Título)=0,"",IF(OR(Import.BDI.Tipo1="(SELECIONAR)",Import.BDI.Tipo1="",U17&lt;&gt;"",AND($J17&lt;&gt;$A$145,OR(S21="",S22="",AND($J17&lt;&gt;$A$146,OR(S23="",S24="")),S25="",S26=""))),"Falta preencher o BDI 1",""))</f>
        <v/>
      </c>
    </row>
    <row r="15" spans="1:21" x14ac:dyDescent="0.2">
      <c r="A15" s="48" t="str">
        <f>A14</f>
        <v>Construção de Redes de Abastecimento de Água, Coleta de Esgoto</v>
      </c>
      <c r="B15" s="52" t="s">
        <v>648</v>
      </c>
      <c r="C15" s="48" t="str">
        <f t="shared" si="0"/>
        <v>Construção de Redes de Abastecimento de Água, Coleta de Esgoto-SG</v>
      </c>
      <c r="E15" s="53">
        <v>2.8000000000000004E-3</v>
      </c>
      <c r="F15" s="53">
        <v>4.8999999999999998E-3</v>
      </c>
      <c r="G15" s="53">
        <v>7.4999999999999997E-3</v>
      </c>
      <c r="I15" s="7" t="s">
        <v>536</v>
      </c>
    </row>
    <row r="16" spans="1:21" x14ac:dyDescent="0.2">
      <c r="A16" s="48" t="str">
        <f>A15</f>
        <v>Construção de Redes de Abastecimento de Água, Coleta de Esgoto</v>
      </c>
      <c r="B16" s="52" t="s">
        <v>649</v>
      </c>
      <c r="C16" s="48" t="str">
        <f t="shared" si="0"/>
        <v>Construção de Redes de Abastecimento de Água, Coleta de Esgoto-R</v>
      </c>
      <c r="E16" s="53">
        <v>0.01</v>
      </c>
      <c r="F16" s="53">
        <v>1.3899999999999999E-2</v>
      </c>
      <c r="G16" s="53">
        <v>1.7399999999999999E-2</v>
      </c>
      <c r="I16" s="7" t="s">
        <v>536</v>
      </c>
      <c r="J16" s="699" t="s">
        <v>664</v>
      </c>
      <c r="K16" s="699"/>
      <c r="L16" s="699"/>
      <c r="M16" s="699"/>
      <c r="N16" s="699"/>
      <c r="O16" s="699"/>
      <c r="P16" s="699"/>
      <c r="Q16" s="699"/>
      <c r="R16" s="699"/>
      <c r="S16" s="699"/>
    </row>
    <row r="17" spans="1:26" ht="15" x14ac:dyDescent="0.25">
      <c r="A17" s="48" t="str">
        <f>A16</f>
        <v>Construção de Redes de Abastecimento de Água, Coleta de Esgoto</v>
      </c>
      <c r="B17" s="52" t="s">
        <v>653</v>
      </c>
      <c r="C17" s="48" t="str">
        <f t="shared" si="0"/>
        <v>Construção de Redes de Abastecimento de Água, Coleta de Esgoto-DF</v>
      </c>
      <c r="E17" s="53">
        <v>9.3999999999999986E-3</v>
      </c>
      <c r="F17" s="53">
        <v>9.8999999999999991E-3</v>
      </c>
      <c r="G17" s="53">
        <v>1.1699999999999999E-2</v>
      </c>
      <c r="I17" s="7" t="s">
        <v>536</v>
      </c>
      <c r="J17" s="700" t="s">
        <v>658</v>
      </c>
      <c r="K17" s="700"/>
      <c r="L17" s="700"/>
      <c r="M17" s="700"/>
      <c r="N17" s="700"/>
      <c r="O17" s="700"/>
      <c r="P17" s="700"/>
      <c r="Q17" s="700"/>
      <c r="R17" s="700"/>
      <c r="S17" s="700"/>
      <c r="T17" s="562" t="str">
        <f ca="1">IF(U17="","","◄")</f>
        <v/>
      </c>
      <c r="U17" s="561" t="str">
        <f ca="1">IF(AND(OR(S29&gt;0,COUNTIF(ORÇAMENTO!$V$15:$V$33,BDI_1.Título)&gt;0),OR(Import.BDI.Tipo1="(SELECIONAR)",Import.BDI.Tipo1="")),"Selecione o Tipo de obra","")</f>
        <v/>
      </c>
    </row>
    <row r="18" spans="1:26" x14ac:dyDescent="0.2">
      <c r="A18" s="48" t="str">
        <f>A17</f>
        <v>Construção de Redes de Abastecimento de Água, Coleta de Esgoto</v>
      </c>
      <c r="B18" s="52" t="s">
        <v>654</v>
      </c>
      <c r="C18" s="48" t="str">
        <f t="shared" si="0"/>
        <v>Construção de Redes de Abastecimento de Água, Coleta de Esgoto-L</v>
      </c>
      <c r="E18" s="53">
        <v>6.7400000000000002E-2</v>
      </c>
      <c r="F18" s="53">
        <v>8.0399999999999985E-2</v>
      </c>
      <c r="G18" s="53">
        <v>9.4E-2</v>
      </c>
      <c r="I18" s="7" t="s">
        <v>536</v>
      </c>
    </row>
    <row r="19" spans="1:26" ht="12.75" customHeight="1" x14ac:dyDescent="0.2">
      <c r="A19" s="48" t="str">
        <f>A18</f>
        <v>Construção de Redes de Abastecimento de Água, Coleta de Esgoto</v>
      </c>
      <c r="B19" s="57" t="s">
        <v>656</v>
      </c>
      <c r="C19" s="48" t="str">
        <f t="shared" si="0"/>
        <v>Construção de Redes de Abastecimento de Água, Coleta de Esgoto-BDI PAD</v>
      </c>
      <c r="E19" s="53">
        <v>0.20760000000000001</v>
      </c>
      <c r="F19" s="53">
        <v>0.24179999999999999</v>
      </c>
      <c r="G19" s="53">
        <v>0.26440000000000002</v>
      </c>
      <c r="I19" s="7" t="s">
        <v>536</v>
      </c>
      <c r="J19" s="698" t="s">
        <v>666</v>
      </c>
      <c r="K19" s="698"/>
      <c r="L19" s="698"/>
      <c r="M19" s="698"/>
      <c r="N19" s="698"/>
      <c r="O19" s="698"/>
      <c r="P19" s="698"/>
      <c r="Q19" s="698"/>
      <c r="R19" s="698" t="s">
        <v>667</v>
      </c>
      <c r="S19" s="689" t="s">
        <v>668</v>
      </c>
      <c r="U19" s="689" t="s">
        <v>669</v>
      </c>
      <c r="V19" s="689"/>
      <c r="W19" s="689"/>
      <c r="X19" s="697" t="s">
        <v>670</v>
      </c>
      <c r="Y19" s="697" t="s">
        <v>671</v>
      </c>
      <c r="Z19" s="697" t="s">
        <v>672</v>
      </c>
    </row>
    <row r="20" spans="1:26" ht="12.75" customHeight="1" x14ac:dyDescent="0.2">
      <c r="A20" s="48" t="s">
        <v>673</v>
      </c>
      <c r="B20" s="52" t="s">
        <v>646</v>
      </c>
      <c r="C20" s="48" t="str">
        <f t="shared" si="0"/>
        <v>Construção e Manutenção de Estações e Redes de Distribuição de Energia Elétrica-AC</v>
      </c>
      <c r="E20" s="53">
        <v>5.2900000000000003E-2</v>
      </c>
      <c r="F20" s="53">
        <v>5.9200000000000003E-2</v>
      </c>
      <c r="G20" s="53">
        <v>7.9299999999999995E-2</v>
      </c>
      <c r="I20" s="7" t="s">
        <v>536</v>
      </c>
      <c r="J20" s="698"/>
      <c r="K20" s="698"/>
      <c r="L20" s="698"/>
      <c r="M20" s="698"/>
      <c r="N20" s="698"/>
      <c r="O20" s="698"/>
      <c r="P20" s="698"/>
      <c r="Q20" s="698"/>
      <c r="R20" s="698"/>
      <c r="S20" s="689"/>
      <c r="U20" s="689"/>
      <c r="V20" s="689"/>
      <c r="W20" s="689"/>
      <c r="X20" s="697"/>
      <c r="Y20" s="697"/>
      <c r="Z20" s="697"/>
    </row>
    <row r="21" spans="1:26" ht="15" customHeight="1" x14ac:dyDescent="0.2">
      <c r="A21" s="48" t="str">
        <f>A20</f>
        <v>Construção e Manutenção de Estações e Redes de Distribuição de Energia Elétrica</v>
      </c>
      <c r="B21" s="52" t="s">
        <v>648</v>
      </c>
      <c r="C21" s="48" t="str">
        <f t="shared" si="0"/>
        <v>Construção e Manutenção de Estações e Redes de Distribuição de Energia Elétrica-SG</v>
      </c>
      <c r="E21" s="53">
        <v>2.5000000000000001E-3</v>
      </c>
      <c r="F21" s="53">
        <v>5.1000000000000004E-3</v>
      </c>
      <c r="G21" s="53">
        <v>5.6000000000000008E-3</v>
      </c>
      <c r="I21" s="7" t="s">
        <v>536</v>
      </c>
      <c r="J21" s="687" t="str">
        <f>IF($J$17=$A$146,"Encargos Sociais incidentes sobre a mão de obra","Administração Central")</f>
        <v>Administração Central</v>
      </c>
      <c r="K21" s="687"/>
      <c r="L21" s="687"/>
      <c r="M21" s="687"/>
      <c r="N21" s="687"/>
      <c r="O21" s="687"/>
      <c r="P21" s="687"/>
      <c r="Q21" s="687"/>
      <c r="R21" s="59" t="str">
        <f>IF($J17=$A$146,"K1","AC")</f>
        <v>AC</v>
      </c>
      <c r="S21" s="60">
        <v>0.04</v>
      </c>
      <c r="T21" s="571" t="str">
        <f ca="1">IF(AND($U$14&lt;&gt;"",$U$17="",R21&lt;&gt;"",S21=""),"◄","")</f>
        <v/>
      </c>
      <c r="U21" s="688" t="str">
        <f ca="1">IFERROR(IF(T21="◄","FALTA PREENCHER",IF(AND(OR(S21&gt;=X21,X21="-"),OR(S21&lt;=Z21,Z21="-")),"OK","FORA DO INTERVALO")),"-")</f>
        <v>OK</v>
      </c>
      <c r="V21" s="688"/>
      <c r="W21" s="688"/>
      <c r="X21" s="61">
        <f>VLOOKUP(CONCATENATE(J17,"-",R21),$C$2:$G$136,3,FALSE)</f>
        <v>3.7999999999999999E-2</v>
      </c>
      <c r="Y21" s="61">
        <f>VLOOKUP(CONCATENATE(J17,"-",R21),$C$2:$G$136,4,FALSE)</f>
        <v>4.0099999999999997E-2</v>
      </c>
      <c r="Z21" s="61">
        <f>VLOOKUP(CONCATENATE(J17,"-",R21),$C$2:$G$136,5,FALSE)</f>
        <v>4.6699999999999998E-2</v>
      </c>
    </row>
    <row r="22" spans="1:26" ht="15" customHeight="1" x14ac:dyDescent="0.2">
      <c r="A22" s="48" t="str">
        <f>A21</f>
        <v>Construção e Manutenção de Estações e Redes de Distribuição de Energia Elétrica</v>
      </c>
      <c r="B22" s="52" t="s">
        <v>649</v>
      </c>
      <c r="C22" s="48" t="str">
        <f t="shared" si="0"/>
        <v>Construção e Manutenção de Estações e Redes de Distribuição de Energia Elétrica-R</v>
      </c>
      <c r="E22" s="53">
        <v>0.01</v>
      </c>
      <c r="F22" s="53">
        <v>1.4800000000000001E-2</v>
      </c>
      <c r="G22" s="53">
        <v>1.9699999999999999E-2</v>
      </c>
      <c r="I22" s="7" t="s">
        <v>536</v>
      </c>
      <c r="J22" s="687" t="str">
        <f>IF($J$17=$A$146,"Administração Central da empresa ou consultoria - overhead","Seguro e Garantia")</f>
        <v>Seguro e Garantia</v>
      </c>
      <c r="K22" s="687"/>
      <c r="L22" s="687"/>
      <c r="M22" s="687"/>
      <c r="N22" s="687"/>
      <c r="O22" s="687"/>
      <c r="P22" s="687"/>
      <c r="Q22" s="687"/>
      <c r="R22" s="59" t="str">
        <f>IF($J17=$A$146,"K2","SG")</f>
        <v>SG</v>
      </c>
      <c r="S22" s="60">
        <v>5.0000000000000001E-3</v>
      </c>
      <c r="T22" s="571" t="str">
        <f t="shared" ref="T22:T26" ca="1" si="1">IF(AND($U$14&lt;&gt;"",$U$17="",R22&lt;&gt;"",S22=""),"◄","")</f>
        <v/>
      </c>
      <c r="U22" s="688" t="str">
        <f t="shared" ref="U22:U28" ca="1" si="2">IFERROR(IF(T22="◄","FALTA PREENCHER",IF(AND(OR(S22&gt;=X22,X22="-"),OR(S22&lt;=Z22,Z22="-")),"OK","FORA DO INTERVALO")),"-")</f>
        <v>OK</v>
      </c>
      <c r="V22" s="688"/>
      <c r="W22" s="688"/>
      <c r="X22" s="61">
        <f>VLOOKUP(CONCATENATE(J17,"-",R22),$C$2:$G$136,3,FALSE)</f>
        <v>3.2000000000000002E-3</v>
      </c>
      <c r="Y22" s="61">
        <f>VLOOKUP(CONCATENATE(J17,"-",R22),$C$2:$G$136,4,FALSE)</f>
        <v>4.0000000000000001E-3</v>
      </c>
      <c r="Z22" s="61">
        <f>VLOOKUP(CONCATENATE(J17,"-",R22),$C$2:$G$136,5,FALSE)</f>
        <v>7.4000000000000003E-3</v>
      </c>
    </row>
    <row r="23" spans="1:26" ht="15" customHeight="1" x14ac:dyDescent="0.2">
      <c r="A23" s="48" t="str">
        <f>A22</f>
        <v>Construção e Manutenção de Estações e Redes de Distribuição de Energia Elétrica</v>
      </c>
      <c r="B23" s="52" t="s">
        <v>653</v>
      </c>
      <c r="C23" s="48" t="str">
        <f t="shared" si="0"/>
        <v>Construção e Manutenção de Estações e Redes de Distribuição de Energia Elétrica-DF</v>
      </c>
      <c r="E23" s="53">
        <v>1.01E-2</v>
      </c>
      <c r="F23" s="53">
        <v>1.0700000000000001E-2</v>
      </c>
      <c r="G23" s="53">
        <v>1.11E-2</v>
      </c>
      <c r="I23" s="7" t="s">
        <v>536</v>
      </c>
      <c r="J23" s="687" t="s">
        <v>942</v>
      </c>
      <c r="K23" s="687"/>
      <c r="L23" s="687"/>
      <c r="M23" s="687"/>
      <c r="N23" s="687"/>
      <c r="O23" s="687"/>
      <c r="P23" s="687"/>
      <c r="Q23" s="687"/>
      <c r="R23" s="59" t="str">
        <f>IF($J17=$A$146,"","R")</f>
        <v>R</v>
      </c>
      <c r="S23" s="60">
        <v>8.0000000000000002E-3</v>
      </c>
      <c r="T23" s="571" t="str">
        <f t="shared" ca="1" si="1"/>
        <v/>
      </c>
      <c r="U23" s="688" t="str">
        <f t="shared" ca="1" si="2"/>
        <v>OK</v>
      </c>
      <c r="V23" s="688"/>
      <c r="W23" s="688"/>
      <c r="X23" s="61">
        <f>VLOOKUP(CONCATENATE(J17,"-",R23),$C$2:$G$136,3,FALSE)</f>
        <v>5.0000000000000001E-3</v>
      </c>
      <c r="Y23" s="61">
        <f>VLOOKUP(CONCATENATE(J17,"-",R23),$C$2:$G$136,4,FALSE)</f>
        <v>5.6000000000000008E-3</v>
      </c>
      <c r="Z23" s="61">
        <f>VLOOKUP(CONCATENATE(J17,"-",R23),$C$2:$G$136,5,FALSE)</f>
        <v>9.7000000000000003E-3</v>
      </c>
    </row>
    <row r="24" spans="1:26" ht="15" customHeight="1" x14ac:dyDescent="0.2">
      <c r="A24" s="48" t="str">
        <f>A23</f>
        <v>Construção e Manutenção de Estações e Redes de Distribuição de Energia Elétrica</v>
      </c>
      <c r="B24" s="52" t="s">
        <v>654</v>
      </c>
      <c r="C24" s="48" t="str">
        <f t="shared" si="0"/>
        <v>Construção e Manutenção de Estações e Redes de Distribuição de Energia Elétrica-L</v>
      </c>
      <c r="E24" s="53">
        <v>0.08</v>
      </c>
      <c r="F24" s="53">
        <v>8.3100000000000007E-2</v>
      </c>
      <c r="G24" s="53">
        <v>9.5100000000000004E-2</v>
      </c>
      <c r="I24" s="7" t="s">
        <v>536</v>
      </c>
      <c r="J24" s="687" t="s">
        <v>943</v>
      </c>
      <c r="K24" s="687"/>
      <c r="L24" s="687"/>
      <c r="M24" s="687"/>
      <c r="N24" s="687"/>
      <c r="O24" s="687"/>
      <c r="P24" s="687"/>
      <c r="Q24" s="687"/>
      <c r="R24" s="59" t="str">
        <f>IF($J17=$A$146,"","DF")</f>
        <v>DF</v>
      </c>
      <c r="S24" s="60">
        <v>1.2E-2</v>
      </c>
      <c r="T24" s="571" t="str">
        <f t="shared" ca="1" si="1"/>
        <v/>
      </c>
      <c r="U24" s="688" t="str">
        <f t="shared" ca="1" si="2"/>
        <v>OK</v>
      </c>
      <c r="V24" s="688"/>
      <c r="W24" s="688"/>
      <c r="X24" s="61">
        <f>VLOOKUP(CONCATENATE(J17,"-",R24),$C$2:$G$136,3,FALSE)</f>
        <v>1.0200000000000001E-2</v>
      </c>
      <c r="Y24" s="61">
        <f>VLOOKUP(CONCATENATE(J17,"-",R24),$C$2:$G$136,4,FALSE)</f>
        <v>1.11E-2</v>
      </c>
      <c r="Z24" s="61">
        <f>VLOOKUP(CONCATENATE(J17,"-",R24),$C$2:$G$136,5,FALSE)</f>
        <v>1.21E-2</v>
      </c>
    </row>
    <row r="25" spans="1:26" ht="15" customHeight="1" x14ac:dyDescent="0.2">
      <c r="A25" s="48" t="str">
        <f>A24</f>
        <v>Construção e Manutenção de Estações e Redes de Distribuição de Energia Elétrica</v>
      </c>
      <c r="B25" s="57" t="s">
        <v>656</v>
      </c>
      <c r="C25" s="48" t="str">
        <f t="shared" si="0"/>
        <v>Construção e Manutenção de Estações e Redes de Distribuição de Energia Elétrica-BDI PAD</v>
      </c>
      <c r="E25" s="53">
        <v>0.24</v>
      </c>
      <c r="F25" s="53">
        <v>0.25840000000000002</v>
      </c>
      <c r="G25" s="53">
        <v>0.27860000000000001</v>
      </c>
      <c r="I25" s="7" t="s">
        <v>536</v>
      </c>
      <c r="J25" s="687" t="str">
        <f>IF($J$17=$A$146,"Margem bruta da empresa de consultoria","Lucro")</f>
        <v>Lucro</v>
      </c>
      <c r="K25" s="687"/>
      <c r="L25" s="687"/>
      <c r="M25" s="687"/>
      <c r="N25" s="687"/>
      <c r="O25" s="687"/>
      <c r="P25" s="687"/>
      <c r="Q25" s="687"/>
      <c r="R25" s="59" t="str">
        <f>IF($J17=$A$146,"K3","L")</f>
        <v>L</v>
      </c>
      <c r="S25" s="60">
        <v>0.08</v>
      </c>
      <c r="T25" s="571" t="str">
        <f t="shared" ca="1" si="1"/>
        <v/>
      </c>
      <c r="U25" s="688" t="str">
        <f t="shared" ca="1" si="2"/>
        <v>OK</v>
      </c>
      <c r="V25" s="688"/>
      <c r="W25" s="688"/>
      <c r="X25" s="61">
        <f>VLOOKUP(CONCATENATE(J17,"-",R25),$C$2:$G$136,3,FALSE)</f>
        <v>6.6400000000000001E-2</v>
      </c>
      <c r="Y25" s="61">
        <f>VLOOKUP(CONCATENATE(J17,"-",R25),$C$2:$G$136,4,FALSE)</f>
        <v>7.2999999999999995E-2</v>
      </c>
      <c r="Z25" s="61">
        <f>VLOOKUP(CONCATENATE(J17,"-",R25),$C$2:$G$136,5,FALSE)</f>
        <v>8.6899999999999991E-2</v>
      </c>
    </row>
    <row r="26" spans="1:26" ht="15" customHeight="1" x14ac:dyDescent="0.2">
      <c r="A26" s="48" t="s">
        <v>674</v>
      </c>
      <c r="B26" s="52" t="s">
        <v>646</v>
      </c>
      <c r="C26" s="48" t="str">
        <f t="shared" si="0"/>
        <v>Obras Portuárias, Marítimas e Fluviais-AC</v>
      </c>
      <c r="E26" s="53">
        <v>0.04</v>
      </c>
      <c r="F26" s="53">
        <v>5.5199999999999999E-2</v>
      </c>
      <c r="G26" s="53">
        <v>7.85E-2</v>
      </c>
      <c r="I26" s="7" t="s">
        <v>536</v>
      </c>
      <c r="J26" s="687" t="s">
        <v>675</v>
      </c>
      <c r="K26" s="687"/>
      <c r="L26" s="687"/>
      <c r="M26" s="687"/>
      <c r="N26" s="687"/>
      <c r="O26" s="687"/>
      <c r="P26" s="687"/>
      <c r="Q26" s="687"/>
      <c r="R26" s="59" t="s">
        <v>456</v>
      </c>
      <c r="S26" s="60">
        <v>3.6499999999999998E-2</v>
      </c>
      <c r="T26" s="571" t="str">
        <f t="shared" ca="1" si="1"/>
        <v/>
      </c>
      <c r="U26" s="688" t="str">
        <f t="shared" ca="1" si="2"/>
        <v>OK</v>
      </c>
      <c r="V26" s="688"/>
      <c r="W26" s="688"/>
      <c r="X26" s="61">
        <f>Y26</f>
        <v>3.6499999999999998E-2</v>
      </c>
      <c r="Y26" s="61">
        <f>IF($J17=$A$145,"-",3.65%)</f>
        <v>3.6499999999999998E-2</v>
      </c>
      <c r="Z26" s="61">
        <f>Y26</f>
        <v>3.6499999999999998E-2</v>
      </c>
    </row>
    <row r="27" spans="1:26" ht="15" customHeight="1" x14ac:dyDescent="0.2">
      <c r="A27" s="48" t="str">
        <f>A26</f>
        <v>Obras Portuárias, Marítimas e Fluviais</v>
      </c>
      <c r="B27" s="52" t="s">
        <v>648</v>
      </c>
      <c r="C27" s="48" t="str">
        <f t="shared" si="0"/>
        <v>Obras Portuárias, Marítimas e Fluviais-SG</v>
      </c>
      <c r="E27" s="53">
        <v>8.1000000000000013E-3</v>
      </c>
      <c r="F27" s="53">
        <v>1.2199999999999999E-2</v>
      </c>
      <c r="G27" s="53">
        <v>1.9900000000000001E-2</v>
      </c>
      <c r="I27" s="7" t="s">
        <v>536</v>
      </c>
      <c r="J27" s="687" t="s">
        <v>676</v>
      </c>
      <c r="K27" s="687"/>
      <c r="L27" s="687"/>
      <c r="M27" s="687"/>
      <c r="N27" s="687"/>
      <c r="O27" s="687"/>
      <c r="P27" s="687"/>
      <c r="Q27" s="687"/>
      <c r="R27" s="59" t="s">
        <v>677</v>
      </c>
      <c r="S27" s="61">
        <f ca="1">IF(AND($J17&lt;&gt;$A$145,COUNTA(OFFSET(S20,1,0,6))&gt;0),$R$11*$R$10,0)</f>
        <v>1.2E-2</v>
      </c>
      <c r="U27" s="688" t="str">
        <f t="shared" ca="1" si="2"/>
        <v>OK</v>
      </c>
      <c r="V27" s="688"/>
      <c r="W27" s="688"/>
      <c r="X27" s="61">
        <v>0</v>
      </c>
      <c r="Y27" s="61">
        <v>2.5000000000000001E-2</v>
      </c>
      <c r="Z27" s="61">
        <v>0.05</v>
      </c>
    </row>
    <row r="28" spans="1:26" ht="15" customHeight="1" x14ac:dyDescent="0.2">
      <c r="A28" s="48" t="str">
        <f>A27</f>
        <v>Obras Portuárias, Marítimas e Fluviais</v>
      </c>
      <c r="B28" s="52" t="s">
        <v>649</v>
      </c>
      <c r="C28" s="48" t="str">
        <f t="shared" si="0"/>
        <v>Obras Portuárias, Marítimas e Fluviais-R</v>
      </c>
      <c r="E28" s="53">
        <v>1.46E-2</v>
      </c>
      <c r="F28" s="53">
        <v>2.3199999999999998E-2</v>
      </c>
      <c r="G28" s="53">
        <v>3.1600000000000003E-2</v>
      </c>
      <c r="I28" s="7" t="s">
        <v>536</v>
      </c>
      <c r="J28" s="687" t="s">
        <v>678</v>
      </c>
      <c r="K28" s="687"/>
      <c r="L28" s="687"/>
      <c r="M28" s="687"/>
      <c r="N28" s="687"/>
      <c r="O28" s="687"/>
      <c r="P28" s="687"/>
      <c r="Q28" s="687"/>
      <c r="R28" s="59" t="s">
        <v>679</v>
      </c>
      <c r="S28" s="61" cm="1">
        <f t="array" aca="1" ref="S28" ca="1">IF(BDI.Opcao&lt;&gt;"Desonerado",0,IF(AND($J17&lt;&gt;$A$145,COUNTA(OFFSET(S20,1,0,6))&gt;0),IF(YEAR(Import.DataBase)&lt;2025,4.5%,IF(YEAR(Import.DataBase)=2025,3.6%,IF(YEAR(Import.DataBase)=2026,2.7%,IF(YEAR(Import.DataBase)=2027,1.8%,0%)))),0%))</f>
        <v>0</v>
      </c>
      <c r="U28" s="688" t="str">
        <f t="shared" ca="1" si="2"/>
        <v>OK</v>
      </c>
      <c r="V28" s="688"/>
      <c r="W28" s="688"/>
      <c r="X28" s="62">
        <f ca="1">$S28</f>
        <v>0</v>
      </c>
      <c r="Y28" s="62">
        <f ca="1">$S28</f>
        <v>0</v>
      </c>
      <c r="Z28" s="62">
        <f ca="1">$S28</f>
        <v>0</v>
      </c>
    </row>
    <row r="29" spans="1:26" ht="15" customHeight="1" x14ac:dyDescent="0.2">
      <c r="A29" s="48" t="str">
        <f>A28</f>
        <v>Obras Portuárias, Marítimas e Fluviais</v>
      </c>
      <c r="B29" s="52" t="s">
        <v>653</v>
      </c>
      <c r="C29" s="48" t="str">
        <f t="shared" si="0"/>
        <v>Obras Portuárias, Marítimas e Fluviais-DF</v>
      </c>
      <c r="E29" s="53">
        <v>9.3999999999999986E-3</v>
      </c>
      <c r="F29" s="53">
        <v>1.0200000000000001E-2</v>
      </c>
      <c r="G29" s="53">
        <v>1.3300000000000001E-2</v>
      </c>
      <c r="I29" s="7" t="s">
        <v>536</v>
      </c>
      <c r="J29" s="687" t="s">
        <v>680</v>
      </c>
      <c r="K29" s="687"/>
      <c r="L29" s="687"/>
      <c r="M29" s="687"/>
      <c r="N29" s="687"/>
      <c r="O29" s="687"/>
      <c r="P29" s="687"/>
      <c r="Q29" s="687"/>
      <c r="R29" s="63" t="s">
        <v>656</v>
      </c>
      <c r="S29" s="61">
        <f ca="1">IF($J17=$A$145,0,ROUND((((1+S21+S22+S23)*(1+S24)*(1+S25)/(1-(S26+S27)))-1),4))</f>
        <v>0.20960000000000001</v>
      </c>
      <c r="U29" s="689" t="str">
        <f ca="1">IFERROR(IF(AND(OR(S29&gt;=X29,X29="-"),OR(S29&lt;=Z29,Z29="-")),"OK","FORA DO INTERVALO"),IF(S29=0,"OK","Selecione o Tipo de obra"))</f>
        <v>OK</v>
      </c>
      <c r="V29" s="689"/>
      <c r="W29" s="689"/>
      <c r="X29" s="61">
        <f>IF($J17=$A$145,0,VLOOKUP(CONCATENATE($J17,"-",$R29),$C$2:$G$136,3,FALSE))</f>
        <v>0.19600000000000001</v>
      </c>
      <c r="Y29" s="61">
        <f>IF($J17=$A$145,0,VLOOKUP(CONCATENATE($J17,"-",$R29),$C$2:$G$136,4,FALSE))</f>
        <v>0.2097</v>
      </c>
      <c r="Z29" s="61">
        <f>IF($J17=$A$145,0,VLOOKUP(CONCATENATE($J17,"-",$R29),$C$2:$G$136,5,FALSE))</f>
        <v>0.24230000000000002</v>
      </c>
    </row>
    <row r="30" spans="1:26" ht="15" customHeight="1" x14ac:dyDescent="0.2">
      <c r="A30" s="48" t="str">
        <f>A29</f>
        <v>Obras Portuárias, Marítimas e Fluviais</v>
      </c>
      <c r="B30" s="52" t="s">
        <v>654</v>
      </c>
      <c r="C30" s="48" t="str">
        <f t="shared" si="0"/>
        <v>Obras Portuárias, Marítimas e Fluviais-L</v>
      </c>
      <c r="E30" s="53">
        <v>7.1399999999999991E-2</v>
      </c>
      <c r="F30" s="53">
        <v>8.4000000000000005E-2</v>
      </c>
      <c r="G30" s="53">
        <v>0.1043</v>
      </c>
      <c r="I30" s="7" t="s">
        <v>536</v>
      </c>
      <c r="J30" s="690" t="s">
        <v>681</v>
      </c>
      <c r="K30" s="690"/>
      <c r="L30" s="690"/>
      <c r="M30" s="690"/>
      <c r="N30" s="690"/>
      <c r="O30" s="690"/>
      <c r="P30" s="690"/>
      <c r="Q30" s="690"/>
      <c r="R30" s="64" t="s">
        <v>682</v>
      </c>
      <c r="S30" s="65">
        <f ca="1">IF($J17=$A$145,0,ROUND((((1+S21+S22+S23)*(1+S24)*(1+S25)/(1-(S26+S27+S28)))-1),4))</f>
        <v>0.20960000000000001</v>
      </c>
    </row>
    <row r="31" spans="1:26" ht="15" customHeight="1" x14ac:dyDescent="0.2">
      <c r="A31" s="48" t="str">
        <f>A30</f>
        <v>Obras Portuárias, Marítimas e Fluviais</v>
      </c>
      <c r="B31" s="57" t="s">
        <v>656</v>
      </c>
      <c r="C31" s="48" t="str">
        <f t="shared" si="0"/>
        <v>Obras Portuárias, Marítimas e Fluviais-BDI PAD</v>
      </c>
      <c r="E31" s="53">
        <v>0.22800000000000001</v>
      </c>
      <c r="F31" s="53">
        <v>0.27479999999999999</v>
      </c>
      <c r="G31" s="53">
        <v>0.3095</v>
      </c>
      <c r="I31" s="7" t="s">
        <v>536</v>
      </c>
    </row>
    <row r="32" spans="1:26" ht="15.75" x14ac:dyDescent="0.2">
      <c r="A32" s="48" t="s">
        <v>665</v>
      </c>
      <c r="B32" s="52" t="s">
        <v>646</v>
      </c>
      <c r="C32" s="48" t="str">
        <f t="shared" si="0"/>
        <v>Fornecimento de Materiais e Equipamentos (aquisição indireta - em conjunto com licitação de obras)-AC</v>
      </c>
      <c r="E32" s="53">
        <v>1.4999999999999999E-2</v>
      </c>
      <c r="F32" s="53">
        <v>3.4500000000000003E-2</v>
      </c>
      <c r="G32" s="53">
        <v>4.4900000000000002E-2</v>
      </c>
      <c r="I32" s="7" t="s">
        <v>536</v>
      </c>
      <c r="J32" s="66" t="str">
        <f ca="1">IF(U29&lt;&gt;"ok","X","")</f>
        <v/>
      </c>
      <c r="K32" s="691" t="str">
        <f ca="1">IF(U29&lt;&gt;"ok","Anexo: Relatório Técnico Circunstanciado justificando a adoção do percentual de cada parcela do BDI.","")</f>
        <v/>
      </c>
      <c r="L32" s="691"/>
      <c r="M32" s="691"/>
      <c r="N32" s="691"/>
      <c r="O32" s="691"/>
      <c r="P32" s="691"/>
      <c r="Q32" s="691"/>
      <c r="R32" s="691"/>
      <c r="S32" s="691"/>
    </row>
    <row r="33" spans="1:19" x14ac:dyDescent="0.2">
      <c r="A33" s="48" t="str">
        <f>A32</f>
        <v>Fornecimento de Materiais e Equipamentos (aquisição indireta - em conjunto com licitação de obras)</v>
      </c>
      <c r="B33" s="52" t="s">
        <v>648</v>
      </c>
      <c r="C33" s="48" t="str">
        <f t="shared" si="0"/>
        <v>Fornecimento de Materiais e Equipamentos (aquisição indireta - em conjunto com licitação de obras)-SG</v>
      </c>
      <c r="E33" s="53">
        <v>3.0000000000000001E-3</v>
      </c>
      <c r="F33" s="53">
        <v>4.7999999999999996E-3</v>
      </c>
      <c r="G33" s="53">
        <v>8.199999999999999E-3</v>
      </c>
      <c r="I33" s="7" t="s">
        <v>536</v>
      </c>
    </row>
    <row r="34" spans="1:19" x14ac:dyDescent="0.2">
      <c r="A34" s="48" t="str">
        <f>A33</f>
        <v>Fornecimento de Materiais e Equipamentos (aquisição indireta - em conjunto com licitação de obras)</v>
      </c>
      <c r="B34" s="52" t="s">
        <v>649</v>
      </c>
      <c r="C34" s="48" t="str">
        <f t="shared" si="0"/>
        <v>Fornecimento de Materiais e Equipamentos (aquisição indireta - em conjunto com licitação de obras)-R</v>
      </c>
      <c r="E34" s="53">
        <v>5.6000000000000008E-3</v>
      </c>
      <c r="F34" s="53">
        <v>8.5000000000000006E-3</v>
      </c>
      <c r="G34" s="53">
        <v>8.8999999999999999E-3</v>
      </c>
      <c r="I34" s="7" t="s">
        <v>536</v>
      </c>
      <c r="J34" s="693" t="s">
        <v>683</v>
      </c>
      <c r="K34" s="693"/>
      <c r="L34" s="693"/>
      <c r="M34" s="693"/>
      <c r="N34" s="693"/>
      <c r="O34" s="693"/>
      <c r="P34" s="693"/>
      <c r="Q34" s="693"/>
      <c r="R34" s="693"/>
      <c r="S34" s="693"/>
    </row>
    <row r="35" spans="1:19" ht="15.75" x14ac:dyDescent="0.25">
      <c r="A35" s="48" t="str">
        <f>A34</f>
        <v>Fornecimento de Materiais e Equipamentos (aquisição indireta - em conjunto com licitação de obras)</v>
      </c>
      <c r="B35" s="52" t="s">
        <v>653</v>
      </c>
      <c r="C35" s="48" t="str">
        <f t="shared" si="0"/>
        <v>Fornecimento de Materiais e Equipamentos (aquisição indireta - em conjunto com licitação de obras)-DF</v>
      </c>
      <c r="E35" s="53">
        <v>8.5000000000000006E-3</v>
      </c>
      <c r="F35" s="53">
        <v>8.5000000000000006E-3</v>
      </c>
      <c r="G35" s="53">
        <v>1.11E-2</v>
      </c>
      <c r="I35" s="7" t="s">
        <v>536</v>
      </c>
      <c r="J35" s="67"/>
      <c r="K35" s="67"/>
      <c r="L35" s="67"/>
      <c r="M35" s="694" t="s">
        <v>684</v>
      </c>
      <c r="N35" s="695" t="str">
        <f>IF($J17=$A$146,"(1+K1+K2)*(1+K3)","(1+AC + S + R + G)*(1 + DF)*(1+L)")</f>
        <v>(1+AC + S + R + G)*(1 + DF)*(1+L)</v>
      </c>
      <c r="O35" s="695"/>
      <c r="P35" s="695"/>
      <c r="Q35" s="696" t="s">
        <v>685</v>
      </c>
      <c r="R35" s="67"/>
      <c r="S35" s="67"/>
    </row>
    <row r="36" spans="1:19" ht="15.75" x14ac:dyDescent="0.2">
      <c r="A36" s="48" t="str">
        <f>A35</f>
        <v>Fornecimento de Materiais e Equipamentos (aquisição indireta - em conjunto com licitação de obras)</v>
      </c>
      <c r="B36" s="52" t="s">
        <v>654</v>
      </c>
      <c r="C36" s="48" t="str">
        <f t="shared" si="0"/>
        <v>Fornecimento de Materiais e Equipamentos (aquisição indireta - em conjunto com licitação de obras)-L</v>
      </c>
      <c r="E36" s="53">
        <v>3.5000000000000003E-2</v>
      </c>
      <c r="F36" s="53">
        <v>5.1100000000000007E-2</v>
      </c>
      <c r="G36" s="53">
        <v>6.2199999999999998E-2</v>
      </c>
      <c r="I36" s="7" t="s">
        <v>536</v>
      </c>
      <c r="J36" s="67"/>
      <c r="K36" s="67"/>
      <c r="L36" s="67"/>
      <c r="M36" s="694"/>
      <c r="N36" s="686" t="s">
        <v>686</v>
      </c>
      <c r="O36" s="686"/>
      <c r="P36" s="686"/>
      <c r="Q36" s="696"/>
      <c r="R36" s="67"/>
      <c r="S36" s="67"/>
    </row>
    <row r="37" spans="1:19" ht="15" customHeight="1" x14ac:dyDescent="0.2">
      <c r="A37" s="48" t="str">
        <f>A36</f>
        <v>Fornecimento de Materiais e Equipamentos (aquisição indireta - em conjunto com licitação de obras)</v>
      </c>
      <c r="B37" s="57" t="s">
        <v>656</v>
      </c>
      <c r="C37" s="48" t="str">
        <f t="shared" si="0"/>
        <v>Fornecimento de Materiais e Equipamentos (aquisição indireta - em conjunto com licitação de obras)-BDI PAD</v>
      </c>
      <c r="E37" s="53">
        <v>0.111</v>
      </c>
      <c r="F37" s="53">
        <v>0.14019999999999999</v>
      </c>
      <c r="G37" s="53">
        <v>0.16800000000000001</v>
      </c>
      <c r="I37" s="7" t="s">
        <v>536</v>
      </c>
      <c r="J37" s="71"/>
      <c r="K37" s="71"/>
      <c r="L37" s="71"/>
      <c r="M37" s="71"/>
      <c r="N37" s="71"/>
      <c r="O37" s="71"/>
      <c r="P37" s="71"/>
      <c r="Q37" s="71"/>
      <c r="R37" s="71"/>
      <c r="S37" s="71"/>
    </row>
    <row r="38" spans="1:19" ht="50.1" customHeight="1" x14ac:dyDescent="0.2">
      <c r="A38" s="48" t="s">
        <v>687</v>
      </c>
      <c r="B38" s="57" t="s">
        <v>646</v>
      </c>
      <c r="C38" s="48" t="str">
        <f t="shared" si="0"/>
        <v>Fornecimento de Materiais e Equipamentos (aquisição direta)-AC</v>
      </c>
      <c r="E38" s="53" t="s">
        <v>688</v>
      </c>
      <c r="F38" s="53" t="s">
        <v>688</v>
      </c>
      <c r="G38" s="53" t="s">
        <v>688</v>
      </c>
      <c r="I38" t="s">
        <v>536</v>
      </c>
      <c r="J38" s="68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3%.</v>
      </c>
      <c r="K38" s="680"/>
      <c r="L38" s="680"/>
      <c r="M38" s="680"/>
      <c r="N38" s="680"/>
      <c r="O38" s="680"/>
      <c r="P38" s="680"/>
      <c r="Q38" s="680"/>
      <c r="R38" s="680"/>
      <c r="S38" s="680"/>
    </row>
    <row r="39" spans="1:19" x14ac:dyDescent="0.2">
      <c r="A39" s="48" t="s">
        <v>687</v>
      </c>
      <c r="B39" s="57" t="s">
        <v>648</v>
      </c>
      <c r="C39" s="48" t="str">
        <f t="shared" si="0"/>
        <v>Fornecimento de Materiais e Equipamentos (aquisição direta)-SG</v>
      </c>
      <c r="E39" s="53" t="s">
        <v>688</v>
      </c>
      <c r="F39" s="53" t="s">
        <v>688</v>
      </c>
      <c r="G39" s="53" t="s">
        <v>688</v>
      </c>
      <c r="I39" t="s">
        <v>536</v>
      </c>
    </row>
    <row r="40" spans="1:19" ht="50.1" customHeight="1" x14ac:dyDescent="0.2">
      <c r="A40" s="48" t="s">
        <v>687</v>
      </c>
      <c r="B40" s="57" t="s">
        <v>649</v>
      </c>
      <c r="C40" s="48" t="str">
        <f t="shared" si="0"/>
        <v>Fornecimento de Materiais e Equipamentos (aquisição direta)-R</v>
      </c>
      <c r="E40" s="53" t="s">
        <v>688</v>
      </c>
      <c r="F40" s="53" t="s">
        <v>688</v>
      </c>
      <c r="G40" s="53" t="s">
        <v>688</v>
      </c>
      <c r="I40" t="s">
        <v>536</v>
      </c>
      <c r="J40" s="680"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0"/>
      <c r="L40" s="680"/>
      <c r="M40" s="680"/>
      <c r="N40" s="680"/>
      <c r="O40" s="680"/>
      <c r="P40" s="680"/>
      <c r="Q40" s="680"/>
      <c r="R40" s="680"/>
      <c r="S40" s="680"/>
    </row>
    <row r="41" spans="1:19" x14ac:dyDescent="0.2">
      <c r="A41" s="48" t="s">
        <v>687</v>
      </c>
      <c r="B41" s="57" t="s">
        <v>653</v>
      </c>
      <c r="C41" s="48" t="str">
        <f t="shared" si="0"/>
        <v>Fornecimento de Materiais e Equipamentos (aquisição direta)-DF</v>
      </c>
      <c r="E41" s="53" t="s">
        <v>688</v>
      </c>
      <c r="F41" s="53" t="s">
        <v>688</v>
      </c>
      <c r="G41" s="53" t="s">
        <v>688</v>
      </c>
      <c r="I41" t="s">
        <v>536</v>
      </c>
    </row>
    <row r="42" spans="1:19" x14ac:dyDescent="0.2">
      <c r="A42" s="48" t="s">
        <v>687</v>
      </c>
      <c r="B42" s="57" t="s">
        <v>654</v>
      </c>
      <c r="C42" s="48" t="str">
        <f t="shared" si="0"/>
        <v>Fornecimento de Materiais e Equipamentos (aquisição direta)-L</v>
      </c>
      <c r="E42" s="53" t="s">
        <v>688</v>
      </c>
      <c r="F42" s="53" t="s">
        <v>688</v>
      </c>
      <c r="G42" s="53" t="s">
        <v>688</v>
      </c>
      <c r="I42" t="s">
        <v>536</v>
      </c>
      <c r="J42" s="48" t="s">
        <v>689</v>
      </c>
    </row>
    <row r="43" spans="1:19" ht="99.95" customHeight="1" x14ac:dyDescent="0.2">
      <c r="A43" s="48" t="s">
        <v>687</v>
      </c>
      <c r="B43" s="57" t="s">
        <v>656</v>
      </c>
      <c r="C43" s="48" t="str">
        <f t="shared" si="0"/>
        <v>Fornecimento de Materiais e Equipamentos (aquisição direta)-BDI PAD</v>
      </c>
      <c r="E43" s="53" t="s">
        <v>688</v>
      </c>
      <c r="F43" s="53" t="s">
        <v>688</v>
      </c>
      <c r="G43" s="53" t="s">
        <v>688</v>
      </c>
      <c r="I43" t="s">
        <v>536</v>
      </c>
      <c r="J43" s="681"/>
      <c r="K43" s="681"/>
      <c r="L43" s="681"/>
      <c r="M43" s="681"/>
      <c r="N43" s="681"/>
      <c r="O43" s="681"/>
      <c r="P43" s="681"/>
      <c r="Q43" s="681"/>
      <c r="R43" s="681"/>
      <c r="S43" s="681"/>
    </row>
    <row r="44" spans="1:19" x14ac:dyDescent="0.2">
      <c r="A44" s="48" t="s">
        <v>690</v>
      </c>
      <c r="B44" s="52" t="s">
        <v>691</v>
      </c>
      <c r="C44" s="48" t="str">
        <f t="shared" si="0"/>
        <v>Estudos e Projetos, Planos e Gerenciamento e outros correlatos-K1</v>
      </c>
      <c r="E44" s="53" t="s">
        <v>688</v>
      </c>
      <c r="F44" s="53" t="s">
        <v>688</v>
      </c>
      <c r="G44" s="53" t="s">
        <v>688</v>
      </c>
      <c r="I44" t="s">
        <v>536</v>
      </c>
    </row>
    <row r="45" spans="1:19" x14ac:dyDescent="0.2">
      <c r="A45" s="48" t="str">
        <f>A44</f>
        <v>Estudos e Projetos, Planos e Gerenciamento e outros correlatos</v>
      </c>
      <c r="B45" s="52" t="s">
        <v>692</v>
      </c>
      <c r="C45" s="48" t="str">
        <f t="shared" si="0"/>
        <v>Estudos e Projetos, Planos e Gerenciamento e outros correlatos-K2</v>
      </c>
      <c r="E45" s="53" t="s">
        <v>688</v>
      </c>
      <c r="F45" s="53">
        <v>0.2</v>
      </c>
      <c r="G45" s="53" t="s">
        <v>688</v>
      </c>
      <c r="I45" t="s">
        <v>536</v>
      </c>
      <c r="J45" s="682" t="str">
        <f>Import.Município</f>
        <v>RS</v>
      </c>
      <c r="K45" s="682"/>
      <c r="L45" s="682"/>
      <c r="M45" s="682"/>
      <c r="P45" s="683">
        <f>DADOS!$C$25</f>
        <v>46252</v>
      </c>
      <c r="Q45" s="683"/>
      <c r="R45" s="683"/>
      <c r="S45" s="683"/>
    </row>
    <row r="46" spans="1:19" x14ac:dyDescent="0.2">
      <c r="A46" s="48" t="str">
        <f>A45</f>
        <v>Estudos e Projetos, Planos e Gerenciamento e outros correlatos</v>
      </c>
      <c r="B46" s="52"/>
      <c r="C46" s="48" t="str">
        <f t="shared" si="0"/>
        <v>Estudos e Projetos, Planos e Gerenciamento e outros correlatos-</v>
      </c>
      <c r="E46" s="53" t="s">
        <v>688</v>
      </c>
      <c r="F46" s="53" t="s">
        <v>688</v>
      </c>
      <c r="G46" s="53" t="s">
        <v>688</v>
      </c>
      <c r="I46" t="s">
        <v>536</v>
      </c>
      <c r="J46" s="684" t="s">
        <v>693</v>
      </c>
      <c r="K46" s="684"/>
      <c r="L46" s="684"/>
      <c r="M46" s="684"/>
      <c r="O46" s="72"/>
      <c r="P46" s="73" t="s">
        <v>694</v>
      </c>
      <c r="Q46" s="74"/>
      <c r="R46" s="74"/>
      <c r="S46" s="74"/>
    </row>
    <row r="47" spans="1:19" ht="30" customHeight="1" x14ac:dyDescent="0.2">
      <c r="A47" s="48" t="str">
        <f>A46</f>
        <v>Estudos e Projetos, Planos e Gerenciamento e outros correlatos</v>
      </c>
      <c r="B47" s="52"/>
      <c r="C47" s="48" t="str">
        <f t="shared" si="0"/>
        <v>Estudos e Projetos, Planos e Gerenciamento e outros correlatos-</v>
      </c>
      <c r="E47" s="53" t="s">
        <v>688</v>
      </c>
      <c r="F47" s="53" t="s">
        <v>688</v>
      </c>
      <c r="G47" s="53" t="s">
        <v>688</v>
      </c>
      <c r="I47" t="s">
        <v>536</v>
      </c>
    </row>
    <row r="48" spans="1:19" ht="15" x14ac:dyDescent="0.2">
      <c r="A48" s="48" t="str">
        <f>A47</f>
        <v>Estudos e Projetos, Planos e Gerenciamento e outros correlatos</v>
      </c>
      <c r="B48" s="52" t="s">
        <v>695</v>
      </c>
      <c r="C48" s="48" t="str">
        <f t="shared" si="0"/>
        <v>Estudos e Projetos, Planos e Gerenciamento e outros correlatos-K3</v>
      </c>
      <c r="E48" s="53" t="s">
        <v>688</v>
      </c>
      <c r="F48" s="53">
        <v>0.12</v>
      </c>
      <c r="G48" s="53" t="s">
        <v>688</v>
      </c>
      <c r="I48" t="s">
        <v>536</v>
      </c>
      <c r="J48" s="685"/>
      <c r="K48" s="685"/>
      <c r="L48" s="685"/>
      <c r="M48" s="685"/>
      <c r="N48" s="75"/>
    </row>
    <row r="49" spans="1:26" ht="12.75" customHeight="1" x14ac:dyDescent="0.2">
      <c r="A49" s="48" t="str">
        <f>A48</f>
        <v>Estudos e Projetos, Planos e Gerenciamento e outros correlatos</v>
      </c>
      <c r="B49" s="57" t="s">
        <v>656</v>
      </c>
      <c r="C49" s="48" t="str">
        <f t="shared" si="0"/>
        <v>Estudos e Projetos, Planos e Gerenciamento e outros correlatos-BDI PAD</v>
      </c>
      <c r="E49" s="53" t="s">
        <v>688</v>
      </c>
      <c r="F49" s="53" t="s">
        <v>688</v>
      </c>
      <c r="G49" s="53" t="s">
        <v>688</v>
      </c>
      <c r="I49" t="s">
        <v>536</v>
      </c>
      <c r="J49" s="679" t="s">
        <v>696</v>
      </c>
      <c r="K49" s="679"/>
      <c r="L49" s="679"/>
      <c r="M49" s="679"/>
    </row>
    <row r="50" spans="1:26" ht="14.25" x14ac:dyDescent="0.2">
      <c r="B50" s="57"/>
      <c r="E50" s="53"/>
      <c r="F50" s="53"/>
      <c r="G50" s="53"/>
      <c r="I50" t="s">
        <v>536</v>
      </c>
      <c r="J50" s="76" t="s">
        <v>240</v>
      </c>
      <c r="K50" s="77" t="str">
        <f t="array" ref="K50:K52">Import.RespOrçamento</f>
        <v>GABRIEL ADAMS DOMINGUES</v>
      </c>
      <c r="L50" s="78"/>
      <c r="M50" s="78"/>
      <c r="N50" s="75"/>
    </row>
    <row r="51" spans="1:26" ht="14.25" x14ac:dyDescent="0.2">
      <c r="A51"/>
      <c r="B51"/>
      <c r="C51"/>
      <c r="D51"/>
      <c r="E51"/>
      <c r="F51"/>
      <c r="G51"/>
      <c r="I51" t="s">
        <v>536</v>
      </c>
      <c r="J51" s="76" t="s">
        <v>243</v>
      </c>
      <c r="K51" s="77" t="str">
        <v>CREA RS 247738</v>
      </c>
      <c r="L51" s="78"/>
      <c r="M51" s="78"/>
      <c r="N51" s="75"/>
    </row>
    <row r="52" spans="1:26" ht="14.25" x14ac:dyDescent="0.2">
      <c r="A52"/>
      <c r="B52"/>
      <c r="C52"/>
      <c r="D52"/>
      <c r="E52"/>
      <c r="F52"/>
      <c r="G52"/>
      <c r="I52" t="s">
        <v>536</v>
      </c>
      <c r="J52" s="76" t="s">
        <v>246</v>
      </c>
      <c r="K52" s="77" t="str">
        <v>14574615</v>
      </c>
      <c r="L52" s="78"/>
      <c r="M52" s="78"/>
      <c r="N52" s="75"/>
    </row>
    <row r="53" spans="1:26" ht="14.25" x14ac:dyDescent="0.2">
      <c r="A53"/>
      <c r="B53"/>
      <c r="C53"/>
      <c r="D53"/>
      <c r="E53"/>
      <c r="F53"/>
      <c r="G53"/>
      <c r="I53" t="s">
        <v>536</v>
      </c>
      <c r="J53" s="76"/>
      <c r="K53" s="79"/>
      <c r="L53" s="78"/>
      <c r="M53" s="78"/>
      <c r="N53" s="75"/>
    </row>
    <row r="54" spans="1:26" ht="15.75" x14ac:dyDescent="0.25">
      <c r="A54"/>
      <c r="B54"/>
      <c r="C54"/>
      <c r="D54"/>
      <c r="E54"/>
      <c r="F54"/>
      <c r="G54"/>
      <c r="I54" t="str">
        <f ca="1">IF($S$69=0,"","F")</f>
        <v/>
      </c>
      <c r="J54" s="701" t="s">
        <v>697</v>
      </c>
      <c r="K54" s="701"/>
      <c r="L54" s="701"/>
      <c r="M54" s="701"/>
      <c r="N54" s="701"/>
      <c r="O54" s="701"/>
      <c r="P54" s="701"/>
      <c r="Q54" s="701"/>
      <c r="R54" s="701"/>
      <c r="S54" s="701"/>
      <c r="U54" s="520" t="str">
        <f>IF(COUNTIF(ORÇAMENTO!$V$15:$V$33,BDI_2.Título)=0,"",IF(OR(Import.BDI.Tipo2="(SELECIONAR)",Import.BDI.Tipo2="",U57&lt;&gt;"",AND($J57&lt;&gt;$A$145,OR(S61="",S62="",AND($J57&lt;&gt;$A$146,OR(S63="",S64="")),S65="",S66=""))),"Falta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699" t="s">
        <v>664</v>
      </c>
      <c r="K56" s="699"/>
      <c r="L56" s="699"/>
      <c r="M56" s="699"/>
      <c r="N56" s="699"/>
      <c r="O56" s="699"/>
      <c r="P56" s="699"/>
      <c r="Q56" s="699"/>
      <c r="R56" s="699"/>
      <c r="S56" s="699"/>
    </row>
    <row r="57" spans="1:26" ht="15" x14ac:dyDescent="0.25">
      <c r="A57"/>
      <c r="B57"/>
      <c r="C57"/>
      <c r="D57"/>
      <c r="E57"/>
      <c r="F57"/>
      <c r="G57"/>
      <c r="I57" t="str">
        <f t="shared" ca="1" si="3"/>
        <v/>
      </c>
      <c r="J57" s="700" t="s">
        <v>139</v>
      </c>
      <c r="K57" s="700"/>
      <c r="L57" s="700"/>
      <c r="M57" s="700"/>
      <c r="N57" s="700"/>
      <c r="O57" s="700"/>
      <c r="P57" s="700"/>
      <c r="Q57" s="700"/>
      <c r="R57" s="700"/>
      <c r="S57" s="700"/>
      <c r="T57" s="562" t="str">
        <f ca="1">IF(U57="","","◄")</f>
        <v/>
      </c>
      <c r="U57" s="561" t="str">
        <f ca="1">IF(AND(OR(S69&gt;0,COUNTIF(ORÇAMENTO!$V$15:$V$33,BDI_2.Título)&gt;0),OR(Import.BDI.Tipo2="(SELECIONAR)",Import.BDI.Tipo2="")),"Selecione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98" t="s">
        <v>666</v>
      </c>
      <c r="K59" s="698"/>
      <c r="L59" s="698"/>
      <c r="M59" s="698"/>
      <c r="N59" s="698"/>
      <c r="O59" s="698"/>
      <c r="P59" s="698"/>
      <c r="Q59" s="698"/>
      <c r="R59" s="698" t="s">
        <v>667</v>
      </c>
      <c r="S59" s="689" t="s">
        <v>668</v>
      </c>
      <c r="U59" s="689" t="s">
        <v>669</v>
      </c>
      <c r="V59" s="689"/>
      <c r="W59" s="689"/>
      <c r="X59" s="697" t="s">
        <v>670</v>
      </c>
      <c r="Y59" s="697" t="s">
        <v>671</v>
      </c>
      <c r="Z59" s="697" t="s">
        <v>672</v>
      </c>
    </row>
    <row r="60" spans="1:26" ht="12.75" customHeight="1" x14ac:dyDescent="0.2">
      <c r="A60"/>
      <c r="B60"/>
      <c r="C60"/>
      <c r="D60"/>
      <c r="E60"/>
      <c r="F60"/>
      <c r="G60"/>
      <c r="I60" t="str">
        <f t="shared" ca="1" si="3"/>
        <v/>
      </c>
      <c r="J60" s="698"/>
      <c r="K60" s="698"/>
      <c r="L60" s="698"/>
      <c r="M60" s="698"/>
      <c r="N60" s="698"/>
      <c r="O60" s="698"/>
      <c r="P60" s="698"/>
      <c r="Q60" s="698"/>
      <c r="R60" s="698"/>
      <c r="S60" s="689"/>
      <c r="U60" s="689"/>
      <c r="V60" s="689"/>
      <c r="W60" s="689"/>
      <c r="X60" s="697"/>
      <c r="Y60" s="697"/>
      <c r="Z60" s="697"/>
    </row>
    <row r="61" spans="1:26" ht="15" customHeight="1" x14ac:dyDescent="0.2">
      <c r="A61"/>
      <c r="B61"/>
      <c r="C61"/>
      <c r="D61"/>
      <c r="E61"/>
      <c r="F61"/>
      <c r="G61"/>
      <c r="I61" t="str">
        <f t="shared" ca="1" si="3"/>
        <v/>
      </c>
      <c r="J61" s="687" t="str">
        <f>IF($J$57=$A$146,"Encargos Sociais incidentes sobre a mão de obra","Administração Central")</f>
        <v>Administração Central</v>
      </c>
      <c r="K61" s="687"/>
      <c r="L61" s="687"/>
      <c r="M61" s="687"/>
      <c r="N61" s="687"/>
      <c r="O61" s="687"/>
      <c r="P61" s="687"/>
      <c r="Q61" s="687"/>
      <c r="R61" s="59" t="str">
        <f>IF($J57=$A$146,"K1","AC")</f>
        <v>AC</v>
      </c>
      <c r="S61" s="60"/>
      <c r="T61" s="571" t="str">
        <f ca="1">IF(AND($U$54&lt;&gt;"",$U$57="",R61&lt;&gt;"",S61=""),"◄","")</f>
        <v/>
      </c>
      <c r="U61" s="688" t="str">
        <f ca="1">IFERROR(IF(T61="◄","FALTA PREENCHER",IF(AND(OR(S61&gt;=X61,X61="-"),OR(S61&lt;=Z61,Z61="-")),"OK","FORA DO INTERVALO")),"-")</f>
        <v>-</v>
      </c>
      <c r="V61" s="688"/>
      <c r="W61" s="688"/>
      <c r="X61" s="61" t="e">
        <f>VLOOKUP(CONCATENATE(J57,"-",R61),$C$2:$G$136,3,FALSE)</f>
        <v>#N/A</v>
      </c>
      <c r="Y61" s="61" t="e">
        <f>VLOOKUP(CONCATENATE(J57,"-",R61),$C$2:$G$136,4,FALSE)</f>
        <v>#N/A</v>
      </c>
      <c r="Z61" s="61" t="e">
        <f>VLOOKUP(CONCATENATE(J57,"-",R61),$C$2:$G$136,5,FALSE)</f>
        <v>#N/A</v>
      </c>
    </row>
    <row r="62" spans="1:26" ht="15" customHeight="1" x14ac:dyDescent="0.2">
      <c r="A62"/>
      <c r="B62"/>
      <c r="C62"/>
      <c r="D62"/>
      <c r="E62"/>
      <c r="F62"/>
      <c r="G62"/>
      <c r="I62" t="str">
        <f t="shared" ca="1" si="3"/>
        <v/>
      </c>
      <c r="J62" s="687" t="str">
        <f>IF($J$57=$A$146,"Administração Central da empresa ou consultoria - overhead","Seguro e Garantia")</f>
        <v>Seguro e Garantia</v>
      </c>
      <c r="K62" s="687"/>
      <c r="L62" s="687"/>
      <c r="M62" s="687"/>
      <c r="N62" s="687"/>
      <c r="O62" s="687"/>
      <c r="P62" s="687"/>
      <c r="Q62" s="687"/>
      <c r="R62" s="59" t="str">
        <f>IF($J57=$A$146,"K2","SG")</f>
        <v>SG</v>
      </c>
      <c r="S62" s="60"/>
      <c r="T62" s="571" t="str">
        <f t="shared" ref="T62:T66" ca="1" si="4">IF(AND($U$54&lt;&gt;"",$U$57="",R62&lt;&gt;"",S62=""),"◄","")</f>
        <v/>
      </c>
      <c r="U62" s="688" t="str">
        <f t="shared" ref="U62:U68" ca="1" si="5">IFERROR(IF(T62="◄","FALTA PREENCHER",IF(AND(OR(S62&gt;=X62,X62="-"),OR(S62&lt;=Z62,Z62="-")),"OK","FORA DO INTERVALO")),"-")</f>
        <v>-</v>
      </c>
      <c r="V62" s="688"/>
      <c r="W62" s="688"/>
      <c r="X62" s="61" t="e">
        <f>VLOOKUP(CONCATENATE(J57,"-",R62),$C$2:$G$136,3,FALSE)</f>
        <v>#N/A</v>
      </c>
      <c r="Y62" s="61" t="e">
        <f>VLOOKUP(CONCATENATE(J57,"-",R62),$C$2:$G$136,4,FALSE)</f>
        <v>#N/A</v>
      </c>
      <c r="Z62" s="61" t="e">
        <f>VLOOKUP(CONCATENATE(J57,"-",R62),$C$2:$G$136,5,FALSE)</f>
        <v>#N/A</v>
      </c>
    </row>
    <row r="63" spans="1:26" ht="15" customHeight="1" x14ac:dyDescent="0.2">
      <c r="A63"/>
      <c r="B63"/>
      <c r="C63"/>
      <c r="D63"/>
      <c r="E63"/>
      <c r="F63"/>
      <c r="G63"/>
      <c r="I63" t="str">
        <f t="shared" ca="1" si="3"/>
        <v/>
      </c>
      <c r="J63" s="687" t="s">
        <v>942</v>
      </c>
      <c r="K63" s="687"/>
      <c r="L63" s="687"/>
      <c r="M63" s="687"/>
      <c r="N63" s="687"/>
      <c r="O63" s="687"/>
      <c r="P63" s="687"/>
      <c r="Q63" s="687"/>
      <c r="R63" s="59" t="str">
        <f>IF($J57=$A$146,"","R")</f>
        <v>R</v>
      </c>
      <c r="S63" s="60"/>
      <c r="T63" s="571" t="str">
        <f t="shared" ca="1" si="4"/>
        <v/>
      </c>
      <c r="U63" s="688" t="str">
        <f t="shared" ca="1" si="5"/>
        <v>-</v>
      </c>
      <c r="V63" s="688"/>
      <c r="W63" s="688"/>
      <c r="X63" s="61" t="e">
        <f>VLOOKUP(CONCATENATE(J57,"-",R63),$C$2:$G$136,3,FALSE)</f>
        <v>#N/A</v>
      </c>
      <c r="Y63" s="61" t="e">
        <f>VLOOKUP(CONCATENATE(J57,"-",R63),$C$2:$G$136,4,FALSE)</f>
        <v>#N/A</v>
      </c>
      <c r="Z63" s="61" t="e">
        <f>VLOOKUP(CONCATENATE(J57,"-",R63),$C$2:$G$136,5,FALSE)</f>
        <v>#N/A</v>
      </c>
    </row>
    <row r="64" spans="1:26" ht="15" customHeight="1" x14ac:dyDescent="0.2">
      <c r="A64"/>
      <c r="B64"/>
      <c r="C64"/>
      <c r="D64"/>
      <c r="E64"/>
      <c r="F64"/>
      <c r="G64"/>
      <c r="I64" t="str">
        <f t="shared" ca="1" si="3"/>
        <v/>
      </c>
      <c r="J64" s="687" t="s">
        <v>943</v>
      </c>
      <c r="K64" s="687"/>
      <c r="L64" s="687"/>
      <c r="M64" s="687"/>
      <c r="N64" s="687"/>
      <c r="O64" s="687"/>
      <c r="P64" s="687"/>
      <c r="Q64" s="687"/>
      <c r="R64" s="59" t="str">
        <f>IF($J57=$A$146,"","DF")</f>
        <v>DF</v>
      </c>
      <c r="S64" s="60"/>
      <c r="T64" s="571" t="str">
        <f t="shared" ca="1" si="4"/>
        <v/>
      </c>
      <c r="U64" s="688" t="str">
        <f t="shared" ca="1" si="5"/>
        <v>-</v>
      </c>
      <c r="V64" s="688"/>
      <c r="W64" s="688"/>
      <c r="X64" s="61" t="e">
        <f>VLOOKUP(CONCATENATE(J57,"-",R64),$C$2:$G$136,3,FALSE)</f>
        <v>#N/A</v>
      </c>
      <c r="Y64" s="61" t="e">
        <f>VLOOKUP(CONCATENATE(J57,"-",R64),$C$2:$G$136,4,FALSE)</f>
        <v>#N/A</v>
      </c>
      <c r="Z64" s="61" t="e">
        <f>VLOOKUP(CONCATENATE(J57,"-",R64),$C$2:$G$136,5,FALSE)</f>
        <v>#N/A</v>
      </c>
    </row>
    <row r="65" spans="1:26" ht="15" customHeight="1" x14ac:dyDescent="0.2">
      <c r="A65"/>
      <c r="B65"/>
      <c r="C65"/>
      <c r="D65"/>
      <c r="E65"/>
      <c r="F65"/>
      <c r="G65"/>
      <c r="I65" t="str">
        <f t="shared" ca="1" si="3"/>
        <v/>
      </c>
      <c r="J65" s="687" t="str">
        <f>IF($J$57=$A$146,"Margem bruta da empresa de consultoria","Lucro")</f>
        <v>Lucro</v>
      </c>
      <c r="K65" s="687"/>
      <c r="L65" s="687"/>
      <c r="M65" s="687"/>
      <c r="N65" s="687"/>
      <c r="O65" s="687"/>
      <c r="P65" s="687"/>
      <c r="Q65" s="687"/>
      <c r="R65" s="59" t="str">
        <f>IF($J57=$A$146,"K3","L")</f>
        <v>L</v>
      </c>
      <c r="S65" s="60"/>
      <c r="T65" s="571" t="str">
        <f t="shared" ca="1" si="4"/>
        <v/>
      </c>
      <c r="U65" s="688" t="str">
        <f t="shared" ca="1" si="5"/>
        <v>-</v>
      </c>
      <c r="V65" s="688"/>
      <c r="W65" s="688"/>
      <c r="X65" s="61" t="e">
        <f>VLOOKUP(CONCATENATE(J57,"-",R65),$C$2:$G$136,3,FALSE)</f>
        <v>#N/A</v>
      </c>
      <c r="Y65" s="61" t="e">
        <f>VLOOKUP(CONCATENATE(J57,"-",R65),$C$2:$G$136,4,FALSE)</f>
        <v>#N/A</v>
      </c>
      <c r="Z65" s="61" t="e">
        <f>VLOOKUP(CONCATENATE(J57,"-",R65),$C$2:$G$136,5,FALSE)</f>
        <v>#N/A</v>
      </c>
    </row>
    <row r="66" spans="1:26" ht="15" customHeight="1" x14ac:dyDescent="0.2">
      <c r="A66"/>
      <c r="B66"/>
      <c r="C66"/>
      <c r="D66"/>
      <c r="E66"/>
      <c r="F66"/>
      <c r="G66"/>
      <c r="I66" t="str">
        <f t="shared" ca="1" si="3"/>
        <v/>
      </c>
      <c r="J66" s="687" t="s">
        <v>675</v>
      </c>
      <c r="K66" s="687"/>
      <c r="L66" s="687"/>
      <c r="M66" s="687"/>
      <c r="N66" s="687"/>
      <c r="O66" s="687"/>
      <c r="P66" s="687"/>
      <c r="Q66" s="687"/>
      <c r="R66" s="59" t="s">
        <v>456</v>
      </c>
      <c r="S66" s="60"/>
      <c r="T66" s="571" t="str">
        <f t="shared" ca="1" si="4"/>
        <v/>
      </c>
      <c r="U66" s="688" t="str">
        <f t="shared" ca="1" si="5"/>
        <v>FORA DO INTERVALO</v>
      </c>
      <c r="V66" s="688"/>
      <c r="W66" s="688"/>
      <c r="X66" s="61">
        <f>Y66</f>
        <v>3.6499999999999998E-2</v>
      </c>
      <c r="Y66" s="61">
        <f>IF($J57=$A$145,"-",3.65%)</f>
        <v>3.6499999999999998E-2</v>
      </c>
      <c r="Z66" s="61">
        <f>Y66</f>
        <v>3.6499999999999998E-2</v>
      </c>
    </row>
    <row r="67" spans="1:26" ht="15" customHeight="1" x14ac:dyDescent="0.2">
      <c r="A67"/>
      <c r="B67"/>
      <c r="C67"/>
      <c r="D67"/>
      <c r="E67"/>
      <c r="F67"/>
      <c r="G67"/>
      <c r="I67" t="str">
        <f t="shared" ca="1" si="3"/>
        <v/>
      </c>
      <c r="J67" s="687" t="s">
        <v>676</v>
      </c>
      <c r="K67" s="687"/>
      <c r="L67" s="687"/>
      <c r="M67" s="687"/>
      <c r="N67" s="687"/>
      <c r="O67" s="687"/>
      <c r="P67" s="687"/>
      <c r="Q67" s="687"/>
      <c r="R67" s="59" t="s">
        <v>677</v>
      </c>
      <c r="S67" s="61">
        <f ca="1">IF(AND($J57&lt;&gt;$A$145,COUNTA(OFFSET(S60,1,0,6))&gt;0),$R$11*$R$10,0)</f>
        <v>0</v>
      </c>
      <c r="U67" s="688" t="str">
        <f t="shared" ca="1" si="5"/>
        <v>OK</v>
      </c>
      <c r="V67" s="688"/>
      <c r="W67" s="688"/>
      <c r="X67" s="61">
        <v>0</v>
      </c>
      <c r="Y67" s="61">
        <v>2.5000000000000001E-2</v>
      </c>
      <c r="Z67" s="61">
        <v>0.05</v>
      </c>
    </row>
    <row r="68" spans="1:26" ht="15" customHeight="1" x14ac:dyDescent="0.2">
      <c r="A68"/>
      <c r="B68"/>
      <c r="C68"/>
      <c r="D68"/>
      <c r="E68"/>
      <c r="F68"/>
      <c r="G68"/>
      <c r="I68" t="str">
        <f t="shared" ca="1" si="3"/>
        <v/>
      </c>
      <c r="J68" s="687" t="s">
        <v>678</v>
      </c>
      <c r="K68" s="687"/>
      <c r="L68" s="687"/>
      <c r="M68" s="687"/>
      <c r="N68" s="687"/>
      <c r="O68" s="687"/>
      <c r="P68" s="687"/>
      <c r="Q68" s="687"/>
      <c r="R68" s="59" t="s">
        <v>679</v>
      </c>
      <c r="S68" s="61" cm="1">
        <f t="array" aca="1" ref="S68" ca="1">IF(BDI.Opcao&lt;&gt;"Desonerado",0,IF(AND($J57&lt;&gt;$A$145,COUNTA(OFFSET(S60,1,0,6))&gt;0),IF(YEAR(Import.DataBase)&lt;2025,4.5%,IF(YEAR(Import.DataBase)=2025,3.6%,IF(YEAR(Import.DataBase)=2026,2.7%,IF(YEAR(Import.DataBase)=2027,1.8%,0%)))),0%))</f>
        <v>0</v>
      </c>
      <c r="U68" s="688" t="str">
        <f t="shared" ca="1" si="5"/>
        <v>OK</v>
      </c>
      <c r="V68" s="688"/>
      <c r="W68" s="688"/>
      <c r="X68" s="62">
        <f ca="1">$S68</f>
        <v>0</v>
      </c>
      <c r="Y68" s="62">
        <f ca="1">$S68</f>
        <v>0</v>
      </c>
      <c r="Z68" s="62">
        <f ca="1">$S68</f>
        <v>0</v>
      </c>
    </row>
    <row r="69" spans="1:26" ht="15" customHeight="1" x14ac:dyDescent="0.2">
      <c r="A69"/>
      <c r="B69"/>
      <c r="C69"/>
      <c r="D69"/>
      <c r="E69"/>
      <c r="F69"/>
      <c r="G69"/>
      <c r="I69" t="str">
        <f t="shared" ca="1" si="3"/>
        <v/>
      </c>
      <c r="J69" s="687" t="s">
        <v>680</v>
      </c>
      <c r="K69" s="687"/>
      <c r="L69" s="687"/>
      <c r="M69" s="687"/>
      <c r="N69" s="687"/>
      <c r="O69" s="687"/>
      <c r="P69" s="687"/>
      <c r="Q69" s="687"/>
      <c r="R69" s="63" t="s">
        <v>656</v>
      </c>
      <c r="S69" s="61">
        <f ca="1">IF($J57=$A$145,0,ROUND((((1+S61+S62+S63)*(1+S64)*(1+S65)/(1-(S66+S67)))-1),4))</f>
        <v>0</v>
      </c>
      <c r="U69" s="689" t="str">
        <f ca="1">IFERROR(IF(AND(OR(S69&gt;=X69,X69="-"),OR(S69&lt;=Z69,Z69="-")),"OK","FORA DO INTERVALO"),IF(S69=0,"OK","Selecione o Tipo de obra"))</f>
        <v>OK</v>
      </c>
      <c r="V69" s="689"/>
      <c r="W69" s="689"/>
      <c r="X69" s="61" t="e">
        <f>IF($J57=$A$145,0,VLOOKUP(CONCATENATE($J57,"-",$R69),$C$2:$G$136,3,FALSE))</f>
        <v>#N/A</v>
      </c>
      <c r="Y69" s="61" t="e">
        <f>IF($J57=$A$145,0,VLOOKUP(CONCATENATE($J57,"-",$R69),$C$2:$G$136,4,FALSE))</f>
        <v>#N/A</v>
      </c>
      <c r="Z69" s="61" t="e">
        <f>IF($J57=$A$145,0,VLOOKUP(CONCATENATE($J57,"-",$R69),$C$2:$G$136,5,FALSE))</f>
        <v>#N/A</v>
      </c>
    </row>
    <row r="70" spans="1:26" ht="15" customHeight="1" x14ac:dyDescent="0.2">
      <c r="A70"/>
      <c r="B70"/>
      <c r="C70"/>
      <c r="D70"/>
      <c r="E70"/>
      <c r="F70"/>
      <c r="G70"/>
      <c r="I70" t="str">
        <f t="shared" ca="1" si="3"/>
        <v/>
      </c>
      <c r="J70" s="690" t="s">
        <v>681</v>
      </c>
      <c r="K70" s="690"/>
      <c r="L70" s="690"/>
      <c r="M70" s="690"/>
      <c r="N70" s="690"/>
      <c r="O70" s="690"/>
      <c r="P70" s="690"/>
      <c r="Q70" s="690"/>
      <c r="R70" s="64" t="s">
        <v>682</v>
      </c>
      <c r="S70" s="65">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6" t="str">
        <f ca="1">IF(U69&lt;&gt;"ok","X","")</f>
        <v/>
      </c>
      <c r="K72" s="691" t="str">
        <f ca="1">IF(U69&lt;&gt;"ok","Anexo: Relatório Técnico Circunstanciado justificando a adoção do percentual de cada parcela do BDI.","")</f>
        <v/>
      </c>
      <c r="L72" s="691"/>
      <c r="M72" s="691"/>
      <c r="N72" s="691"/>
      <c r="O72" s="691"/>
      <c r="P72" s="691"/>
      <c r="Q72" s="691"/>
      <c r="R72" s="691"/>
      <c r="S72" s="691"/>
    </row>
    <row r="73" spans="1:26" x14ac:dyDescent="0.2">
      <c r="A73"/>
      <c r="B73"/>
      <c r="C73"/>
      <c r="D73"/>
      <c r="E73"/>
      <c r="F73"/>
      <c r="G73"/>
      <c r="I73" t="str">
        <f t="shared" ca="1" si="3"/>
        <v/>
      </c>
    </row>
    <row r="74" spans="1:26" x14ac:dyDescent="0.2">
      <c r="A74"/>
      <c r="B74"/>
      <c r="C74"/>
      <c r="D74"/>
      <c r="E74"/>
      <c r="F74"/>
      <c r="G74"/>
      <c r="I74" t="str">
        <f t="shared" ca="1" si="3"/>
        <v/>
      </c>
      <c r="J74" s="693" t="s">
        <v>683</v>
      </c>
      <c r="K74" s="693"/>
      <c r="L74" s="693"/>
      <c r="M74" s="693"/>
      <c r="N74" s="693"/>
      <c r="O74" s="693"/>
      <c r="P74" s="693"/>
      <c r="Q74" s="693"/>
      <c r="R74" s="693"/>
      <c r="S74" s="693"/>
    </row>
    <row r="75" spans="1:26" ht="15.75" x14ac:dyDescent="0.25">
      <c r="A75"/>
      <c r="B75"/>
      <c r="C75"/>
      <c r="D75"/>
      <c r="E75"/>
      <c r="F75"/>
      <c r="G75"/>
      <c r="I75" t="str">
        <f t="shared" ca="1" si="3"/>
        <v/>
      </c>
      <c r="J75" s="67"/>
      <c r="K75" s="67"/>
      <c r="L75" s="67"/>
      <c r="M75" s="694" t="s">
        <v>684</v>
      </c>
      <c r="N75" s="695" t="str">
        <f>IF($J57=$A$146,"(1+K1+K2)*(1+K3)","(1+AC + S + R + G)*(1 + DF)*(1+L)")</f>
        <v>(1+AC + S + R + G)*(1 + DF)*(1+L)</v>
      </c>
      <c r="O75" s="695"/>
      <c r="P75" s="695"/>
      <c r="Q75" s="696" t="s">
        <v>685</v>
      </c>
      <c r="R75" s="67"/>
      <c r="S75" s="67"/>
    </row>
    <row r="76" spans="1:26" ht="15.75" x14ac:dyDescent="0.2">
      <c r="A76"/>
      <c r="B76"/>
      <c r="C76"/>
      <c r="D76"/>
      <c r="E76"/>
      <c r="F76"/>
      <c r="G76"/>
      <c r="I76" t="str">
        <f t="shared" ca="1" si="3"/>
        <v/>
      </c>
      <c r="J76" s="67"/>
      <c r="K76" s="67"/>
      <c r="L76" s="67"/>
      <c r="M76" s="694"/>
      <c r="N76" s="686" t="s">
        <v>686</v>
      </c>
      <c r="O76" s="686"/>
      <c r="P76" s="686"/>
      <c r="Q76" s="696"/>
      <c r="R76" s="67"/>
      <c r="S76" s="67"/>
    </row>
    <row r="77" spans="1:26" ht="15" customHeight="1" x14ac:dyDescent="0.2">
      <c r="A77"/>
      <c r="B77"/>
      <c r="C77"/>
      <c r="D77"/>
      <c r="E77"/>
      <c r="F77"/>
      <c r="G77"/>
      <c r="I77" t="str">
        <f t="shared" ca="1" si="3"/>
        <v/>
      </c>
      <c r="J77" s="67"/>
      <c r="K77" s="67"/>
      <c r="L77" s="67"/>
      <c r="M77" s="68"/>
      <c r="N77" s="70"/>
      <c r="O77" s="70"/>
      <c r="P77" s="70"/>
      <c r="Q77" s="69"/>
      <c r="R77" s="67"/>
      <c r="S77" s="67"/>
    </row>
    <row r="78" spans="1:26" ht="50.1" customHeight="1" x14ac:dyDescent="0.2">
      <c r="A78"/>
      <c r="B78"/>
      <c r="C78"/>
      <c r="D78"/>
      <c r="E78"/>
      <c r="F78"/>
      <c r="G78"/>
      <c r="I78" t="str">
        <f t="shared" ca="1" si="3"/>
        <v/>
      </c>
      <c r="J78" s="68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3%.</v>
      </c>
      <c r="K78" s="680"/>
      <c r="L78" s="680"/>
      <c r="M78" s="680"/>
      <c r="N78" s="680"/>
      <c r="O78" s="680"/>
      <c r="P78" s="680"/>
      <c r="Q78" s="680"/>
      <c r="R78" s="680"/>
      <c r="S78" s="680"/>
    </row>
    <row r="79" spans="1:26" x14ac:dyDescent="0.2">
      <c r="A79"/>
      <c r="B79"/>
      <c r="C79"/>
      <c r="D79"/>
      <c r="E79"/>
      <c r="F79"/>
      <c r="G79"/>
      <c r="I79" t="str">
        <f t="shared" ca="1" si="3"/>
        <v/>
      </c>
    </row>
    <row r="80" spans="1:26" ht="50.1" customHeight="1" x14ac:dyDescent="0.2">
      <c r="A80"/>
      <c r="B80"/>
      <c r="C80"/>
      <c r="D80"/>
      <c r="E80"/>
      <c r="F80"/>
      <c r="G80"/>
      <c r="I80" t="str">
        <f t="shared" ca="1" si="3"/>
        <v/>
      </c>
      <c r="J80" s="680"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0"/>
      <c r="L80" s="680"/>
      <c r="M80" s="680"/>
      <c r="N80" s="680"/>
      <c r="O80" s="680"/>
      <c r="P80" s="680"/>
      <c r="Q80" s="680"/>
      <c r="R80" s="680"/>
      <c r="S80" s="680"/>
    </row>
    <row r="81" spans="1:21" x14ac:dyDescent="0.2">
      <c r="A81"/>
      <c r="B81"/>
      <c r="C81"/>
      <c r="D81"/>
      <c r="E81"/>
      <c r="F81"/>
      <c r="G81"/>
      <c r="I81" t="str">
        <f t="shared" ca="1" si="3"/>
        <v/>
      </c>
    </row>
    <row r="82" spans="1:21" x14ac:dyDescent="0.2">
      <c r="A82"/>
      <c r="B82"/>
      <c r="C82"/>
      <c r="D82"/>
      <c r="E82"/>
      <c r="F82"/>
      <c r="G82"/>
      <c r="I82" t="str">
        <f t="shared" ca="1" si="3"/>
        <v/>
      </c>
      <c r="J82" s="48" t="s">
        <v>689</v>
      </c>
    </row>
    <row r="83" spans="1:21" ht="99.95" customHeight="1" x14ac:dyDescent="0.2">
      <c r="A83"/>
      <c r="B83"/>
      <c r="C83"/>
      <c r="D83"/>
      <c r="E83"/>
      <c r="F83"/>
      <c r="G83"/>
      <c r="I83" t="str">
        <f t="shared" ca="1" si="3"/>
        <v/>
      </c>
      <c r="J83" s="681"/>
      <c r="K83" s="681"/>
      <c r="L83" s="681"/>
      <c r="M83" s="681"/>
      <c r="N83" s="681"/>
      <c r="O83" s="681"/>
      <c r="P83" s="681"/>
      <c r="Q83" s="681"/>
      <c r="R83" s="681"/>
      <c r="S83" s="681"/>
    </row>
    <row r="84" spans="1:21" x14ac:dyDescent="0.2">
      <c r="A84"/>
      <c r="B84"/>
      <c r="C84"/>
      <c r="D84"/>
      <c r="E84"/>
      <c r="F84"/>
      <c r="G84"/>
      <c r="I84" t="str">
        <f t="shared" ca="1" si="3"/>
        <v/>
      </c>
    </row>
    <row r="85" spans="1:21" x14ac:dyDescent="0.2">
      <c r="A85"/>
      <c r="B85"/>
      <c r="C85"/>
      <c r="D85"/>
      <c r="E85"/>
      <c r="F85"/>
      <c r="G85"/>
      <c r="I85" t="str">
        <f t="shared" ca="1" si="3"/>
        <v/>
      </c>
      <c r="J85" s="682" t="str">
        <f>Import.Município</f>
        <v>RS</v>
      </c>
      <c r="K85" s="682"/>
      <c r="L85" s="682"/>
      <c r="M85" s="682"/>
      <c r="P85" s="683">
        <f>DADOS!$C$25</f>
        <v>46252</v>
      </c>
      <c r="Q85" s="683"/>
      <c r="R85" s="683"/>
      <c r="S85" s="683"/>
    </row>
    <row r="86" spans="1:21" x14ac:dyDescent="0.2">
      <c r="A86"/>
      <c r="B86"/>
      <c r="C86"/>
      <c r="D86"/>
      <c r="E86"/>
      <c r="F86"/>
      <c r="G86"/>
      <c r="I86" t="str">
        <f t="shared" ca="1" si="3"/>
        <v/>
      </c>
      <c r="J86" s="684" t="s">
        <v>693</v>
      </c>
      <c r="K86" s="684"/>
      <c r="L86" s="684"/>
      <c r="M86" s="684"/>
      <c r="O86" s="72"/>
      <c r="P86" s="73" t="s">
        <v>694</v>
      </c>
      <c r="Q86" s="74"/>
      <c r="R86" s="74"/>
      <c r="S86" s="74"/>
    </row>
    <row r="87" spans="1:21" ht="30" customHeight="1" x14ac:dyDescent="0.2">
      <c r="A87"/>
      <c r="B87"/>
      <c r="C87"/>
      <c r="D87"/>
      <c r="E87"/>
      <c r="F87"/>
      <c r="G87"/>
      <c r="I87" t="str">
        <f t="shared" ca="1" si="3"/>
        <v/>
      </c>
    </row>
    <row r="88" spans="1:21" ht="15" x14ac:dyDescent="0.2">
      <c r="A88"/>
      <c r="B88"/>
      <c r="C88"/>
      <c r="D88"/>
      <c r="E88"/>
      <c r="F88"/>
      <c r="G88"/>
      <c r="I88" t="str">
        <f t="shared" ca="1" si="3"/>
        <v/>
      </c>
      <c r="J88" s="685"/>
      <c r="K88" s="685"/>
      <c r="L88" s="685"/>
      <c r="M88" s="685"/>
      <c r="N88" s="75"/>
    </row>
    <row r="89" spans="1:21" x14ac:dyDescent="0.2">
      <c r="A89"/>
      <c r="B89"/>
      <c r="C89"/>
      <c r="D89"/>
      <c r="E89"/>
      <c r="F89"/>
      <c r="G89"/>
      <c r="I89" t="str">
        <f t="shared" ca="1" si="3"/>
        <v/>
      </c>
      <c r="J89" s="679" t="s">
        <v>696</v>
      </c>
      <c r="K89" s="679"/>
      <c r="L89" s="679"/>
      <c r="M89" s="679"/>
    </row>
    <row r="90" spans="1:21" ht="14.25" x14ac:dyDescent="0.2">
      <c r="A90"/>
      <c r="B90"/>
      <c r="C90"/>
      <c r="D90"/>
      <c r="E90"/>
      <c r="F90"/>
      <c r="G90"/>
      <c r="I90" t="str">
        <f t="shared" ca="1" si="3"/>
        <v/>
      </c>
      <c r="J90" s="76" t="s">
        <v>240</v>
      </c>
      <c r="K90" s="77" t="str">
        <f t="array" ref="K90:K92">Import.RespOrçamento</f>
        <v>GABRIEL ADAMS DOMINGUES</v>
      </c>
      <c r="L90" s="78"/>
      <c r="M90" s="78"/>
      <c r="N90" s="75"/>
    </row>
    <row r="91" spans="1:21" ht="14.25" x14ac:dyDescent="0.2">
      <c r="A91"/>
      <c r="B91"/>
      <c r="C91"/>
      <c r="D91"/>
      <c r="E91"/>
      <c r="F91"/>
      <c r="G91"/>
      <c r="I91" t="str">
        <f t="shared" ca="1" si="3"/>
        <v/>
      </c>
      <c r="J91" s="76" t="s">
        <v>243</v>
      </c>
      <c r="K91" s="77" t="str">
        <v>CREA RS 247738</v>
      </c>
      <c r="L91" s="78"/>
      <c r="M91" s="78"/>
      <c r="N91" s="75"/>
    </row>
    <row r="92" spans="1:21" ht="14.25" x14ac:dyDescent="0.2">
      <c r="A92"/>
      <c r="B92"/>
      <c r="C92"/>
      <c r="D92"/>
      <c r="E92"/>
      <c r="F92"/>
      <c r="G92"/>
      <c r="I92" t="str">
        <f t="shared" ca="1" si="3"/>
        <v/>
      </c>
      <c r="J92" s="76" t="s">
        <v>246</v>
      </c>
      <c r="K92" s="77" t="str">
        <v>14574615</v>
      </c>
      <c r="L92" s="78"/>
      <c r="M92" s="78"/>
      <c r="N92" s="75"/>
    </row>
    <row r="93" spans="1:21" ht="14.25" x14ac:dyDescent="0.2">
      <c r="A93"/>
      <c r="B93"/>
      <c r="C93"/>
      <c r="D93"/>
      <c r="E93"/>
      <c r="F93"/>
      <c r="G93"/>
      <c r="I93" t="str">
        <f t="shared" ca="1" si="3"/>
        <v/>
      </c>
      <c r="J93" s="76"/>
      <c r="K93" s="79"/>
      <c r="L93" s="78"/>
      <c r="M93" s="78"/>
      <c r="N93" s="75"/>
    </row>
    <row r="94" spans="1:21" ht="15.75" x14ac:dyDescent="0.25">
      <c r="A94"/>
      <c r="B94"/>
      <c r="C94"/>
      <c r="D94"/>
      <c r="E94"/>
      <c r="F94"/>
      <c r="G94"/>
      <c r="I94" t="str">
        <f ca="1">IF($S$109=0,"","F")</f>
        <v/>
      </c>
      <c r="J94" s="701" t="s">
        <v>698</v>
      </c>
      <c r="K94" s="701"/>
      <c r="L94" s="701"/>
      <c r="M94" s="701"/>
      <c r="N94" s="701"/>
      <c r="O94" s="701"/>
      <c r="P94" s="701"/>
      <c r="Q94" s="701"/>
      <c r="R94" s="701"/>
      <c r="S94" s="701"/>
      <c r="U94" s="520" t="str">
        <f>IF(COUNTIF(ORÇAMENTO!$V$15:$V$33,BDI_3.Título)=0,"",IF(OR(Import.BDI.Tipo3="(SELECIONAR)",Import.BDI.Tipo3="",U97&lt;&gt;"",AND($J97&lt;&gt;$A$145,OR(S101="",S102="",AND($J97&lt;&gt;$A$146,OR(S103="",S104="")),S105="",S106=""))),"Falta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99" t="s">
        <v>664</v>
      </c>
      <c r="K96" s="699"/>
      <c r="L96" s="699"/>
      <c r="M96" s="699"/>
      <c r="N96" s="699"/>
      <c r="O96" s="699"/>
      <c r="P96" s="699"/>
      <c r="Q96" s="699"/>
      <c r="R96" s="699"/>
      <c r="S96" s="699"/>
    </row>
    <row r="97" spans="1:26" ht="15" x14ac:dyDescent="0.25">
      <c r="A97"/>
      <c r="B97"/>
      <c r="C97"/>
      <c r="D97"/>
      <c r="E97"/>
      <c r="F97"/>
      <c r="G97"/>
      <c r="I97" t="str">
        <f t="shared" ca="1" si="6"/>
        <v/>
      </c>
      <c r="J97" s="700" t="s">
        <v>139</v>
      </c>
      <c r="K97" s="700"/>
      <c r="L97" s="700"/>
      <c r="M97" s="700"/>
      <c r="N97" s="700"/>
      <c r="O97" s="700"/>
      <c r="P97" s="700"/>
      <c r="Q97" s="700"/>
      <c r="R97" s="700"/>
      <c r="S97" s="700"/>
      <c r="T97" s="562" t="str">
        <f ca="1">IF(U97="","","◄")</f>
        <v/>
      </c>
      <c r="U97" s="561" t="str">
        <f ca="1">IF(AND(OR(S109&gt;0,COUNTIF(ORÇAMENTO!$V$15:$V$33,BDI_3.Título)&gt;0),OR(Import.BDI.Tipo3="(SELECIONAR)",Import.BDI.Tipo3="")),"Selecione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8" t="s">
        <v>666</v>
      </c>
      <c r="K99" s="698"/>
      <c r="L99" s="698"/>
      <c r="M99" s="698"/>
      <c r="N99" s="698"/>
      <c r="O99" s="698"/>
      <c r="P99" s="698"/>
      <c r="Q99" s="698"/>
      <c r="R99" s="698" t="s">
        <v>667</v>
      </c>
      <c r="S99" s="689" t="s">
        <v>668</v>
      </c>
      <c r="U99" s="689" t="s">
        <v>669</v>
      </c>
      <c r="V99" s="689"/>
      <c r="W99" s="689"/>
      <c r="X99" s="697" t="s">
        <v>670</v>
      </c>
      <c r="Y99" s="697" t="s">
        <v>671</v>
      </c>
      <c r="Z99" s="697" t="s">
        <v>672</v>
      </c>
    </row>
    <row r="100" spans="1:26" ht="12.75" customHeight="1" x14ac:dyDescent="0.2">
      <c r="A100"/>
      <c r="B100"/>
      <c r="C100"/>
      <c r="D100"/>
      <c r="E100"/>
      <c r="F100"/>
      <c r="G100"/>
      <c r="I100" t="str">
        <f t="shared" ca="1" si="6"/>
        <v/>
      </c>
      <c r="J100" s="698"/>
      <c r="K100" s="698"/>
      <c r="L100" s="698"/>
      <c r="M100" s="698"/>
      <c r="N100" s="698"/>
      <c r="O100" s="698"/>
      <c r="P100" s="698"/>
      <c r="Q100" s="698"/>
      <c r="R100" s="698"/>
      <c r="S100" s="689"/>
      <c r="U100" s="689"/>
      <c r="V100" s="689"/>
      <c r="W100" s="689"/>
      <c r="X100" s="697"/>
      <c r="Y100" s="697"/>
      <c r="Z100" s="697"/>
    </row>
    <row r="101" spans="1:26" ht="15" customHeight="1" x14ac:dyDescent="0.2">
      <c r="A101"/>
      <c r="B101"/>
      <c r="C101"/>
      <c r="D101"/>
      <c r="E101"/>
      <c r="F101"/>
      <c r="G101"/>
      <c r="I101" t="str">
        <f t="shared" ca="1" si="6"/>
        <v/>
      </c>
      <c r="J101" s="687" t="str">
        <f>IF($J$97=$A$146,"Encargos Sociais incidentes sobre a mão de obra","Administração Central")</f>
        <v>Administração Central</v>
      </c>
      <c r="K101" s="687"/>
      <c r="L101" s="687"/>
      <c r="M101" s="687"/>
      <c r="N101" s="687"/>
      <c r="O101" s="687"/>
      <c r="P101" s="687"/>
      <c r="Q101" s="687"/>
      <c r="R101" s="59" t="str">
        <f>IF($J97=$A$146,"K1","AC")</f>
        <v>AC</v>
      </c>
      <c r="S101" s="60"/>
      <c r="T101" s="571" t="str">
        <f ca="1">IF(AND($U$94&lt;&gt;"",$U$97="",R101&lt;&gt;"",S101=""),"◄","")</f>
        <v/>
      </c>
      <c r="U101" s="688" t="str">
        <f ca="1">IFERROR(IF(T101="◄","FALTA PREENCHER",IF(AND(OR(S101&gt;=X101,X101="-"),OR(S101&lt;=Z101,Z101="-")),"OK","FORA DO INTERVALO")),"-")</f>
        <v>-</v>
      </c>
      <c r="V101" s="688"/>
      <c r="W101" s="688"/>
      <c r="X101" s="61" t="e">
        <f>VLOOKUP(CONCATENATE(J97,"-",R101),$C$2:$G$136,3,FALSE)</f>
        <v>#N/A</v>
      </c>
      <c r="Y101" s="61" t="e">
        <f>VLOOKUP(CONCATENATE(J97,"-",R101),$C$2:$G$136,4,FALSE)</f>
        <v>#N/A</v>
      </c>
      <c r="Z101" s="61" t="e">
        <f>VLOOKUP(CONCATENATE(J97,"-",R101),$C$2:$G$136,5,FALSE)</f>
        <v>#N/A</v>
      </c>
    </row>
    <row r="102" spans="1:26" ht="15" customHeight="1" x14ac:dyDescent="0.2">
      <c r="A102"/>
      <c r="B102"/>
      <c r="C102"/>
      <c r="D102"/>
      <c r="E102"/>
      <c r="F102"/>
      <c r="G102"/>
      <c r="I102" t="str">
        <f t="shared" ca="1" si="6"/>
        <v/>
      </c>
      <c r="J102" s="687" t="str">
        <f>IF($J$97=$A$146,"Administração Central da empresa ou consultoria - overhead","Seguro e Garantia")</f>
        <v>Seguro e Garantia</v>
      </c>
      <c r="K102" s="687"/>
      <c r="L102" s="687"/>
      <c r="M102" s="687"/>
      <c r="N102" s="687"/>
      <c r="O102" s="687"/>
      <c r="P102" s="687"/>
      <c r="Q102" s="687"/>
      <c r="R102" s="59" t="str">
        <f>IF($J97=$A$146,"K2","SG")</f>
        <v>SG</v>
      </c>
      <c r="S102" s="60"/>
      <c r="T102" s="571" t="str">
        <f t="shared" ref="T102:T106" ca="1" si="7">IF(AND($U$94&lt;&gt;"",$U$97="",R102&lt;&gt;"",S102=""),"◄","")</f>
        <v/>
      </c>
      <c r="U102" s="688" t="str">
        <f t="shared" ref="U102:U108" ca="1" si="8">IFERROR(IF(T102="◄","FALTA PREENCHER",IF(AND(OR(S102&gt;=X102,X102="-"),OR(S102&lt;=Z102,Z102="-")),"OK","FORA DO INTERVALO")),"-")</f>
        <v>-</v>
      </c>
      <c r="V102" s="688"/>
      <c r="W102" s="688"/>
      <c r="X102" s="61" t="e">
        <f>VLOOKUP(CONCATENATE(J97,"-",R102),$C$2:$G$136,3,FALSE)</f>
        <v>#N/A</v>
      </c>
      <c r="Y102" s="61" t="e">
        <f>VLOOKUP(CONCATENATE(J97,"-",R102),$C$2:$G$136,4,FALSE)</f>
        <v>#N/A</v>
      </c>
      <c r="Z102" s="61" t="e">
        <f>VLOOKUP(CONCATENATE(J97,"-",R102),$C$2:$G$136,5,FALSE)</f>
        <v>#N/A</v>
      </c>
    </row>
    <row r="103" spans="1:26" ht="15" customHeight="1" x14ac:dyDescent="0.2">
      <c r="A103"/>
      <c r="B103"/>
      <c r="C103"/>
      <c r="D103"/>
      <c r="E103"/>
      <c r="F103"/>
      <c r="G103"/>
      <c r="I103" t="str">
        <f t="shared" ca="1" si="6"/>
        <v/>
      </c>
      <c r="J103" s="687" t="s">
        <v>942</v>
      </c>
      <c r="K103" s="687"/>
      <c r="L103" s="687"/>
      <c r="M103" s="687"/>
      <c r="N103" s="687"/>
      <c r="O103" s="687"/>
      <c r="P103" s="687"/>
      <c r="Q103" s="687"/>
      <c r="R103" s="59" t="str">
        <f>IF($J97=$A$146,"","R")</f>
        <v>R</v>
      </c>
      <c r="S103" s="60"/>
      <c r="T103" s="571" t="str">
        <f t="shared" ca="1" si="7"/>
        <v/>
      </c>
      <c r="U103" s="688" t="str">
        <f t="shared" ca="1" si="8"/>
        <v>-</v>
      </c>
      <c r="V103" s="688"/>
      <c r="W103" s="688"/>
      <c r="X103" s="61" t="e">
        <f>VLOOKUP(CONCATENATE(J97,"-",R103),$C$2:$G$136,3,FALSE)</f>
        <v>#N/A</v>
      </c>
      <c r="Y103" s="61" t="e">
        <f>VLOOKUP(CONCATENATE(J97,"-",R103),$C$2:$G$136,4,FALSE)</f>
        <v>#N/A</v>
      </c>
      <c r="Z103" s="61" t="e">
        <f>VLOOKUP(CONCATENATE(J97,"-",R103),$C$2:$G$136,5,FALSE)</f>
        <v>#N/A</v>
      </c>
    </row>
    <row r="104" spans="1:26" ht="15" customHeight="1" x14ac:dyDescent="0.2">
      <c r="A104"/>
      <c r="B104"/>
      <c r="C104"/>
      <c r="D104"/>
      <c r="E104"/>
      <c r="F104"/>
      <c r="G104"/>
      <c r="I104" t="str">
        <f t="shared" ca="1" si="6"/>
        <v/>
      </c>
      <c r="J104" s="687" t="s">
        <v>943</v>
      </c>
      <c r="K104" s="687"/>
      <c r="L104" s="687"/>
      <c r="M104" s="687"/>
      <c r="N104" s="687"/>
      <c r="O104" s="687"/>
      <c r="P104" s="687"/>
      <c r="Q104" s="687"/>
      <c r="R104" s="59" t="str">
        <f>IF($J97=$A$146,"","DF")</f>
        <v>DF</v>
      </c>
      <c r="S104" s="60"/>
      <c r="T104" s="571" t="str">
        <f t="shared" ca="1" si="7"/>
        <v/>
      </c>
      <c r="U104" s="688" t="str">
        <f t="shared" ca="1" si="8"/>
        <v>-</v>
      </c>
      <c r="V104" s="688"/>
      <c r="W104" s="688"/>
      <c r="X104" s="61" t="e">
        <f>VLOOKUP(CONCATENATE(J97,"-",R104),$C$2:$G$136,3,FALSE)</f>
        <v>#N/A</v>
      </c>
      <c r="Y104" s="61" t="e">
        <f>VLOOKUP(CONCATENATE(J97,"-",R104),$C$2:$G$136,4,FALSE)</f>
        <v>#N/A</v>
      </c>
      <c r="Z104" s="61" t="e">
        <f>VLOOKUP(CONCATENATE(J97,"-",R104),$C$2:$G$136,5,FALSE)</f>
        <v>#N/A</v>
      </c>
    </row>
    <row r="105" spans="1:26" ht="15" customHeight="1" x14ac:dyDescent="0.2">
      <c r="A105"/>
      <c r="B105"/>
      <c r="C105"/>
      <c r="D105"/>
      <c r="E105"/>
      <c r="F105"/>
      <c r="G105"/>
      <c r="I105" t="str">
        <f t="shared" ca="1" si="6"/>
        <v/>
      </c>
      <c r="J105" s="687" t="str">
        <f>IF($J$57=$A$146,"Margem bruta da empresa de consultoria","Lucro")</f>
        <v>Lucro</v>
      </c>
      <c r="K105" s="687"/>
      <c r="L105" s="687"/>
      <c r="M105" s="687"/>
      <c r="N105" s="687"/>
      <c r="O105" s="687"/>
      <c r="P105" s="687"/>
      <c r="Q105" s="687"/>
      <c r="R105" s="59" t="str">
        <f>IF($J97=$A$146,"K3","L")</f>
        <v>L</v>
      </c>
      <c r="S105" s="60"/>
      <c r="T105" s="571" t="str">
        <f t="shared" ca="1" si="7"/>
        <v/>
      </c>
      <c r="U105" s="688" t="str">
        <f t="shared" ca="1" si="8"/>
        <v>-</v>
      </c>
      <c r="V105" s="688"/>
      <c r="W105" s="688"/>
      <c r="X105" s="61" t="e">
        <f>VLOOKUP(CONCATENATE(J97,"-",R105),$C$2:$G$136,3,FALSE)</f>
        <v>#N/A</v>
      </c>
      <c r="Y105" s="61" t="e">
        <f>VLOOKUP(CONCATENATE(J97,"-",R105),$C$2:$G$136,4,FALSE)</f>
        <v>#N/A</v>
      </c>
      <c r="Z105" s="61" t="e">
        <f>VLOOKUP(CONCATENATE(J97,"-",R105),$C$2:$G$136,5,FALSE)</f>
        <v>#N/A</v>
      </c>
    </row>
    <row r="106" spans="1:26" ht="15" customHeight="1" x14ac:dyDescent="0.2">
      <c r="A106"/>
      <c r="B106"/>
      <c r="C106"/>
      <c r="D106"/>
      <c r="E106"/>
      <c r="F106"/>
      <c r="G106"/>
      <c r="I106" t="str">
        <f t="shared" ca="1" si="6"/>
        <v/>
      </c>
      <c r="J106" s="687" t="s">
        <v>675</v>
      </c>
      <c r="K106" s="687"/>
      <c r="L106" s="687"/>
      <c r="M106" s="687"/>
      <c r="N106" s="687"/>
      <c r="O106" s="687"/>
      <c r="P106" s="687"/>
      <c r="Q106" s="687"/>
      <c r="R106" s="59" t="s">
        <v>456</v>
      </c>
      <c r="S106" s="60"/>
      <c r="T106" s="571" t="str">
        <f t="shared" ca="1" si="7"/>
        <v/>
      </c>
      <c r="U106" s="688" t="str">
        <f t="shared" ca="1" si="8"/>
        <v>FORA DO INTERVALO</v>
      </c>
      <c r="V106" s="688"/>
      <c r="W106" s="688"/>
      <c r="X106" s="61">
        <f>Y106</f>
        <v>3.6499999999999998E-2</v>
      </c>
      <c r="Y106" s="61">
        <f>IF($J97=$A$145,"-",3.65%)</f>
        <v>3.6499999999999998E-2</v>
      </c>
      <c r="Z106" s="61">
        <f>Y106</f>
        <v>3.6499999999999998E-2</v>
      </c>
    </row>
    <row r="107" spans="1:26" ht="15" customHeight="1" x14ac:dyDescent="0.2">
      <c r="A107"/>
      <c r="B107"/>
      <c r="C107"/>
      <c r="D107"/>
      <c r="E107"/>
      <c r="F107"/>
      <c r="G107"/>
      <c r="I107" t="str">
        <f t="shared" ca="1" si="6"/>
        <v/>
      </c>
      <c r="J107" s="687" t="s">
        <v>676</v>
      </c>
      <c r="K107" s="687"/>
      <c r="L107" s="687"/>
      <c r="M107" s="687"/>
      <c r="N107" s="687"/>
      <c r="O107" s="687"/>
      <c r="P107" s="687"/>
      <c r="Q107" s="687"/>
      <c r="R107" s="59" t="s">
        <v>677</v>
      </c>
      <c r="S107" s="61">
        <f ca="1">IF(AND($J97&lt;&gt;$A$145,COUNTA(OFFSET(S100,1,0,6))&gt;0),$R$11*$R$10,0)</f>
        <v>0</v>
      </c>
      <c r="U107" s="688" t="str">
        <f t="shared" ca="1" si="8"/>
        <v>OK</v>
      </c>
      <c r="V107" s="688"/>
      <c r="W107" s="688"/>
      <c r="X107" s="61">
        <v>0</v>
      </c>
      <c r="Y107" s="61">
        <v>2.5000000000000001E-2</v>
      </c>
      <c r="Z107" s="61">
        <v>0.05</v>
      </c>
    </row>
    <row r="108" spans="1:26" ht="15" customHeight="1" x14ac:dyDescent="0.2">
      <c r="A108"/>
      <c r="B108"/>
      <c r="C108"/>
      <c r="D108"/>
      <c r="E108"/>
      <c r="F108"/>
      <c r="G108"/>
      <c r="I108" t="str">
        <f t="shared" ca="1" si="6"/>
        <v/>
      </c>
      <c r="J108" s="687" t="s">
        <v>678</v>
      </c>
      <c r="K108" s="687"/>
      <c r="L108" s="687"/>
      <c r="M108" s="687"/>
      <c r="N108" s="687"/>
      <c r="O108" s="687"/>
      <c r="P108" s="687"/>
      <c r="Q108" s="687"/>
      <c r="R108" s="59" t="s">
        <v>679</v>
      </c>
      <c r="S108" s="61" cm="1">
        <f t="array" aca="1" ref="S108" ca="1">IF(BDI.Opcao&lt;&gt;"Desonerado",0,IF(AND($J97&lt;&gt;$A$145,COUNTA(OFFSET(S100,1,0,6))&gt;0),IF(YEAR(Import.DataBase)&lt;2025,4.5%,IF(YEAR(Import.DataBase)=2025,3.6%,IF(YEAR(Import.DataBase)=2026,2.7%,IF(YEAR(Import.DataBase)=2027,1.8%,0%)))),0%))</f>
        <v>0</v>
      </c>
      <c r="U108" s="688" t="str">
        <f t="shared" ca="1" si="8"/>
        <v>OK</v>
      </c>
      <c r="V108" s="688"/>
      <c r="W108" s="688"/>
      <c r="X108" s="62">
        <f ca="1">$S108</f>
        <v>0</v>
      </c>
      <c r="Y108" s="62">
        <f ca="1">$S108</f>
        <v>0</v>
      </c>
      <c r="Z108" s="62">
        <f ca="1">$S108</f>
        <v>0</v>
      </c>
    </row>
    <row r="109" spans="1:26" ht="15" customHeight="1" x14ac:dyDescent="0.2">
      <c r="A109"/>
      <c r="B109"/>
      <c r="C109"/>
      <c r="D109"/>
      <c r="E109"/>
      <c r="F109"/>
      <c r="G109"/>
      <c r="I109" t="str">
        <f t="shared" ca="1" si="6"/>
        <v/>
      </c>
      <c r="J109" s="687" t="s">
        <v>680</v>
      </c>
      <c r="K109" s="687"/>
      <c r="L109" s="687"/>
      <c r="M109" s="687"/>
      <c r="N109" s="687"/>
      <c r="O109" s="687"/>
      <c r="P109" s="687"/>
      <c r="Q109" s="687"/>
      <c r="R109" s="63" t="s">
        <v>656</v>
      </c>
      <c r="S109" s="61">
        <f ca="1">IF($J97=$A$145,0,ROUND((((1+S101+S102+S103)*(1+S104)*(1+S105)/(1-(S106+S107)))-1),4))</f>
        <v>0</v>
      </c>
      <c r="U109" s="689" t="str">
        <f ca="1">IFERROR(IF(AND(OR(S109&gt;=X109,X109="-"),OR(S109&lt;=Z109,Z109="-")),"OK","FORA DO INTERVALO"),IF(S109=0,"OK","Selecione o Tipo de obra"))</f>
        <v>OK</v>
      </c>
      <c r="V109" s="689"/>
      <c r="W109" s="689"/>
      <c r="X109" s="61" t="e">
        <f>IF($J97=$A$145,0,VLOOKUP(CONCATENATE($J97,"-",$R109),$C$2:$G$136,3,FALSE))</f>
        <v>#N/A</v>
      </c>
      <c r="Y109" s="61" t="e">
        <f>IF($J97=$A$145,0,VLOOKUP(CONCATENATE($J97,"-",$R109),$C$2:$G$136,4,FALSE))</f>
        <v>#N/A</v>
      </c>
      <c r="Z109" s="61" t="e">
        <f>IF($J97=$A$145,0,VLOOKUP(CONCATENATE($J97,"-",$R109),$C$2:$G$136,5,FALSE))</f>
        <v>#N/A</v>
      </c>
    </row>
    <row r="110" spans="1:26" ht="15" customHeight="1" x14ac:dyDescent="0.2">
      <c r="A110"/>
      <c r="B110"/>
      <c r="C110"/>
      <c r="D110"/>
      <c r="E110"/>
      <c r="F110"/>
      <c r="G110"/>
      <c r="I110" t="str">
        <f t="shared" ca="1" si="6"/>
        <v/>
      </c>
      <c r="J110" s="690" t="s">
        <v>681</v>
      </c>
      <c r="K110" s="690"/>
      <c r="L110" s="690"/>
      <c r="M110" s="690"/>
      <c r="N110" s="690"/>
      <c r="O110" s="690"/>
      <c r="P110" s="690"/>
      <c r="Q110" s="690"/>
      <c r="R110" s="64" t="s">
        <v>682</v>
      </c>
      <c r="S110" s="65">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6" t="str">
        <f ca="1">IF(U109&lt;&gt;"ok","X","")</f>
        <v/>
      </c>
      <c r="K112" s="691" t="str">
        <f ca="1">IF(U109&lt;&gt;"ok","Anexo: Relatório Técnico Circunstanciado justificando a adoção do percentual de cada parcela do BDI.","")</f>
        <v/>
      </c>
      <c r="L112" s="691"/>
      <c r="M112" s="691"/>
      <c r="N112" s="691"/>
      <c r="O112" s="691"/>
      <c r="P112" s="691"/>
      <c r="Q112" s="691"/>
      <c r="R112" s="691"/>
      <c r="S112" s="691"/>
    </row>
    <row r="113" spans="1:19" x14ac:dyDescent="0.2">
      <c r="A113"/>
      <c r="B113"/>
      <c r="C113"/>
      <c r="D113"/>
      <c r="E113"/>
      <c r="F113"/>
      <c r="G113"/>
      <c r="I113" t="str">
        <f t="shared" ca="1" si="6"/>
        <v/>
      </c>
    </row>
    <row r="114" spans="1:19" x14ac:dyDescent="0.2">
      <c r="A114"/>
      <c r="B114"/>
      <c r="C114"/>
      <c r="D114"/>
      <c r="E114"/>
      <c r="F114"/>
      <c r="G114"/>
      <c r="I114" t="str">
        <f t="shared" ca="1" si="6"/>
        <v/>
      </c>
      <c r="J114" s="693" t="s">
        <v>683</v>
      </c>
      <c r="K114" s="693"/>
      <c r="L114" s="693"/>
      <c r="M114" s="693"/>
      <c r="N114" s="693"/>
      <c r="O114" s="693"/>
      <c r="P114" s="693"/>
      <c r="Q114" s="693"/>
      <c r="R114" s="693"/>
      <c r="S114" s="693"/>
    </row>
    <row r="115" spans="1:19" ht="15.75" x14ac:dyDescent="0.25">
      <c r="A115"/>
      <c r="B115"/>
      <c r="C115"/>
      <c r="D115"/>
      <c r="E115"/>
      <c r="F115"/>
      <c r="G115"/>
      <c r="I115" t="str">
        <f t="shared" ca="1" si="6"/>
        <v/>
      </c>
      <c r="J115" s="67"/>
      <c r="K115" s="67"/>
      <c r="L115" s="67"/>
      <c r="M115" s="694" t="s">
        <v>684</v>
      </c>
      <c r="N115" s="695" t="str">
        <f>IF($J97=$A$146,"(1+K1+K2)*(1+K3)","(1+AC + S + R + G)*(1 + DF)*(1+L)")</f>
        <v>(1+AC + S + R + G)*(1 + DF)*(1+L)</v>
      </c>
      <c r="O115" s="695"/>
      <c r="P115" s="695"/>
      <c r="Q115" s="696" t="s">
        <v>685</v>
      </c>
      <c r="R115" s="67"/>
      <c r="S115" s="67"/>
    </row>
    <row r="116" spans="1:19" ht="15.75" x14ac:dyDescent="0.2">
      <c r="A116"/>
      <c r="B116"/>
      <c r="C116"/>
      <c r="D116"/>
      <c r="E116"/>
      <c r="F116"/>
      <c r="G116"/>
      <c r="I116" t="str">
        <f t="shared" ca="1" si="6"/>
        <v/>
      </c>
      <c r="J116" s="67"/>
      <c r="K116" s="67"/>
      <c r="L116" s="67"/>
      <c r="M116" s="694"/>
      <c r="N116" s="686" t="s">
        <v>686</v>
      </c>
      <c r="O116" s="686"/>
      <c r="P116" s="686"/>
      <c r="Q116" s="696"/>
      <c r="R116" s="67"/>
      <c r="S116" s="67"/>
    </row>
    <row r="117" spans="1:19" ht="15" customHeight="1" x14ac:dyDescent="0.2">
      <c r="A117"/>
      <c r="B117"/>
      <c r="C117"/>
      <c r="D117"/>
      <c r="E117"/>
      <c r="F117"/>
      <c r="G117"/>
      <c r="I117" t="str">
        <f t="shared" ca="1" si="6"/>
        <v/>
      </c>
      <c r="J117" s="67"/>
      <c r="K117" s="67"/>
      <c r="L117" s="67"/>
      <c r="M117" s="68"/>
      <c r="N117" s="70"/>
      <c r="O117" s="70"/>
      <c r="P117" s="70"/>
      <c r="Q117" s="69"/>
      <c r="R117" s="67"/>
      <c r="S117" s="67"/>
    </row>
    <row r="118" spans="1:19" ht="50.1" customHeight="1" x14ac:dyDescent="0.2">
      <c r="A118"/>
      <c r="B118"/>
      <c r="C118"/>
      <c r="D118"/>
      <c r="E118"/>
      <c r="F118"/>
      <c r="G118"/>
      <c r="I118" t="str">
        <f t="shared" ca="1" si="6"/>
        <v/>
      </c>
      <c r="J118" s="68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3%.</v>
      </c>
      <c r="K118" s="680"/>
      <c r="L118" s="680"/>
      <c r="M118" s="680"/>
      <c r="N118" s="680"/>
      <c r="O118" s="680"/>
      <c r="P118" s="680"/>
      <c r="Q118" s="680"/>
      <c r="R118" s="680"/>
      <c r="S118" s="680"/>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80"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0"/>
      <c r="L120" s="680"/>
      <c r="M120" s="680"/>
      <c r="N120" s="680"/>
      <c r="O120" s="680"/>
      <c r="P120" s="680"/>
      <c r="Q120" s="680"/>
      <c r="R120" s="680"/>
      <c r="S120" s="680"/>
    </row>
    <row r="121" spans="1:19" x14ac:dyDescent="0.2">
      <c r="A121"/>
      <c r="B121"/>
      <c r="C121"/>
      <c r="D121"/>
      <c r="E121"/>
      <c r="F121"/>
      <c r="G121"/>
      <c r="I121" t="str">
        <f t="shared" ca="1" si="6"/>
        <v/>
      </c>
    </row>
    <row r="122" spans="1:19" x14ac:dyDescent="0.2">
      <c r="A122"/>
      <c r="B122"/>
      <c r="C122"/>
      <c r="D122"/>
      <c r="E122"/>
      <c r="F122"/>
      <c r="G122"/>
      <c r="I122" t="str">
        <f t="shared" ca="1" si="6"/>
        <v/>
      </c>
      <c r="J122" s="48" t="s">
        <v>689</v>
      </c>
    </row>
    <row r="123" spans="1:19" ht="110.1" customHeight="1" x14ac:dyDescent="0.2">
      <c r="A123"/>
      <c r="B123"/>
      <c r="C123"/>
      <c r="D123"/>
      <c r="E123"/>
      <c r="F123"/>
      <c r="G123"/>
      <c r="I123" t="str">
        <f t="shared" ca="1" si="6"/>
        <v/>
      </c>
      <c r="J123" s="681"/>
      <c r="K123" s="681"/>
      <c r="L123" s="681"/>
      <c r="M123" s="681"/>
      <c r="N123" s="681"/>
      <c r="O123" s="681"/>
      <c r="P123" s="681"/>
      <c r="Q123" s="681"/>
      <c r="R123" s="681"/>
      <c r="S123" s="681"/>
    </row>
    <row r="124" spans="1:19" x14ac:dyDescent="0.2">
      <c r="A124"/>
      <c r="B124"/>
      <c r="C124"/>
      <c r="D124"/>
      <c r="E124"/>
      <c r="F124"/>
      <c r="G124"/>
      <c r="I124" t="str">
        <f t="shared" ca="1" si="6"/>
        <v/>
      </c>
    </row>
    <row r="125" spans="1:19" x14ac:dyDescent="0.2">
      <c r="A125"/>
      <c r="B125"/>
      <c r="C125"/>
      <c r="D125"/>
      <c r="E125"/>
      <c r="F125"/>
      <c r="G125"/>
      <c r="I125" t="str">
        <f t="shared" ca="1" si="6"/>
        <v/>
      </c>
      <c r="J125" s="682" t="str">
        <f>Import.Município</f>
        <v>RS</v>
      </c>
      <c r="K125" s="682"/>
      <c r="L125" s="682"/>
      <c r="M125" s="682"/>
      <c r="P125" s="683">
        <f>DADOS!$C$25</f>
        <v>46252</v>
      </c>
      <c r="Q125" s="683"/>
      <c r="R125" s="683"/>
      <c r="S125" s="683"/>
    </row>
    <row r="126" spans="1:19" x14ac:dyDescent="0.2">
      <c r="A126"/>
      <c r="B126"/>
      <c r="C126"/>
      <c r="D126"/>
      <c r="E126"/>
      <c r="F126"/>
      <c r="G126"/>
      <c r="I126" t="str">
        <f t="shared" ca="1" si="6"/>
        <v/>
      </c>
      <c r="J126" s="684" t="s">
        <v>693</v>
      </c>
      <c r="K126" s="684"/>
      <c r="L126" s="684"/>
      <c r="M126" s="684"/>
      <c r="O126" s="72"/>
      <c r="P126" s="73" t="s">
        <v>694</v>
      </c>
      <c r="Q126" s="74"/>
      <c r="R126" s="74"/>
      <c r="S126" s="74"/>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85"/>
      <c r="K128" s="685"/>
      <c r="L128" s="685"/>
      <c r="M128" s="685"/>
      <c r="N128" s="75"/>
    </row>
    <row r="129" spans="1:14" x14ac:dyDescent="0.2">
      <c r="A129"/>
      <c r="B129"/>
      <c r="C129"/>
      <c r="D129"/>
      <c r="E129"/>
      <c r="F129"/>
      <c r="G129"/>
      <c r="I129" t="str">
        <f t="shared" ca="1" si="6"/>
        <v/>
      </c>
      <c r="J129" s="679" t="s">
        <v>696</v>
      </c>
      <c r="K129" s="679"/>
      <c r="L129" s="679"/>
      <c r="M129" s="679"/>
    </row>
    <row r="130" spans="1:14" ht="14.25" x14ac:dyDescent="0.2">
      <c r="A130"/>
      <c r="B130"/>
      <c r="C130"/>
      <c r="D130"/>
      <c r="E130"/>
      <c r="F130"/>
      <c r="G130"/>
      <c r="I130" t="str">
        <f t="shared" ca="1" si="6"/>
        <v/>
      </c>
      <c r="J130" s="76" t="s">
        <v>240</v>
      </c>
      <c r="K130" s="77" t="str">
        <f t="array" ref="K130:K132">Import.RespOrçamento</f>
        <v>GABRIEL ADAMS DOMINGUES</v>
      </c>
      <c r="L130" s="78"/>
      <c r="M130" s="78"/>
      <c r="N130" s="75"/>
    </row>
    <row r="131" spans="1:14" ht="14.25" x14ac:dyDescent="0.2">
      <c r="A131"/>
      <c r="B131"/>
      <c r="C131"/>
      <c r="D131"/>
      <c r="E131"/>
      <c r="F131"/>
      <c r="G131"/>
      <c r="I131" t="str">
        <f t="shared" ca="1" si="6"/>
        <v/>
      </c>
      <c r="J131" s="76" t="s">
        <v>243</v>
      </c>
      <c r="K131" s="77" t="str">
        <v>CREA RS 247738</v>
      </c>
      <c r="L131" s="78"/>
      <c r="M131" s="78"/>
      <c r="N131" s="75"/>
    </row>
    <row r="132" spans="1:14" ht="14.25" x14ac:dyDescent="0.2">
      <c r="A132"/>
      <c r="B132"/>
      <c r="C132"/>
      <c r="D132"/>
      <c r="E132"/>
      <c r="F132"/>
      <c r="G132"/>
      <c r="I132" t="str">
        <f t="shared" ca="1" si="6"/>
        <v/>
      </c>
      <c r="J132" s="76" t="s">
        <v>246</v>
      </c>
      <c r="K132" s="77" t="str">
        <v>14574615</v>
      </c>
      <c r="L132" s="78"/>
      <c r="M132" s="78"/>
      <c r="N132" s="75"/>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8" t="s">
        <v>139</v>
      </c>
    </row>
    <row r="139" spans="1:14" x14ac:dyDescent="0.2">
      <c r="A139" s="48" t="s">
        <v>645</v>
      </c>
    </row>
    <row r="140" spans="1:14" x14ac:dyDescent="0.2">
      <c r="A140" s="48" t="s">
        <v>658</v>
      </c>
    </row>
    <row r="141" spans="1:14" x14ac:dyDescent="0.2">
      <c r="A141" s="48" t="s">
        <v>662</v>
      </c>
    </row>
    <row r="142" spans="1:14" x14ac:dyDescent="0.2">
      <c r="A142" s="48" t="s">
        <v>673</v>
      </c>
    </row>
    <row r="143" spans="1:14" x14ac:dyDescent="0.2">
      <c r="A143" s="48" t="s">
        <v>674</v>
      </c>
    </row>
    <row r="144" spans="1:14" x14ac:dyDescent="0.2">
      <c r="A144" s="48" t="s">
        <v>665</v>
      </c>
    </row>
    <row r="145" spans="1:1" x14ac:dyDescent="0.2">
      <c r="A145" s="48" t="s">
        <v>687</v>
      </c>
    </row>
    <row r="146" spans="1:1" x14ac:dyDescent="0.2">
      <c r="A146" s="48" t="s">
        <v>690</v>
      </c>
    </row>
  </sheetData>
  <sheetProtection algorithmName="SHA-512" hashValue="H/TsX9WWR6T9v8fMoC4DqGbEO4jaJvo9qvijd5jQ4CP1lKqCynkOcRMHqqcRpxhqzEVhR28ViSNtr3G2oUu/tw==" saltValue="HY2pnb5kjRreXjYx38jBcQ==" spinCount="100000" sheet="1" objects="1" scenarios="1" autoFilter="0"/>
  <autoFilter ref="I11:I132"/>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375" priority="11" stopIfTrue="1">
      <formula>DESONERACAO="não"</formula>
    </cfRule>
  </conditionalFormatting>
  <conditionalFormatting sqref="U69:W69 U29:W29 U109:W109">
    <cfRule type="expression" dxfId="374" priority="12" stopIfTrue="1">
      <formula>AND(U29&lt;&gt;"OK",U29&lt;&gt;"-",U29&lt;&gt;"")</formula>
    </cfRule>
    <cfRule type="cellIs" dxfId="373" priority="13" stopIfTrue="1" operator="equal">
      <formula>"OK"</formula>
    </cfRule>
  </conditionalFormatting>
  <conditionalFormatting sqref="S29 S69 S109">
    <cfRule type="expression" dxfId="372" priority="14" stopIfTrue="1">
      <formula>DESONERACAO="não"</formula>
    </cfRule>
  </conditionalFormatting>
  <conditionalFormatting sqref="J23:S24">
    <cfRule type="expression" dxfId="371" priority="9">
      <formula>$J$17=$A$146</formula>
    </cfRule>
  </conditionalFormatting>
  <conditionalFormatting sqref="S21:S26">
    <cfRule type="expression" dxfId="370" priority="8">
      <formula>$J$17=$A$145</formula>
    </cfRule>
  </conditionalFormatting>
  <conditionalFormatting sqref="J63:S64">
    <cfRule type="expression" dxfId="369" priority="7">
      <formula>$J$57=$A$146</formula>
    </cfRule>
  </conditionalFormatting>
  <conditionalFormatting sqref="S61:S66">
    <cfRule type="expression" dxfId="368" priority="6">
      <formula>$J$57=$A$145</formula>
    </cfRule>
  </conditionalFormatting>
  <conditionalFormatting sqref="J103:S104">
    <cfRule type="expression" dxfId="367" priority="5">
      <formula>$J$97=$A$146</formula>
    </cfRule>
  </conditionalFormatting>
  <conditionalFormatting sqref="S101:S106">
    <cfRule type="expression" dxfId="366" priority="4">
      <formula>$J$97=$A$145</formula>
    </cfRule>
  </conditionalFormatting>
  <conditionalFormatting sqref="U21:W28">
    <cfRule type="cellIs" dxfId="365" priority="3" operator="notEqual">
      <formula>"OK"</formula>
    </cfRule>
  </conditionalFormatting>
  <conditionalFormatting sqref="U61:W68">
    <cfRule type="cellIs" dxfId="364" priority="2" operator="notEqual">
      <formula>"OK"</formula>
    </cfRule>
  </conditionalFormatting>
  <conditionalFormatting sqref="U101:W108">
    <cfRule type="cellIs" dxfId="363" priority="1" operator="notEqual">
      <formula>"OK"</formula>
    </cfRule>
  </conditionalFormatting>
  <dataValidations count="6">
    <dataValidation type="decimal" allowBlank="1" showErrorMessage="1" errorTitle="Erro de valores" error="Digite um valor entre 0% e 100%" sqref="S101:S106 S61:S66 S21:S26">
      <formula1>0</formula1>
      <formula2>1</formula2>
    </dataValidation>
    <dataValidation type="decimal" allowBlank="1" showErrorMessage="1" errorTitle="Erro de valores" error="Digite um valor maior do que 0." sqref="S27 S107 S67">
      <formula1>0</formula1>
      <formula2>1</formula2>
    </dataValidation>
    <dataValidation operator="greaterThanOrEqual" allowBlank="1" showErrorMessage="1" errorTitle="Erro de valores" error="Digite um valor igual a 0% ou 2%." sqref="S28 S68 S108">
      <formula1>0</formula1>
      <formula2>0</formula2>
    </dataValidation>
    <dataValidation type="decimal" allowBlank="1" showInputMessage="1" showErrorMessage="1" errorTitle="Valor não permitido" error="Digite um percentual entre 2% e 5%." promptTitle="Valores comuns:" prompt="Entre 2 e 5%." sqref="R11:S11">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formula1>0</formula1>
      <formula2>1</formula2>
    </dataValidation>
    <dataValidation type="list" allowBlank="1" showErrorMessage="1" sqref="J17:S17 J57:S57 J97:S97">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pageSetUpPr fitToPage="1"/>
  </sheetPr>
  <dimension ref="A1:AN65563"/>
  <sheetViews>
    <sheetView showGridLines="0" tabSelected="1" zoomScale="90" zoomScaleNormal="90" zoomScaleSheetLayoutView="90" workbookViewId="0">
      <pane xSplit="19" ySplit="15" topLeftCell="T16" activePane="bottomRight" state="frozen"/>
      <selection pane="topRight" activeCell="T1" sqref="T1"/>
      <selection pane="bottomLeft" activeCell="L16" sqref="L16"/>
      <selection pane="bottomRight" activeCell="U18" sqref="U18:U32"/>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0"/>
      <c r="N1" s="80"/>
      <c r="R1" s="81" t="s">
        <v>699</v>
      </c>
      <c r="T1" s="81"/>
      <c r="X1" s="51" t="s">
        <v>644</v>
      </c>
      <c r="Y1" s="7"/>
      <c r="Z1" s="7"/>
      <c r="AA1" s="7"/>
      <c r="AB1" s="7"/>
    </row>
    <row r="2" spans="1:40" ht="15" x14ac:dyDescent="0.2">
      <c r="D2" s="661" t="s">
        <v>700</v>
      </c>
      <c r="E2" s="661" t="s">
        <v>701</v>
      </c>
      <c r="F2" s="661" t="s">
        <v>702</v>
      </c>
      <c r="G2" s="661" t="s">
        <v>703</v>
      </c>
      <c r="H2" s="661" t="s">
        <v>704</v>
      </c>
      <c r="I2" s="661" t="s">
        <v>705</v>
      </c>
      <c r="R2" s="82" t="str" cm="1">
        <f t="array" ref="R2">IF(TIPOORCAMENTO="licitado","Orçamento Licitado","Orçamento Base para Licitação")&amp;" - "&amp;import.recurso</f>
        <v>Orçamento Base para Licitação - OGU</v>
      </c>
      <c r="X2" s="11" t="s">
        <v>647</v>
      </c>
      <c r="Y2" s="83"/>
      <c r="Z2" s="83"/>
      <c r="AA2" s="83"/>
      <c r="AB2" s="83"/>
    </row>
    <row r="3" spans="1:40" x14ac:dyDescent="0.2">
      <c r="D3" s="7"/>
      <c r="E3" s="661" t="s">
        <v>750</v>
      </c>
      <c r="F3" s="661" t="s">
        <v>954</v>
      </c>
      <c r="G3" s="661" t="s">
        <v>955</v>
      </c>
      <c r="H3" s="661" t="s">
        <v>956</v>
      </c>
      <c r="I3" s="661" t="s">
        <v>957</v>
      </c>
      <c r="R3" s="85"/>
    </row>
    <row r="4" spans="1:40" x14ac:dyDescent="0.2">
      <c r="A4" s="659" t="s">
        <v>706</v>
      </c>
      <c r="D4" s="7"/>
      <c r="E4" s="7"/>
      <c r="F4" s="661" t="s">
        <v>663</v>
      </c>
      <c r="G4" s="661" t="s">
        <v>697</v>
      </c>
      <c r="H4" s="661" t="s">
        <v>698</v>
      </c>
      <c r="I4" s="662">
        <v>0</v>
      </c>
      <c r="O4" s="699" t="s">
        <v>650</v>
      </c>
      <c r="P4" s="699"/>
      <c r="Q4" s="86" t="s">
        <v>707</v>
      </c>
      <c r="R4" s="86" t="s">
        <v>652</v>
      </c>
      <c r="S4" s="699" t="s">
        <v>708</v>
      </c>
      <c r="T4" s="699"/>
      <c r="U4" s="699"/>
      <c r="V4" s="699"/>
      <c r="W4" s="699"/>
      <c r="X4" s="699"/>
      <c r="Y4" s="76"/>
      <c r="Z4" s="76"/>
      <c r="AA4" s="76"/>
      <c r="AB4" s="76"/>
    </row>
    <row r="5" spans="1:40" ht="12.75" customHeight="1" x14ac:dyDescent="0.2">
      <c r="A5" s="449">
        <f ca="1">MAX($C$15:$C$33)</f>
        <v>2</v>
      </c>
      <c r="B5" s="7"/>
      <c r="C5" s="7"/>
      <c r="D5" s="7"/>
      <c r="E5" s="7"/>
      <c r="F5" s="662">
        <f ca="1">IF(BDI.Opcao="DESONERADO",BDI!$S$30,BDI!$S$29)</f>
        <v>0.20960000000000001</v>
      </c>
      <c r="G5" s="662">
        <f ca="1">IF(BDI.Opcao="DESONERADO",BDI!$S$70,BDI!$S$69)</f>
        <v>0</v>
      </c>
      <c r="H5" s="662">
        <f ca="1">IF(BDI.Opcao="DESONERADO",BDI!$S$110,BDI!$S$109)</f>
        <v>0</v>
      </c>
      <c r="I5" s="7"/>
      <c r="O5" s="702" t="str">
        <f>Import.CR</f>
        <v>SLG</v>
      </c>
      <c r="P5" s="702"/>
      <c r="Q5" s="89" t="str" cm="1">
        <f t="array" ref="Q5">Import.TransfereGOV</f>
        <v>SLG</v>
      </c>
      <c r="R5" s="90" t="str">
        <f>Import.Proponente</f>
        <v>MUNICÍPIO DE SÃO LUIZ GONZAGA</v>
      </c>
      <c r="S5" s="702" t="str">
        <f>Import.Apelido</f>
        <v>CALÇAMENTO PEDRA IRREGULAR</v>
      </c>
      <c r="T5" s="702"/>
      <c r="U5" s="702"/>
      <c r="V5" s="702"/>
      <c r="W5" s="702"/>
      <c r="X5" s="702"/>
      <c r="Y5" s="91"/>
      <c r="Z5" s="91"/>
      <c r="AA5" s="91"/>
      <c r="AB5" s="91"/>
      <c r="AE5" s="709" t="s">
        <v>709</v>
      </c>
      <c r="AF5" s="709"/>
    </row>
    <row r="6" spans="1:40" ht="5.0999999999999996" customHeight="1" x14ac:dyDescent="0.2">
      <c r="A6" s="7"/>
      <c r="B6" s="7"/>
      <c r="C6" s="7"/>
      <c r="D6" s="7"/>
      <c r="E6" s="7"/>
      <c r="F6" s="7"/>
      <c r="G6" s="7"/>
      <c r="H6" s="663"/>
      <c r="I6" s="7"/>
      <c r="O6" s="92"/>
      <c r="P6" s="92"/>
      <c r="Q6" s="93"/>
      <c r="R6" s="93"/>
      <c r="S6" s="92"/>
      <c r="T6" s="92"/>
      <c r="U6" s="92"/>
      <c r="V6" s="92"/>
      <c r="W6" s="92"/>
      <c r="X6" s="92"/>
      <c r="Y6" s="91"/>
      <c r="Z6" s="91"/>
      <c r="AA6" s="91"/>
      <c r="AB6" s="91"/>
      <c r="AC6" s="94"/>
      <c r="AE6" s="87"/>
      <c r="AF6" s="88"/>
    </row>
    <row r="7" spans="1:40" ht="12.75" customHeight="1" x14ac:dyDescent="0.2">
      <c r="D7" s="7"/>
      <c r="E7" s="7"/>
      <c r="F7" s="661" t="s">
        <v>751</v>
      </c>
      <c r="G7" s="661" t="s">
        <v>958</v>
      </c>
      <c r="H7" s="661" t="s">
        <v>456</v>
      </c>
      <c r="I7" s="661" t="s">
        <v>794</v>
      </c>
      <c r="O7" s="699" t="s">
        <v>710</v>
      </c>
      <c r="P7" s="699"/>
      <c r="Q7" s="86" t="s">
        <v>711</v>
      </c>
      <c r="R7" s="86" t="str" cm="1">
        <f t="array" ref="R7">IF(TIPOORCAMENTO="Licitado","NOME DA EMPRESA","DESCRIÇÃO DO LOTE")</f>
        <v>DESCRIÇÃO DO LOTE</v>
      </c>
      <c r="S7" s="710" t="str" cm="1">
        <f t="array" ref="S7">IF(TIPOORCAMENTO="Licitado","REGIME DE EXECUÇÃO","MUNICÍPIO / UF")</f>
        <v>MUNICÍPIO / UF</v>
      </c>
      <c r="T7" s="710"/>
      <c r="U7" s="710"/>
      <c r="V7" s="96" t="str" cm="1">
        <f t="array" ref="V7">IF(TIPOORCAMENTO="Licitado","","BDI 1")</f>
        <v>BDI 1</v>
      </c>
      <c r="W7" s="96" t="str" cm="1">
        <f t="array" ref="W7">IF(TIPOORCAMENTO="Licitado","","BDI 2")</f>
        <v>BDI 2</v>
      </c>
      <c r="X7" s="97" t="str" cm="1">
        <f t="array" ref="X7">IF(TIPOORCAMENTO="Licitado","Nº CTEF","BDI 3")</f>
        <v>BDI 3</v>
      </c>
      <c r="Y7" s="96"/>
      <c r="Z7" s="96"/>
      <c r="AC7" s="570" t="str">
        <f ca="1">IF(COUNTIFS($L$15:$L$33,"F",$AC$15:$AC$33,"JUSTIFICAR BDI")&gt;0,"JUSTIFICAR BDI","")</f>
        <v/>
      </c>
      <c r="AE7" s="87" t="s">
        <v>712</v>
      </c>
      <c r="AF7" s="88" t="b">
        <v>1</v>
      </c>
      <c r="AJ7" s="713" t="s">
        <v>713</v>
      </c>
      <c r="AL7" s="711" t="s">
        <v>714</v>
      </c>
    </row>
    <row r="8" spans="1:40" ht="12.75" customHeight="1" x14ac:dyDescent="0.2">
      <c r="A8" s="7"/>
      <c r="B8" s="7"/>
      <c r="C8" s="7"/>
      <c r="E8" s="505" t="s">
        <v>996</v>
      </c>
      <c r="F8" s="714" t="str" cm="1">
        <f t="array" aca="1" ref="F8" ca="1">IF(LEN(INFO("release"))&gt;5,"'Referência "&amp;Excel_BuiltIn_Database&amp;".xlsm'#Banco.$a5:$a$65536","'[Referência "&amp;Excel_BuiltIn_Database&amp;".xlsm]Banco'!$a5:$a$65536")</f>
        <v>'[Referência 06-2026.xlsm]Banco'!$a5:$a$65536</v>
      </c>
      <c r="G8" s="714"/>
      <c r="H8" s="714"/>
      <c r="I8" s="714"/>
      <c r="J8" s="714"/>
      <c r="K8" s="714"/>
      <c r="L8" s="692" t="s">
        <v>655</v>
      </c>
      <c r="O8" s="702" t="str" cm="1">
        <f t="array" aca="1" ref="O8" ca="1">IF(ISERROR(INDIRECT($F$9)),"(N/D: 'Referência "&amp;Excel_BuiltIn_Database&amp;".xlsm)",INDIRECT($F$9))</f>
        <v>(N/D: 'Referência 06-2026.xlsm)</v>
      </c>
      <c r="P8" s="702"/>
      <c r="Q8" s="98" t="str" cm="1">
        <f t="array" aca="1" ref="Q8" ca="1">TEXT(Import.DataBase,"mm-aa")&amp;IF(DESONERACAO="Sim"," (DES.)"," (N DES.)")</f>
        <v>06-26 (N DES.)</v>
      </c>
      <c r="R8" s="90" t="str" cm="1">
        <f t="array" ref="R8">IF(TIPOORCAMENTO="Licitado",Import.empresa,Import.DescLote)</f>
        <v>CALÇAMENTO - PAVIMENTAÇÃO</v>
      </c>
      <c r="S8" s="715" t="str" cm="1">
        <f t="array" ref="S8">IF(TIPOORCAMENTO="Licitado",Import.RegimeExecução,Import.Município)</f>
        <v>RS</v>
      </c>
      <c r="T8" s="715"/>
      <c r="U8" s="715"/>
      <c r="V8" s="99" t="str" cm="1">
        <f t="array" aca="1" ref="V8" ca="1">IF(TIPOORCAMENTO="Licitado","",TEXT(F5,"0,00%"))</f>
        <v>20,96%</v>
      </c>
      <c r="W8" s="99" t="str" cm="1">
        <f t="array" aca="1" ref="W8" ca="1">IF(TIPOORCAMENTO="Licitado","",TEXT(G5,"0,00%"))</f>
        <v>0,00%</v>
      </c>
      <c r="X8" s="100" t="str" cm="1">
        <f t="array" aca="1" ref="X8" ca="1">IF(TIPOORCAMENTO="Licitado",Import.CTEF,TEXT(H5,"0,00%"))</f>
        <v>0,00%</v>
      </c>
      <c r="Y8" s="692" t="s">
        <v>715</v>
      </c>
      <c r="Z8" s="692" t="s">
        <v>716</v>
      </c>
      <c r="AA8" s="101"/>
      <c r="AB8" s="101"/>
      <c r="AE8" s="87" t="s">
        <v>717</v>
      </c>
      <c r="AF8" s="88" t="b">
        <v>1</v>
      </c>
      <c r="AJ8" s="713"/>
      <c r="AL8" s="711"/>
    </row>
    <row r="9" spans="1:40" ht="12.75" customHeight="1" x14ac:dyDescent="0.2">
      <c r="E9" s="505" t="s">
        <v>994</v>
      </c>
      <c r="F9" s="714" t="str" cm="1">
        <f t="array" aca="1" ref="F9" ca="1">IF(LEN(INFO("release"))&gt;5,"'Referência "&amp;Excel_BuiltIn_Database&amp;".xlsm'#Banco.$d$3","'[Referência "&amp;Excel_BuiltIn_Database&amp;".xlsm]Banco'!$d$3")</f>
        <v>'[Referência 06-2026.xlsm]Banco'!$d$3</v>
      </c>
      <c r="G9" s="714"/>
      <c r="H9" s="714"/>
      <c r="I9" s="714"/>
      <c r="J9" s="714"/>
      <c r="K9" s="714"/>
      <c r="L9" s="692"/>
      <c r="T9" s="658" t="str">
        <f>IF(AND(Import.TipoArredondamento="TransfereGOV",$AF$7=FALSE),"▼","")</f>
        <v/>
      </c>
      <c r="U9" s="658" t="str">
        <f>IF(AND(Import.TipoArredondamento="TransfereGOV",$AF$8=FALSE),"▼","")</f>
        <v/>
      </c>
      <c r="V9" s="658" t="str">
        <f>IF(AND(Import.TipoArredondamento="TransfereGOV",$AF$9=FALSE),"▼","")</f>
        <v/>
      </c>
      <c r="W9" s="658" t="str">
        <f>IF(AND(Import.TipoArredondamento="TransfereGOV",$AF$10=FALSE),"▼","")</f>
        <v/>
      </c>
      <c r="X9" s="658" t="str">
        <f>IF(AND(Import.TipoArredondamento="TransfereGOV",$AF$11=FALSE),"▼","")</f>
        <v/>
      </c>
      <c r="Y9" s="692"/>
      <c r="Z9" s="692"/>
      <c r="AE9" s="87" t="s">
        <v>23</v>
      </c>
      <c r="AF9" s="88" t="b">
        <v>1</v>
      </c>
      <c r="AJ9" s="713"/>
      <c r="AL9" s="711"/>
    </row>
    <row r="10" spans="1:40" x14ac:dyDescent="0.2">
      <c r="E10" s="505" t="s">
        <v>995</v>
      </c>
      <c r="F10" s="714" t="str" cm="1">
        <f t="array" aca="1" ref="F10" ca="1">IF(LEN(INFO("release"))&gt;5,"'Referência "&amp;Excel_BuiltIn_Database&amp;".xlsm'#Banco.$B$3","'[Referência "&amp;Excel_BuiltIn_Database&amp;".xlsm]Banco'!$B$3")</f>
        <v>'[Referência 06-2026.xlsm]Banco'!$B$3</v>
      </c>
      <c r="G10" s="714"/>
      <c r="H10" s="714"/>
      <c r="I10" s="714"/>
      <c r="J10" s="714"/>
      <c r="K10" s="714"/>
      <c r="L10" s="692"/>
      <c r="Y10" s="692"/>
      <c r="Z10" s="692"/>
      <c r="AC10" s="102" t="s">
        <v>718</v>
      </c>
      <c r="AE10" s="87" t="s">
        <v>719</v>
      </c>
      <c r="AF10" s="88" t="b">
        <v>1</v>
      </c>
      <c r="AJ10" s="713"/>
      <c r="AL10" s="711"/>
    </row>
    <row r="11" spans="1:40" x14ac:dyDescent="0.2">
      <c r="F11" s="660" t="str" cm="1">
        <f t="array" aca="1" ref="F11" ca="1">IFERROR(INDIRECT(F10),"")</f>
        <v/>
      </c>
      <c r="G11" s="664" t="str" cm="1">
        <f t="array" aca="1" ref="G11" ca="1">IFERROR(TEXT(Import.DataBase,"mm/aaaa"),"")</f>
        <v>06/2026</v>
      </c>
      <c r="H11" s="103"/>
      <c r="L11" s="692"/>
      <c r="Y11" s="692"/>
      <c r="Z11" s="692"/>
      <c r="AC11" s="104" t="str">
        <f ca="1">IF(COUNTIFS($L$15:$L$33,"F",$AC$15:$AC$33,"&lt;&gt;"&amp;" ",$AC$15:$AC$33,"&lt;&gt;"&amp;"JUSTIFICAR BDI")&gt;0,"NÃO OK","OK")</f>
        <v>OK</v>
      </c>
      <c r="AE11" s="87" t="s">
        <v>720</v>
      </c>
      <c r="AF11" s="88" t="b">
        <v>1</v>
      </c>
      <c r="AJ11" s="713"/>
      <c r="AL11" s="711"/>
    </row>
    <row r="12" spans="1:40" ht="20.100000000000001" customHeight="1" x14ac:dyDescent="0.2">
      <c r="G12" s="84"/>
      <c r="H12" s="84"/>
      <c r="L12" s="692"/>
      <c r="O12" s="596"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IF(COUNTIF($AC$15:$AC$33,"FONTE")&gt;0,"Falta preencher a Fonte (coluna P) na Linha "&amp;(14+MATCH("FONTE",$AC$15:$AC$33,0)),
 IF(COUNTIF($AC$15:$AC$33,"CÓDIGO")&gt;0,"Falta preencher o Código (coluna Q) na Linha "&amp;(14+MATCH("CÓDIGO",$AC$15:$AC$33,0)),
 IF(COUNTIF($AC$15:$AC$33,"CÓDIGO N/ID")&gt;0,"Código (coluna Q) não identificado na Linha "&amp;(14+MATCH("CÓDIGO N/ID",$AC$15:$AC$33,0))&amp;". Verifique se o código está correto ou busque outro código",
 IF(COUNTIF($AC$15:$AC$33,"DESCRIÇÃO")&gt;0,"Falta preencher a Descrição (coluna R) na Linha "&amp;(14+MATCH("DESCRIÇÃO",$AC$15:$AC$33,0)),
 IF(COUNTIF($AC$15:$AC$33,"UNIDADE")&gt;0,"Falta preencher a Unidade (coluna S) na Linha "&amp;(14+MATCH("UNIDADE",$AC$15:$AC$33,0)),
 IF(COUNTIF($AC$15:$AC$33,"SEM CUSTO")&gt;0,"Falta preencher o Custo Unitário (coluna U) na Linha "&amp;(14+MATCH("SEM CUSTO",$AC$15:$AC$33,0)),
 IF(COUNTIF($AC$15:$AC$33,"SEM PREÇO")&gt;0,"Falta preencher o Preço Unitário licitado (coluna AL) na Linha "&amp;(14+MATCH("SEM CUSTO",$AC$15:$AC$33,0)),
 IF(COUNTIF($AC$15:$AC$33,"BDI")&gt;0,"Falta definir o BDI (coluna V) na Linha "&amp;(14+MATCH("BDI",$AC$15:$AC$33,0)),
 IF(COUNTIF($AC$15:$AC$33,"ACIMA REF.")&gt;0,
         IF(TIPOORCAMENTO="Proposto","O custo unitário (coluna U) na Linha "&amp;(14+MATCH("ACIMA REF.",$AC$15:$AC$33,0))&amp;" está acima do custo referencial (coluna AG)",
            "O preço unitário licitado (coluna AL) na Linha "&amp;(14+MATCH("ACIMA REF.",$AC$15:$AC$33,0))&amp;" está acima do preço referencial do edital (coluna AN)"),
 IF(COUNTIF($AC$15:$AC$33,"QUANT.")&gt;0,"Falta a Quantidade do serviço na Linha "&amp;(14+MATCH("QUANT.",$AC$15:$AC$33,0))&amp;IF(ACOMPANHAMENTO="PLE",". Preencher na aba CÁLCULO",". Preencher na coluna AJ"),
 IF(COUNTIF($AC$15:$AC$33,"Código &gt;13")&gt;0,"O tamanho do código do serviço no TransfereGOV é limitado a 13 caracteres. Resuma o código (coluna Q) na Linha "&amp;(14+MATCH("Código &gt;13",$AC$15:$AC$33,0)),
 IF(COUNTIF($AC$15:$AC$33,"Descrição &gt;100")&gt;0,"O tamanho da descrição de macrosserviço no TransfereGOV é limitado a 100 caracteres. Resuma a descrição (coluna R) na Linha "&amp;(14+MATCH("Descrição &gt;100",$AC$15:$AC$33,0)),
 IF(COUNTIF($AC$15:$AC$33,"Descrição &gt;500")&gt;0,"O tamanho da descrição de serviço no TransfereGOV é limitado a 500 caracteres. Resuma a descrição (coluna R) na Linha "&amp;(14+MATCH("Descrição &gt;500",$AC$15:$AC$33,0)),
 IF(COUNTIF($AC$15:$AC$33,"Unid. Não Disp")&gt;0,"Unidade não disponível na lista do TransfereGOV. Reveja a unidade (coluna S) na Linha "&amp;(14+MATCH("Unid. Não Disp",$AC$15:$AC$33,0)),
 IF(AND(TIPOORCAMENTO="Proposto",LEFT($O$8,5)="(N/D:"),"Abra o arquivo Referência "&amp;Excel_BuiltIn_Database&amp;".xlsm","")))))))))))))))))</f>
        <v>Código (coluna Q) não identificado na Linha 18. Verifique se o código está correto ou busque outro código</v>
      </c>
      <c r="Y12" s="692"/>
      <c r="Z12" s="692"/>
      <c r="AA12" s="712" t="s">
        <v>721</v>
      </c>
      <c r="AB12" s="712"/>
      <c r="AJ12" s="105" t="s">
        <v>660</v>
      </c>
      <c r="AL12" s="457" t="s">
        <v>660</v>
      </c>
    </row>
    <row r="13" spans="1:40" ht="35.1" customHeight="1" x14ac:dyDescent="0.2">
      <c r="A13" s="106" t="s">
        <v>722</v>
      </c>
      <c r="B13" s="106" t="s">
        <v>723</v>
      </c>
      <c r="C13" s="106" t="s">
        <v>724</v>
      </c>
      <c r="D13" s="106" t="s">
        <v>725</v>
      </c>
      <c r="E13" s="106" t="s">
        <v>726</v>
      </c>
      <c r="F13" s="106" t="s">
        <v>727</v>
      </c>
      <c r="G13" s="106" t="s">
        <v>728</v>
      </c>
      <c r="H13" s="106" t="s">
        <v>729</v>
      </c>
      <c r="I13" s="106" t="s">
        <v>730</v>
      </c>
      <c r="J13" s="106" t="s">
        <v>731</v>
      </c>
      <c r="K13" s="106" t="s">
        <v>732</v>
      </c>
      <c r="L13" s="105" t="s">
        <v>660</v>
      </c>
      <c r="M13" s="106" t="s">
        <v>733</v>
      </c>
      <c r="N13" s="107" t="s">
        <v>734</v>
      </c>
      <c r="O13" s="106" t="s">
        <v>735</v>
      </c>
      <c r="P13" s="106" t="s">
        <v>736</v>
      </c>
      <c r="Q13" s="106" t="s">
        <v>737</v>
      </c>
      <c r="R13" s="106" t="s">
        <v>118</v>
      </c>
      <c r="S13" s="108" t="s">
        <v>738</v>
      </c>
      <c r="T13" s="106" t="s">
        <v>712</v>
      </c>
      <c r="U13" s="106" t="str" cm="1">
        <f t="array" ref="U13">IF(TIPOORCAMENTO="Licitado","","Custo Unitário (sem BDI) (R$)")</f>
        <v>Custo Unitário (sem BDI) (R$)</v>
      </c>
      <c r="V13" s="106" t="str" cm="1">
        <f t="array" ref="V13">IF(TIPOORCAMENTO="Licitado","","BDI
(%)")</f>
        <v>BDI
(%)</v>
      </c>
      <c r="W13" s="106" t="s">
        <v>739</v>
      </c>
      <c r="X13" s="106" t="s">
        <v>740</v>
      </c>
      <c r="Y13" s="105" t="s">
        <v>660</v>
      </c>
      <c r="Z13" s="105" t="s">
        <v>660</v>
      </c>
      <c r="AA13" s="109" t="s">
        <v>741</v>
      </c>
      <c r="AB13" s="110" t="s">
        <v>742</v>
      </c>
      <c r="AC13" s="106" t="s">
        <v>743</v>
      </c>
      <c r="AD13" s="111" t="s">
        <v>744</v>
      </c>
      <c r="AE13" s="111" t="s">
        <v>745</v>
      </c>
      <c r="AF13" s="111" t="s">
        <v>746</v>
      </c>
      <c r="AG13" s="158" t="s">
        <v>747</v>
      </c>
      <c r="AH13" s="426" t="str" cm="1">
        <f t="array" ref="AH13">IF(TIPOORCAMENTO="LICITADO","Valor BDI Edital","Valor BDI")</f>
        <v>Valor BDI</v>
      </c>
      <c r="AJ13" s="291" t="s">
        <v>712</v>
      </c>
      <c r="AL13" s="291" t="s">
        <v>739</v>
      </c>
      <c r="AM13" s="158" t="s">
        <v>748</v>
      </c>
      <c r="AN13" s="159"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IF(OR($C14="S",$C14=0),0,MATCH(0,OFFSET($D14,1,$C14,ROW($C$33)-ROW($C14)),0))</f>
        <v>0</v>
      </c>
      <c r="K14">
        <f ca="1">IF(OR($C14="S",$C14=0),0,MATCH(OFFSET($D14,0,$C14)+IF($C14&lt;&gt;1,1,COUNTIF(QCI!$A$13:$A$24,ORÇAMENTO!E14)),OFFSET($D14,1,$C14,ROW($C$33)-ROW($C14)),0))</f>
        <v>0</v>
      </c>
      <c r="L14" s="113" t="str">
        <f ca="1">IF(OR($X14&gt;0,$C14=1,$C14=2,$C14=3,$C14=4),"F","")</f>
        <v/>
      </c>
      <c r="M14" s="114" t="s">
        <v>705</v>
      </c>
      <c r="N14" s="115" t="str">
        <f ca="1">CHOOSE(1+LOG(1+2*(C14=1)+4*(C14=2)+8*(C14=3)+16*(C14=4)+32*(C14="S"),2),"","Meta","Nível 2","Nível 3","Nível 4","Serviço")</f>
        <v>Serviço</v>
      </c>
      <c r="O14" s="116" t="str">
        <f ca="1">IF(OR($C14=0,$L14=""),"-",CONCATENATE(E14&amp;".",IF(AND($A$5&gt;=2,$C14&gt;=2),F14&amp;".",""),IF(AND($A$5&gt;=3,$C14&gt;=3),G14&amp;".",""),IF(AND($A$5&gt;=4,$C14&gt;=4),H14&amp;".",""),IF($C14="S",I14&amp;".","")))</f>
        <v>-</v>
      </c>
      <c r="P14" s="117" t="s">
        <v>750</v>
      </c>
      <c r="Q14" s="118"/>
      <c r="R14" s="119" t="str" cm="1">
        <f t="array" aca="1" ref="R14" ca="1">IF($C14="S",REFERENCIA.Descricao,"(digite a descrição aqui)")</f>
        <v>(Sem Código)</v>
      </c>
      <c r="S14" s="120" t="str" cm="1">
        <f t="array" aca="1" ref="S14" ca="1">REFERENCIA.Unidade</f>
        <v>-</v>
      </c>
      <c r="T14" s="121">
        <f ca="1">OFFSET(CÁLCULO!H$15,ROW($T14)-ROW(T$15),0)</f>
        <v>0</v>
      </c>
      <c r="U14" s="122"/>
      <c r="V14" s="123" t="s">
        <v>663</v>
      </c>
      <c r="W14" s="121" cm="1">
        <f t="array" aca="1" ref="W14" ca="1">IF($C14="S",ROUND(IF(TIPOORCAMENTO="Proposto",ORÇAMENTO.CustoUnitario*(1+$AH14),ORÇAMENTO.PrecoUnitarioLicitado),15-13*$AF$10),0)</f>
        <v>0</v>
      </c>
      <c r="X14" s="124" cm="1">
        <f t="array" aca="1" ref="X14" ca="1">IF($C14="S",IF(OR(Import.TipoArredondamento&lt;&gt;"TransfereGOV",ACOMPANHAMENTO="BM"),VTOTAL1,SUM(OFFSET(CÁLCULO!$AA$15,ROW($X14)-ROW($X$15),1):OFFSET(CÁLCULO!$AL$15,ROW($X14)-ROW($X$15),-1))),IF($C14=0,0,ROUND(SomaAgrup,15-13*$AF$11)))</f>
        <v>0</v>
      </c>
      <c r="Y14" s="125" t="s">
        <v>751</v>
      </c>
      <c r="Z14" t="str">
        <f ca="1">IF(AND($C14="S",$X14&gt;0),IF(ISBLANK($Y14),"RA",LEFT($Y14,2)),"")</f>
        <v/>
      </c>
      <c r="AA14" s="126" cm="1">
        <f t="array" aca="1" ref="AA14" ca="1">IF($C14="S",IF($Z14="CP",$X14,IF($Z14="RA",(($X14)*QCI!$AA$3),0)),SomaAgrup)</f>
        <v>0</v>
      </c>
      <c r="AB14" s="127" cm="1">
        <f t="array" aca="1" ref="AB14" ca="1">IF($C14="S",IF($Z14="OU",ROUND($X14,2),0),SomaAgrup)</f>
        <v>0</v>
      </c>
      <c r="AC14" s="564"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7" cm="1">
        <f t="array" aca="1" ref="AG14" ca="1">ROUND(IF(DESONERACAO="sim",REFERENCIA.Desonerado,REFERENCIA.NaoDesonerado),2)</f>
        <v>0</v>
      </c>
      <c r="AH14" s="428">
        <f ca="1">ROUND(IF(ISNUMBER(ORÇAMENTO.OpcaoBDI),ORÇAMENTO.OpcaoBDI,IF(LEFT(ORÇAMENTO.OpcaoBDI,3)="BDI",HLOOKUP(ORÇAMENTO.OpcaoBDI,$F$4:$H$5,2,FALSE),0)),15-11*$AF$9)</f>
        <v>0.20960000000000001</v>
      </c>
      <c r="AJ14" s="430"/>
      <c r="AL14" s="438"/>
      <c r="AM14" s="335">
        <f t="shared" ref="AM14:AM32" ca="1" si="0">$X14</f>
        <v>0</v>
      </c>
      <c r="AN14" s="469" cm="1">
        <f t="array" aca="1" ref="AN14" ca="1">ROUND(ORÇAMENTO.CustoUnitario*(1+$AH14),2)</f>
        <v>0</v>
      </c>
    </row>
    <row r="15" spans="1:40" ht="12.75" customHeight="1" x14ac:dyDescent="0.2">
      <c r="A15">
        <v>0</v>
      </c>
      <c r="C15" t="s">
        <v>654</v>
      </c>
      <c r="D15">
        <f ca="1">COUNTA(OFFSET(D15,1,0):D$33)</f>
        <v>17</v>
      </c>
      <c r="E15">
        <v>0</v>
      </c>
      <c r="L15" s="113" t="s">
        <v>536</v>
      </c>
      <c r="M15" s="129" t="str" cm="1">
        <f t="array" ref="M15">IF(TIPOORCAMENTO="LICITADO","CTEF","LOTE")</f>
        <v>LOTE</v>
      </c>
      <c r="N15" s="129" t="str" cm="1">
        <f t="array" ref="N15">IF(TIPOORCAMENTO="LICITADO","CTEF","LOTE")</f>
        <v>LOTE</v>
      </c>
      <c r="O15" s="717" t="str">
        <f>Import.DescLote</f>
        <v>CALÇAMENTO - PAVIMENTAÇÃO</v>
      </c>
      <c r="P15" s="718"/>
      <c r="Q15" s="718"/>
      <c r="R15" s="718"/>
      <c r="S15" s="612"/>
      <c r="T15" s="613"/>
      <c r="U15" s="613"/>
      <c r="V15" s="614"/>
      <c r="W15" s="613"/>
      <c r="X15" s="130">
        <f ca="1">SUMIF(OFFSET($C15,1,0,ROW(X33)-ROW(X15)-1),"S",OFFSET(X15,1,0,ROW(X33)-ROW(X15)-1))</f>
        <v>0</v>
      </c>
      <c r="Y15" s="7"/>
      <c r="Z15" t="str">
        <f ca="1">IF(AND($C15="S",$X15&gt;0),LEFT($Y15,2),"")</f>
        <v/>
      </c>
      <c r="AA15" s="425">
        <f ca="1">SUMIF(OFFSET($C15,1,0,ROW(AA33)-ROW(AA15)-1),"S",OFFSET(AA15,1,0,ROW(AA33)-ROW(AA15)-1))</f>
        <v>0</v>
      </c>
      <c r="AB15" s="131">
        <f ca="1">SUMIF(OFFSET($C15,1,0,ROW(AB33)-ROW(AB15)-1),"S",OFFSET(AB15,1,0,ROW(AB33)-ROW(AB15)-1))</f>
        <v>0</v>
      </c>
      <c r="AC15" s="564" t="s">
        <v>752</v>
      </c>
      <c r="AG15" s="440"/>
      <c r="AH15" s="441"/>
      <c r="AJ15" s="429"/>
      <c r="AL15" s="439"/>
      <c r="AM15" s="470">
        <f t="shared" ca="1" si="0"/>
        <v>0</v>
      </c>
      <c r="AN15" s="471"/>
    </row>
    <row r="16" spans="1:40" ht="25.5" x14ac:dyDescent="0.2">
      <c r="A16">
        <f t="shared" ref="A16:A31" si="1">CHOOSE(1+LOG(1+2*(ORÇAMENTO.Nivel="Meta")+4*(ORÇAMENTO.Nivel="Nível 2")+8*(ORÇAMENTO.Nivel="Nível 3")+16*(ORÇAMENTO.Nivel="Nível 4")+32*(ORÇAMENTO.Nivel="Serviço"),2),0,1,2,3,4,"S")</f>
        <v>1</v>
      </c>
      <c r="B16">
        <f t="shared" ref="B16:B31" ca="1" si="2">IF(OR(C16="s",C16=0),OFFSET(B16,-1,0),C16)</f>
        <v>1</v>
      </c>
      <c r="C16">
        <f t="shared" ref="C16:C31" ca="1" si="3">IF(OFFSET(C16,-1,0)="L",1,IF(OFFSET(C16,-1,0)=1,2,IF(OR(A16="s",A16=0),"S",IF(AND(OFFSET(C16,-1,0)=2,A16=4),3,IF(AND(OR(OFFSET(C16,-1,0)="s",OFFSET(C16,-1,0)=0),A16&lt;&gt;"s",A16&gt;OFFSET(B16,-1,0)),OFFSET(B16,-1,0),A16)))))</f>
        <v>1</v>
      </c>
      <c r="D16">
        <f t="shared" ref="D16:D31" ca="1" si="4">IF(OR(C16="S",C16=0),0,IF(ISERROR(K16),J16,SMALL(J16:K16,1)))</f>
        <v>17</v>
      </c>
      <c r="E16">
        <f ca="1">IF($C16=1,OFFSET(E16,-1,0)+MAX(1,COUNTIF(QCI!$A$13:$A$24,OFFSET(ORÇAMENTO!E16,-1,0))),OFFSET(E16,-1,0))</f>
        <v>1</v>
      </c>
      <c r="F16">
        <f t="shared" ref="F16:F31" ca="1" si="5">IF($C16=1,0,IF($C16=2,OFFSET(F16,-1,0)+1,OFFSET(F16,-1,0)))</f>
        <v>0</v>
      </c>
      <c r="G16">
        <f t="shared" ref="G16:G31" ca="1" si="6">IF(AND($C16&lt;=2,$C16&lt;&gt;0),0,IF($C16=3,OFFSET(G16,-1,0)+1,OFFSET(G16,-1,0)))</f>
        <v>0</v>
      </c>
      <c r="H16">
        <f t="shared" ref="H16:H31" ca="1" si="7">IF(AND($C16&lt;=3,$C16&lt;&gt;0),0,IF($C16=4,OFFSET(H16,-1,0)+1,OFFSET(H16,-1,0)))</f>
        <v>0</v>
      </c>
      <c r="I16">
        <f t="shared" ref="I16:I31" ca="1" si="8">IF(AND($C16&lt;=4,$C16&lt;&gt;0),0,IF(AND($C16="S",$X16&gt;0),OFFSET(I16,-1,0)+1,OFFSET(I16,-1,0)))</f>
        <v>0</v>
      </c>
      <c r="J16">
        <f t="shared" ref="J16:J32" ca="1" si="9">IF(OR($C16="S",$C16=0),0,MATCH(0,OFFSET($D16,1,$C16,ROW($C$33)-ROW($C16)),0))</f>
        <v>17</v>
      </c>
      <c r="K16" t="e">
        <f ca="1">IF(OR($C16="S",$C16=0),0,MATCH(OFFSET($D16,0,$C16)+IF($C16&lt;&gt;1,1,COUNTIF(QCI!$A$13:$A$24,ORÇAMENTO!E16)),OFFSET($D16,1,$C16,ROW($C$33)-ROW($C16)),0))</f>
        <v>#N/A</v>
      </c>
      <c r="L16" s="113" t="str">
        <f t="shared" ref="L16:L31" ca="1" si="10">IF(OR($X16&gt;0,$C16=1,$C16=2,$C16=3,$C16=4),"F","")</f>
        <v>F</v>
      </c>
      <c r="M16" s="114" t="s">
        <v>701</v>
      </c>
      <c r="N16" s="115" t="str">
        <f t="shared" ref="N16:N31" ca="1" si="11">CHOOSE(1+LOG(1+2*(C16=1)+4*(C16=2)+8*(C16=3)+16*(C16=4)+32*(C16="S"),2),"","Meta","Nível 2","Nível 3","Nível 4","Serviço")</f>
        <v>Meta</v>
      </c>
      <c r="O16" s="116" t="str">
        <f t="shared" ref="O16:O31" ca="1" si="12">IF(OR($C16=0,$L16=""),"-",CONCATENATE(E16&amp;".",IF(AND($A$5&gt;=2,$C16&gt;=2),F16&amp;".",""),IF(AND($A$5&gt;=3,$C16&gt;=3),G16&amp;".",""),IF(AND($A$5&gt;=4,$C16&gt;=4),H16&amp;".",""),IF($C16="S",I16&amp;".","")))</f>
        <v>1.</v>
      </c>
      <c r="P16" s="117" t="s">
        <v>750</v>
      </c>
      <c r="Q16" s="118"/>
      <c r="R16" s="119" t="s">
        <v>1030</v>
      </c>
      <c r="S16" s="120" t="s">
        <v>688</v>
      </c>
      <c r="T16" s="121">
        <f ca="1">OFFSET(CÁLCULO!H$15,ROW($T16)-ROW(T$15),0)</f>
        <v>0</v>
      </c>
      <c r="U16" s="122"/>
      <c r="V16" s="123" t="s">
        <v>663</v>
      </c>
      <c r="W16" s="121" cm="1">
        <f t="array" aca="1" ref="W16" ca="1">IF($C16="S",ROUND(IF(TIPOORCAMENTO="Proposto",ORÇAMENTO.CustoUnitario*(1+$AH16),ORÇAMENTO.PrecoUnitarioLicitado),15-13*$AF$10),0)</f>
        <v>0</v>
      </c>
      <c r="X16" s="124" cm="1">
        <f t="array" aca="1" ref="X16" ca="1">IF($C16="S",IF(OR(Import.TipoArredondamento&lt;&gt;"TransfereGOV",ACOMPANHAMENTO="BM"),VTOTAL1,SUM(OFFSET(CÁLCULO!$AA$15,ROW($X16)-ROW($X$15),1):OFFSET(CÁLCULO!$AL$15,ROW($X16)-ROW($X$15),-1))),IF($C16=0,0,ROUND(SomaAgrup,15-13*$AF$11)))</f>
        <v>0</v>
      </c>
      <c r="Y16" s="125" t="s">
        <v>751</v>
      </c>
      <c r="Z16" t="str">
        <f t="shared" ref="Z16:Z31" ca="1" si="13">IF(AND($C16="S",$X16&gt;0),IF(ISBLANK($Y16),"RA",LEFT($Y16,2)),"")</f>
        <v/>
      </c>
      <c r="AA16" s="126" cm="1">
        <f t="array" aca="1" ref="AA16" ca="1">IF($C16="S",IF($Z16="CP",$X16,IF($Z16="RA",(($X16)*QCI!$AA$3),0)),SomaAgrup)</f>
        <v>0</v>
      </c>
      <c r="AB16" s="127" cm="1">
        <f t="array" aca="1" ref="AB16" ca="1">IF($C16="S",IF($Z16="OU",ROUND($X16,2),0),SomaAgrup)</f>
        <v>0</v>
      </c>
      <c r="AC16" s="564"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7" cm="1">
        <f t="array" aca="1" ref="AG16" ca="1">ROUND(IF(DESONERACAO="sim",REFERENCIA.Desonerado,REFERENCIA.NaoDesonerado),2)</f>
        <v>0</v>
      </c>
      <c r="AH16" s="428">
        <f t="shared" ref="AH16:AH31" ca="1" si="14">ROUND(IF(ISNUMBER(ORÇAMENTO.OpcaoBDI),ORÇAMENTO.OpcaoBDI,IF(LEFT(ORÇAMENTO.OpcaoBDI,3)="BDI",HLOOKUP(ORÇAMENTO.OpcaoBDI,$F$4:$H$5,2,FALSE),0)),15-11*$AF$9)</f>
        <v>0.20960000000000001</v>
      </c>
      <c r="AJ16" s="430"/>
      <c r="AL16" s="438"/>
      <c r="AM16" s="335">
        <f t="shared" ca="1" si="0"/>
        <v>0</v>
      </c>
      <c r="AN16" s="469" cm="1">
        <f t="array" aca="1" ref="AN16" ca="1">ROUND(ORÇAMENTO.CustoUnitario*(1+$AH16),2)</f>
        <v>0</v>
      </c>
    </row>
    <row r="17" spans="1:40" x14ac:dyDescent="0.2">
      <c r="A17">
        <f t="shared" si="1"/>
        <v>2</v>
      </c>
      <c r="B17">
        <f t="shared" ca="1" si="2"/>
        <v>2</v>
      </c>
      <c r="C17">
        <f t="shared" ca="1" si="3"/>
        <v>2</v>
      </c>
      <c r="D17">
        <f t="shared" ca="1" si="4"/>
        <v>2</v>
      </c>
      <c r="E17">
        <f ca="1">IF($C17=1,OFFSET(E17,-1,0)+MAX(1,COUNTIF(QCI!$A$13:$A$24,OFFSET(ORÇAMENTO!E17,-1,0))),OFFSET(E17,-1,0))</f>
        <v>1</v>
      </c>
      <c r="F17">
        <f t="shared" ca="1" si="5"/>
        <v>1</v>
      </c>
      <c r="G17">
        <f t="shared" ca="1" si="6"/>
        <v>0</v>
      </c>
      <c r="H17">
        <f t="shared" ca="1" si="7"/>
        <v>0</v>
      </c>
      <c r="I17">
        <f t="shared" ca="1" si="8"/>
        <v>0</v>
      </c>
      <c r="J17">
        <f t="shared" ca="1" si="9"/>
        <v>16</v>
      </c>
      <c r="K17">
        <f ca="1">IF(OR($C17="S",$C17=0),0,MATCH(OFFSET($D17,0,$C17)+IF($C17&lt;&gt;1,1,COUNTIF(QCI!$A$13:$A$24,ORÇAMENTO!E17)),OFFSET($D17,1,$C17,ROW($C$33)-ROW($C17)),0))</f>
        <v>2</v>
      </c>
      <c r="L17" s="113" t="str">
        <f t="shared" ca="1" si="10"/>
        <v>F</v>
      </c>
      <c r="M17" s="114" t="s">
        <v>702</v>
      </c>
      <c r="N17" s="115" t="str">
        <f t="shared" ca="1" si="11"/>
        <v>Nível 2</v>
      </c>
      <c r="O17" s="116" t="str">
        <f t="shared" ca="1" si="12"/>
        <v>1.1.</v>
      </c>
      <c r="P17" s="117" t="s">
        <v>750</v>
      </c>
      <c r="Q17" s="118"/>
      <c r="R17" s="119" t="s">
        <v>1007</v>
      </c>
      <c r="S17" s="120" t="s">
        <v>688</v>
      </c>
      <c r="T17" s="121">
        <f ca="1">OFFSET(CÁLCULO!H$15,ROW($T17)-ROW(T$15),0)</f>
        <v>0</v>
      </c>
      <c r="U17" s="122"/>
      <c r="V17" s="123" t="s">
        <v>663</v>
      </c>
      <c r="W17" s="121" cm="1">
        <f t="array" aca="1" ref="W17" ca="1">IF($C17="S",ROUND(IF(TIPOORCAMENTO="Proposto",ORÇAMENTO.CustoUnitario*(1+$AH17),ORÇAMENTO.PrecoUnitarioLicitado),15-13*$AF$10),0)</f>
        <v>0</v>
      </c>
      <c r="X17" s="124" cm="1">
        <f t="array" aca="1" ref="X17" ca="1">IF($C17="S",IF(OR(Import.TipoArredondamento&lt;&gt;"TransfereGOV",ACOMPANHAMENTO="BM"),VTOTAL1,SUM(OFFSET(CÁLCULO!$AA$15,ROW($X17)-ROW($X$15),1):OFFSET(CÁLCULO!$AL$15,ROW($X17)-ROW($X$15),-1))),IF($C17=0,0,ROUND(SomaAgrup,15-13*$AF$11)))</f>
        <v>0</v>
      </c>
      <c r="Y17" s="125" t="s">
        <v>751</v>
      </c>
      <c r="Z17" t="str">
        <f t="shared" ca="1" si="13"/>
        <v/>
      </c>
      <c r="AA17" s="126" cm="1">
        <f t="array" aca="1" ref="AA17" ca="1">IF($C17="S",IF($Z17="CP",$X17,IF($Z17="RA",(($X17)*QCI!$AA$3),0)),SomaAgrup)</f>
        <v>0</v>
      </c>
      <c r="AB17" s="127" cm="1">
        <f t="array" aca="1" ref="AB17" ca="1">IF($C17="S",IF($Z17="OU",ROUND($X17,2),0),SomaAgrup)</f>
        <v>0</v>
      </c>
      <c r="AC17" s="564"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7" cm="1">
        <f t="array" aca="1" ref="AG17" ca="1">ROUND(IF(DESONERACAO="sim",REFERENCIA.Desonerado,REFERENCIA.NaoDesonerado),2)</f>
        <v>0</v>
      </c>
      <c r="AH17" s="428">
        <f t="shared" ca="1" si="14"/>
        <v>0.20960000000000001</v>
      </c>
      <c r="AJ17" s="430"/>
      <c r="AL17" s="438"/>
      <c r="AM17" s="335">
        <f t="shared" ca="1" si="0"/>
        <v>0</v>
      </c>
      <c r="AN17" s="469" cm="1">
        <f t="array" aca="1" ref="AN17" ca="1">ROUND(ORÇAMENTO.CustoUnitario*(1+$AH17),2)</f>
        <v>0</v>
      </c>
    </row>
    <row r="18" spans="1:40"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IF(OR($C18="S",$C18=0),0,MATCH(OFFSET($D18,0,$C18)+IF($C18&lt;&gt;1,1,COUNTIF(QCI!$A$13:$A$24,ORÇAMENTO!E18)),OFFSET($D18,1,$C18,ROW($C$33)-ROW($C18)),0))</f>
        <v>0</v>
      </c>
      <c r="L18" s="113" t="str">
        <f t="shared" ca="1" si="10"/>
        <v/>
      </c>
      <c r="M18" s="114" t="s">
        <v>705</v>
      </c>
      <c r="N18" s="115" t="str">
        <f t="shared" ca="1" si="11"/>
        <v>Serviço</v>
      </c>
      <c r="O18" s="116" t="str">
        <f t="shared" ca="1" si="12"/>
        <v>-</v>
      </c>
      <c r="P18" s="117" t="s">
        <v>750</v>
      </c>
      <c r="Q18" s="118" t="s">
        <v>1012</v>
      </c>
      <c r="R18" s="119" t="str" cm="1">
        <f t="array" aca="1" ref="R18" ca="1">IF($C18="S",REFERENCIA.Descricao,"(digite a descrição aqui)")</f>
        <v>(Código não identificado nas referências)</v>
      </c>
      <c r="S18" s="120" t="str" cm="1">
        <f t="array" aca="1" ref="S18" ca="1">REFERENCIA.Unidade</f>
        <v>-</v>
      </c>
      <c r="T18" s="121">
        <f ca="1">OFFSET(CÁLCULO!H$15,ROW($T18)-ROW(T$15),0)</f>
        <v>2</v>
      </c>
      <c r="U18" s="122"/>
      <c r="V18" s="123" t="s">
        <v>663</v>
      </c>
      <c r="W18" s="121" cm="1">
        <f t="array" aca="1" ref="W18" ca="1">IF($C18="S",ROUND(IF(TIPOORCAMENTO="Proposto",ORÇAMENTO.CustoUnitario*(1+$AH18),ORÇAMENTO.PrecoUnitarioLicitado),15-13*$AF$10),0)</f>
        <v>0</v>
      </c>
      <c r="X18" s="124" cm="1">
        <f t="array" aca="1" ref="X18" ca="1">IF($C18="S",IF(OR(Import.TipoArredondamento&lt;&gt;"TransfereGOV",ACOMPANHAMENTO="BM"),VTOTAL1,SUM(OFFSET(CÁLCULO!$AA$15,ROW($X18)-ROW($X$15),1):OFFSET(CÁLCULO!$AL$15,ROW($X18)-ROW($X$15),-1))),IF($C18=0,0,ROUND(SomaAgrup,15-13*$AF$11)))</f>
        <v>0</v>
      </c>
      <c r="Y18" s="125" t="s">
        <v>751</v>
      </c>
      <c r="Z18" t="str">
        <f t="shared" ca="1" si="13"/>
        <v/>
      </c>
      <c r="AA18" s="126" cm="1">
        <f t="array" aca="1" ref="AA18" ca="1">IF($C18="S",IF($Z18="CP",$X18,IF($Z18="RA",(($X18)*QCI!$AA$3),0)),SomaAgrup)</f>
        <v>0</v>
      </c>
      <c r="AB18" s="127" cm="1">
        <f t="array" aca="1" ref="AB18" ca="1">IF($C18="S",IF($Z18="OU",ROUND($X18,2),0),SomaAgrup)</f>
        <v>0</v>
      </c>
      <c r="AC18" s="564"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103689</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7" cm="1">
        <f t="array" aca="1" ref="AG18" ca="1">ROUND(IF(DESONERACAO="sim",REFERENCIA.Desonerado,REFERENCIA.NaoDesonerado),2)</f>
        <v>0</v>
      </c>
      <c r="AH18" s="428">
        <f t="shared" ca="1" si="14"/>
        <v>0.20960000000000001</v>
      </c>
      <c r="AJ18" s="430">
        <v>2</v>
      </c>
      <c r="AL18" s="438"/>
      <c r="AM18" s="335">
        <f t="shared" ca="1" si="0"/>
        <v>0</v>
      </c>
      <c r="AN18" s="469" cm="1">
        <f t="array" aca="1" ref="AN18" ca="1">ROUND(ORÇAMENTO.CustoUnitario*(1+$AH18),2)</f>
        <v>0</v>
      </c>
    </row>
    <row r="19" spans="1:40" x14ac:dyDescent="0.2">
      <c r="A19">
        <f t="shared" si="1"/>
        <v>2</v>
      </c>
      <c r="B19">
        <f t="shared" ca="1" si="2"/>
        <v>2</v>
      </c>
      <c r="C19">
        <f t="shared" ca="1" si="3"/>
        <v>2</v>
      </c>
      <c r="D19">
        <f t="shared" ca="1" si="4"/>
        <v>2</v>
      </c>
      <c r="E19">
        <f ca="1">IF($C19=1,OFFSET(E19,-1,0)+MAX(1,COUNTIF(QCI!$A$13:$A$24,OFFSET(ORÇAMENTO!E19,-1,0))),OFFSET(E19,-1,0))</f>
        <v>1</v>
      </c>
      <c r="F19">
        <f t="shared" ca="1" si="5"/>
        <v>2</v>
      </c>
      <c r="G19">
        <f t="shared" ca="1" si="6"/>
        <v>0</v>
      </c>
      <c r="H19">
        <f t="shared" ca="1" si="7"/>
        <v>0</v>
      </c>
      <c r="I19">
        <f t="shared" ca="1" si="8"/>
        <v>0</v>
      </c>
      <c r="J19">
        <f t="shared" ca="1" si="9"/>
        <v>14</v>
      </c>
      <c r="K19">
        <f ca="1">IF(OR($C19="S",$C19=0),0,MATCH(OFFSET($D19,0,$C19)+IF($C19&lt;&gt;1,1,COUNTIF(QCI!$A$13:$A$24,ORÇAMENTO!E19)),OFFSET($D19,1,$C19,ROW($C$33)-ROW($C19)),0))</f>
        <v>2</v>
      </c>
      <c r="L19" s="113" t="str">
        <f t="shared" ca="1" si="10"/>
        <v>F</v>
      </c>
      <c r="M19" s="114" t="s">
        <v>702</v>
      </c>
      <c r="N19" s="115" t="str">
        <f t="shared" ca="1" si="11"/>
        <v>Nível 2</v>
      </c>
      <c r="O19" s="116" t="str">
        <f t="shared" ca="1" si="12"/>
        <v>1.2.</v>
      </c>
      <c r="P19" s="117" t="s">
        <v>750</v>
      </c>
      <c r="Q19" s="118"/>
      <c r="R19" s="119" t="s">
        <v>1008</v>
      </c>
      <c r="S19" s="120" t="s">
        <v>688</v>
      </c>
      <c r="T19" s="121">
        <f ca="1">OFFSET(CÁLCULO!H$15,ROW($T19)-ROW(T$15),0)</f>
        <v>0</v>
      </c>
      <c r="U19" s="122"/>
      <c r="V19" s="123" t="s">
        <v>663</v>
      </c>
      <c r="W19" s="121" cm="1">
        <f t="array" aca="1" ref="W19" ca="1">IF($C19="S",ROUND(IF(TIPOORCAMENTO="Proposto",ORÇAMENTO.CustoUnitario*(1+$AH19),ORÇAMENTO.PrecoUnitarioLicitado),15-13*$AF$10),0)</f>
        <v>0</v>
      </c>
      <c r="X19" s="124" cm="1">
        <f t="array" aca="1" ref="X19" ca="1">IF($C19="S",IF(OR(Import.TipoArredondamento&lt;&gt;"TransfereGOV",ACOMPANHAMENTO="BM"),VTOTAL1,SUM(OFFSET(CÁLCULO!$AA$15,ROW($X19)-ROW($X$15),1):OFFSET(CÁLCULO!$AL$15,ROW($X19)-ROW($X$15),-1))),IF($C19=0,0,ROUND(SomaAgrup,15-13*$AF$11)))</f>
        <v>0</v>
      </c>
      <c r="Y19" s="125" t="s">
        <v>751</v>
      </c>
      <c r="Z19" t="str">
        <f t="shared" ca="1" si="13"/>
        <v/>
      </c>
      <c r="AA19" s="126" cm="1">
        <f t="array" aca="1" ref="AA19" ca="1">IF($C19="S",IF($Z19="CP",$X19,IF($Z19="RA",(($X19)*QCI!$AA$3),0)),SomaAgrup)</f>
        <v>0</v>
      </c>
      <c r="AB19" s="127" cm="1">
        <f t="array" aca="1" ref="AB19" ca="1">IF($C19="S",IF($Z19="OU",ROUND($X19,2),0),SomaAgrup)</f>
        <v>0</v>
      </c>
      <c r="AC19" s="564"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IF(C19&lt;=CRONO.NivelExibicao,MAX($AD$15:OFFSET(AD19,-1,0))+IF($C19&lt;&gt;1,1,MAX(1,COUNTIF(QCI!$A$13:$A$24,OFFSET($E19,-1,0)))),"")</f>
        <v>3</v>
      </c>
      <c r="AE19" s="7" t="b" cm="1">
        <f t="array" aca="1" ref="AE19" ca="1">IF(AND($C19="S",ORÇAMENTO.CodBarra&lt;&gt;""),IF(ORÇAMENTO.Fonte="",ORÇAMENTO.CodBarra,CONCATENATE(ORÇAMENTO.Fonte," ",ORÇAMENTO.CodBarra)))</f>
        <v>0</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7" cm="1">
        <f t="array" aca="1" ref="AG19" ca="1">ROUND(IF(DESONERACAO="sim",REFERENCIA.Desonerado,REFERENCIA.NaoDesonerado),2)</f>
        <v>0</v>
      </c>
      <c r="AH19" s="428">
        <f t="shared" ca="1" si="14"/>
        <v>0.20960000000000001</v>
      </c>
      <c r="AJ19" s="430"/>
      <c r="AL19" s="438"/>
      <c r="AM19" s="335">
        <f t="shared" ca="1" si="0"/>
        <v>0</v>
      </c>
      <c r="AN19" s="469" cm="1">
        <f t="array" aca="1" ref="AN19" ca="1">ROUND(ORÇAMENTO.CustoUnitario*(1+$AH19),2)</f>
        <v>0</v>
      </c>
    </row>
    <row r="20" spans="1:40" x14ac:dyDescent="0.2">
      <c r="A20" t="str">
        <f t="shared" si="1"/>
        <v>S</v>
      </c>
      <c r="B20">
        <f t="shared" ca="1" si="2"/>
        <v>2</v>
      </c>
      <c r="C20" t="str">
        <f t="shared" ca="1" si="3"/>
        <v>S</v>
      </c>
      <c r="D20">
        <f t="shared" ca="1" si="4"/>
        <v>0</v>
      </c>
      <c r="E20">
        <f ca="1">IF($C20=1,OFFSET(E20,-1,0)+MAX(1,COUNTIF(QCI!$A$13:$A$24,OFFSET(ORÇAMENTO!E20,-1,0))),OFFSET(E20,-1,0))</f>
        <v>1</v>
      </c>
      <c r="F20">
        <f t="shared" ca="1" si="5"/>
        <v>2</v>
      </c>
      <c r="G20">
        <f t="shared" ca="1" si="6"/>
        <v>0</v>
      </c>
      <c r="H20">
        <f t="shared" ca="1" si="7"/>
        <v>0</v>
      </c>
      <c r="I20">
        <f t="shared" ca="1" si="8"/>
        <v>0</v>
      </c>
      <c r="J20">
        <f t="shared" ca="1" si="9"/>
        <v>0</v>
      </c>
      <c r="K20">
        <f ca="1">IF(OR($C20="S",$C20=0),0,MATCH(OFFSET($D20,0,$C20)+IF($C20&lt;&gt;1,1,COUNTIF(QCI!$A$13:$A$24,ORÇAMENTO!E20)),OFFSET($D20,1,$C20,ROW($C$33)-ROW($C20)),0))</f>
        <v>0</v>
      </c>
      <c r="L20" s="113" t="str">
        <f t="shared" ca="1" si="10"/>
        <v/>
      </c>
      <c r="M20" s="114" t="s">
        <v>705</v>
      </c>
      <c r="N20" s="115" t="str">
        <f t="shared" ca="1" si="11"/>
        <v>Serviço</v>
      </c>
      <c r="O20" s="116" t="str">
        <f t="shared" ca="1" si="12"/>
        <v>-</v>
      </c>
      <c r="P20" s="117" t="s">
        <v>955</v>
      </c>
      <c r="Q20" s="118" t="s">
        <v>1019</v>
      </c>
      <c r="R20" s="119" t="str" cm="1">
        <f t="array" aca="1" ref="R20" ca="1">IF($C20="S",REFERENCIA.Descricao,"(digite a descrição aqui)")</f>
        <v>(Código não identificado nas referências)</v>
      </c>
      <c r="S20" s="120" t="s">
        <v>623</v>
      </c>
      <c r="T20" s="121">
        <f ca="1">OFFSET(CÁLCULO!H$15,ROW($T20)-ROW(T$15),0)</f>
        <v>2100</v>
      </c>
      <c r="U20" s="122"/>
      <c r="V20" s="123" t="s">
        <v>663</v>
      </c>
      <c r="W20" s="121" cm="1">
        <f t="array" aca="1" ref="W20" ca="1">IF($C20="S",ROUND(IF(TIPOORCAMENTO="Proposto",ORÇAMENTO.CustoUnitario*(1+$AH20),ORÇAMENTO.PrecoUnitarioLicitado),15-13*$AF$10),0)</f>
        <v>0</v>
      </c>
      <c r="X20" s="124" cm="1">
        <f t="array" aca="1" ref="X20" ca="1">IF($C20="S",IF(OR(Import.TipoArredondamento&lt;&gt;"TransfereGOV",ACOMPANHAMENTO="BM"),VTOTAL1,SUM(OFFSET(CÁLCULO!$AA$15,ROW($X20)-ROW($X$15),1):OFFSET(CÁLCULO!$AL$15,ROW($X20)-ROW($X$15),-1))),IF($C20=0,0,ROUND(SomaAgrup,15-13*$AF$11)))</f>
        <v>0</v>
      </c>
      <c r="Y20" s="125" t="s">
        <v>751</v>
      </c>
      <c r="Z20" t="str">
        <f t="shared" ca="1" si="13"/>
        <v/>
      </c>
      <c r="AA20" s="126" cm="1">
        <f t="array" aca="1" ref="AA20" ca="1">IF($C20="S",IF($Z20="CP",$X20,IF($Z20="RA",(($X20)*QCI!$AA$3),0)),SomaAgrup)</f>
        <v>0</v>
      </c>
      <c r="AB20" s="127" cm="1">
        <f t="array" aca="1" ref="AB20" ca="1">IF($C20="S",IF($Z20="OU",ROUND($X20,2),0),SomaAgrup)</f>
        <v>0</v>
      </c>
      <c r="AC20" s="564"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SICRO 4011209</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7" cm="1">
        <f t="array" aca="1" ref="AG20" ca="1">ROUND(IF(DESONERACAO="sim",REFERENCIA.Desonerado,REFERENCIA.NaoDesonerado),2)</f>
        <v>0</v>
      </c>
      <c r="AH20" s="428">
        <f t="shared" ca="1" si="14"/>
        <v>0.20960000000000001</v>
      </c>
      <c r="AJ20" s="430">
        <f>2100</f>
        <v>2100</v>
      </c>
      <c r="AL20" s="438"/>
      <c r="AM20" s="335">
        <f t="shared" ca="1" si="0"/>
        <v>0</v>
      </c>
      <c r="AN20" s="469" cm="1">
        <f t="array" aca="1" ref="AN20" ca="1">ROUND(ORÇAMENTO.CustoUnitario*(1+$AH20),2)</f>
        <v>0</v>
      </c>
    </row>
    <row r="21" spans="1:40" x14ac:dyDescent="0.2">
      <c r="A21">
        <f t="shared" si="1"/>
        <v>2</v>
      </c>
      <c r="B21">
        <f t="shared" ca="1" si="2"/>
        <v>2</v>
      </c>
      <c r="C21">
        <f t="shared" ca="1" si="3"/>
        <v>2</v>
      </c>
      <c r="D21">
        <f t="shared" ca="1" si="4"/>
        <v>4</v>
      </c>
      <c r="E21">
        <f ca="1">IF($C21=1,OFFSET(E21,-1,0)+MAX(1,COUNTIF(QCI!$A$13:$A$24,OFFSET(ORÇAMENTO!E21,-1,0))),OFFSET(E21,-1,0))</f>
        <v>1</v>
      </c>
      <c r="F21">
        <f t="shared" ca="1" si="5"/>
        <v>3</v>
      </c>
      <c r="G21">
        <f t="shared" ca="1" si="6"/>
        <v>0</v>
      </c>
      <c r="H21">
        <f t="shared" ca="1" si="7"/>
        <v>0</v>
      </c>
      <c r="I21">
        <f t="shared" ca="1" si="8"/>
        <v>0</v>
      </c>
      <c r="J21">
        <f t="shared" ca="1" si="9"/>
        <v>12</v>
      </c>
      <c r="K21">
        <f ca="1">IF(OR($C21="S",$C21=0),0,MATCH(OFFSET($D21,0,$C21)+IF($C21&lt;&gt;1,1,COUNTIF(QCI!$A$13:$A$24,ORÇAMENTO!E21)),OFFSET($D21,1,$C21,ROW($C$33)-ROW($C21)),0))</f>
        <v>4</v>
      </c>
      <c r="L21" s="113" t="str">
        <f t="shared" ca="1" si="10"/>
        <v>F</v>
      </c>
      <c r="M21" s="114" t="s">
        <v>702</v>
      </c>
      <c r="N21" s="115" t="str">
        <f t="shared" ca="1" si="11"/>
        <v>Nível 2</v>
      </c>
      <c r="O21" s="116" t="str">
        <f t="shared" ca="1" si="12"/>
        <v>1.3.</v>
      </c>
      <c r="P21" s="117" t="s">
        <v>750</v>
      </c>
      <c r="Q21" s="118"/>
      <c r="R21" s="119" t="s">
        <v>1027</v>
      </c>
      <c r="S21" s="120" t="str" cm="1">
        <f t="array" aca="1" ref="S21" ca="1">REFERENCIA.Unidade</f>
        <v>-</v>
      </c>
      <c r="T21" s="121">
        <f ca="1">OFFSET(CÁLCULO!H$15,ROW($T21)-ROW(T$15),0)</f>
        <v>0</v>
      </c>
      <c r="U21" s="122"/>
      <c r="V21" s="123" t="s">
        <v>663</v>
      </c>
      <c r="W21" s="121" cm="1">
        <f t="array" aca="1" ref="W21" ca="1">IF($C21="S",ROUND(IF(TIPOORCAMENTO="Proposto",ORÇAMENTO.CustoUnitario*(1+$AH21),ORÇAMENTO.PrecoUnitarioLicitado),15-13*$AF$10),0)</f>
        <v>0</v>
      </c>
      <c r="X21" s="124" cm="1">
        <f t="array" aca="1" ref="X21" ca="1">IF($C21="S",IF(OR(Import.TipoArredondamento&lt;&gt;"TransfereGOV",ACOMPANHAMENTO="BM"),VTOTAL1,SUM(OFFSET(CÁLCULO!$AA$15,ROW($X21)-ROW($X$15),1):OFFSET(CÁLCULO!$AL$15,ROW($X21)-ROW($X$15),-1))),IF($C21=0,0,ROUND(SomaAgrup,15-13*$AF$11)))</f>
        <v>0</v>
      </c>
      <c r="Y21" s="125" t="s">
        <v>751</v>
      </c>
      <c r="Z21" t="str">
        <f t="shared" ca="1" si="13"/>
        <v/>
      </c>
      <c r="AA21" s="126" cm="1">
        <f t="array" aca="1" ref="AA21" ca="1">IF($C21="S",IF($Z21="CP",$X21,IF($Z21="RA",(($X21)*QCI!$AA$3),0)),SomaAgrup)</f>
        <v>0</v>
      </c>
      <c r="AB21" s="127" cm="1">
        <f t="array" aca="1" ref="AB21" ca="1">IF($C21="S",IF($Z21="OU",ROUND($X21,2),0),SomaAgrup)</f>
        <v>0</v>
      </c>
      <c r="AC21" s="564"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IF(C21&lt;=CRONO.NivelExibicao,MAX($AD$15:OFFSET(AD21,-1,0))+IF($C21&lt;&gt;1,1,MAX(1,COUNTIF(QCI!$A$13:$A$24,OFFSET($E21,-1,0)))),"")</f>
        <v>4</v>
      </c>
      <c r="AE21" s="7" t="b" cm="1">
        <f t="array" aca="1" ref="AE21" ca="1">IF(AND($C21="S",ORÇAMENTO.CodBarra&lt;&gt;""),IF(ORÇAMENTO.Fonte="",ORÇAMENTO.CodBarra,CONCATENATE(ORÇAMENTO.Fonte," ",ORÇAMENTO.CodBarra)))</f>
        <v>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7" cm="1">
        <f t="array" aca="1" ref="AG21" ca="1">ROUND(IF(DESONERACAO="sim",REFERENCIA.Desonerado,REFERENCIA.NaoDesonerado),2)</f>
        <v>0</v>
      </c>
      <c r="AH21" s="428">
        <f t="shared" ca="1" si="14"/>
        <v>0.20960000000000001</v>
      </c>
      <c r="AJ21" s="430"/>
      <c r="AL21" s="438"/>
      <c r="AM21" s="335">
        <f t="shared" ca="1" si="0"/>
        <v>0</v>
      </c>
      <c r="AN21" s="469" cm="1">
        <f t="array" aca="1" ref="AN21" ca="1">ROUND(ORÇAMENTO.CustoUnitario*(1+$AH21),2)</f>
        <v>0</v>
      </c>
    </row>
    <row r="22" spans="1:40" x14ac:dyDescent="0.2">
      <c r="A22" t="str">
        <f t="shared" si="1"/>
        <v>S</v>
      </c>
      <c r="B22">
        <f t="shared" ca="1" si="2"/>
        <v>2</v>
      </c>
      <c r="C22" t="str">
        <f t="shared" ca="1" si="3"/>
        <v>S</v>
      </c>
      <c r="D22">
        <f t="shared" ca="1" si="4"/>
        <v>0</v>
      </c>
      <c r="E22">
        <f ca="1">IF($C22=1,OFFSET(E22,-1,0)+MAX(1,COUNTIF(QCI!$A$13:$A$24,OFFSET(ORÇAMENTO!E22,-1,0))),OFFSET(E22,-1,0))</f>
        <v>1</v>
      </c>
      <c r="F22">
        <f t="shared" ca="1" si="5"/>
        <v>3</v>
      </c>
      <c r="G22">
        <f t="shared" ca="1" si="6"/>
        <v>0</v>
      </c>
      <c r="H22">
        <f t="shared" ca="1" si="7"/>
        <v>0</v>
      </c>
      <c r="I22">
        <f t="shared" ca="1" si="8"/>
        <v>0</v>
      </c>
      <c r="J22">
        <f t="shared" ca="1" si="9"/>
        <v>0</v>
      </c>
      <c r="K22">
        <f ca="1">IF(OR($C22="S",$C22=0),0,MATCH(OFFSET($D22,0,$C22)+IF($C22&lt;&gt;1,1,COUNTIF(QCI!$A$13:$A$24,ORÇAMENTO!E22)),OFFSET($D22,1,$C22,ROW($C$33)-ROW($C22)),0))</f>
        <v>0</v>
      </c>
      <c r="L22" s="113" t="str">
        <f t="shared" ca="1" si="10"/>
        <v/>
      </c>
      <c r="M22" s="114" t="s">
        <v>705</v>
      </c>
      <c r="N22" s="115" t="str">
        <f t="shared" ca="1" si="11"/>
        <v>Serviço</v>
      </c>
      <c r="O22" s="116" t="str">
        <f t="shared" ca="1" si="12"/>
        <v>-</v>
      </c>
      <c r="P22" s="117" t="s">
        <v>750</v>
      </c>
      <c r="Q22" s="118" t="s">
        <v>1020</v>
      </c>
      <c r="R22" s="119" t="str" cm="1">
        <f t="array" aca="1" ref="R22" ca="1">IF($C22="S",REFERENCIA.Descricao,"(digite a descrição aqui)")</f>
        <v>(Código não identificado nas referências)</v>
      </c>
      <c r="S22" s="120" t="str" cm="1">
        <f t="array" aca="1" ref="S22" ca="1">REFERENCIA.Unidade</f>
        <v>-</v>
      </c>
      <c r="T22" s="121">
        <f ca="1">OFFSET(CÁLCULO!H$15,ROW($T22)-ROW(T$15),0)</f>
        <v>105</v>
      </c>
      <c r="U22" s="122"/>
      <c r="V22" s="123" t="s">
        <v>663</v>
      </c>
      <c r="W22" s="121" cm="1">
        <f t="array" aca="1" ref="W22" ca="1">IF($C22="S",ROUND(IF(TIPOORCAMENTO="Proposto",ORÇAMENTO.CustoUnitario*(1+$AH22),ORÇAMENTO.PrecoUnitarioLicitado),15-13*$AF$10),0)</f>
        <v>0</v>
      </c>
      <c r="X22" s="124" cm="1">
        <f t="array" aca="1" ref="X22" ca="1">IF($C22="S",IF(OR(Import.TipoArredondamento&lt;&gt;"TransfereGOV",ACOMPANHAMENTO="BM"),VTOTAL1,SUM(OFFSET(CÁLCULO!$AA$15,ROW($X22)-ROW($X$15),1):OFFSET(CÁLCULO!$AL$15,ROW($X22)-ROW($X$15),-1))),IF($C22=0,0,ROUND(SomaAgrup,15-13*$AF$11)))</f>
        <v>0</v>
      </c>
      <c r="Y22" s="125" t="s">
        <v>751</v>
      </c>
      <c r="Z22" t="str">
        <f t="shared" ca="1" si="13"/>
        <v/>
      </c>
      <c r="AA22" s="126" cm="1">
        <f t="array" aca="1" ref="AA22" ca="1">IF($C22="S",IF($Z22="CP",$X22,IF($Z22="RA",(($X22)*QCI!$AA$3),0)),SomaAgrup)</f>
        <v>0</v>
      </c>
      <c r="AB22" s="127" cm="1">
        <f t="array" aca="1" ref="AB22" ca="1">IF($C22="S",IF($Z22="OU",ROUND($X22,2),0),SomaAgrup)</f>
        <v>0</v>
      </c>
      <c r="AC22" s="564"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105727</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7" cm="1">
        <f t="array" aca="1" ref="AG22" ca="1">ROUND(IF(DESONERACAO="sim",REFERENCIA.Desonerado,REFERENCIA.NaoDesonerado),2)</f>
        <v>0</v>
      </c>
      <c r="AH22" s="428">
        <f t="shared" ca="1" si="14"/>
        <v>0.20960000000000001</v>
      </c>
      <c r="AJ22" s="430">
        <f>2100*0.05</f>
        <v>105</v>
      </c>
      <c r="AL22" s="438"/>
      <c r="AM22" s="335">
        <f t="shared" ca="1" si="0"/>
        <v>0</v>
      </c>
      <c r="AN22" s="469" cm="1">
        <f t="array" aca="1" ref="AN22" ca="1">ROUND(ORÇAMENTO.CustoUnitario*(1+$AH22),2)</f>
        <v>0</v>
      </c>
    </row>
    <row r="23" spans="1:40" x14ac:dyDescent="0.2">
      <c r="A23" t="str">
        <f t="shared" si="1"/>
        <v>S</v>
      </c>
      <c r="B23">
        <f t="shared" ca="1" si="2"/>
        <v>2</v>
      </c>
      <c r="C23" t="str">
        <f t="shared" ca="1" si="3"/>
        <v>S</v>
      </c>
      <c r="D23">
        <f t="shared" ca="1" si="4"/>
        <v>0</v>
      </c>
      <c r="E23">
        <f ca="1">IF($C23=1,OFFSET(E23,-1,0)+MAX(1,COUNTIF(QCI!$A$13:$A$24,OFFSET(ORÇAMENTO!E23,-1,0))),OFFSET(E23,-1,0))</f>
        <v>1</v>
      </c>
      <c r="F23">
        <f t="shared" ca="1" si="5"/>
        <v>3</v>
      </c>
      <c r="G23">
        <f t="shared" ca="1" si="6"/>
        <v>0</v>
      </c>
      <c r="H23">
        <f t="shared" ca="1" si="7"/>
        <v>0</v>
      </c>
      <c r="I23">
        <f t="shared" ca="1" si="8"/>
        <v>0</v>
      </c>
      <c r="J23">
        <f t="shared" ca="1" si="9"/>
        <v>0</v>
      </c>
      <c r="K23">
        <f ca="1">IF(OR($C23="S",$C23=0),0,MATCH(OFFSET($D23,0,$C23)+IF($C23&lt;&gt;1,1,COUNTIF(QCI!$A$13:$A$24,ORÇAMENTO!E23)),OFFSET($D23,1,$C23,ROW($C$33)-ROW($C23)),0))</f>
        <v>0</v>
      </c>
      <c r="L23" s="113" t="str">
        <f t="shared" ca="1" si="10"/>
        <v/>
      </c>
      <c r="M23" s="114" t="s">
        <v>705</v>
      </c>
      <c r="N23" s="115" t="str">
        <f t="shared" ca="1" si="11"/>
        <v>Serviço</v>
      </c>
      <c r="O23" s="116" t="str">
        <f t="shared" ca="1" si="12"/>
        <v>-</v>
      </c>
      <c r="P23" s="117" t="s">
        <v>955</v>
      </c>
      <c r="Q23" s="118" t="s">
        <v>1017</v>
      </c>
      <c r="R23" s="119" t="str" cm="1">
        <f t="array" aca="1" ref="R23" ca="1">IF($C23="S",REFERENCIA.Descricao,"(digite a descrição aqui)")</f>
        <v>(Código não identificado nas referências)</v>
      </c>
      <c r="S23" s="120" t="s">
        <v>638</v>
      </c>
      <c r="T23" s="121">
        <f ca="1">OFFSET(CÁLCULO!H$15,ROW($T23)-ROW(T$15),0)</f>
        <v>714</v>
      </c>
      <c r="U23" s="122"/>
      <c r="V23" s="123" t="s">
        <v>663</v>
      </c>
      <c r="W23" s="121" cm="1">
        <f t="array" aca="1" ref="W23" ca="1">IF($C23="S",ROUND(IF(TIPOORCAMENTO="Proposto",ORÇAMENTO.CustoUnitario*(1+$AH23),ORÇAMENTO.PrecoUnitarioLicitado),15-13*$AF$10),0)</f>
        <v>0</v>
      </c>
      <c r="X23" s="124" cm="1">
        <f t="array" aca="1" ref="X23" ca="1">IF($C23="S",IF(OR(Import.TipoArredondamento&lt;&gt;"TransfereGOV",ACOMPANHAMENTO="BM"),VTOTAL1,SUM(OFFSET(CÁLCULO!$AA$15,ROW($X23)-ROW($X$15),1):OFFSET(CÁLCULO!$AL$15,ROW($X23)-ROW($X$15),-1))),IF($C23=0,0,ROUND(SomaAgrup,15-13*$AF$11)))</f>
        <v>0</v>
      </c>
      <c r="Y23" s="125" t="s">
        <v>751</v>
      </c>
      <c r="Z23" t="str">
        <f t="shared" ca="1" si="13"/>
        <v/>
      </c>
      <c r="AA23" s="126" cm="1">
        <f t="array" aca="1" ref="AA23" ca="1">IF($C23="S",IF($Z23="CP",$X23,IF($Z23="RA",(($X23)*QCI!$AA$3),0)),SomaAgrup)</f>
        <v>0</v>
      </c>
      <c r="AB23" s="127" cm="1">
        <f t="array" aca="1" ref="AB23" ca="1">IF($C23="S",IF($Z23="OU",ROUND($X23,2),0),SomaAgrup)</f>
        <v>0</v>
      </c>
      <c r="AC23" s="564"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SICRO 5914389</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7" cm="1">
        <f t="array" aca="1" ref="AG23" ca="1">ROUND(IF(DESONERACAO="sim",REFERENCIA.Desonerado,REFERENCIA.NaoDesonerado),2)</f>
        <v>0</v>
      </c>
      <c r="AH23" s="428">
        <f t="shared" ca="1" si="14"/>
        <v>0.20960000000000001</v>
      </c>
      <c r="AJ23" s="430">
        <f>AJ22*1.7*4</f>
        <v>714</v>
      </c>
      <c r="AL23" s="438"/>
      <c r="AM23" s="335">
        <f t="shared" ca="1" si="0"/>
        <v>0</v>
      </c>
      <c r="AN23" s="469" cm="1">
        <f t="array" aca="1" ref="AN23" ca="1">ROUND(ORÇAMENTO.CustoUnitario*(1+$AH23),2)</f>
        <v>0</v>
      </c>
    </row>
    <row r="24" spans="1:40" x14ac:dyDescent="0.2">
      <c r="A24" t="str">
        <f t="shared" si="1"/>
        <v>S</v>
      </c>
      <c r="B24">
        <f t="shared" ca="1" si="2"/>
        <v>2</v>
      </c>
      <c r="C24" t="str">
        <f t="shared" ca="1" si="3"/>
        <v>S</v>
      </c>
      <c r="D24">
        <f t="shared" ca="1" si="4"/>
        <v>0</v>
      </c>
      <c r="E24">
        <f ca="1">IF($C24=1,OFFSET(E24,-1,0)+MAX(1,COUNTIF(QCI!$A$13:$A$24,OFFSET(ORÇAMENTO!E24,-1,0))),OFFSET(E24,-1,0))</f>
        <v>1</v>
      </c>
      <c r="F24">
        <f t="shared" ca="1" si="5"/>
        <v>3</v>
      </c>
      <c r="G24">
        <f t="shared" ca="1" si="6"/>
        <v>0</v>
      </c>
      <c r="H24">
        <f t="shared" ca="1" si="7"/>
        <v>0</v>
      </c>
      <c r="I24">
        <f t="shared" ca="1" si="8"/>
        <v>0</v>
      </c>
      <c r="J24">
        <f t="shared" ca="1" si="9"/>
        <v>0</v>
      </c>
      <c r="K24">
        <f ca="1">IF(OR($C24="S",$C24=0),0,MATCH(OFFSET($D24,0,$C24)+IF($C24&lt;&gt;1,1,COUNTIF(QCI!$A$13:$A$24,ORÇAMENTO!E24)),OFFSET($D24,1,$C24,ROW($C$33)-ROW($C24)),0))</f>
        <v>0</v>
      </c>
      <c r="L24" s="113" t="str">
        <f t="shared" ca="1" si="10"/>
        <v/>
      </c>
      <c r="M24" s="114" t="s">
        <v>705</v>
      </c>
      <c r="N24" s="115" t="str">
        <f t="shared" ca="1" si="11"/>
        <v>Serviço</v>
      </c>
      <c r="O24" s="116" t="str">
        <f t="shared" ca="1" si="12"/>
        <v>-</v>
      </c>
      <c r="P24" s="117" t="s">
        <v>955</v>
      </c>
      <c r="Q24" s="118" t="s">
        <v>1018</v>
      </c>
      <c r="R24" s="119" t="str" cm="1">
        <f t="array" aca="1" ref="R24" ca="1">IF($C24="S",REFERENCIA.Descricao,"(digite a descrição aqui)")</f>
        <v>(Código não identificado nas referências)</v>
      </c>
      <c r="S24" s="120" t="s">
        <v>638</v>
      </c>
      <c r="T24" s="121">
        <f ca="1">OFFSET(CÁLCULO!H$15,ROW($T24)-ROW(T$15),0)</f>
        <v>3213</v>
      </c>
      <c r="U24" s="122"/>
      <c r="V24" s="123" t="s">
        <v>663</v>
      </c>
      <c r="W24" s="121" cm="1">
        <f t="array" aca="1" ref="W24" ca="1">IF($C24="S",ROUND(IF(TIPOORCAMENTO="Proposto",ORÇAMENTO.CustoUnitario*(1+$AH24),ORÇAMENTO.PrecoUnitarioLicitado),15-13*$AF$10),0)</f>
        <v>0</v>
      </c>
      <c r="X24" s="124" cm="1">
        <f t="array" aca="1" ref="X24" ca="1">IF($C24="S",IF(OR(Import.TipoArredondamento&lt;&gt;"TransfereGOV",ACOMPANHAMENTO="BM"),VTOTAL1,SUM(OFFSET(CÁLCULO!$AA$15,ROW($X24)-ROW($X$15),1):OFFSET(CÁLCULO!$AL$15,ROW($X24)-ROW($X$15),-1))),IF($C24=0,0,ROUND(SomaAgrup,15-13*$AF$11)))</f>
        <v>0</v>
      </c>
      <c r="Y24" s="125" t="s">
        <v>751</v>
      </c>
      <c r="Z24" t="str">
        <f t="shared" ca="1" si="13"/>
        <v/>
      </c>
      <c r="AA24" s="126" cm="1">
        <f t="array" aca="1" ref="AA24" ca="1">IF($C24="S",IF($Z24="CP",$X24,IF($Z24="RA",(($X24)*QCI!$AA$3),0)),SomaAgrup)</f>
        <v>0</v>
      </c>
      <c r="AB24" s="127" cm="1">
        <f t="array" aca="1" ref="AB24" ca="1">IF($C24="S",IF($Z24="OU",ROUND($X24,2),0),SomaAgrup)</f>
        <v>0</v>
      </c>
      <c r="AC24" s="564"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SICRO 5914359</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7" cm="1">
        <f t="array" aca="1" ref="AG24" ca="1">ROUND(IF(DESONERACAO="sim",REFERENCIA.Desonerado,REFERENCIA.NaoDesonerado),2)</f>
        <v>0</v>
      </c>
      <c r="AH24" s="428">
        <f t="shared" ca="1" si="14"/>
        <v>0.20960000000000001</v>
      </c>
      <c r="AJ24" s="430">
        <f>AJ22*1.7*18</f>
        <v>3213</v>
      </c>
      <c r="AL24" s="438"/>
      <c r="AM24" s="335">
        <f t="shared" ca="1" si="0"/>
        <v>0</v>
      </c>
      <c r="AN24" s="469" cm="1">
        <f t="array" aca="1" ref="AN24" ca="1">ROUND(ORÇAMENTO.CustoUnitario*(1+$AH24),2)</f>
        <v>0</v>
      </c>
    </row>
    <row r="25" spans="1:40" ht="25.5" x14ac:dyDescent="0.2">
      <c r="A25">
        <f t="shared" si="1"/>
        <v>2</v>
      </c>
      <c r="B25">
        <f t="shared" ca="1" si="2"/>
        <v>2</v>
      </c>
      <c r="C25">
        <f t="shared" ca="1" si="3"/>
        <v>2</v>
      </c>
      <c r="D25">
        <f t="shared" ca="1" si="4"/>
        <v>4</v>
      </c>
      <c r="E25">
        <f ca="1">IF($C25=1,OFFSET(E25,-1,0)+MAX(1,COUNTIF(QCI!$A$13:$A$24,OFFSET(ORÇAMENTO!E25,-1,0))),OFFSET(E25,-1,0))</f>
        <v>1</v>
      </c>
      <c r="F25">
        <f t="shared" ca="1" si="5"/>
        <v>4</v>
      </c>
      <c r="G25">
        <f t="shared" ca="1" si="6"/>
        <v>0</v>
      </c>
      <c r="H25">
        <f t="shared" ca="1" si="7"/>
        <v>0</v>
      </c>
      <c r="I25">
        <f t="shared" ca="1" si="8"/>
        <v>0</v>
      </c>
      <c r="J25">
        <f t="shared" ca="1" si="9"/>
        <v>8</v>
      </c>
      <c r="K25">
        <f ca="1">IF(OR($C25="S",$C25=0),0,MATCH(OFFSET($D25,0,$C25)+IF($C25&lt;&gt;1,1,COUNTIF(QCI!$A$13:$A$24,ORÇAMENTO!E25)),OFFSET($D25,1,$C25,ROW($C$33)-ROW($C25)),0))</f>
        <v>4</v>
      </c>
      <c r="L25" s="113" t="str">
        <f t="shared" ca="1" si="10"/>
        <v>F</v>
      </c>
      <c r="M25" s="114" t="s">
        <v>702</v>
      </c>
      <c r="N25" s="115" t="str">
        <f t="shared" ca="1" si="11"/>
        <v>Nível 2</v>
      </c>
      <c r="O25" s="116" t="str">
        <f t="shared" ca="1" si="12"/>
        <v>1.4.</v>
      </c>
      <c r="P25" s="117" t="s">
        <v>750</v>
      </c>
      <c r="Q25" s="118"/>
      <c r="R25" s="119" t="s">
        <v>1029</v>
      </c>
      <c r="S25" s="120" t="str" cm="1">
        <f t="array" aca="1" ref="S25" ca="1">REFERENCIA.Unidade</f>
        <v>-</v>
      </c>
      <c r="T25" s="121">
        <f ca="1">OFFSET(CÁLCULO!H$15,ROW($T25)-ROW(T$15),0)</f>
        <v>0</v>
      </c>
      <c r="U25" s="122"/>
      <c r="V25" s="123" t="s">
        <v>663</v>
      </c>
      <c r="W25" s="121" cm="1">
        <f t="array" aca="1" ref="W25" ca="1">IF($C25="S",ROUND(IF(TIPOORCAMENTO="Proposto",ORÇAMENTO.CustoUnitario*(1+$AH25),ORÇAMENTO.PrecoUnitarioLicitado),15-13*$AF$10),0)</f>
        <v>0</v>
      </c>
      <c r="X25" s="124" cm="1">
        <f t="array" aca="1" ref="X25" ca="1">IF($C25="S",IF(OR(Import.TipoArredondamento&lt;&gt;"TransfereGOV",ACOMPANHAMENTO="BM"),VTOTAL1,SUM(OFFSET(CÁLCULO!$AA$15,ROW($X25)-ROW($X$15),1):OFFSET(CÁLCULO!$AL$15,ROW($X25)-ROW($X$15),-1))),IF($C25=0,0,ROUND(SomaAgrup,15-13*$AF$11)))</f>
        <v>0</v>
      </c>
      <c r="Y25" s="125" t="s">
        <v>751</v>
      </c>
      <c r="Z25" t="str">
        <f t="shared" ca="1" si="13"/>
        <v/>
      </c>
      <c r="AA25" s="126" cm="1">
        <f t="array" aca="1" ref="AA25" ca="1">IF($C25="S",IF($Z25="CP",$X25,IF($Z25="RA",(($X25)*QCI!$AA$3),0)),SomaAgrup)</f>
        <v>0</v>
      </c>
      <c r="AB25" s="127" cm="1">
        <f t="array" aca="1" ref="AB25" ca="1">IF($C25="S",IF($Z25="OU",ROUND($X25,2),0),SomaAgrup)</f>
        <v>0</v>
      </c>
      <c r="AC25" s="564"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f ca="1">IF(C25&lt;=CRONO.NivelExibicao,MAX($AD$15:OFFSET(AD25,-1,0))+IF($C25&lt;&gt;1,1,MAX(1,COUNTIF(QCI!$A$13:$A$24,OFFSET($E25,-1,0)))),"")</f>
        <v>5</v>
      </c>
      <c r="AE25" s="7" t="b" cm="1">
        <f t="array" aca="1" ref="AE25" ca="1">IF(AND($C25="S",ORÇAMENTO.CodBarra&lt;&gt;""),IF(ORÇAMENTO.Fonte="",ORÇAMENTO.CodBarra,CONCATENATE(ORÇAMENTO.Fonte," ",ORÇAMENTO.CodBarra)))</f>
        <v>0</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(Sem Código)</v>
      </c>
      <c r="AG25" s="427" cm="1">
        <f t="array" aca="1" ref="AG25" ca="1">ROUND(IF(DESONERACAO="sim",REFERENCIA.Desonerado,REFERENCIA.NaoDesonerado),2)</f>
        <v>0</v>
      </c>
      <c r="AH25" s="428">
        <f t="shared" ca="1" si="14"/>
        <v>0.20960000000000001</v>
      </c>
      <c r="AJ25" s="430"/>
      <c r="AL25" s="438"/>
      <c r="AM25" s="335">
        <f t="shared" ca="1" si="0"/>
        <v>0</v>
      </c>
      <c r="AN25" s="469" cm="1">
        <f t="array" aca="1" ref="AN25" ca="1">ROUND(ORÇAMENTO.CustoUnitario*(1+$AH25),2)</f>
        <v>0</v>
      </c>
    </row>
    <row r="26" spans="1:40" x14ac:dyDescent="0.2">
      <c r="A26" t="str">
        <f t="shared" si="1"/>
        <v>S</v>
      </c>
      <c r="B26">
        <f t="shared" ca="1" si="2"/>
        <v>2</v>
      </c>
      <c r="C26" t="str">
        <f t="shared" ca="1" si="3"/>
        <v>S</v>
      </c>
      <c r="D26">
        <f t="shared" ca="1" si="4"/>
        <v>0</v>
      </c>
      <c r="E26">
        <f ca="1">IF($C26=1,OFFSET(E26,-1,0)+MAX(1,COUNTIF(QCI!$A$13:$A$24,OFFSET(ORÇAMENTO!E26,-1,0))),OFFSET(E26,-1,0))</f>
        <v>1</v>
      </c>
      <c r="F26">
        <f t="shared" ca="1" si="5"/>
        <v>4</v>
      </c>
      <c r="G26">
        <f t="shared" ca="1" si="6"/>
        <v>0</v>
      </c>
      <c r="H26">
        <f t="shared" ca="1" si="7"/>
        <v>0</v>
      </c>
      <c r="I26">
        <f t="shared" ca="1" si="8"/>
        <v>0</v>
      </c>
      <c r="J26">
        <f t="shared" ca="1" si="9"/>
        <v>0</v>
      </c>
      <c r="K26">
        <f ca="1">IF(OR($C26="S",$C26=0),0,MATCH(OFFSET($D26,0,$C26)+IF($C26&lt;&gt;1,1,COUNTIF(QCI!$A$13:$A$24,ORÇAMENTO!E26)),OFFSET($D26,1,$C26,ROW($C$33)-ROW($C26)),0))</f>
        <v>0</v>
      </c>
      <c r="L26" s="113" t="str">
        <f t="shared" ca="1" si="10"/>
        <v/>
      </c>
      <c r="M26" s="114" t="s">
        <v>705</v>
      </c>
      <c r="N26" s="115" t="str">
        <f t="shared" ca="1" si="11"/>
        <v>Serviço</v>
      </c>
      <c r="O26" s="116" t="str">
        <f t="shared" ca="1" si="12"/>
        <v>-</v>
      </c>
      <c r="P26" s="117" t="s">
        <v>956</v>
      </c>
      <c r="Q26" s="118" t="s">
        <v>1028</v>
      </c>
      <c r="R26" s="119" t="str" cm="1">
        <f t="array" aca="1" ref="R26" ca="1">IF($C26="S",REFERENCIA.Descricao,"(digite a descrição aqui)")</f>
        <v>(Código não identificado nas referências)</v>
      </c>
      <c r="S26" s="120" t="s">
        <v>623</v>
      </c>
      <c r="T26" s="121">
        <f ca="1">OFFSET(CÁLCULO!H$15,ROW($T26)-ROW(T$15),0)</f>
        <v>2100</v>
      </c>
      <c r="U26" s="122"/>
      <c r="V26" s="123" t="s">
        <v>663</v>
      </c>
      <c r="W26" s="121" cm="1">
        <f t="array" aca="1" ref="W26" ca="1">IF($C26="S",ROUND(IF(TIPOORCAMENTO="Proposto",ORÇAMENTO.CustoUnitario*(1+$AH26),ORÇAMENTO.PrecoUnitarioLicitado),15-13*$AF$10),0)</f>
        <v>0</v>
      </c>
      <c r="X26" s="124" cm="1">
        <f t="array" aca="1" ref="X26" ca="1">IF($C26="S",IF(OR(Import.TipoArredondamento&lt;&gt;"TransfereGOV",ACOMPANHAMENTO="BM"),VTOTAL1,SUM(OFFSET(CÁLCULO!$AA$15,ROW($X26)-ROW($X$15),1):OFFSET(CÁLCULO!$AL$15,ROW($X26)-ROW($X$15),-1))),IF($C26=0,0,ROUND(SomaAgrup,15-13*$AF$11)))</f>
        <v>0</v>
      </c>
      <c r="Y26" s="125" t="s">
        <v>751</v>
      </c>
      <c r="Z26" t="str">
        <f t="shared" ca="1" si="13"/>
        <v/>
      </c>
      <c r="AA26" s="126" cm="1">
        <f t="array" aca="1" ref="AA26" ca="1">IF($C26="S",IF($Z26="CP",$X26,IF($Z26="RA",(($X26)*QCI!$AA$3),0)),SomaAgrup)</f>
        <v>0</v>
      </c>
      <c r="AB26" s="127" cm="1">
        <f t="array" aca="1" ref="AB26" ca="1">IF($C26="S",IF($Z26="OU",ROUND($X26,2),0),SomaAgrup)</f>
        <v>0</v>
      </c>
      <c r="AC26" s="564"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Composição 01</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7" cm="1">
        <f t="array" aca="1" ref="AG26" ca="1">ROUND(IF(DESONERACAO="sim",REFERENCIA.Desonerado,REFERENCIA.NaoDesonerado),2)</f>
        <v>0</v>
      </c>
      <c r="AH26" s="428">
        <f t="shared" ca="1" si="14"/>
        <v>0.20960000000000001</v>
      </c>
      <c r="AJ26" s="430">
        <f>(310*6.5)+85</f>
        <v>2100</v>
      </c>
      <c r="AL26" s="438"/>
      <c r="AM26" s="335">
        <f t="shared" ca="1" si="0"/>
        <v>0</v>
      </c>
      <c r="AN26" s="469" cm="1">
        <f t="array" aca="1" ref="AN26" ca="1">ROUND(ORÇAMENTO.CustoUnitario*(1+$AH26),2)</f>
        <v>0</v>
      </c>
    </row>
    <row r="27" spans="1:40" x14ac:dyDescent="0.2">
      <c r="A27" t="str">
        <f t="shared" si="1"/>
        <v>S</v>
      </c>
      <c r="B27">
        <f t="shared" ca="1" si="2"/>
        <v>2</v>
      </c>
      <c r="C27" t="str">
        <f t="shared" ca="1" si="3"/>
        <v>S</v>
      </c>
      <c r="D27">
        <f t="shared" ca="1" si="4"/>
        <v>0</v>
      </c>
      <c r="E27">
        <f ca="1">IF($C27=1,OFFSET(E27,-1,0)+MAX(1,COUNTIF(QCI!$A$13:$A$24,OFFSET(ORÇAMENTO!E27,-1,0))),OFFSET(E27,-1,0))</f>
        <v>1</v>
      </c>
      <c r="F27">
        <f t="shared" ca="1" si="5"/>
        <v>4</v>
      </c>
      <c r="G27">
        <f t="shared" ca="1" si="6"/>
        <v>0</v>
      </c>
      <c r="H27">
        <f t="shared" ca="1" si="7"/>
        <v>0</v>
      </c>
      <c r="I27">
        <f t="shared" ca="1" si="8"/>
        <v>0</v>
      </c>
      <c r="J27">
        <f t="shared" ca="1" si="9"/>
        <v>0</v>
      </c>
      <c r="K27">
        <f ca="1">IF(OR($C27="S",$C27=0),0,MATCH(OFFSET($D27,0,$C27)+IF($C27&lt;&gt;1,1,COUNTIF(QCI!$A$13:$A$24,ORÇAMENTO!E27)),OFFSET($D27,1,$C27,ROW($C$33)-ROW($C27)),0))</f>
        <v>0</v>
      </c>
      <c r="L27" s="113" t="str">
        <f t="shared" ca="1" si="10"/>
        <v/>
      </c>
      <c r="M27" s="114" t="s">
        <v>705</v>
      </c>
      <c r="N27" s="115" t="str">
        <f t="shared" ca="1" si="11"/>
        <v>Serviço</v>
      </c>
      <c r="O27" s="116" t="str">
        <f t="shared" ca="1" si="12"/>
        <v>-</v>
      </c>
      <c r="P27" s="117" t="s">
        <v>955</v>
      </c>
      <c r="Q27" s="118" t="s">
        <v>1017</v>
      </c>
      <c r="R27" s="119" t="str" cm="1">
        <f t="array" aca="1" ref="R27" ca="1">IF($C27="S",REFERENCIA.Descricao,"(digite a descrição aqui)")</f>
        <v>(Código não identificado nas referências)</v>
      </c>
      <c r="S27" s="120" t="s">
        <v>638</v>
      </c>
      <c r="T27" s="121">
        <f ca="1">OFFSET(CÁLCULO!H$15,ROW($T27)-ROW(T$15),0)</f>
        <v>3522.96</v>
      </c>
      <c r="U27" s="122"/>
      <c r="V27" s="123" t="s">
        <v>663</v>
      </c>
      <c r="W27" s="121" cm="1">
        <f t="array" aca="1" ref="W27" ca="1">IF($C27="S",ROUND(IF(TIPOORCAMENTO="Proposto",ORÇAMENTO.CustoUnitario*(1+$AH27),ORÇAMENTO.PrecoUnitarioLicitado),15-13*$AF$10),0)</f>
        <v>0</v>
      </c>
      <c r="X27" s="124" cm="1">
        <f t="array" aca="1" ref="X27" ca="1">IF($C27="S",IF(OR(Import.TipoArredondamento&lt;&gt;"TransfereGOV",ACOMPANHAMENTO="BM"),VTOTAL1,SUM(OFFSET(CÁLCULO!$AA$15,ROW($X27)-ROW($X$15),1):OFFSET(CÁLCULO!$AL$15,ROW($X27)-ROW($X$15),-1))),IF($C27=0,0,ROUND(SomaAgrup,15-13*$AF$11)))</f>
        <v>0</v>
      </c>
      <c r="Y27" s="125" t="s">
        <v>751</v>
      </c>
      <c r="Z27" t="str">
        <f t="shared" ca="1" si="13"/>
        <v/>
      </c>
      <c r="AA27" s="126" cm="1">
        <f t="array" aca="1" ref="AA27" ca="1">IF($C27="S",IF($Z27="CP",$X27,IF($Z27="RA",(($X27)*QCI!$AA$3),0)),SomaAgrup)</f>
        <v>0</v>
      </c>
      <c r="AB27" s="127" cm="1">
        <f t="array" aca="1" ref="AB27" ca="1">IF($C27="S",IF($Z27="OU",ROUND($X27,2),0),SomaAgrup)</f>
        <v>0</v>
      </c>
      <c r="AC27" s="564"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SICRO 5914389</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7" cm="1">
        <f t="array" aca="1" ref="AG27" ca="1">ROUND(IF(DESONERACAO="sim",REFERENCIA.Desonerado,REFERENCIA.NaoDesonerado),2)</f>
        <v>0</v>
      </c>
      <c r="AH27" s="428">
        <f t="shared" ca="1" si="14"/>
        <v>0.20960000000000001</v>
      </c>
      <c r="AJ27" s="430">
        <f>AJ26*(0.119+0.114)*1.8*4</f>
        <v>3522.9599999999996</v>
      </c>
      <c r="AL27" s="438"/>
      <c r="AM27" s="335">
        <f t="shared" ca="1" si="0"/>
        <v>0</v>
      </c>
      <c r="AN27" s="469" cm="1">
        <f t="array" aca="1" ref="AN27" ca="1">ROUND(ORÇAMENTO.CustoUnitario*(1+$AH27),2)</f>
        <v>0</v>
      </c>
    </row>
    <row r="28" spans="1:40" x14ac:dyDescent="0.2">
      <c r="A28" t="str">
        <f>CHOOSE(1+LOG(1+2*(ORÇAMENTO.Nivel="Meta")+4*(ORÇAMENTO.Nivel="Nível 2")+8*(ORÇAMENTO.Nivel="Nível 3")+16*(ORÇAMENTO.Nivel="Nível 4")+32*(ORÇAMENTO.Nivel="Serviço"),2),0,1,2,3,4,"S")</f>
        <v>S</v>
      </c>
      <c r="B28">
        <f ca="1">IF(OR(C28="s",C28=0),OFFSET(B28,-1,0),C28)</f>
        <v>2</v>
      </c>
      <c r="C28" t="str">
        <f ca="1">IF(OFFSET(C28,-1,0)="L",1,IF(OFFSET(C28,-1,0)=1,2,IF(OR(A28="s",A28=0),"S",IF(AND(OFFSET(C28,-1,0)=2,A28=4),3,IF(AND(OR(OFFSET(C28,-1,0)="s",OFFSET(C28,-1,0)=0),A28&lt;&gt;"s",A28&gt;OFFSET(B28,-1,0)),OFFSET(B28,-1,0),A28)))))</f>
        <v>S</v>
      </c>
      <c r="D28">
        <f ca="1">IF(OR(C28="S",C28=0),0,IF(ISERROR(K28),J28,SMALL(J28:K28,1)))</f>
        <v>0</v>
      </c>
      <c r="E28">
        <f ca="1">IF($C28=1,OFFSET(E28,-1,0)+MAX(1,COUNTIF(QCI!$A$13:$A$24,OFFSET(ORÇAMENTO!E28,-1,0))),OFFSET(E28,-1,0))</f>
        <v>1</v>
      </c>
      <c r="F28">
        <f ca="1">IF($C28=1,0,IF($C28=2,OFFSET(F28,-1,0)+1,OFFSET(F28,-1,0)))</f>
        <v>4</v>
      </c>
      <c r="G28">
        <f ca="1">IF(AND($C28&lt;=2,$C28&lt;&gt;0),0,IF($C28=3,OFFSET(G28,-1,0)+1,OFFSET(G28,-1,0)))</f>
        <v>0</v>
      </c>
      <c r="H28">
        <f ca="1">IF(AND($C28&lt;=3,$C28&lt;&gt;0),0,IF($C28=4,OFFSET(H28,-1,0)+1,OFFSET(H28,-1,0)))</f>
        <v>0</v>
      </c>
      <c r="I28">
        <f ca="1">IF(AND($C28&lt;=4,$C28&lt;&gt;0),0,IF(AND($C28="S",$X28&gt;0),OFFSET(I28,-1,0)+1,OFFSET(I28,-1,0)))</f>
        <v>0</v>
      </c>
      <c r="J28">
        <f t="shared" ca="1" si="9"/>
        <v>0</v>
      </c>
      <c r="K28">
        <f ca="1">IF(OR($C28="S",$C28=0),0,MATCH(OFFSET($D28,0,$C28)+IF($C28&lt;&gt;1,1,COUNTIF(QCI!$A$13:$A$24,ORÇAMENTO!E28)),OFFSET($D28,1,$C28,ROW($C$33)-ROW($C28)),0))</f>
        <v>0</v>
      </c>
      <c r="L28" s="113" t="str">
        <f ca="1">IF(OR($X28&gt;0,$C28=1,$C28=2,$C28=3,$C28=4),"F","")</f>
        <v/>
      </c>
      <c r="M28" s="114" t="s">
        <v>705</v>
      </c>
      <c r="N28" s="115" t="str">
        <f ca="1">CHOOSE(1+LOG(1+2*(C28=1)+4*(C28=2)+8*(C28=3)+16*(C28=4)+32*(C28="S"),2),"","Meta","Nível 2","Nível 3","Nível 4","Serviço")</f>
        <v>Serviço</v>
      </c>
      <c r="O28" s="116" t="str">
        <f ca="1">IF(OR($C28=0,$L28=""),"-",CONCATENATE(E28&amp;".",IF(AND($A$5&gt;=2,$C28&gt;=2),F28&amp;".",""),IF(AND($A$5&gt;=3,$C28&gt;=3),G28&amp;".",""),IF(AND($A$5&gt;=4,$C28&gt;=4),H28&amp;".",""),IF($C28="S",I28&amp;".","")))</f>
        <v>-</v>
      </c>
      <c r="P28" s="117" t="s">
        <v>955</v>
      </c>
      <c r="Q28" s="118" t="s">
        <v>1018</v>
      </c>
      <c r="R28" s="119" t="str" cm="1">
        <f t="array" aca="1" ref="R28" ca="1">IF($C28="S",REFERENCIA.Descricao,"(digite a descrição aqui)")</f>
        <v>(Código não identificado nas referências)</v>
      </c>
      <c r="S28" s="120" t="s">
        <v>638</v>
      </c>
      <c r="T28" s="121">
        <f ca="1">OFFSET(CÁLCULO!H$15,ROW($T28)-ROW(T$15),0)</f>
        <v>15853.32</v>
      </c>
      <c r="U28" s="122"/>
      <c r="V28" s="123" t="s">
        <v>663</v>
      </c>
      <c r="W28" s="121" cm="1">
        <f t="array" aca="1" ref="W28" ca="1">IF($C28="S",ROUND(IF(TIPOORCAMENTO="Proposto",ORÇAMENTO.CustoUnitario*(1+$AH28),ORÇAMENTO.PrecoUnitarioLicitado),15-13*$AF$10),0)</f>
        <v>0</v>
      </c>
      <c r="X28" s="124" cm="1">
        <f t="array" aca="1" ref="X28" ca="1">IF($C28="S",IF(OR(Import.TipoArredondamento&lt;&gt;"TransfereGOV",ACOMPANHAMENTO="BM"),VTOTAL1,SUM(OFFSET(CÁLCULO!$AA$15,ROW($X28)-ROW($X$15),1):OFFSET(CÁLCULO!$AL$15,ROW($X28)-ROW($X$15),-1))),IF($C28=0,0,ROUND(SomaAgrup,15-13*$AF$11)))</f>
        <v>0</v>
      </c>
      <c r="Y28" s="125" t="s">
        <v>751</v>
      </c>
      <c r="Z28" t="str">
        <f ca="1">IF(AND($C28="S",$X28&gt;0),IF(ISBLANK($Y28),"RA",LEFT($Y28,2)),"")</f>
        <v/>
      </c>
      <c r="AA28" s="126" cm="1">
        <f t="array" aca="1" ref="AA28" ca="1">IF($C28="S",IF($Z28="CP",$X28,IF($Z28="RA",(($X28)*QCI!$AA$3),0)),SomaAgrup)</f>
        <v>0</v>
      </c>
      <c r="AB28" s="127" cm="1">
        <f t="array" aca="1" ref="AB28" ca="1">IF($C28="S",IF($Z28="OU",ROUND($X28,2),0),SomaAgrup)</f>
        <v>0</v>
      </c>
      <c r="AC28" s="564"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IF(C28&lt;=CRONO.NivelExibicao,MAX($AD$15:OFFSET(AD28,-1,0))+IF($C28&lt;&gt;1,1,MAX(1,COUNTIF(QCI!$A$13:$A$24,OFFSET($E28,-1,0)))),"")</f>
        <v/>
      </c>
      <c r="AE28" s="7" t="str" cm="1">
        <f t="array" aca="1" ref="AE28" ca="1">IF(AND($C28="S",ORÇAMENTO.CodBarra&lt;&gt;""),IF(ORÇAMENTO.Fonte="",ORÇAMENTO.CodBarra,CONCATENATE(ORÇAMENTO.Fonte," ",ORÇAMENTO.CodBarra)))</f>
        <v>SICRO 5914359</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7" cm="1">
        <f t="array" aca="1" ref="AG28" ca="1">ROUND(IF(DESONERACAO="sim",REFERENCIA.Desonerado,REFERENCIA.NaoDesonerado),2)</f>
        <v>0</v>
      </c>
      <c r="AH28" s="428">
        <f ca="1">ROUND(IF(ISNUMBER(ORÇAMENTO.OpcaoBDI),ORÇAMENTO.OpcaoBDI,IF(LEFT(ORÇAMENTO.OpcaoBDI,3)="BDI",HLOOKUP(ORÇAMENTO.OpcaoBDI,$F$4:$H$5,2,FALSE),0)),15-11*$AF$9)</f>
        <v>0.20960000000000001</v>
      </c>
      <c r="AJ28" s="430">
        <f>AJ26*(0.119+0.114)*1.8*18</f>
        <v>15853.319999999998</v>
      </c>
      <c r="AL28" s="438"/>
      <c r="AM28" s="335">
        <f t="shared" ca="1" si="0"/>
        <v>0</v>
      </c>
      <c r="AN28" s="469" cm="1">
        <f t="array" aca="1" ref="AN28" ca="1">ROUND(ORÇAMENTO.CustoUnitario*(1+$AH28),2)</f>
        <v>0</v>
      </c>
    </row>
    <row r="29" spans="1:40" x14ac:dyDescent="0.2">
      <c r="A29">
        <f t="shared" si="1"/>
        <v>2</v>
      </c>
      <c r="B29">
        <f t="shared" ca="1" si="2"/>
        <v>2</v>
      </c>
      <c r="C29">
        <f t="shared" ca="1" si="3"/>
        <v>2</v>
      </c>
      <c r="D29">
        <f t="shared" ca="1" si="4"/>
        <v>2</v>
      </c>
      <c r="E29">
        <f ca="1">IF($C29=1,OFFSET(E29,-1,0)+MAX(1,COUNTIF(QCI!$A$13:$A$24,OFFSET(ORÇAMENTO!E29,-1,0))),OFFSET(E29,-1,0))</f>
        <v>1</v>
      </c>
      <c r="F29">
        <f t="shared" ca="1" si="5"/>
        <v>5</v>
      </c>
      <c r="G29">
        <f t="shared" ca="1" si="6"/>
        <v>0</v>
      </c>
      <c r="H29">
        <f t="shared" ca="1" si="7"/>
        <v>0</v>
      </c>
      <c r="I29">
        <f t="shared" ca="1" si="8"/>
        <v>0</v>
      </c>
      <c r="J29">
        <f t="shared" ca="1" si="9"/>
        <v>4</v>
      </c>
      <c r="K29">
        <f ca="1">IF(OR($C29="S",$C29=0),0,MATCH(OFFSET($D29,0,$C29)+IF($C29&lt;&gt;1,1,COUNTIF(QCI!$A$13:$A$24,ORÇAMENTO!E29)),OFFSET($D29,1,$C29,ROW($C$33)-ROW($C29)),0))</f>
        <v>2</v>
      </c>
      <c r="L29" s="113" t="str">
        <f t="shared" ca="1" si="10"/>
        <v>F</v>
      </c>
      <c r="M29" s="114" t="s">
        <v>702</v>
      </c>
      <c r="N29" s="115" t="str">
        <f t="shared" ca="1" si="11"/>
        <v>Nível 2</v>
      </c>
      <c r="O29" s="116" t="str">
        <f t="shared" ca="1" si="12"/>
        <v>1.5.</v>
      </c>
      <c r="P29" s="117" t="s">
        <v>750</v>
      </c>
      <c r="Q29" s="118"/>
      <c r="R29" s="119" t="s">
        <v>1021</v>
      </c>
      <c r="S29" s="120" t="str" cm="1">
        <f t="array" aca="1" ref="S29" ca="1">REFERENCIA.Unidade</f>
        <v>-</v>
      </c>
      <c r="T29" s="121">
        <f ca="1">OFFSET(CÁLCULO!H$15,ROW($T29)-ROW(T$15),0)</f>
        <v>0</v>
      </c>
      <c r="U29" s="122"/>
      <c r="V29" s="123" t="s">
        <v>663</v>
      </c>
      <c r="W29" s="121" cm="1">
        <f t="array" aca="1" ref="W29" ca="1">IF($C29="S",ROUND(IF(TIPOORCAMENTO="Proposto",ORÇAMENTO.CustoUnitario*(1+$AH29),ORÇAMENTO.PrecoUnitarioLicitado),15-13*$AF$10),0)</f>
        <v>0</v>
      </c>
      <c r="X29" s="124" cm="1">
        <f t="array" aca="1" ref="X29" ca="1">IF($C29="S",IF(OR(Import.TipoArredondamento&lt;&gt;"TransfereGOV",ACOMPANHAMENTO="BM"),VTOTAL1,SUM(OFFSET(CÁLCULO!$AA$15,ROW($X29)-ROW($X$15),1):OFFSET(CÁLCULO!$AL$15,ROW($X29)-ROW($X$15),-1))),IF($C29=0,0,ROUND(SomaAgrup,15-13*$AF$11)))</f>
        <v>0</v>
      </c>
      <c r="Y29" s="125" t="s">
        <v>751</v>
      </c>
      <c r="Z29" t="str">
        <f t="shared" ca="1" si="13"/>
        <v/>
      </c>
      <c r="AA29" s="126" cm="1">
        <f t="array" aca="1" ref="AA29" ca="1">IF($C29="S",IF($Z29="CP",$X29,IF($Z29="RA",(($X29)*QCI!$AA$3),0)),SomaAgrup)</f>
        <v>0</v>
      </c>
      <c r="AB29" s="127" cm="1">
        <f t="array" aca="1" ref="AB29" ca="1">IF($C29="S",IF($Z29="OU",ROUND($X29,2),0),SomaAgrup)</f>
        <v>0</v>
      </c>
      <c r="AC29" s="564"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f ca="1">IF(C29&lt;=CRONO.NivelExibicao,MAX($AD$15:OFFSET(AD29,-1,0))+IF($C29&lt;&gt;1,1,MAX(1,COUNTIF(QCI!$A$13:$A$24,OFFSET($E29,-1,0)))),"")</f>
        <v>6</v>
      </c>
      <c r="AE29" s="7" t="b" cm="1">
        <f t="array" aca="1" ref="AE29" ca="1">IF(AND($C29="S",ORÇAMENTO.CodBarra&lt;&gt;""),IF(ORÇAMENTO.Fonte="",ORÇAMENTO.CodBarra,CONCATENATE(ORÇAMENTO.Fonte," ",ORÇAMENTO.CodBarra)))</f>
        <v>0</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(Sem Código)</v>
      </c>
      <c r="AG29" s="427" cm="1">
        <f t="array" aca="1" ref="AG29" ca="1">ROUND(IF(DESONERACAO="sim",REFERENCIA.Desonerado,REFERENCIA.NaoDesonerado),2)</f>
        <v>0</v>
      </c>
      <c r="AH29" s="428">
        <f t="shared" ca="1" si="14"/>
        <v>0.20960000000000001</v>
      </c>
      <c r="AJ29" s="430"/>
      <c r="AL29" s="438"/>
      <c r="AM29" s="335">
        <f t="shared" ca="1" si="0"/>
        <v>0</v>
      </c>
      <c r="AN29" s="469" cm="1">
        <f t="array" aca="1" ref="AN29" ca="1">ROUND(ORÇAMENTO.CustoUnitario*(1+$AH29),2)</f>
        <v>0</v>
      </c>
    </row>
    <row r="30" spans="1:40" x14ac:dyDescent="0.2">
      <c r="A30" t="str">
        <f t="shared" si="1"/>
        <v>S</v>
      </c>
      <c r="B30">
        <f t="shared" ca="1" si="2"/>
        <v>2</v>
      </c>
      <c r="C30" t="str">
        <f t="shared" ca="1" si="3"/>
        <v>S</v>
      </c>
      <c r="D30">
        <f t="shared" ca="1" si="4"/>
        <v>0</v>
      </c>
      <c r="E30">
        <f ca="1">IF($C30=1,OFFSET(E30,-1,0)+MAX(1,COUNTIF(QCI!$A$13:$A$24,OFFSET(ORÇAMENTO!E30,-1,0))),OFFSET(E30,-1,0))</f>
        <v>1</v>
      </c>
      <c r="F30">
        <f t="shared" ca="1" si="5"/>
        <v>5</v>
      </c>
      <c r="G30">
        <f t="shared" ca="1" si="6"/>
        <v>0</v>
      </c>
      <c r="H30">
        <f t="shared" ca="1" si="7"/>
        <v>0</v>
      </c>
      <c r="I30">
        <f t="shared" ca="1" si="8"/>
        <v>0</v>
      </c>
      <c r="J30">
        <f t="shared" ca="1" si="9"/>
        <v>0</v>
      </c>
      <c r="K30">
        <f ca="1">IF(OR($C30="S",$C30=0),0,MATCH(OFFSET($D30,0,$C30)+IF($C30&lt;&gt;1,1,COUNTIF(QCI!$A$13:$A$24,ORÇAMENTO!E30)),OFFSET($D30,1,$C30,ROW($C$33)-ROW($C30)),0))</f>
        <v>0</v>
      </c>
      <c r="L30" s="113" t="str">
        <f t="shared" ca="1" si="10"/>
        <v/>
      </c>
      <c r="M30" s="114" t="s">
        <v>705</v>
      </c>
      <c r="N30" s="115" t="str">
        <f t="shared" ca="1" si="11"/>
        <v>Serviço</v>
      </c>
      <c r="O30" s="116" t="str">
        <f t="shared" ca="1" si="12"/>
        <v>-</v>
      </c>
      <c r="P30" s="117" t="s">
        <v>750</v>
      </c>
      <c r="Q30" s="118" t="s">
        <v>1022</v>
      </c>
      <c r="R30" s="119" t="str" cm="1">
        <f t="array" aca="1" ref="R30" ca="1">IF($C30="S",REFERENCIA.Descricao,"(digite a descrição aqui)")</f>
        <v>(Código não identificado nas referências)</v>
      </c>
      <c r="S30" s="120" t="str" cm="1">
        <f t="array" aca="1" ref="S30" ca="1">REFERENCIA.Unidade</f>
        <v>-</v>
      </c>
      <c r="T30" s="121">
        <f ca="1">OFFSET(CÁLCULO!H$15,ROW($T30)-ROW(T$15),0)</f>
        <v>640</v>
      </c>
      <c r="U30" s="122"/>
      <c r="V30" s="123" t="s">
        <v>663</v>
      </c>
      <c r="W30" s="121" cm="1">
        <f t="array" aca="1" ref="W30" ca="1">IF($C30="S",ROUND(IF(TIPOORCAMENTO="Proposto",ORÇAMENTO.CustoUnitario*(1+$AH30),ORÇAMENTO.PrecoUnitarioLicitado),15-13*$AF$10),0)</f>
        <v>0</v>
      </c>
      <c r="X30" s="124" cm="1">
        <f t="array" aca="1" ref="X30" ca="1">IF($C30="S",IF(OR(Import.TipoArredondamento&lt;&gt;"TransfereGOV",ACOMPANHAMENTO="BM"),VTOTAL1,SUM(OFFSET(CÁLCULO!$AA$15,ROW($X30)-ROW($X$15),1):OFFSET(CÁLCULO!$AL$15,ROW($X30)-ROW($X$15),-1))),IF($C30=0,0,ROUND(SomaAgrup,15-13*$AF$11)))</f>
        <v>0</v>
      </c>
      <c r="Y30" s="125" t="s">
        <v>751</v>
      </c>
      <c r="Z30" t="str">
        <f t="shared" ca="1" si="13"/>
        <v/>
      </c>
      <c r="AA30" s="126" cm="1">
        <f t="array" aca="1" ref="AA30" ca="1">IF($C30="S",IF($Z30="CP",$X30,IF($Z30="RA",(($X30)*QCI!$AA$3),0)),SomaAgrup)</f>
        <v>0</v>
      </c>
      <c r="AB30" s="127" cm="1">
        <f t="array" aca="1" ref="AB30" ca="1">IF($C30="S",IF($Z30="OU",ROUND($X30,2),0),SomaAgrup)</f>
        <v>0</v>
      </c>
      <c r="AC30" s="564"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SINAPI 94276</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7" cm="1">
        <f t="array" aca="1" ref="AG30" ca="1">ROUND(IF(DESONERACAO="sim",REFERENCIA.Desonerado,REFERENCIA.NaoDesonerado),2)</f>
        <v>0</v>
      </c>
      <c r="AH30" s="428">
        <f t="shared" ca="1" si="14"/>
        <v>0.20960000000000001</v>
      </c>
      <c r="AJ30" s="430">
        <f>310+310+5+5+5+5</f>
        <v>640</v>
      </c>
      <c r="AL30" s="438"/>
      <c r="AM30" s="335">
        <f t="shared" ca="1" si="0"/>
        <v>0</v>
      </c>
      <c r="AN30" s="469" cm="1">
        <f t="array" aca="1" ref="AN30" ca="1">ROUND(ORÇAMENTO.CustoUnitario*(1+$AH30),2)</f>
        <v>0</v>
      </c>
    </row>
    <row r="31" spans="1:40" x14ac:dyDescent="0.2">
      <c r="A31">
        <f t="shared" si="1"/>
        <v>2</v>
      </c>
      <c r="B31">
        <f t="shared" ca="1" si="2"/>
        <v>2</v>
      </c>
      <c r="C31">
        <f t="shared" ca="1" si="3"/>
        <v>2</v>
      </c>
      <c r="D31">
        <f t="shared" ca="1" si="4"/>
        <v>2</v>
      </c>
      <c r="E31">
        <f ca="1">IF($C31=1,OFFSET(E31,-1,0)+MAX(1,COUNTIF(QCI!$A$13:$A$24,OFFSET(ORÇAMENTO!E31,-1,0))),OFFSET(E31,-1,0))</f>
        <v>1</v>
      </c>
      <c r="F31">
        <f t="shared" ca="1" si="5"/>
        <v>6</v>
      </c>
      <c r="G31">
        <f t="shared" ca="1" si="6"/>
        <v>0</v>
      </c>
      <c r="H31">
        <f t="shared" ca="1" si="7"/>
        <v>0</v>
      </c>
      <c r="I31">
        <f t="shared" ca="1" si="8"/>
        <v>0</v>
      </c>
      <c r="J31">
        <f t="shared" ca="1" si="9"/>
        <v>2</v>
      </c>
      <c r="K31" t="e">
        <f ca="1">IF(OR($C31="S",$C31=0),0,MATCH(OFFSET($D31,0,$C31)+IF($C31&lt;&gt;1,1,COUNTIF(QCI!$A$13:$A$24,ORÇAMENTO!E31)),OFFSET($D31,1,$C31,ROW($C$33)-ROW($C31)),0))</f>
        <v>#N/A</v>
      </c>
      <c r="L31" s="113" t="str">
        <f t="shared" ca="1" si="10"/>
        <v>F</v>
      </c>
      <c r="M31" s="114" t="s">
        <v>702</v>
      </c>
      <c r="N31" s="115" t="str">
        <f t="shared" ca="1" si="11"/>
        <v>Nível 2</v>
      </c>
      <c r="O31" s="116" t="str">
        <f t="shared" ca="1" si="12"/>
        <v>1.6.</v>
      </c>
      <c r="P31" s="117" t="s">
        <v>750</v>
      </c>
      <c r="Q31" s="118"/>
      <c r="R31" s="119" t="s">
        <v>1024</v>
      </c>
      <c r="S31" s="120" t="str" cm="1">
        <f t="array" aca="1" ref="S31" ca="1">REFERENCIA.Unidade</f>
        <v>-</v>
      </c>
      <c r="T31" s="121">
        <f ca="1">OFFSET(CÁLCULO!H$15,ROW($T31)-ROW(T$15),0)</f>
        <v>0</v>
      </c>
      <c r="U31" s="122"/>
      <c r="V31" s="123" t="s">
        <v>663</v>
      </c>
      <c r="W31" s="121" cm="1">
        <f t="array" aca="1" ref="W31" ca="1">IF($C31="S",ROUND(IF(TIPOORCAMENTO="Proposto",ORÇAMENTO.CustoUnitario*(1+$AH31),ORÇAMENTO.PrecoUnitarioLicitado),15-13*$AF$10),0)</f>
        <v>0</v>
      </c>
      <c r="X31" s="124" cm="1">
        <f t="array" aca="1" ref="X31" ca="1">IF($C31="S",IF(OR(Import.TipoArredondamento&lt;&gt;"TransfereGOV",ACOMPANHAMENTO="BM"),VTOTAL1,SUM(OFFSET(CÁLCULO!$AA$15,ROW($X31)-ROW($X$15),1):OFFSET(CÁLCULO!$AL$15,ROW($X31)-ROW($X$15),-1))),IF($C31=0,0,ROUND(SomaAgrup,15-13*$AF$11)))</f>
        <v>0</v>
      </c>
      <c r="Y31" s="125" t="s">
        <v>751</v>
      </c>
      <c r="Z31" t="str">
        <f t="shared" ca="1" si="13"/>
        <v/>
      </c>
      <c r="AA31" s="126" cm="1">
        <f t="array" aca="1" ref="AA31" ca="1">IF($C31="S",IF($Z31="CP",$X31,IF($Z31="RA",(($X31)*QCI!$AA$3),0)),SomaAgrup)</f>
        <v>0</v>
      </c>
      <c r="AB31" s="127" cm="1">
        <f t="array" aca="1" ref="AB31" ca="1">IF($C31="S",IF($Z31="OU",ROUND($X31,2),0),SomaAgrup)</f>
        <v>0</v>
      </c>
      <c r="AC31" s="564"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f ca="1">IF(C31&lt;=CRONO.NivelExibicao,MAX($AD$15:OFFSET(AD31,-1,0))+IF($C31&lt;&gt;1,1,MAX(1,COUNTIF(QCI!$A$13:$A$24,OFFSET($E31,-1,0)))),"")</f>
        <v>7</v>
      </c>
      <c r="AE31" s="7" t="b" cm="1">
        <f t="array" aca="1" ref="AE31" ca="1">IF(AND($C31="S",ORÇAMENTO.CodBarra&lt;&gt;""),IF(ORÇAMENTO.Fonte="",ORÇAMENTO.CodBarra,CONCATENATE(ORÇAMENTO.Fonte," ",ORÇAMENTO.CodBarra)))</f>
        <v>0</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(Sem Código)</v>
      </c>
      <c r="AG31" s="427" cm="1">
        <f t="array" aca="1" ref="AG31" ca="1">ROUND(IF(DESONERACAO="sim",REFERENCIA.Desonerado,REFERENCIA.NaoDesonerado),2)</f>
        <v>0</v>
      </c>
      <c r="AH31" s="428">
        <f t="shared" ca="1" si="14"/>
        <v>0.20960000000000001</v>
      </c>
      <c r="AJ31" s="430"/>
      <c r="AL31" s="438"/>
      <c r="AM31" s="335">
        <f t="shared" ca="1" si="0"/>
        <v>0</v>
      </c>
      <c r="AN31" s="469" cm="1">
        <f t="array" aca="1" ref="AN31" ca="1">ROUND(ORÇAMENTO.CustoUnitario*(1+$AH31),2)</f>
        <v>0</v>
      </c>
    </row>
    <row r="32" spans="1:40" x14ac:dyDescent="0.2">
      <c r="A32" t="str">
        <f t="shared" ref="A32" si="15">CHOOSE(1+LOG(1+2*(ORÇAMENTO.Nivel="Meta")+4*(ORÇAMENTO.Nivel="Nível 2")+8*(ORÇAMENTO.Nivel="Nível 3")+16*(ORÇAMENTO.Nivel="Nível 4")+32*(ORÇAMENTO.Nivel="Serviço"),2),0,1,2,3,4,"S")</f>
        <v>S</v>
      </c>
      <c r="B32">
        <f ca="1">IF(OR(C32="s",C32=0),OFFSET(B32,-1,0),C32)</f>
        <v>2</v>
      </c>
      <c r="C32" t="str">
        <f ca="1">IF(OFFSET(C32,-1,0)="L",1,IF(OFFSET(C32,-1,0)=1,2,IF(OR(A32="s",A32=0),"S",IF(AND(OFFSET(C32,-1,0)=2,A32=4),3,IF(AND(OR(OFFSET(C32,-1,0)="s",OFFSET(C32,-1,0)=0),A32&lt;&gt;"s",A32&gt;OFFSET(B32,-1,0)),OFFSET(B32,-1,0),A32)))))</f>
        <v>S</v>
      </c>
      <c r="D32">
        <f ca="1">IF(OR(C32="S",C32=0),0,IF(ISERROR(K32),J32,SMALL(J32:K32,1)))</f>
        <v>0</v>
      </c>
      <c r="E32">
        <f ca="1">IF($C32=1,OFFSET(E32,-1,0)+MAX(1,COUNTIF(QCI!$A$13:$A$24,OFFSET(ORÇAMENTO!E32,-1,0))),OFFSET(E32,-1,0))</f>
        <v>1</v>
      </c>
      <c r="F32">
        <f ca="1">IF($C32=1,0,IF($C32=2,OFFSET(F32,-1,0)+1,OFFSET(F32,-1,0)))</f>
        <v>6</v>
      </c>
      <c r="G32">
        <f ca="1">IF(AND($C32&lt;=2,$C32&lt;&gt;0),0,IF($C32=3,OFFSET(G32,-1,0)+1,OFFSET(G32,-1,0)))</f>
        <v>0</v>
      </c>
      <c r="H32">
        <f ca="1">IF(AND($C32&lt;=3,$C32&lt;&gt;0),0,IF($C32=4,OFFSET(H32,-1,0)+1,OFFSET(H32,-1,0)))</f>
        <v>0</v>
      </c>
      <c r="I32">
        <f ca="1">IF(AND($C32&lt;=4,$C32&lt;&gt;0),0,IF(AND($C32="S",$X32&gt;0),OFFSET(I32,-1,0)+1,OFFSET(I32,-1,0)))</f>
        <v>0</v>
      </c>
      <c r="J32">
        <f t="shared" ca="1" si="9"/>
        <v>0</v>
      </c>
      <c r="K32">
        <f ca="1">IF(OR($C32="S",$C32=0),0,MATCH(OFFSET($D32,0,$C32)+IF($C32&lt;&gt;1,1,COUNTIF(QCI!$A$13:$A$24,ORÇAMENTO!E32)),OFFSET($D32,1,$C32,ROW($C$33)-ROW($C32)),0))</f>
        <v>0</v>
      </c>
      <c r="L32" s="113" t="str">
        <f ca="1">IF(OR($X32&gt;0,$C32=1,$C32=2,$C32=3,$C32=4),"F","")</f>
        <v/>
      </c>
      <c r="M32" s="114" t="s">
        <v>705</v>
      </c>
      <c r="N32" s="115" t="str">
        <f ca="1">CHOOSE(1+LOG(1+2*(C32=1)+4*(C32=2)+8*(C32=3)+16*(C32=4)+32*(C32="S"),2),"","Meta","Nível 2","Nível 3","Nível 4","Serviço")</f>
        <v>Serviço</v>
      </c>
      <c r="O32" s="116" t="str">
        <f ca="1">IF(OR($C32=0,$L32=""),"-",CONCATENATE(E32&amp;".",IF(AND($A$5&gt;=2,$C32&gt;=2),F32&amp;".",""),IF(AND($A$5&gt;=3,$C32&gt;=3),G32&amp;".",""),IF(AND($A$5&gt;=4,$C32&gt;=4),H32&amp;".",""),IF($C32="S",I32&amp;".","")))</f>
        <v>-</v>
      </c>
      <c r="P32" s="117" t="s">
        <v>955</v>
      </c>
      <c r="Q32" s="118" t="s">
        <v>1023</v>
      </c>
      <c r="R32" s="119" t="str" cm="1">
        <f t="array" aca="1" ref="R32" ca="1">IF($C32="S",REFERENCIA.Descricao,"(digite a descrição aqui)")</f>
        <v>(Código não identificado nas referências)</v>
      </c>
      <c r="S32" s="120" t="s">
        <v>625</v>
      </c>
      <c r="T32" s="121">
        <f ca="1">OFFSET(CÁLCULO!H$15,ROW($T32)-ROW(T$15),0)</f>
        <v>262.5</v>
      </c>
      <c r="U32" s="122"/>
      <c r="V32" s="123" t="s">
        <v>663</v>
      </c>
      <c r="W32" s="121" cm="1">
        <f t="array" aca="1" ref="W32" ca="1">IF($C32="S",ROUND(IF(TIPOORCAMENTO="Proposto",ORÇAMENTO.CustoUnitario*(1+$AH32),ORÇAMENTO.PrecoUnitarioLicitado),15-13*$AF$10),0)</f>
        <v>0</v>
      </c>
      <c r="X32" s="124" cm="1">
        <f t="array" aca="1" ref="X32" ca="1">IF($C32="S",IF(OR(Import.TipoArredondamento&lt;&gt;"TransfereGOV",ACOMPANHAMENTO="BM"),VTOTAL1,SUM(OFFSET(CÁLCULO!$AA$15,ROW($X32)-ROW($X$15),1):OFFSET(CÁLCULO!$AL$15,ROW($X32)-ROW($X$15),-1))),IF($C32=0,0,ROUND(SomaAgrup,15-13*$AF$11)))</f>
        <v>0</v>
      </c>
      <c r="Y32" s="125" t="s">
        <v>751</v>
      </c>
      <c r="Z32" t="str">
        <f ca="1">IF(AND($C32="S",$X32&gt;0),IF(ISBLANK($Y32),"RA",LEFT($Y32,2)),"")</f>
        <v/>
      </c>
      <c r="AA32" s="126" cm="1">
        <f t="array" aca="1" ref="AA32" ca="1">IF($C32="S",IF($Z32="CP",$X32,IF($Z32="RA",(($X32)*QCI!$AA$3),0)),SomaAgrup)</f>
        <v>0</v>
      </c>
      <c r="AB32" s="127" cm="1">
        <f t="array" aca="1" ref="AB32" ca="1">IF($C32="S",IF($Z32="OU",ROUND($X32,2),0),SomaAgrup)</f>
        <v>0</v>
      </c>
      <c r="AC32" s="564"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IF(C32&lt;=CRONO.NivelExibicao,MAX($AD$15:OFFSET(AD32,-1,0))+IF($C32&lt;&gt;1,1,MAX(1,COUNTIF(QCI!$A$13:$A$24,OFFSET($E32,-1,0)))),"")</f>
        <v/>
      </c>
      <c r="AE32" s="7" t="str" cm="1">
        <f t="array" aca="1" ref="AE32" ca="1">IF(AND($C32="S",ORÇAMENTO.CodBarra&lt;&gt;""),IF(ORÇAMENTO.Fonte="",ORÇAMENTO.CodBarra,CONCATENATE(ORÇAMENTO.Fonte," ",ORÇAMENTO.CodBarra)))</f>
        <v>SICRO 5501710</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7" cm="1">
        <f t="array" aca="1" ref="AG32" ca="1">ROUND(IF(DESONERACAO="sim",REFERENCIA.Desonerado,REFERENCIA.NaoDesonerado),2)</f>
        <v>0</v>
      </c>
      <c r="AH32" s="428">
        <f t="shared" ref="AH32" ca="1" si="16">ROUND(IF(ISNUMBER(ORÇAMENTO.OpcaoBDI),ORÇAMENTO.OpcaoBDI,IF(LEFT(ORÇAMENTO.OpcaoBDI,3)="BDI",HLOOKUP(ORÇAMENTO.OpcaoBDI,$F$4:$H$5,2,FALSE),0)),15-11*$AF$9)</f>
        <v>0.20960000000000001</v>
      </c>
      <c r="AJ32" s="430">
        <f>250*7*0.15</f>
        <v>262.5</v>
      </c>
      <c r="AL32" s="438"/>
      <c r="AM32" s="335">
        <f t="shared" ca="1" si="0"/>
        <v>0</v>
      </c>
      <c r="AN32" s="469" cm="1">
        <f t="array" aca="1" ref="AN32" ca="1">ROUND(ORÇAMENTO.CustoUnitario*(1+$AH32),2)</f>
        <v>0</v>
      </c>
    </row>
    <row r="33" spans="1:40" ht="5.0999999999999996" customHeight="1" x14ac:dyDescent="0.2">
      <c r="A33">
        <v>-1</v>
      </c>
      <c r="C33">
        <v>-1</v>
      </c>
      <c r="E33">
        <v>0</v>
      </c>
      <c r="F33">
        <v>0</v>
      </c>
      <c r="G33">
        <v>0</v>
      </c>
      <c r="H33">
        <v>0</v>
      </c>
      <c r="I33">
        <v>0</v>
      </c>
      <c r="L33" s="113" t="s">
        <v>536</v>
      </c>
      <c r="M33" s="615"/>
      <c r="N33" s="423"/>
      <c r="O33" s="615"/>
      <c r="P33" s="616"/>
      <c r="Q33" s="616"/>
      <c r="R33" s="616"/>
      <c r="S33" s="616"/>
      <c r="T33" s="616"/>
      <c r="U33" s="616"/>
      <c r="V33" s="616"/>
      <c r="W33" s="616"/>
      <c r="X33" s="423"/>
      <c r="Y33" s="423"/>
      <c r="AC33" s="564" t="str" cm="1">
        <f t="array" ref="AC33">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F33" s="12"/>
      <c r="AG33" s="617"/>
      <c r="AH33" s="418"/>
      <c r="AJ33" s="424"/>
      <c r="AL33" s="617"/>
      <c r="AM33" s="618"/>
      <c r="AN33" s="418"/>
    </row>
    <row r="34" spans="1:40" x14ac:dyDescent="0.2">
      <c r="AF34" s="12"/>
    </row>
    <row r="35" spans="1:40" x14ac:dyDescent="0.2">
      <c r="AF35" s="12"/>
    </row>
    <row r="36" spans="1:40" ht="14.25" x14ac:dyDescent="0.2">
      <c r="O36" s="133" t="s">
        <v>753</v>
      </c>
      <c r="Q36" s="719" t="s">
        <v>754</v>
      </c>
      <c r="R36" s="719"/>
      <c r="S36" s="719"/>
      <c r="T36" s="719"/>
      <c r="U36" s="719"/>
      <c r="V36" s="719"/>
      <c r="W36" s="719"/>
      <c r="X36" s="719"/>
      <c r="AF36" s="12"/>
    </row>
    <row r="37" spans="1:40" x14ac:dyDescent="0.2">
      <c r="AF37" s="12"/>
    </row>
    <row r="38" spans="1:40" ht="14.25" x14ac:dyDescent="0.2">
      <c r="O38" s="134" t="s">
        <v>689</v>
      </c>
      <c r="X38" s="4"/>
      <c r="AF38" s="12"/>
    </row>
    <row r="39" spans="1:40" ht="12.75" customHeight="1" x14ac:dyDescent="0.2">
      <c r="O39" s="720"/>
      <c r="P39" s="720"/>
      <c r="Q39" s="720"/>
      <c r="R39" s="720"/>
      <c r="S39" s="720"/>
      <c r="T39" s="720"/>
      <c r="U39" s="720"/>
      <c r="V39" s="720"/>
      <c r="W39" s="720"/>
      <c r="X39" s="720"/>
      <c r="AF39" s="12"/>
    </row>
    <row r="40" spans="1:40" x14ac:dyDescent="0.2">
      <c r="O40" s="720"/>
      <c r="P40" s="720"/>
      <c r="Q40" s="720"/>
      <c r="R40" s="720"/>
      <c r="S40" s="720"/>
      <c r="T40" s="720"/>
      <c r="U40" s="720"/>
      <c r="V40" s="720"/>
      <c r="W40" s="720"/>
      <c r="X40" s="720"/>
      <c r="AF40" s="12"/>
    </row>
    <row r="41" spans="1:40" x14ac:dyDescent="0.2">
      <c r="O41" s="720"/>
      <c r="P41" s="720"/>
      <c r="Q41" s="720"/>
      <c r="R41" s="720"/>
      <c r="S41" s="720"/>
      <c r="T41" s="720"/>
      <c r="U41" s="720"/>
      <c r="V41" s="720"/>
      <c r="W41" s="720"/>
      <c r="X41" s="720"/>
      <c r="AF41" s="12"/>
    </row>
    <row r="42" spans="1:40" ht="14.25" x14ac:dyDescent="0.2">
      <c r="O42" s="442"/>
      <c r="P42" s="442"/>
      <c r="Q42" s="442"/>
      <c r="R42" s="442"/>
      <c r="S42" s="442"/>
      <c r="T42" s="442"/>
      <c r="U42" s="442"/>
      <c r="V42" s="442"/>
      <c r="W42" s="442"/>
      <c r="X42" s="442"/>
      <c r="Y42" s="442"/>
      <c r="Z42" s="135"/>
      <c r="AA42" s="135"/>
      <c r="AB42" s="135"/>
      <c r="AF42" s="12"/>
    </row>
    <row r="43" spans="1:40" ht="15" x14ac:dyDescent="0.25">
      <c r="O43" s="721"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43" s="721"/>
      <c r="Q43" s="721"/>
      <c r="R43" s="721"/>
      <c r="S43" s="721"/>
      <c r="T43" s="721"/>
      <c r="U43" s="721"/>
      <c r="V43" s="721"/>
      <c r="W43" s="721"/>
      <c r="X43" s="721"/>
      <c r="Y43" s="136"/>
      <c r="Z43" s="136"/>
      <c r="AA43" s="136"/>
      <c r="AB43" s="136"/>
      <c r="AF43" s="12"/>
    </row>
    <row r="44" spans="1:40" ht="15" customHeight="1" x14ac:dyDescent="0.25">
      <c r="O44" s="723" t="s">
        <v>755</v>
      </c>
      <c r="P44" s="723"/>
      <c r="Q44" s="723"/>
      <c r="R44" s="723"/>
      <c r="S44" s="723"/>
      <c r="T44" s="723"/>
      <c r="U44" s="723"/>
      <c r="V44" s="723"/>
      <c r="W44" s="723"/>
      <c r="X44" s="723"/>
      <c r="Y44" s="136"/>
      <c r="Z44" s="136"/>
      <c r="AA44" s="136"/>
      <c r="AB44" s="136"/>
      <c r="AF44" s="12"/>
    </row>
    <row r="45" spans="1:40" x14ac:dyDescent="0.2">
      <c r="AF45" s="12"/>
    </row>
    <row r="46" spans="1:40" ht="30" customHeight="1" x14ac:dyDescent="0.2">
      <c r="O46" s="722" t="str">
        <f>Import.Município</f>
        <v>RS</v>
      </c>
      <c r="P46" s="722"/>
      <c r="Q46" s="722"/>
      <c r="S46" s="459"/>
      <c r="T46" s="459"/>
      <c r="U46" s="459"/>
      <c r="V46" s="459"/>
      <c r="W46" s="416"/>
      <c r="AF46" s="12"/>
    </row>
    <row r="47" spans="1:40" x14ac:dyDescent="0.2">
      <c r="O47" s="9" t="s">
        <v>693</v>
      </c>
      <c r="S47" s="180" t="s">
        <v>696</v>
      </c>
      <c r="T47" s="180"/>
      <c r="U47" s="180"/>
      <c r="V47" s="180"/>
      <c r="AF47" s="12"/>
    </row>
    <row r="48" spans="1:40" x14ac:dyDescent="0.2">
      <c r="S48" s="76" t="s">
        <v>240</v>
      </c>
      <c r="T48" s="77" t="str">
        <f t="array" ref="T48:T50">Import.RespOrçamento</f>
        <v>GABRIEL ADAMS DOMINGUES</v>
      </c>
      <c r="V48" s="78"/>
      <c r="AF48" s="12"/>
    </row>
    <row r="49" spans="15:32" x14ac:dyDescent="0.2">
      <c r="O49" s="716">
        <f>DADOS!$C$25</f>
        <v>46252</v>
      </c>
      <c r="P49" s="716"/>
      <c r="Q49" s="716"/>
      <c r="S49" s="76" t="s">
        <v>243</v>
      </c>
      <c r="T49" s="77" t="str">
        <v>CREA RS 247738</v>
      </c>
      <c r="U49" s="78"/>
      <c r="V49" s="78"/>
      <c r="AF49" s="12"/>
    </row>
    <row r="50" spans="15:32" x14ac:dyDescent="0.2">
      <c r="O50" s="139" t="s">
        <v>694</v>
      </c>
      <c r="P50" s="1"/>
      <c r="Q50" s="1"/>
      <c r="S50" s="76" t="s">
        <v>246</v>
      </c>
      <c r="T50" s="77" t="str">
        <v>14574615</v>
      </c>
      <c r="U50" s="78"/>
      <c r="V50" s="78"/>
      <c r="AF50" s="12"/>
    </row>
    <row r="51" spans="15:32" x14ac:dyDescent="0.2">
      <c r="AF51" s="12"/>
    </row>
    <row r="52" spans="15:32" x14ac:dyDescent="0.2">
      <c r="AF52" s="12"/>
    </row>
    <row r="53" spans="15:32" x14ac:dyDescent="0.2">
      <c r="AF53" s="12"/>
    </row>
    <row r="54" spans="15:32" x14ac:dyDescent="0.2">
      <c r="AF54" s="12"/>
    </row>
    <row r="55" spans="15:32" x14ac:dyDescent="0.2">
      <c r="AF55" s="12"/>
    </row>
    <row r="56" spans="15:32" x14ac:dyDescent="0.2">
      <c r="AF56" s="12"/>
    </row>
    <row r="57" spans="15:32" x14ac:dyDescent="0.2">
      <c r="AF57" s="12"/>
    </row>
    <row r="58" spans="15:32" x14ac:dyDescent="0.2">
      <c r="AF58" s="12"/>
    </row>
    <row r="59" spans="15:32" x14ac:dyDescent="0.2">
      <c r="AF59" s="12"/>
    </row>
    <row r="60" spans="15:32" x14ac:dyDescent="0.2">
      <c r="AF60" s="12"/>
    </row>
    <row r="61" spans="15:32" x14ac:dyDescent="0.2">
      <c r="AF61" s="12"/>
    </row>
    <row r="62" spans="15:32" x14ac:dyDescent="0.2">
      <c r="AF62" s="12"/>
    </row>
    <row r="63" spans="15:32" x14ac:dyDescent="0.2">
      <c r="AF63" s="12"/>
    </row>
    <row r="64" spans="15:32" x14ac:dyDescent="0.2">
      <c r="AF64" s="12"/>
    </row>
    <row r="65" spans="32:32" x14ac:dyDescent="0.2">
      <c r="AF65" s="12"/>
    </row>
    <row r="66" spans="32:32" x14ac:dyDescent="0.2">
      <c r="AF66" s="12"/>
    </row>
    <row r="67" spans="32:32" x14ac:dyDescent="0.2">
      <c r="AF67" s="12"/>
    </row>
    <row r="68" spans="32:32" x14ac:dyDescent="0.2">
      <c r="AF68" s="12"/>
    </row>
    <row r="69" spans="32:32" x14ac:dyDescent="0.2">
      <c r="AF69" s="12"/>
    </row>
    <row r="70" spans="32:32" x14ac:dyDescent="0.2">
      <c r="AF70" s="12"/>
    </row>
    <row r="71" spans="32:32" x14ac:dyDescent="0.2">
      <c r="AF71" s="12"/>
    </row>
    <row r="72" spans="32:32" x14ac:dyDescent="0.2">
      <c r="AF72" s="12"/>
    </row>
    <row r="73" spans="32:32" x14ac:dyDescent="0.2">
      <c r="AF73" s="12"/>
    </row>
    <row r="74" spans="32:32" x14ac:dyDescent="0.2">
      <c r="AF74" s="12"/>
    </row>
    <row r="75" spans="32:32" x14ac:dyDescent="0.2">
      <c r="AF75" s="12"/>
    </row>
    <row r="76" spans="32:32" x14ac:dyDescent="0.2">
      <c r="AF76" s="12"/>
    </row>
    <row r="77" spans="32:32" x14ac:dyDescent="0.2">
      <c r="AF77" s="12"/>
    </row>
    <row r="78" spans="32:32" x14ac:dyDescent="0.2">
      <c r="AF78" s="12"/>
    </row>
    <row r="79" spans="32:32" x14ac:dyDescent="0.2">
      <c r="AF79" s="12"/>
    </row>
    <row r="80" spans="32: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sheetData>
  <sheetProtection algorithmName="SHA-512" hashValue="/ZR/1i2vaoDIFXpwRiHk6k2MAhFmR07po6cEWAE3TCLiSeUWZiU9I1e/wWzoL6h/exu9LXDDuav1q4D1jYIsvw==" saltValue="mNl/3obUEI6HF3Nb9luZFA==" spinCount="100000" sheet="1" objects="1" scenarios="1" autoFilter="0"/>
  <autoFilter ref="L15:L33"/>
  <mergeCells count="25">
    <mergeCell ref="O49:Q49"/>
    <mergeCell ref="O15:R15"/>
    <mergeCell ref="Q36:X36"/>
    <mergeCell ref="O39:X41"/>
    <mergeCell ref="O43:X43"/>
    <mergeCell ref="O46:Q46"/>
    <mergeCell ref="O44:X44"/>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16:M20 M29:M31">
    <cfRule type="cellIs" dxfId="362" priority="43768" stopIfTrue="1" operator="notEqual">
      <formula>$N14</formula>
    </cfRule>
  </conditionalFormatting>
  <conditionalFormatting sqref="N14:O14 W14 N16:O20 W16:X20 R16:R22 R25:R27 W29:X31 N29:O31 R29:R32">
    <cfRule type="expression" dxfId="361" priority="43769" stopIfTrue="1">
      <formula>$C14=1</formula>
    </cfRule>
    <cfRule type="expression" dxfId="360" priority="43770" stopIfTrue="1">
      <formula>OR($C14=0,$C14=2,$C14=3,$C14=4)</formula>
    </cfRule>
  </conditionalFormatting>
  <conditionalFormatting sqref="U14:V14 U16:V32">
    <cfRule type="expression" dxfId="359" priority="43771" stopIfTrue="1">
      <formula>$C14=1</formula>
    </cfRule>
    <cfRule type="expression" dxfId="358" priority="43772" stopIfTrue="1">
      <formula>OR($C14=0,$C14=2,$C14=3,$C14=4)</formula>
    </cfRule>
    <cfRule type="expression" dxfId="357" priority="43773" stopIfTrue="1">
      <formula>AND(TIPOORCAMENTO="Licitado",$C14&lt;&gt;"L",$C14&lt;&gt;-1)</formula>
    </cfRule>
  </conditionalFormatting>
  <conditionalFormatting sqref="P14:Q14 S14:T14 Y14 AG14:AH14 S16:T18 S28:T28 T19:T20 AG16:AH20 Y16:Y20 S19:S22 S25:S27 S23:T24 Y23:Y24 AG23:AH24 T29:T31 AG28:AH31 Y28:Y31 S29:S32 P16:Q32">
    <cfRule type="expression" dxfId="356" priority="43774" stopIfTrue="1">
      <formula>$C14=1</formula>
    </cfRule>
    <cfRule type="expression" dxfId="355" priority="43775" stopIfTrue="1">
      <formula>OR($C14=0,$C14=2,$C14=3,$C14=4)</formula>
    </cfRule>
  </conditionalFormatting>
  <conditionalFormatting sqref="AJ33 AJ7:AJ20 AJ30">
    <cfRule type="expression" dxfId="354" priority="43776" stopIfTrue="1">
      <formula>OR(ACOMPANHAMENTO&lt;&gt;"BM",TIPOORCAMENTO="Licitado")</formula>
    </cfRule>
    <cfRule type="expression" dxfId="353" priority="43777" stopIfTrue="1">
      <formula>$C7=1</formula>
    </cfRule>
    <cfRule type="expression" dxfId="352" priority="43778" stopIfTrue="1">
      <formula>OR(AND(ISNUMBER($C7),$C7=0),$C7=2,$C7=3,$C7=4)</formula>
    </cfRule>
  </conditionalFormatting>
  <conditionalFormatting sqref="AL33 AL7:AL20 AL29:AL31">
    <cfRule type="expression" dxfId="351" priority="43779" stopIfTrue="1">
      <formula>TIPOORCAMENTO="PROPOSTO"</formula>
    </cfRule>
    <cfRule type="expression" dxfId="350" priority="43780" stopIfTrue="1">
      <formula>$C7=1</formula>
    </cfRule>
    <cfRule type="expression" dxfId="349" priority="43781" stopIfTrue="1">
      <formula>OR(AND(ISNUMBER($C7),$C7=0),$C7=2,$C7=3,$C7=4)</formula>
    </cfRule>
  </conditionalFormatting>
  <conditionalFormatting sqref="O8:P8">
    <cfRule type="expression" dxfId="348" priority="43785" stopIfTrue="1">
      <formula>ISERROR(INDIRECT($F$9))</formula>
    </cfRule>
  </conditionalFormatting>
  <conditionalFormatting sqref="S7:V8">
    <cfRule type="expression" dxfId="347" priority="43786" stopIfTrue="1">
      <formula>TIPOORCAMENTO="Proposto"</formula>
    </cfRule>
  </conditionalFormatting>
  <conditionalFormatting sqref="S9:X9">
    <cfRule type="expression" dxfId="346" priority="43733" stopIfTrue="1">
      <formula>TIPOORCAMENTO="Proposto"</formula>
    </cfRule>
  </conditionalFormatting>
  <conditionalFormatting sqref="AM33:AN33 AM7:AN20 AM29:AN31">
    <cfRule type="expression" dxfId="345" priority="43782" stopIfTrue="1">
      <formula>TIPOORCAMENTO="PROPOSTO"</formula>
    </cfRule>
    <cfRule type="expression" dxfId="344" priority="43783" stopIfTrue="1">
      <formula>$C7=1</formula>
    </cfRule>
    <cfRule type="expression" dxfId="343" priority="43784" stopIfTrue="1">
      <formula>OR(AND(ISNUMBER($C7),$C7=0),$C7=2,$C7=3,$C7=4)</formula>
    </cfRule>
  </conditionalFormatting>
  <conditionalFormatting sqref="X14">
    <cfRule type="expression" dxfId="342" priority="29358" stopIfTrue="1">
      <formula>$C14=1</formula>
    </cfRule>
    <cfRule type="expression" dxfId="341" priority="29359" stopIfTrue="1">
      <formula>OR($C14=0,$C14=2,$C14=3,$C14=4)</formula>
    </cfRule>
  </conditionalFormatting>
  <conditionalFormatting sqref="AC11">
    <cfRule type="cellIs" dxfId="340" priority="20193" operator="equal">
      <formula>"OK"</formula>
    </cfRule>
  </conditionalFormatting>
  <conditionalFormatting sqref="R14">
    <cfRule type="expression" dxfId="339" priority="5125" stopIfTrue="1">
      <formula>$C14=1</formula>
    </cfRule>
    <cfRule type="expression" dxfId="338" priority="5126" stopIfTrue="1">
      <formula>OR($C14=0,$C14=2,$C14=3,$C14=4)</formula>
    </cfRule>
  </conditionalFormatting>
  <conditionalFormatting sqref="R14 R16:R32">
    <cfRule type="beginsWith" dxfId="337" priority="5124" operator="beginsWith" text="(">
      <formula>LEFT(R14,LEN("("))="("</formula>
    </cfRule>
  </conditionalFormatting>
  <conditionalFormatting sqref="M21:M22 M25:M27">
    <cfRule type="cellIs" dxfId="336" priority="472" stopIfTrue="1" operator="notEqual">
      <formula>$N21</formula>
    </cfRule>
  </conditionalFormatting>
  <conditionalFormatting sqref="N21:O22 W21:W22 W25:W27 N25:O27">
    <cfRule type="expression" dxfId="335" priority="473" stopIfTrue="1">
      <formula>$C21=1</formula>
    </cfRule>
    <cfRule type="expression" dxfId="334" priority="474" stopIfTrue="1">
      <formula>OR($C21=0,$C21=2,$C21=3,$C21=4)</formula>
    </cfRule>
  </conditionalFormatting>
  <conditionalFormatting sqref="Y21:Y22 AG21:AH22 T21:T22 T25:T27 AG25:AH27 Y25:Y27">
    <cfRule type="expression" dxfId="333" priority="478" stopIfTrue="1">
      <formula>$C21=1</formula>
    </cfRule>
    <cfRule type="expression" dxfId="332" priority="479" stopIfTrue="1">
      <formula>OR($C21=0,$C21=2,$C21=3,$C21=4)</formula>
    </cfRule>
  </conditionalFormatting>
  <conditionalFormatting sqref="AJ21 AJ25:AJ26 AJ29 AJ31">
    <cfRule type="expression" dxfId="331" priority="480" stopIfTrue="1">
      <formula>OR(ACOMPANHAMENTO&lt;&gt;"BM",TIPOORCAMENTO="Licitado")</formula>
    </cfRule>
    <cfRule type="expression" dxfId="330" priority="481" stopIfTrue="1">
      <formula>$C21=1</formula>
    </cfRule>
    <cfRule type="expression" dxfId="329" priority="482" stopIfTrue="1">
      <formula>OR(AND(ISNUMBER($C21),$C21=0),$C21=2,$C21=3,$C21=4)</formula>
    </cfRule>
  </conditionalFormatting>
  <conditionalFormatting sqref="AL21:AL22 AL25:AL27">
    <cfRule type="expression" dxfId="328" priority="483" stopIfTrue="1">
      <formula>TIPOORCAMENTO="PROPOSTO"</formula>
    </cfRule>
    <cfRule type="expression" dxfId="327" priority="484" stopIfTrue="1">
      <formula>$C21=1</formula>
    </cfRule>
    <cfRule type="expression" dxfId="326" priority="485" stopIfTrue="1">
      <formula>OR(AND(ISNUMBER($C21),$C21=0),$C21=2,$C21=3,$C21=4)</formula>
    </cfRule>
  </conditionalFormatting>
  <conditionalFormatting sqref="AM21:AN22 AM25:AN27">
    <cfRule type="expression" dxfId="325" priority="486" stopIfTrue="1">
      <formula>TIPOORCAMENTO="PROPOSTO"</formula>
    </cfRule>
    <cfRule type="expression" dxfId="324" priority="487" stopIfTrue="1">
      <formula>$C21=1</formula>
    </cfRule>
    <cfRule type="expression" dxfId="323" priority="488" stopIfTrue="1">
      <formula>OR(AND(ISNUMBER($C21),$C21=0),$C21=2,$C21=3,$C21=4)</formula>
    </cfRule>
  </conditionalFormatting>
  <conditionalFormatting sqref="X21:X22 X25:X27">
    <cfRule type="expression" dxfId="322" priority="470" stopIfTrue="1">
      <formula>$C21=1</formula>
    </cfRule>
    <cfRule type="expression" dxfId="321" priority="471" stopIfTrue="1">
      <formula>OR($C21=0,$C21=2,$C21=3,$C21=4)</formula>
    </cfRule>
  </conditionalFormatting>
  <conditionalFormatting sqref="M32">
    <cfRule type="cellIs" dxfId="320" priority="450" stopIfTrue="1" operator="notEqual">
      <formula>$N32</formula>
    </cfRule>
  </conditionalFormatting>
  <conditionalFormatting sqref="N32:O32 W32">
    <cfRule type="expression" dxfId="319" priority="451" stopIfTrue="1">
      <formula>$C32=1</formula>
    </cfRule>
    <cfRule type="expression" dxfId="318" priority="452" stopIfTrue="1">
      <formula>OR($C32=0,$C32=2,$C32=3,$C32=4)</formula>
    </cfRule>
  </conditionalFormatting>
  <conditionalFormatting sqref="T32 Y32 AG32:AH32">
    <cfRule type="expression" dxfId="317" priority="456" stopIfTrue="1">
      <formula>$C32=1</formula>
    </cfRule>
    <cfRule type="expression" dxfId="316" priority="457" stopIfTrue="1">
      <formula>OR($C32=0,$C32=2,$C32=3,$C32=4)</formula>
    </cfRule>
  </conditionalFormatting>
  <conditionalFormatting sqref="AJ32">
    <cfRule type="expression" dxfId="315" priority="458" stopIfTrue="1">
      <formula>OR(ACOMPANHAMENTO&lt;&gt;"BM",TIPOORCAMENTO="Licitado")</formula>
    </cfRule>
    <cfRule type="expression" dxfId="314" priority="459" stopIfTrue="1">
      <formula>$C32=1</formula>
    </cfRule>
    <cfRule type="expression" dxfId="313" priority="460" stopIfTrue="1">
      <formula>OR(AND(ISNUMBER($C32),$C32=0),$C32=2,$C32=3,$C32=4)</formula>
    </cfRule>
  </conditionalFormatting>
  <conditionalFormatting sqref="AL32">
    <cfRule type="expression" dxfId="312" priority="461" stopIfTrue="1">
      <formula>TIPOORCAMENTO="PROPOSTO"</formula>
    </cfRule>
    <cfRule type="expression" dxfId="311" priority="462" stopIfTrue="1">
      <formula>$C32=1</formula>
    </cfRule>
    <cfRule type="expression" dxfId="310" priority="463" stopIfTrue="1">
      <formula>OR(AND(ISNUMBER($C32),$C32=0),$C32=2,$C32=3,$C32=4)</formula>
    </cfRule>
  </conditionalFormatting>
  <conditionalFormatting sqref="AM32:AN32">
    <cfRule type="expression" dxfId="309" priority="464" stopIfTrue="1">
      <formula>TIPOORCAMENTO="PROPOSTO"</formula>
    </cfRule>
    <cfRule type="expression" dxfId="308" priority="465" stopIfTrue="1">
      <formula>$C32=1</formula>
    </cfRule>
    <cfRule type="expression" dxfId="307" priority="466" stopIfTrue="1">
      <formula>OR(AND(ISNUMBER($C32),$C32=0),$C32=2,$C32=3,$C32=4)</formula>
    </cfRule>
  </conditionalFormatting>
  <conditionalFormatting sqref="X32">
    <cfRule type="expression" dxfId="306" priority="448" stopIfTrue="1">
      <formula>$C32=1</formula>
    </cfRule>
    <cfRule type="expression" dxfId="305" priority="449" stopIfTrue="1">
      <formula>OR($C32=0,$C32=2,$C32=3,$C32=4)</formula>
    </cfRule>
  </conditionalFormatting>
  <conditionalFormatting sqref="AJ22">
    <cfRule type="expression" dxfId="304" priority="442" stopIfTrue="1">
      <formula>OR(ACOMPANHAMENTO&lt;&gt;"BM",TIPOORCAMENTO="Licitado")</formula>
    </cfRule>
    <cfRule type="expression" dxfId="303" priority="443" stopIfTrue="1">
      <formula>$C22=1</formula>
    </cfRule>
    <cfRule type="expression" dxfId="302" priority="444" stopIfTrue="1">
      <formula>OR(AND(ISNUMBER($C22),$C22=0),$C22=2,$C22=3,$C22=4)</formula>
    </cfRule>
  </conditionalFormatting>
  <conditionalFormatting sqref="AJ27">
    <cfRule type="expression" dxfId="301" priority="437" stopIfTrue="1">
      <formula>OR(ACOMPANHAMENTO&lt;&gt;"BM",TIPOORCAMENTO="Licitado")</formula>
    </cfRule>
    <cfRule type="expression" dxfId="300" priority="438" stopIfTrue="1">
      <formula>$C27=1</formula>
    </cfRule>
    <cfRule type="expression" dxfId="299" priority="439" stopIfTrue="1">
      <formula>OR(AND(ISNUMBER($C27),$C27=0),$C27=2,$C27=3,$C27=4)</formula>
    </cfRule>
  </conditionalFormatting>
  <conditionalFormatting sqref="M28">
    <cfRule type="cellIs" dxfId="298" priority="21" stopIfTrue="1" operator="notEqual">
      <formula>$N28</formula>
    </cfRule>
  </conditionalFormatting>
  <conditionalFormatting sqref="N28:O28 W28">
    <cfRule type="expression" dxfId="297" priority="22" stopIfTrue="1">
      <formula>$C28=1</formula>
    </cfRule>
    <cfRule type="expression" dxfId="296" priority="23" stopIfTrue="1">
      <formula>OR($C28=0,$C28=2,$C28=3,$C28=4)</formula>
    </cfRule>
  </conditionalFormatting>
  <conditionalFormatting sqref="AJ28">
    <cfRule type="expression" dxfId="295" priority="24" stopIfTrue="1">
      <formula>OR(ACOMPANHAMENTO&lt;&gt;"BM",TIPOORCAMENTO="Licitado")</formula>
    </cfRule>
    <cfRule type="expression" dxfId="294" priority="25" stopIfTrue="1">
      <formula>$C28=1</formula>
    </cfRule>
    <cfRule type="expression" dxfId="293" priority="26" stopIfTrue="1">
      <formula>OR(AND(ISNUMBER($C28),$C28=0),$C28=2,$C28=3,$C28=4)</formula>
    </cfRule>
  </conditionalFormatting>
  <conditionalFormatting sqref="AL28">
    <cfRule type="expression" dxfId="292" priority="27" stopIfTrue="1">
      <formula>TIPOORCAMENTO="PROPOSTO"</formula>
    </cfRule>
    <cfRule type="expression" dxfId="291" priority="28" stopIfTrue="1">
      <formula>$C28=1</formula>
    </cfRule>
    <cfRule type="expression" dxfId="290" priority="29" stopIfTrue="1">
      <formula>OR(AND(ISNUMBER($C28),$C28=0),$C28=2,$C28=3,$C28=4)</formula>
    </cfRule>
  </conditionalFormatting>
  <conditionalFormatting sqref="AM28:AN28">
    <cfRule type="expression" dxfId="289" priority="30" stopIfTrue="1">
      <formula>TIPOORCAMENTO="PROPOSTO"</formula>
    </cfRule>
    <cfRule type="expression" dxfId="288" priority="31" stopIfTrue="1">
      <formula>$C28=1</formula>
    </cfRule>
    <cfRule type="expression" dxfId="287" priority="32" stopIfTrue="1">
      <formula>OR(AND(ISNUMBER($C28),$C28=0),$C28=2,$C28=3,$C28=4)</formula>
    </cfRule>
  </conditionalFormatting>
  <conditionalFormatting sqref="X28">
    <cfRule type="expression" dxfId="286" priority="19" stopIfTrue="1">
      <formula>$C28=1</formula>
    </cfRule>
    <cfRule type="expression" dxfId="285" priority="20" stopIfTrue="1">
      <formula>OR($C28=0,$C28=2,$C28=3,$C28=4)</formula>
    </cfRule>
  </conditionalFormatting>
  <conditionalFormatting sqref="R28">
    <cfRule type="expression" dxfId="284" priority="17" stopIfTrue="1">
      <formula>$C28=1</formula>
    </cfRule>
    <cfRule type="expression" dxfId="283" priority="18" stopIfTrue="1">
      <formula>OR($C28=0,$C28=2,$C28=3,$C28=4)</formula>
    </cfRule>
  </conditionalFormatting>
  <conditionalFormatting sqref="M23:M24">
    <cfRule type="cellIs" dxfId="282" priority="5" stopIfTrue="1" operator="notEqual">
      <formula>$N23</formula>
    </cfRule>
  </conditionalFormatting>
  <conditionalFormatting sqref="N23:O24 W23:W24">
    <cfRule type="expression" dxfId="281" priority="6" stopIfTrue="1">
      <formula>$C23=1</formula>
    </cfRule>
    <cfRule type="expression" dxfId="280" priority="7" stopIfTrue="1">
      <formula>OR($C23=0,$C23=2,$C23=3,$C23=4)</formula>
    </cfRule>
  </conditionalFormatting>
  <conditionalFormatting sqref="AJ23:AJ24">
    <cfRule type="expression" dxfId="279" priority="8" stopIfTrue="1">
      <formula>OR(ACOMPANHAMENTO&lt;&gt;"BM",TIPOORCAMENTO="Licitado")</formula>
    </cfRule>
    <cfRule type="expression" dxfId="278" priority="9" stopIfTrue="1">
      <formula>$C23=1</formula>
    </cfRule>
    <cfRule type="expression" dxfId="277" priority="10" stopIfTrue="1">
      <formula>OR(AND(ISNUMBER($C23),$C23=0),$C23=2,$C23=3,$C23=4)</formula>
    </cfRule>
  </conditionalFormatting>
  <conditionalFormatting sqref="AL23:AL24">
    <cfRule type="expression" dxfId="276" priority="11" stopIfTrue="1">
      <formula>TIPOORCAMENTO="PROPOSTO"</formula>
    </cfRule>
    <cfRule type="expression" dxfId="275" priority="12" stopIfTrue="1">
      <formula>$C23=1</formula>
    </cfRule>
    <cfRule type="expression" dxfId="274" priority="13" stopIfTrue="1">
      <formula>OR(AND(ISNUMBER($C23),$C23=0),$C23=2,$C23=3,$C23=4)</formula>
    </cfRule>
  </conditionalFormatting>
  <conditionalFormatting sqref="AM23:AN24">
    <cfRule type="expression" dxfId="273" priority="14" stopIfTrue="1">
      <formula>TIPOORCAMENTO="PROPOSTO"</formula>
    </cfRule>
    <cfRule type="expression" dxfId="272" priority="15" stopIfTrue="1">
      <formula>$C23=1</formula>
    </cfRule>
    <cfRule type="expression" dxfId="271" priority="16" stopIfTrue="1">
      <formula>OR(AND(ISNUMBER($C23),$C23=0),$C23=2,$C23=3,$C23=4)</formula>
    </cfRule>
  </conditionalFormatting>
  <conditionalFormatting sqref="X23:X24">
    <cfRule type="expression" dxfId="270" priority="3" stopIfTrue="1">
      <formula>$C23=1</formula>
    </cfRule>
    <cfRule type="expression" dxfId="269" priority="4" stopIfTrue="1">
      <formula>OR($C23=0,$C23=2,$C23=3,$C23=4)</formula>
    </cfRule>
  </conditionalFormatting>
  <conditionalFormatting sqref="R23:R24">
    <cfRule type="expression" dxfId="268" priority="1" stopIfTrue="1">
      <formula>$C23=1</formula>
    </cfRule>
    <cfRule type="expression" dxfId="267" priority="2" stopIfTrue="1">
      <formula>OR($C23=0,$C23=2,$C23=3,$C23=4)</formula>
    </cfRule>
  </conditionalFormatting>
  <dataValidations count="8">
    <dataValidation type="decimal" operator="greaterThan" allowBlank="1" showErrorMessage="1" error="Apenas números decimais maiores que zero." sqref="U14 AL14 AJ14 AL16:AL32 AJ16:AJ32 U16:U32">
      <formula1>0</formula1>
      <formula2>0</formula2>
    </dataValidation>
    <dataValidation allowBlank="1" showInputMessage="1" showErrorMessage="1" prompt="A entrada de quantidades é feita na coluna AJ se acompanhamento por BM, ou na aba &quot;Memória de Cálculo/PLQ&quot; se acompanhamento por PLE." sqref="T14 T16:T32"/>
    <dataValidation allowBlank="1" showInputMessage="1" showErrorMessage="1" prompt="Para Orçamento Proposto, o Preço Unitário é resultado do produto do Custo Unitário pelo BDI._x000a_Para Orçamento Licitado, deve ser preenchido na Coluna AL." sqref="W14 W16:W32"/>
    <dataValidation type="list" errorStyle="information" allowBlank="1" showInputMessage="1" prompt="Selecione uma sigla de unidade na lista suspensa." sqref="S14 S16:S32">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32">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32">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32">
      <formula1>ORÇAMENTO.Lista.Fonte</formula1>
    </dataValidation>
    <dataValidation type="list" showInputMessage="1" showErrorMessage="1" errorTitle="Erro de Entrada" error="Selecione somente os itens da lista." promptTitle="Nível:" prompt="Selecione na lista o nível de itemização da Planilha." sqref="M14 M16:M32">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5"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5" t="str">
        <f t="shared" ref="A1" si="0">IF(D1="","","F")</f>
        <v/>
      </c>
      <c r="B1" t="e">
        <f ca="1">IF(OR(C1=" ",D1=""),"",CONCATENATE(C1,". ",D1))</f>
        <v>#REF!</v>
      </c>
      <c r="C1" s="181" t="e" cm="1">
        <f t="array" aca="1" ref="C1" ca="1">IF(OR(ROW(C1)=ROW(EVENTOS.firstrow)+1,AND(OFFSET(C1,-1,0)&lt;&gt;" ",OFFSET(C1,-1,1)&lt;&gt;"")),OFFSET(C1,-1,0)+1," ")</f>
        <v>#REF!</v>
      </c>
      <c r="D1" s="495"/>
      <c r="E1" s="619" cm="1">
        <f t="array" aca="1" ref="E1" ca="1">IF(AUTOEVENTO="Manual",ROUND(SUMPRODUCT((CÁLCULO!$M$15:$M$33=EVENTOS!$C1)*(OFFSET(CÁLCULO!$AA$15:$AA$33,0,E$13))),2),0)</f>
        <v>0</v>
      </c>
      <c r="F1" s="182">
        <f ca="1">IF(AUTOEVENTO="Manual",ROUND(SUMPRODUCT((CÁLCULO!$M$15:$M$33=EVENTOS!$C1)*(OFFSET(CÁLCULO!$AA$15,0,1):OFFSET(CÁLCULO!$AL$33,0,-1))),2),0)</f>
        <v>0</v>
      </c>
      <c r="G1" s="620" t="str">
        <f ca="1">IF(AND(D1=0,F1&gt;0),"NOME",
 IF(AND(D1&lt;&gt;0,$F$14&gt;0,F1=0),"VALOR",
 IF(AND(Import.TipoArredondamento="TransfereGOV",$A1="F",LEN(D1)&gt;100),"Nome &gt;100","")))</f>
        <v/>
      </c>
      <c r="H1" s="619" cm="1">
        <f t="array" aca="1" ref="H1" ca="1">IF(AUTOEVENTO="Manual",ROUND(SUMPRODUCT((CÁLCULO!$M$15:$M$33=EVENTOS!$C1)*(OFFSET(CÁLCULO!$AA$15:$AA$33,0,H$13))),2),0)</f>
        <v>0</v>
      </c>
      <c r="I1" s="619" cm="1">
        <f t="array" aca="1" ref="I1" ca="1">IF(AUTOEVENTO="Manual",ROUND(SUMPRODUCT((CÁLCULO!$M$15:$M$33=EVENTOS!$C1)*(OFFSET(CÁLCULO!$AA$15:$AA$33,0,I$13))),2),0)</f>
        <v>0</v>
      </c>
      <c r="J1" s="619" cm="1">
        <f t="array" aca="1" ref="J1" ca="1">IF(AUTOEVENTO="Manual",ROUND(SUMPRODUCT((CÁLCULO!$M$15:$M$33=EVENTOS!$C1)*(OFFSET(CÁLCULO!$AA$15:$AA$33,0,J$13))),2),0)</f>
        <v>0</v>
      </c>
      <c r="K1" s="619" cm="1">
        <f t="array" aca="1" ref="K1" ca="1">IF(AUTOEVENTO="Manual",ROUND(SUMPRODUCT((CÁLCULO!$M$15:$M$33=EVENTOS!$C1)*(OFFSET(CÁLCULO!$AA$15:$AA$33,0,K$13))),2),0)</f>
        <v>0</v>
      </c>
      <c r="L1" s="619" cm="1">
        <f t="array" aca="1" ref="L1" ca="1">IF(AUTOEVENTO="Manual",ROUND(SUMPRODUCT((CÁLCULO!$M$15:$M$33=EVENTOS!$C1)*(OFFSET(CÁLCULO!$AA$15:$AA$33,0,L$13))),2),0)</f>
        <v>0</v>
      </c>
      <c r="M1" s="619" cm="1">
        <f t="array" aca="1" ref="M1" ca="1">IF(AUTOEVENTO="Manual",ROUND(SUMPRODUCT((CÁLCULO!$M$15:$M$33=EVENTOS!$C1)*(OFFSET(CÁLCULO!$AA$15:$AA$33,0,M$13))),2),0)</f>
        <v>0</v>
      </c>
      <c r="N1" s="619" cm="1">
        <f t="array" aca="1" ref="N1" ca="1">IF(AUTOEVENTO="Manual",ROUND(SUMPRODUCT((CÁLCULO!$M$15:$M$33=EVENTOS!$C1)*(OFFSET(CÁLCULO!$AA$15:$AA$33,0,N$13))),2),0)</f>
        <v>0</v>
      </c>
      <c r="O1" s="619" cm="1">
        <f t="array" aca="1" ref="O1" ca="1">IF(AUTOEVENTO="Manual",ROUND(SUMPRODUCT((CÁLCULO!$M$15:$M$33=EVENTOS!$C1)*(OFFSET(CÁLCULO!$AA$15:$AA$33,0,O$13))),2),0)</f>
        <v>0</v>
      </c>
      <c r="P1" s="619" cm="1">
        <f t="array" aca="1" ref="P1" ca="1">IF(AUTOEVENTO="Manual",ROUND(SUMPRODUCT((CÁLCULO!$M$15:$M$33=EVENTOS!$C1)*(OFFSET(CÁLCULO!$AA$15:$AA$33,0,P$13))),2),0)</f>
        <v>0</v>
      </c>
      <c r="Q1" s="619" cm="1">
        <f t="array" aca="1" ref="Q1" ca="1">IF(AUTOEVENTO="Manual",ROUND(SUMPRODUCT((CÁLCULO!$M$15:$M$33=EVENTOS!$C1)*(OFFSET(CÁLCULO!$AA$15:$AA$33,0,Q$13))),2),0)</f>
        <v>0</v>
      </c>
      <c r="R1" s="619" cm="1">
        <f t="array" aca="1" ref="R1" ca="1">IF(AUTOEVENTO="Manual",ROUND(SUMPRODUCT((CÁLCULO!$M$15:$M$33=EVENTOS!$C1)*(OFFSET(CÁLCULO!$AA$15:$AA$33,0,R$13))),2),0)</f>
        <v>0</v>
      </c>
      <c r="S1" s="619" cm="1">
        <f t="array" aca="1" ref="S1" ca="1">IF(AUTOEVENTO="Manual",ROUND(SUMPRODUCT((CÁLCULO!$M$15:$M$33=EVENTOS!$C1)*(OFFSET(CÁLCULO!$AA$15:$AA$33,0,S$13))),2),0)</f>
        <v>0</v>
      </c>
      <c r="T1" s="619" cm="1">
        <f t="array" aca="1" ref="T1" ca="1">IF(AUTOEVENTO="Manual",ROUND(SUMPRODUCT((CÁLCULO!$M$15:$M$33=EVENTOS!$C1)*(OFFSET(CÁLCULO!$AA$15:$AA$33,0,T$13))),2),0)</f>
        <v>0</v>
      </c>
      <c r="U1" s="619" cm="1">
        <f t="array" aca="1" ref="U1" ca="1">IF(AUTOEVENTO="Manual",ROUND(SUMPRODUCT((CÁLCULO!$M$15:$M$33=EVENTOS!$C1)*(OFFSET(CÁLCULO!$AA$15:$AA$33,0,U$13))),2),0)</f>
        <v>0</v>
      </c>
      <c r="V1" s="619" cm="1">
        <f t="array" aca="1" ref="V1" ca="1">IF(AUTOEVENTO="Manual",ROUND(SUMPRODUCT((CÁLCULO!$M$15:$M$33=EVENTOS!$C1)*(OFFSET(CÁLCULO!$AA$15:$AA$33,0,V$13))),2),0)</f>
        <v>0</v>
      </c>
      <c r="W1" s="619" cm="1">
        <f t="array" aca="1" ref="W1" ca="1">IF(AUTOEVENTO="Manual",ROUND(SUMPRODUCT((CÁLCULO!$M$15:$M$33=EVENTOS!$C1)*(OFFSET(CÁLCULO!$AA$15:$AA$33,0,W$13))),2),0)</f>
        <v>0</v>
      </c>
      <c r="X1" s="619" cm="1">
        <f t="array" aca="1" ref="X1" ca="1">IF(AUTOEVENTO="Manual",ROUND(SUMPRODUCT((CÁLCULO!$M$15:$M$33=EVENTOS!$C1)*(OFFSET(CÁLCULO!$AA$15:$AA$33,0,X$13))),2),0)</f>
        <v>0</v>
      </c>
      <c r="Y1" s="619" cm="1">
        <f t="array" aca="1" ref="Y1" ca="1">IF(AUTOEVENTO="Manual",ROUND(SUMPRODUCT((CÁLCULO!$M$15:$M$33=EVENTOS!$C1)*(OFFSET(CÁLCULO!$AA$15:$AA$33,0,Y$13))),2),0)</f>
        <v>0</v>
      </c>
    </row>
    <row r="2" spans="1:26" ht="30" customHeight="1" x14ac:dyDescent="0.2">
      <c r="F2" s="81" t="s">
        <v>756</v>
      </c>
      <c r="O2" s="621" t="s">
        <v>757</v>
      </c>
      <c r="Y2" s="621" t="s">
        <v>757</v>
      </c>
    </row>
    <row r="4" spans="1:26" ht="12.75" customHeight="1" x14ac:dyDescent="0.2">
      <c r="C4" s="54" t="s">
        <v>652</v>
      </c>
      <c r="D4" s="95"/>
      <c r="E4" s="76"/>
      <c r="F4" s="207" t="s">
        <v>758</v>
      </c>
      <c r="G4" s="76"/>
      <c r="H4" s="483"/>
      <c r="I4" s="483"/>
      <c r="J4" s="483"/>
      <c r="K4" s="483"/>
      <c r="L4" s="483"/>
      <c r="N4" s="54" t="s">
        <v>650</v>
      </c>
      <c r="O4" s="503" t="s">
        <v>707</v>
      </c>
      <c r="P4" s="207" t="s">
        <v>758</v>
      </c>
      <c r="Q4" s="76"/>
      <c r="R4" s="483"/>
      <c r="S4" s="483"/>
      <c r="T4" s="483"/>
      <c r="U4" s="483"/>
      <c r="V4" s="483"/>
      <c r="X4" s="54" t="s">
        <v>650</v>
      </c>
      <c r="Y4" s="503" t="s">
        <v>707</v>
      </c>
    </row>
    <row r="5" spans="1:26" ht="12.75" customHeight="1" x14ac:dyDescent="0.2">
      <c r="C5" s="504" t="str">
        <f>Import.Proponente</f>
        <v>MUNICÍPIO DE SÃO LUIZ GONZAGA</v>
      </c>
      <c r="D5" s="502"/>
      <c r="E5" s="502"/>
      <c r="F5" s="724" t="str">
        <f>Import.Apelido</f>
        <v>CALÇAMENTO PEDRA IRREGULAR</v>
      </c>
      <c r="G5" s="725"/>
      <c r="H5" s="725"/>
      <c r="I5" s="725"/>
      <c r="J5" s="725"/>
      <c r="K5" s="725"/>
      <c r="L5" s="725"/>
      <c r="M5" s="726"/>
      <c r="N5" s="55" t="str">
        <f>Import.CR</f>
        <v>SLG</v>
      </c>
      <c r="O5" s="55" t="str">
        <f>Import.SICONV</f>
        <v>SLG</v>
      </c>
      <c r="P5" s="724" t="str">
        <f>Import.Apelido</f>
        <v>CALÇAMENTO PEDRA IRREGULAR</v>
      </c>
      <c r="Q5" s="725"/>
      <c r="R5" s="725"/>
      <c r="S5" s="725"/>
      <c r="T5" s="725"/>
      <c r="U5" s="725"/>
      <c r="V5" s="725"/>
      <c r="W5" s="726"/>
      <c r="X5" s="55" t="str">
        <f>Import.CR</f>
        <v>SLG</v>
      </c>
      <c r="Y5" s="55" t="str">
        <f>Import.SICONV</f>
        <v>SLG</v>
      </c>
      <c r="Z5" t="s">
        <v>752</v>
      </c>
    </row>
    <row r="6" spans="1:26" ht="24.95" customHeight="1" x14ac:dyDescent="0.25">
      <c r="B6" t="s">
        <v>937</v>
      </c>
      <c r="C6" t="s">
        <v>759</v>
      </c>
      <c r="F6" s="520"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31" t="s">
        <v>937</v>
      </c>
      <c r="D8" s="732"/>
      <c r="F8" s="520"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5">
        <f ca="1">COUNTIF($C$15:$C$65,"&gt;0")-1</f>
        <v>0</v>
      </c>
      <c r="D10" t="s">
        <v>752</v>
      </c>
      <c r="E10" s="727">
        <f ca="1">OFFSET(CÁLCULO!$P$12,0,EVENTOS!E$13)</f>
        <v>0</v>
      </c>
      <c r="F10" t="s">
        <v>752</v>
      </c>
      <c r="G10" s="728"/>
      <c r="H10" s="727">
        <f ca="1">OFFSET(CÁLCULO!$P$12,0,EVENTOS!H$13)</f>
        <v>0</v>
      </c>
      <c r="I10" s="727" t="str">
        <f ca="1">OFFSET(CÁLCULO!$P$12,0,EVENTOS!I$13)</f>
        <v>.</v>
      </c>
      <c r="J10" s="727" t="str">
        <f ca="1">OFFSET(CÁLCULO!$P$12,0,EVENTOS!J$13)</f>
        <v>.</v>
      </c>
      <c r="K10" s="728" t="str">
        <f ca="1">OFFSET(CÁLCULO!$P$12,0,EVENTOS!K$13)</f>
        <v>.</v>
      </c>
      <c r="L10" s="728" t="str">
        <f ca="1">OFFSET(CÁLCULO!$P$12,0,EVENTOS!L$13)</f>
        <v>.</v>
      </c>
      <c r="M10" s="728" t="str">
        <f ca="1">OFFSET(CÁLCULO!$P$12,0,EVENTOS!M$13)</f>
        <v>.</v>
      </c>
      <c r="N10" s="728" t="str">
        <f ca="1">OFFSET(CÁLCULO!$P$12,0,EVENTOS!N$13)</f>
        <v>.</v>
      </c>
      <c r="O10" s="728" t="str">
        <f ca="1">OFFSET(CÁLCULO!$P$12,0,EVENTOS!O$13)</f>
        <v>.</v>
      </c>
      <c r="P10" s="728" t="str">
        <f ca="1">OFFSET(CÁLCULO!$P$12,0,EVENTOS!P$13)</f>
        <v>.</v>
      </c>
      <c r="Q10" s="728" t="str">
        <f ca="1">OFFSET(CÁLCULO!$P$12,0,EVENTOS!Q$13)</f>
        <v>.</v>
      </c>
      <c r="R10" s="728" t="str">
        <f ca="1">OFFSET(CÁLCULO!$P$12,0,EVENTOS!R$13)</f>
        <v>.</v>
      </c>
      <c r="S10" s="728" t="str">
        <f ca="1">OFFSET(CÁLCULO!$P$12,0,EVENTOS!S$13)</f>
        <v>.</v>
      </c>
      <c r="T10" s="728" t="str">
        <f ca="1">OFFSET(CÁLCULO!$P$12,0,EVENTOS!T$13)</f>
        <v>.</v>
      </c>
      <c r="U10" s="728" t="str">
        <f ca="1">OFFSET(CÁLCULO!$P$12,0,EVENTOS!U$13)</f>
        <v>.</v>
      </c>
      <c r="V10" s="728" t="str">
        <f ca="1">OFFSET(CÁLCULO!$P$12,0,EVENTOS!V$13)</f>
        <v>.</v>
      </c>
      <c r="W10" s="728" t="str">
        <f ca="1">OFFSET(CÁLCULO!$P$12,0,EVENTOS!W$13)</f>
        <v>.</v>
      </c>
      <c r="X10" s="728" t="str">
        <f ca="1">OFFSET(CÁLCULO!$P$12,0,EVENTOS!X$13)</f>
        <v>.</v>
      </c>
      <c r="Y10" s="728" t="str">
        <f ca="1">OFFSET(CÁLCULO!$P$12,0,EVENTOS!Y$13)</f>
        <v>.</v>
      </c>
    </row>
    <row r="11" spans="1:26" ht="35.1" customHeight="1" x14ac:dyDescent="0.2">
      <c r="A11" s="506" t="s">
        <v>655</v>
      </c>
      <c r="C11" s="733"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3"/>
      <c r="E11" s="727"/>
      <c r="F11" s="496"/>
      <c r="G11" s="729"/>
      <c r="H11" s="727"/>
      <c r="I11" s="727"/>
      <c r="J11" s="727"/>
      <c r="K11" s="729"/>
      <c r="L11" s="729"/>
      <c r="M11" s="729"/>
      <c r="N11" s="729"/>
      <c r="O11" s="729"/>
      <c r="P11" s="729"/>
      <c r="Q11" s="729"/>
      <c r="R11" s="729"/>
      <c r="S11" s="729"/>
      <c r="T11" s="729"/>
      <c r="U11" s="729"/>
      <c r="V11" s="729"/>
      <c r="W11" s="729"/>
      <c r="X11" s="729"/>
      <c r="Y11" s="729"/>
    </row>
    <row r="12" spans="1:26" ht="12" customHeight="1" x14ac:dyDescent="0.2">
      <c r="A12" s="507" t="s">
        <v>660</v>
      </c>
      <c r="E12" s="727"/>
      <c r="G12" s="730"/>
      <c r="H12" s="727"/>
      <c r="I12" s="727"/>
      <c r="J12" s="727"/>
      <c r="K12" s="730"/>
      <c r="L12" s="730"/>
      <c r="M12" s="730"/>
      <c r="N12" s="730"/>
      <c r="O12" s="730"/>
      <c r="P12" s="730"/>
      <c r="Q12" s="730"/>
      <c r="R12" s="730"/>
      <c r="S12" s="730"/>
      <c r="T12" s="730"/>
      <c r="U12" s="730"/>
      <c r="V12" s="730"/>
      <c r="W12" s="730"/>
      <c r="X12" s="730"/>
      <c r="Y12" s="730"/>
    </row>
    <row r="13" spans="1:26" ht="15" x14ac:dyDescent="0.25">
      <c r="A13" s="507"/>
      <c r="C13" s="497" t="s">
        <v>760</v>
      </c>
      <c r="D13" s="622" t="s">
        <v>761</v>
      </c>
      <c r="E13" s="623">
        <f ca="1">IF(NOT(ISNUMBER(OFFSET(E13,0,-1))),1,IF(OR(OFFSET(E13,0,-1)=0,OFFSET(E13,0,-1)+1&gt;CÁLCULO.FrentesPreenchidas),0,OFFSET(E13,0,-1)+1))</f>
        <v>1</v>
      </c>
      <c r="F13" s="544" t="s">
        <v>762</v>
      </c>
      <c r="G13" s="494"/>
      <c r="H13" s="623">
        <f t="shared" ref="H13:Y13" ca="1" si="1">IF(NOT(ISNUMBER(OFFSET(H13,0,-1))),1,IF(OR(OFFSET(H13,0,-1)=0,OFFSET(H13,0,-1)+1&gt;CÁLCULO.FrentesPreenchidas),0,OFFSET(H13,0,-1)+1))</f>
        <v>1</v>
      </c>
      <c r="I13" s="623">
        <f t="shared" ca="1" si="1"/>
        <v>0</v>
      </c>
      <c r="J13" s="623">
        <f t="shared" ca="1" si="1"/>
        <v>0</v>
      </c>
      <c r="K13" s="623">
        <f t="shared" ca="1" si="1"/>
        <v>0</v>
      </c>
      <c r="L13" s="623">
        <f t="shared" ca="1" si="1"/>
        <v>0</v>
      </c>
      <c r="M13" s="623">
        <f t="shared" ca="1" si="1"/>
        <v>0</v>
      </c>
      <c r="N13" s="623">
        <f t="shared" ca="1" si="1"/>
        <v>0</v>
      </c>
      <c r="O13" s="623">
        <f t="shared" ca="1" si="1"/>
        <v>0</v>
      </c>
      <c r="P13" s="623">
        <f t="shared" ca="1" si="1"/>
        <v>0</v>
      </c>
      <c r="Q13" s="623">
        <f t="shared" ca="1" si="1"/>
        <v>0</v>
      </c>
      <c r="R13" s="623">
        <f t="shared" ca="1" si="1"/>
        <v>0</v>
      </c>
      <c r="S13" s="623">
        <f t="shared" ca="1" si="1"/>
        <v>0</v>
      </c>
      <c r="T13" s="623">
        <f t="shared" ca="1" si="1"/>
        <v>0</v>
      </c>
      <c r="U13" s="623">
        <f t="shared" ca="1" si="1"/>
        <v>0</v>
      </c>
      <c r="V13" s="623">
        <f t="shared" ca="1" si="1"/>
        <v>0</v>
      </c>
      <c r="W13" s="623">
        <f t="shared" ca="1" si="1"/>
        <v>0</v>
      </c>
      <c r="X13" s="623">
        <f t="shared" ca="1" si="1"/>
        <v>0</v>
      </c>
      <c r="Y13" s="623">
        <f t="shared" ca="1" si="1"/>
        <v>0</v>
      </c>
    </row>
    <row r="14" spans="1:26" ht="15" customHeight="1" x14ac:dyDescent="0.2">
      <c r="A14" s="505" t="s">
        <v>536</v>
      </c>
      <c r="C14" s="540"/>
      <c r="D14" s="541" t="s">
        <v>763</v>
      </c>
      <c r="E14" s="624">
        <f ca="1">SUM(E$15:E$65)</f>
        <v>0</v>
      </c>
      <c r="F14" s="542">
        <f ca="1">SUM(F$15:F$65)</f>
        <v>0</v>
      </c>
      <c r="H14" s="624">
        <f t="shared" ref="H14:Y14" ca="1" si="2">SUM(H$15:H$65)</f>
        <v>0</v>
      </c>
      <c r="I14" s="624">
        <f t="shared" ca="1" si="2"/>
        <v>0</v>
      </c>
      <c r="J14" s="624">
        <f t="shared" ca="1" si="2"/>
        <v>0</v>
      </c>
      <c r="K14" s="624">
        <f t="shared" ca="1" si="2"/>
        <v>0</v>
      </c>
      <c r="L14" s="624">
        <f t="shared" ca="1" si="2"/>
        <v>0</v>
      </c>
      <c r="M14" s="624">
        <f t="shared" ca="1" si="2"/>
        <v>0</v>
      </c>
      <c r="N14" s="624">
        <f t="shared" ca="1" si="2"/>
        <v>0</v>
      </c>
      <c r="O14" s="624">
        <f t="shared" ca="1" si="2"/>
        <v>0</v>
      </c>
      <c r="P14" s="624">
        <f t="shared" ca="1" si="2"/>
        <v>0</v>
      </c>
      <c r="Q14" s="624">
        <f t="shared" ca="1" si="2"/>
        <v>0</v>
      </c>
      <c r="R14" s="624">
        <f t="shared" ca="1" si="2"/>
        <v>0</v>
      </c>
      <c r="S14" s="624">
        <f t="shared" ca="1" si="2"/>
        <v>0</v>
      </c>
      <c r="T14" s="624">
        <f t="shared" ca="1" si="2"/>
        <v>0</v>
      </c>
      <c r="U14" s="624">
        <f t="shared" ca="1" si="2"/>
        <v>0</v>
      </c>
      <c r="V14" s="624">
        <f t="shared" ca="1" si="2"/>
        <v>0</v>
      </c>
      <c r="W14" s="624">
        <f t="shared" ca="1" si="2"/>
        <v>0</v>
      </c>
      <c r="X14" s="624">
        <f t="shared" ca="1" si="2"/>
        <v>0</v>
      </c>
      <c r="Y14" s="624">
        <f t="shared" ca="1" si="2"/>
        <v>0</v>
      </c>
    </row>
    <row r="15" spans="1:26" x14ac:dyDescent="0.2">
      <c r="A15" s="505" t="str">
        <f t="shared" ref="A15:A64" si="3">IF(D15="","","F")</f>
        <v/>
      </c>
      <c r="B15" t="str">
        <f>IF(OR(C15=" ",D15=""),"",CONCATENATE(C15,". ",D15))</f>
        <v/>
      </c>
      <c r="C15" s="545" cm="1">
        <f t="array" ref="C15">IF(AdmLocal="Automática",1,0)</f>
        <v>0</v>
      </c>
      <c r="D15" s="625" t="str">
        <f>IF(C15=1,"Administração Local","")</f>
        <v/>
      </c>
      <c r="E15" s="626">
        <f ca="1">IF($F$15=0,0,IF(E13=1,$F$15-SUM($I$15:$Z$15),ROUND(SUM(OFFSET(E15,1,0):OFFSET(E$65,-1,0))/SUM(OFFSET($F15,1,0):OFFSET($F$65,-1,0))*$F$15,2)))</f>
        <v>0</v>
      </c>
      <c r="F15" s="546" cm="1">
        <f t="array" ref="F15">IF($C$15=0,0,ROUND(SUMPRODUCT((CÁLCULO!$M$15:$M$33=EVENTOS!$C15)*(ORÇAMENTO!$X$15:'ORÇAMENTO'!$X$33)),2))</f>
        <v>0</v>
      </c>
      <c r="G15" s="627"/>
      <c r="H15" s="626">
        <f ca="1">IF($F$15=0,0,IF(H13=1,$F$15-SUM($I$15:$Z$15),ROUND(SUM(OFFSET(H15,1,0):OFFSET(H$65,-1,0))/SUM(OFFSET($F15,1,0):OFFSET($F$65,-1,0))*$F$15,2)))</f>
        <v>0</v>
      </c>
      <c r="I15" s="626">
        <f ca="1">IF($F$15=0,0,IF(I13=1,$F$15-SUM($I$15:$Z$15),ROUND(SUM(OFFSET(I15,1,0):OFFSET(I$65,-1,0))/SUM(OFFSET($F15,1,0):OFFSET($F$65,-1,0))*$F$15,2)))</f>
        <v>0</v>
      </c>
      <c r="J15" s="626">
        <f ca="1">IF($F$15=0,0,IF(J13=1,$F$15-SUM($I$15:$Z$15),ROUND(SUM(OFFSET(J15,1,0):OFFSET(J$65,-1,0))/SUM(OFFSET($F15,1,0):OFFSET($F$65,-1,0))*$F$15,2)))</f>
        <v>0</v>
      </c>
      <c r="K15" s="626">
        <f ca="1">IF($F$15=0,0,IF(K13=1,$F$15-SUM($I$15:$Z$15),ROUND(SUM(OFFSET(K15,1,0):OFFSET(K$65,-1,0))/SUM(OFFSET($F15,1,0):OFFSET($F$65,-1,0))*$F$15,2)))</f>
        <v>0</v>
      </c>
      <c r="L15" s="626">
        <f ca="1">IF($F$15=0,0,IF(L13=1,$F$15-SUM($I$15:$Z$15),ROUND(SUM(OFFSET(L15,1,0):OFFSET(L$65,-1,0))/SUM(OFFSET($F15,1,0):OFFSET($F$65,-1,0))*$F$15,2)))</f>
        <v>0</v>
      </c>
      <c r="M15" s="626">
        <f ca="1">IF($F$15=0,0,IF(M13=1,$F$15-SUM($I$15:$Z$15),ROUND(SUM(OFFSET(M15,1,0):OFFSET(M$65,-1,0))/SUM(OFFSET($F15,1,0):OFFSET($F$65,-1,0))*$F$15,2)))</f>
        <v>0</v>
      </c>
      <c r="N15" s="626">
        <f ca="1">IF($F$15=0,0,IF(N13=1,$F$15-SUM($I$15:$Z$15),ROUND(SUM(OFFSET(N15,1,0):OFFSET(N$65,-1,0))/SUM(OFFSET($F15,1,0):OFFSET($F$65,-1,0))*$F$15,2)))</f>
        <v>0</v>
      </c>
      <c r="O15" s="626">
        <f ca="1">IF($F$15=0,0,IF(O13=1,$F$15-SUM($I$15:$Z$15),ROUND(SUM(OFFSET(O15,1,0):OFFSET(O$65,-1,0))/SUM(OFFSET($F15,1,0):OFFSET($F$65,-1,0))*$F$15,2)))</f>
        <v>0</v>
      </c>
      <c r="P15" s="626">
        <f ca="1">IF($F$15=0,0,IF(P13=1,$F$15-SUM($I$15:$Z$15),ROUND(SUM(OFFSET(P15,1,0):OFFSET(P$65,-1,0))/SUM(OFFSET($F15,1,0):OFFSET($F$65,-1,0))*$F$15,2)))</f>
        <v>0</v>
      </c>
      <c r="Q15" s="626">
        <f ca="1">IF($F$15=0,0,IF(Q13=1,$F$15-SUM($I$15:$Z$15),ROUND(SUM(OFFSET(Q15,1,0):OFFSET(Q$65,-1,0))/SUM(OFFSET($F15,1,0):OFFSET($F$65,-1,0))*$F$15,2)))</f>
        <v>0</v>
      </c>
      <c r="R15" s="626">
        <f ca="1">IF($F$15=0,0,IF(R13=1,$F$15-SUM($I$15:$Z$15),ROUND(SUM(OFFSET(R15,1,0):OFFSET(R$65,-1,0))/SUM(OFFSET($F15,1,0):OFFSET($F$65,-1,0))*$F$15,2)))</f>
        <v>0</v>
      </c>
      <c r="S15" s="626">
        <f ca="1">IF($F$15=0,0,IF(S13=1,$F$15-SUM($I$15:$Z$15),ROUND(SUM(OFFSET(S15,1,0):OFFSET(S$65,-1,0))/SUM(OFFSET($F15,1,0):OFFSET($F$65,-1,0))*$F$15,2)))</f>
        <v>0</v>
      </c>
      <c r="T15" s="626">
        <f ca="1">IF($F$15=0,0,IF(T13=1,$F$15-SUM($I$15:$Z$15),ROUND(SUM(OFFSET(T15,1,0):OFFSET(T$65,-1,0))/SUM(OFFSET($F15,1,0):OFFSET($F$65,-1,0))*$F$15,2)))</f>
        <v>0</v>
      </c>
      <c r="U15" s="626">
        <f ca="1">IF($F$15=0,0,IF(U13=1,$F$15-SUM($I$15:$Z$15),ROUND(SUM(OFFSET(U15,1,0):OFFSET(U$65,-1,0))/SUM(OFFSET($F15,1,0):OFFSET($F$65,-1,0))*$F$15,2)))</f>
        <v>0</v>
      </c>
      <c r="V15" s="626">
        <f ca="1">IF($F$15=0,0,IF(V13=1,$F$15-SUM($I$15:$Z$15),ROUND(SUM(OFFSET(V15,1,0):OFFSET(V$65,-1,0))/SUM(OFFSET($F15,1,0):OFFSET($F$65,-1,0))*$F$15,2)))</f>
        <v>0</v>
      </c>
      <c r="W15" s="626">
        <f ca="1">IF($F$15=0,0,IF(W13=1,$F$15-SUM($I$15:$Z$15),ROUND(SUM(OFFSET(W15,1,0):OFFSET(W$65,-1,0))/SUM(OFFSET($F15,1,0):OFFSET($F$65,-1,0))*$F$15,2)))</f>
        <v>0</v>
      </c>
      <c r="X15" s="626">
        <f ca="1">IF($F$15=0,0,IF(X13=1,$F$15-SUM($I$15:$Z$15),ROUND(SUM(OFFSET(X15,1,0):OFFSET(X$65,-1,0))/SUM(OFFSET($F15,1,0):OFFSET($F$65,-1,0))*$F$15,2)))</f>
        <v>0</v>
      </c>
      <c r="Y15" s="626">
        <f ca="1">IF($F$15=0,0,IF(Y13=1,$F$15-SUM($I$15:$Z$15),ROUND(SUM(OFFSET(Y15,1,0):OFFSET(Y$65,-1,0))/SUM(OFFSET($F15,1,0):OFFSET($F$65,-1,0))*$F$15,2)))</f>
        <v>0</v>
      </c>
    </row>
    <row r="16" spans="1:26" x14ac:dyDescent="0.2">
      <c r="A16" s="505" t="str">
        <f t="shared" si="3"/>
        <v/>
      </c>
      <c r="B16" t="str">
        <f t="shared" ref="B16:B64" ca="1" si="4">IF(OR(C16=" ",D16=""),"",CONCATENATE(C16,". ",D16))</f>
        <v/>
      </c>
      <c r="C16" s="181" cm="1">
        <f t="array" aca="1" ref="C16" ca="1">IF(OR(ROW(C16)=ROW(EVENTOS.firstrow)+1,AND(OFFSET(C16,-1,0)&lt;&gt;" ",OFFSET(C16,-1,1)&lt;&gt;"")),OFFSET(C16,-1,0)+1," ")</f>
        <v>1</v>
      </c>
      <c r="D16" s="495"/>
      <c r="E16" s="619" cm="1">
        <f t="array" aca="1" ref="E16" ca="1">IF(AUTOEVENTO="Manual",ROUND(SUMPRODUCT((CÁLCULO!$M$15:$M$33=EVENTOS!$C16)*(OFFSET(CÁLCULO!$AA$15:$AA$33,0,E$13))),2),0)</f>
        <v>0</v>
      </c>
      <c r="F16" s="182">
        <f ca="1">IF(AUTOEVENTO="Manual",ROUND(SUMPRODUCT((CÁLCULO!$M$15:$M$33=EVENTOS!$C16)*(OFFSET(CÁLCULO!$AA$15,0,1):OFFSET(CÁLCULO!$AL$33,0,-1))),2),0)</f>
        <v>0</v>
      </c>
      <c r="G16" s="620" t="str">
        <f t="shared" ref="G16:G47" ca="1" si="5">IF(AND(D16=0,F16&gt;0),"NOME",
 IF(AND(D16&lt;&gt;0,$F$14&gt;0,F16=0),"VALOR",
 IF(AND(Import.TipoArredondamento="TransfereGOV",$A16="F",LEN(D16)&gt;100),"Nome &gt;100","")))</f>
        <v/>
      </c>
      <c r="H16" s="619" cm="1">
        <f t="array" aca="1" ref="H16" ca="1">IF(AUTOEVENTO="Manual",ROUND(SUMPRODUCT((CÁLCULO!$M$15:$M$33=EVENTOS!$C16)*(OFFSET(CÁLCULO!$AA$15:$AA$33,0,H$13))),2),0)</f>
        <v>0</v>
      </c>
      <c r="I16" s="619" cm="1">
        <f t="array" aca="1" ref="I16" ca="1">IF(AUTOEVENTO="Manual",ROUND(SUMPRODUCT((CÁLCULO!$M$15:$M$33=EVENTOS!$C16)*(OFFSET(CÁLCULO!$AA$15:$AA$33,0,I$13))),2),0)</f>
        <v>0</v>
      </c>
      <c r="J16" s="619" cm="1">
        <f t="array" aca="1" ref="J16" ca="1">IF(AUTOEVENTO="Manual",ROUND(SUMPRODUCT((CÁLCULO!$M$15:$M$33=EVENTOS!$C16)*(OFFSET(CÁLCULO!$AA$15:$AA$33,0,J$13))),2),0)</f>
        <v>0</v>
      </c>
      <c r="K16" s="619" cm="1">
        <f t="array" aca="1" ref="K16" ca="1">IF(AUTOEVENTO="Manual",ROUND(SUMPRODUCT((CÁLCULO!$M$15:$M$33=EVENTOS!$C16)*(OFFSET(CÁLCULO!$AA$15:$AA$33,0,K$13))),2),0)</f>
        <v>0</v>
      </c>
      <c r="L16" s="619" cm="1">
        <f t="array" aca="1" ref="L16" ca="1">IF(AUTOEVENTO="Manual",ROUND(SUMPRODUCT((CÁLCULO!$M$15:$M$33=EVENTOS!$C16)*(OFFSET(CÁLCULO!$AA$15:$AA$33,0,L$13))),2),0)</f>
        <v>0</v>
      </c>
      <c r="M16" s="619" cm="1">
        <f t="array" aca="1" ref="M16" ca="1">IF(AUTOEVENTO="Manual",ROUND(SUMPRODUCT((CÁLCULO!$M$15:$M$33=EVENTOS!$C16)*(OFFSET(CÁLCULO!$AA$15:$AA$33,0,M$13))),2),0)</f>
        <v>0</v>
      </c>
      <c r="N16" s="619" cm="1">
        <f t="array" aca="1" ref="N16" ca="1">IF(AUTOEVENTO="Manual",ROUND(SUMPRODUCT((CÁLCULO!$M$15:$M$33=EVENTOS!$C16)*(OFFSET(CÁLCULO!$AA$15:$AA$33,0,N$13))),2),0)</f>
        <v>0</v>
      </c>
      <c r="O16" s="619" cm="1">
        <f t="array" aca="1" ref="O16" ca="1">IF(AUTOEVENTO="Manual",ROUND(SUMPRODUCT((CÁLCULO!$M$15:$M$33=EVENTOS!$C16)*(OFFSET(CÁLCULO!$AA$15:$AA$33,0,O$13))),2),0)</f>
        <v>0</v>
      </c>
      <c r="P16" s="619" cm="1">
        <f t="array" aca="1" ref="P16" ca="1">IF(AUTOEVENTO="Manual",ROUND(SUMPRODUCT((CÁLCULO!$M$15:$M$33=EVENTOS!$C16)*(OFFSET(CÁLCULO!$AA$15:$AA$33,0,P$13))),2),0)</f>
        <v>0</v>
      </c>
      <c r="Q16" s="619" cm="1">
        <f t="array" aca="1" ref="Q16" ca="1">IF(AUTOEVENTO="Manual",ROUND(SUMPRODUCT((CÁLCULO!$M$15:$M$33=EVENTOS!$C16)*(OFFSET(CÁLCULO!$AA$15:$AA$33,0,Q$13))),2),0)</f>
        <v>0</v>
      </c>
      <c r="R16" s="619" cm="1">
        <f t="array" aca="1" ref="R16" ca="1">IF(AUTOEVENTO="Manual",ROUND(SUMPRODUCT((CÁLCULO!$M$15:$M$33=EVENTOS!$C16)*(OFFSET(CÁLCULO!$AA$15:$AA$33,0,R$13))),2),0)</f>
        <v>0</v>
      </c>
      <c r="S16" s="619" cm="1">
        <f t="array" aca="1" ref="S16" ca="1">IF(AUTOEVENTO="Manual",ROUND(SUMPRODUCT((CÁLCULO!$M$15:$M$33=EVENTOS!$C16)*(OFFSET(CÁLCULO!$AA$15:$AA$33,0,S$13))),2),0)</f>
        <v>0</v>
      </c>
      <c r="T16" s="619" cm="1">
        <f t="array" aca="1" ref="T16" ca="1">IF(AUTOEVENTO="Manual",ROUND(SUMPRODUCT((CÁLCULO!$M$15:$M$33=EVENTOS!$C16)*(OFFSET(CÁLCULO!$AA$15:$AA$33,0,T$13))),2),0)</f>
        <v>0</v>
      </c>
      <c r="U16" s="619" cm="1">
        <f t="array" aca="1" ref="U16" ca="1">IF(AUTOEVENTO="Manual",ROUND(SUMPRODUCT((CÁLCULO!$M$15:$M$33=EVENTOS!$C16)*(OFFSET(CÁLCULO!$AA$15:$AA$33,0,U$13))),2),0)</f>
        <v>0</v>
      </c>
      <c r="V16" s="619" cm="1">
        <f t="array" aca="1" ref="V16" ca="1">IF(AUTOEVENTO="Manual",ROUND(SUMPRODUCT((CÁLCULO!$M$15:$M$33=EVENTOS!$C16)*(OFFSET(CÁLCULO!$AA$15:$AA$33,0,V$13))),2),0)</f>
        <v>0</v>
      </c>
      <c r="W16" s="619" cm="1">
        <f t="array" aca="1" ref="W16" ca="1">IF(AUTOEVENTO="Manual",ROUND(SUMPRODUCT((CÁLCULO!$M$15:$M$33=EVENTOS!$C16)*(OFFSET(CÁLCULO!$AA$15:$AA$33,0,W$13))),2),0)</f>
        <v>0</v>
      </c>
      <c r="X16" s="619" cm="1">
        <f t="array" aca="1" ref="X16" ca="1">IF(AUTOEVENTO="Manual",ROUND(SUMPRODUCT((CÁLCULO!$M$15:$M$33=EVENTOS!$C16)*(OFFSET(CÁLCULO!$AA$15:$AA$33,0,X$13))),2),0)</f>
        <v>0</v>
      </c>
      <c r="Y16" s="619" cm="1">
        <f t="array" aca="1" ref="Y16" ca="1">IF(AUTOEVENTO="Manual",ROUND(SUMPRODUCT((CÁLCULO!$M$15:$M$33=EVENTOS!$C16)*(OFFSET(CÁLCULO!$AA$15:$AA$33,0,Y$13))),2),0)</f>
        <v>0</v>
      </c>
    </row>
    <row r="17" spans="1:25" x14ac:dyDescent="0.2">
      <c r="A17" s="505" t="str">
        <f t="shared" si="3"/>
        <v/>
      </c>
      <c r="B17" t="str">
        <f t="shared" ca="1" si="4"/>
        <v/>
      </c>
      <c r="C17" s="181" t="str" cm="1">
        <f t="array" aca="1" ref="C17" ca="1">IF(OR(ROW(C17)=ROW(EVENTOS.firstrow)+1,AND(OFFSET(C17,-1,0)&lt;&gt;" ",OFFSET(C17,-1,1)&lt;&gt;"")),OFFSET(C17,-1,0)+1," ")</f>
        <v xml:space="preserve"> </v>
      </c>
      <c r="D17" s="495"/>
      <c r="E17" s="619" cm="1">
        <f t="array" aca="1" ref="E17" ca="1">IF(AUTOEVENTO="Manual",ROUND(SUMPRODUCT((CÁLCULO!$M$15:$M$33=EVENTOS!$C17)*(OFFSET(CÁLCULO!$AA$15:$AA$33,0,E$13))),2),0)</f>
        <v>0</v>
      </c>
      <c r="F17" s="182">
        <f ca="1">IF(AUTOEVENTO="Manual",ROUND(SUMPRODUCT((CÁLCULO!$M$15:$M$33=EVENTOS!$C17)*(OFFSET(CÁLCULO!$AA$15,0,1):OFFSET(CÁLCULO!$AL$33,0,-1))),2),0)</f>
        <v>0</v>
      </c>
      <c r="G17" s="620" t="str">
        <f t="shared" ca="1" si="5"/>
        <v/>
      </c>
      <c r="H17" s="619" cm="1">
        <f t="array" aca="1" ref="H17" ca="1">IF(AUTOEVENTO="Manual",ROUND(SUMPRODUCT((CÁLCULO!$M$15:$M$33=EVENTOS!$C17)*(OFFSET(CÁLCULO!$AA$15:$AA$33,0,H$13))),2),0)</f>
        <v>0</v>
      </c>
      <c r="I17" s="619" cm="1">
        <f t="array" aca="1" ref="I17" ca="1">IF(AUTOEVENTO="Manual",ROUND(SUMPRODUCT((CÁLCULO!$M$15:$M$33=EVENTOS!$C17)*(OFFSET(CÁLCULO!$AA$15:$AA$33,0,I$13))),2),0)</f>
        <v>0</v>
      </c>
      <c r="J17" s="619" cm="1">
        <f t="array" aca="1" ref="J17" ca="1">IF(AUTOEVENTO="Manual",ROUND(SUMPRODUCT((CÁLCULO!$M$15:$M$33=EVENTOS!$C17)*(OFFSET(CÁLCULO!$AA$15:$AA$33,0,J$13))),2),0)</f>
        <v>0</v>
      </c>
      <c r="K17" s="619" cm="1">
        <f t="array" aca="1" ref="K17" ca="1">IF(AUTOEVENTO="Manual",ROUND(SUMPRODUCT((CÁLCULO!$M$15:$M$33=EVENTOS!$C17)*(OFFSET(CÁLCULO!$AA$15:$AA$33,0,K$13))),2),0)</f>
        <v>0</v>
      </c>
      <c r="L17" s="619" cm="1">
        <f t="array" aca="1" ref="L17" ca="1">IF(AUTOEVENTO="Manual",ROUND(SUMPRODUCT((CÁLCULO!$M$15:$M$33=EVENTOS!$C17)*(OFFSET(CÁLCULO!$AA$15:$AA$33,0,L$13))),2),0)</f>
        <v>0</v>
      </c>
      <c r="M17" s="619" cm="1">
        <f t="array" aca="1" ref="M17" ca="1">IF(AUTOEVENTO="Manual",ROUND(SUMPRODUCT((CÁLCULO!$M$15:$M$33=EVENTOS!$C17)*(OFFSET(CÁLCULO!$AA$15:$AA$33,0,M$13))),2),0)</f>
        <v>0</v>
      </c>
      <c r="N17" s="619" cm="1">
        <f t="array" aca="1" ref="N17" ca="1">IF(AUTOEVENTO="Manual",ROUND(SUMPRODUCT((CÁLCULO!$M$15:$M$33=EVENTOS!$C17)*(OFFSET(CÁLCULO!$AA$15:$AA$33,0,N$13))),2),0)</f>
        <v>0</v>
      </c>
      <c r="O17" s="619" cm="1">
        <f t="array" aca="1" ref="O17" ca="1">IF(AUTOEVENTO="Manual",ROUND(SUMPRODUCT((CÁLCULO!$M$15:$M$33=EVENTOS!$C17)*(OFFSET(CÁLCULO!$AA$15:$AA$33,0,O$13))),2),0)</f>
        <v>0</v>
      </c>
      <c r="P17" s="619" cm="1">
        <f t="array" aca="1" ref="P17" ca="1">IF(AUTOEVENTO="Manual",ROUND(SUMPRODUCT((CÁLCULO!$M$15:$M$33=EVENTOS!$C17)*(OFFSET(CÁLCULO!$AA$15:$AA$33,0,P$13))),2),0)</f>
        <v>0</v>
      </c>
      <c r="Q17" s="619" cm="1">
        <f t="array" aca="1" ref="Q17" ca="1">IF(AUTOEVENTO="Manual",ROUND(SUMPRODUCT((CÁLCULO!$M$15:$M$33=EVENTOS!$C17)*(OFFSET(CÁLCULO!$AA$15:$AA$33,0,Q$13))),2),0)</f>
        <v>0</v>
      </c>
      <c r="R17" s="619" cm="1">
        <f t="array" aca="1" ref="R17" ca="1">IF(AUTOEVENTO="Manual",ROUND(SUMPRODUCT((CÁLCULO!$M$15:$M$33=EVENTOS!$C17)*(OFFSET(CÁLCULO!$AA$15:$AA$33,0,R$13))),2),0)</f>
        <v>0</v>
      </c>
      <c r="S17" s="619" cm="1">
        <f t="array" aca="1" ref="S17" ca="1">IF(AUTOEVENTO="Manual",ROUND(SUMPRODUCT((CÁLCULO!$M$15:$M$33=EVENTOS!$C17)*(OFFSET(CÁLCULO!$AA$15:$AA$33,0,S$13))),2),0)</f>
        <v>0</v>
      </c>
      <c r="T17" s="619" cm="1">
        <f t="array" aca="1" ref="T17" ca="1">IF(AUTOEVENTO="Manual",ROUND(SUMPRODUCT((CÁLCULO!$M$15:$M$33=EVENTOS!$C17)*(OFFSET(CÁLCULO!$AA$15:$AA$33,0,T$13))),2),0)</f>
        <v>0</v>
      </c>
      <c r="U17" s="619" cm="1">
        <f t="array" aca="1" ref="U17" ca="1">IF(AUTOEVENTO="Manual",ROUND(SUMPRODUCT((CÁLCULO!$M$15:$M$33=EVENTOS!$C17)*(OFFSET(CÁLCULO!$AA$15:$AA$33,0,U$13))),2),0)</f>
        <v>0</v>
      </c>
      <c r="V17" s="619" cm="1">
        <f t="array" aca="1" ref="V17" ca="1">IF(AUTOEVENTO="Manual",ROUND(SUMPRODUCT((CÁLCULO!$M$15:$M$33=EVENTOS!$C17)*(OFFSET(CÁLCULO!$AA$15:$AA$33,0,V$13))),2),0)</f>
        <v>0</v>
      </c>
      <c r="W17" s="619" cm="1">
        <f t="array" aca="1" ref="W17" ca="1">IF(AUTOEVENTO="Manual",ROUND(SUMPRODUCT((CÁLCULO!$M$15:$M$33=EVENTOS!$C17)*(OFFSET(CÁLCULO!$AA$15:$AA$33,0,W$13))),2),0)</f>
        <v>0</v>
      </c>
      <c r="X17" s="619" cm="1">
        <f t="array" aca="1" ref="X17" ca="1">IF(AUTOEVENTO="Manual",ROUND(SUMPRODUCT((CÁLCULO!$M$15:$M$33=EVENTOS!$C17)*(OFFSET(CÁLCULO!$AA$15:$AA$33,0,X$13))),2),0)</f>
        <v>0</v>
      </c>
      <c r="Y17" s="619" cm="1">
        <f t="array" aca="1" ref="Y17" ca="1">IF(AUTOEVENTO="Manual",ROUND(SUMPRODUCT((CÁLCULO!$M$15:$M$33=EVENTOS!$C17)*(OFFSET(CÁLCULO!$AA$15:$AA$33,0,Y$13))),2),0)</f>
        <v>0</v>
      </c>
    </row>
    <row r="18" spans="1:25" x14ac:dyDescent="0.2">
      <c r="A18" s="505" t="str">
        <f t="shared" si="3"/>
        <v/>
      </c>
      <c r="B18" t="str">
        <f t="shared" ca="1" si="4"/>
        <v/>
      </c>
      <c r="C18" s="181" t="str" cm="1">
        <f t="array" aca="1" ref="C18" ca="1">IF(OR(ROW(C18)=ROW(EVENTOS.firstrow)+1,AND(OFFSET(C18,-1,0)&lt;&gt;" ",OFFSET(C18,-1,1)&lt;&gt;"")),OFFSET(C18,-1,0)+1," ")</f>
        <v xml:space="preserve"> </v>
      </c>
      <c r="D18" s="495"/>
      <c r="E18" s="619" cm="1">
        <f t="array" aca="1" ref="E18" ca="1">IF(AUTOEVENTO="Manual",ROUND(SUMPRODUCT((CÁLCULO!$M$15:$M$33=EVENTOS!$C18)*(OFFSET(CÁLCULO!$AA$15:$AA$33,0,E$13))),2),0)</f>
        <v>0</v>
      </c>
      <c r="F18" s="182">
        <f ca="1">IF(AUTOEVENTO="Manual",ROUND(SUMPRODUCT((CÁLCULO!$M$15:$M$33=EVENTOS!$C18)*(OFFSET(CÁLCULO!$AA$15,0,1):OFFSET(CÁLCULO!$AL$33,0,-1))),2),0)</f>
        <v>0</v>
      </c>
      <c r="G18" s="620" t="str">
        <f t="shared" ca="1" si="5"/>
        <v/>
      </c>
      <c r="H18" s="619" cm="1">
        <f t="array" aca="1" ref="H18" ca="1">IF(AUTOEVENTO="Manual",ROUND(SUMPRODUCT((CÁLCULO!$M$15:$M$33=EVENTOS!$C18)*(OFFSET(CÁLCULO!$AA$15:$AA$33,0,H$13))),2),0)</f>
        <v>0</v>
      </c>
      <c r="I18" s="619" cm="1">
        <f t="array" aca="1" ref="I18" ca="1">IF(AUTOEVENTO="Manual",ROUND(SUMPRODUCT((CÁLCULO!$M$15:$M$33=EVENTOS!$C18)*(OFFSET(CÁLCULO!$AA$15:$AA$33,0,I$13))),2),0)</f>
        <v>0</v>
      </c>
      <c r="J18" s="619" cm="1">
        <f t="array" aca="1" ref="J18" ca="1">IF(AUTOEVENTO="Manual",ROUND(SUMPRODUCT((CÁLCULO!$M$15:$M$33=EVENTOS!$C18)*(OFFSET(CÁLCULO!$AA$15:$AA$33,0,J$13))),2),0)</f>
        <v>0</v>
      </c>
      <c r="K18" s="619" cm="1">
        <f t="array" aca="1" ref="K18" ca="1">IF(AUTOEVENTO="Manual",ROUND(SUMPRODUCT((CÁLCULO!$M$15:$M$33=EVENTOS!$C18)*(OFFSET(CÁLCULO!$AA$15:$AA$33,0,K$13))),2),0)</f>
        <v>0</v>
      </c>
      <c r="L18" s="619" cm="1">
        <f t="array" aca="1" ref="L18" ca="1">IF(AUTOEVENTO="Manual",ROUND(SUMPRODUCT((CÁLCULO!$M$15:$M$33=EVENTOS!$C18)*(OFFSET(CÁLCULO!$AA$15:$AA$33,0,L$13))),2),0)</f>
        <v>0</v>
      </c>
      <c r="M18" s="619" cm="1">
        <f t="array" aca="1" ref="M18" ca="1">IF(AUTOEVENTO="Manual",ROUND(SUMPRODUCT((CÁLCULO!$M$15:$M$33=EVENTOS!$C18)*(OFFSET(CÁLCULO!$AA$15:$AA$33,0,M$13))),2),0)</f>
        <v>0</v>
      </c>
      <c r="N18" s="619" cm="1">
        <f t="array" aca="1" ref="N18" ca="1">IF(AUTOEVENTO="Manual",ROUND(SUMPRODUCT((CÁLCULO!$M$15:$M$33=EVENTOS!$C18)*(OFFSET(CÁLCULO!$AA$15:$AA$33,0,N$13))),2),0)</f>
        <v>0</v>
      </c>
      <c r="O18" s="619" cm="1">
        <f t="array" aca="1" ref="O18" ca="1">IF(AUTOEVENTO="Manual",ROUND(SUMPRODUCT((CÁLCULO!$M$15:$M$33=EVENTOS!$C18)*(OFFSET(CÁLCULO!$AA$15:$AA$33,0,O$13))),2),0)</f>
        <v>0</v>
      </c>
      <c r="P18" s="619" cm="1">
        <f t="array" aca="1" ref="P18" ca="1">IF(AUTOEVENTO="Manual",ROUND(SUMPRODUCT((CÁLCULO!$M$15:$M$33=EVENTOS!$C18)*(OFFSET(CÁLCULO!$AA$15:$AA$33,0,P$13))),2),0)</f>
        <v>0</v>
      </c>
      <c r="Q18" s="619" cm="1">
        <f t="array" aca="1" ref="Q18" ca="1">IF(AUTOEVENTO="Manual",ROUND(SUMPRODUCT((CÁLCULO!$M$15:$M$33=EVENTOS!$C18)*(OFFSET(CÁLCULO!$AA$15:$AA$33,0,Q$13))),2),0)</f>
        <v>0</v>
      </c>
      <c r="R18" s="619" cm="1">
        <f t="array" aca="1" ref="R18" ca="1">IF(AUTOEVENTO="Manual",ROUND(SUMPRODUCT((CÁLCULO!$M$15:$M$33=EVENTOS!$C18)*(OFFSET(CÁLCULO!$AA$15:$AA$33,0,R$13))),2),0)</f>
        <v>0</v>
      </c>
      <c r="S18" s="619" cm="1">
        <f t="array" aca="1" ref="S18" ca="1">IF(AUTOEVENTO="Manual",ROUND(SUMPRODUCT((CÁLCULO!$M$15:$M$33=EVENTOS!$C18)*(OFFSET(CÁLCULO!$AA$15:$AA$33,0,S$13))),2),0)</f>
        <v>0</v>
      </c>
      <c r="T18" s="619" cm="1">
        <f t="array" aca="1" ref="T18" ca="1">IF(AUTOEVENTO="Manual",ROUND(SUMPRODUCT((CÁLCULO!$M$15:$M$33=EVENTOS!$C18)*(OFFSET(CÁLCULO!$AA$15:$AA$33,0,T$13))),2),0)</f>
        <v>0</v>
      </c>
      <c r="U18" s="619" cm="1">
        <f t="array" aca="1" ref="U18" ca="1">IF(AUTOEVENTO="Manual",ROUND(SUMPRODUCT((CÁLCULO!$M$15:$M$33=EVENTOS!$C18)*(OFFSET(CÁLCULO!$AA$15:$AA$33,0,U$13))),2),0)</f>
        <v>0</v>
      </c>
      <c r="V18" s="619" cm="1">
        <f t="array" aca="1" ref="V18" ca="1">IF(AUTOEVENTO="Manual",ROUND(SUMPRODUCT((CÁLCULO!$M$15:$M$33=EVENTOS!$C18)*(OFFSET(CÁLCULO!$AA$15:$AA$33,0,V$13))),2),0)</f>
        <v>0</v>
      </c>
      <c r="W18" s="619" cm="1">
        <f t="array" aca="1" ref="W18" ca="1">IF(AUTOEVENTO="Manual",ROUND(SUMPRODUCT((CÁLCULO!$M$15:$M$33=EVENTOS!$C18)*(OFFSET(CÁLCULO!$AA$15:$AA$33,0,W$13))),2),0)</f>
        <v>0</v>
      </c>
      <c r="X18" s="619" cm="1">
        <f t="array" aca="1" ref="X18" ca="1">IF(AUTOEVENTO="Manual",ROUND(SUMPRODUCT((CÁLCULO!$M$15:$M$33=EVENTOS!$C18)*(OFFSET(CÁLCULO!$AA$15:$AA$33,0,X$13))),2),0)</f>
        <v>0</v>
      </c>
      <c r="Y18" s="619" cm="1">
        <f t="array" aca="1" ref="Y18" ca="1">IF(AUTOEVENTO="Manual",ROUND(SUMPRODUCT((CÁLCULO!$M$15:$M$33=EVENTOS!$C18)*(OFFSET(CÁLCULO!$AA$15:$AA$33,0,Y$13))),2),0)</f>
        <v>0</v>
      </c>
    </row>
    <row r="19" spans="1:25" x14ac:dyDescent="0.2">
      <c r="A19" s="505" t="str">
        <f t="shared" si="3"/>
        <v/>
      </c>
      <c r="B19" t="str">
        <f t="shared" ca="1" si="4"/>
        <v/>
      </c>
      <c r="C19" s="181" t="str" cm="1">
        <f t="array" aca="1" ref="C19" ca="1">IF(OR(ROW(C19)=ROW(EVENTOS.firstrow)+1,AND(OFFSET(C19,-1,0)&lt;&gt;" ",OFFSET(C19,-1,1)&lt;&gt;"")),OFFSET(C19,-1,0)+1," ")</f>
        <v xml:space="preserve"> </v>
      </c>
      <c r="D19" s="495"/>
      <c r="E19" s="619" cm="1">
        <f t="array" aca="1" ref="E19" ca="1">IF(AUTOEVENTO="Manual",ROUND(SUMPRODUCT((CÁLCULO!$M$15:$M$33=EVENTOS!$C19)*(OFFSET(CÁLCULO!$AA$15:$AA$33,0,E$13))),2),0)</f>
        <v>0</v>
      </c>
      <c r="F19" s="182">
        <f ca="1">IF(AUTOEVENTO="Manual",ROUND(SUMPRODUCT((CÁLCULO!$M$15:$M$33=EVENTOS!$C19)*(OFFSET(CÁLCULO!$AA$15,0,1):OFFSET(CÁLCULO!$AL$33,0,-1))),2),0)</f>
        <v>0</v>
      </c>
      <c r="G19" s="620" t="str">
        <f t="shared" ca="1" si="5"/>
        <v/>
      </c>
      <c r="H19" s="619" cm="1">
        <f t="array" aca="1" ref="H19" ca="1">IF(AUTOEVENTO="Manual",ROUND(SUMPRODUCT((CÁLCULO!$M$15:$M$33=EVENTOS!$C19)*(OFFSET(CÁLCULO!$AA$15:$AA$33,0,H$13))),2),0)</f>
        <v>0</v>
      </c>
      <c r="I19" s="619" cm="1">
        <f t="array" aca="1" ref="I19" ca="1">IF(AUTOEVENTO="Manual",ROUND(SUMPRODUCT((CÁLCULO!$M$15:$M$33=EVENTOS!$C19)*(OFFSET(CÁLCULO!$AA$15:$AA$33,0,I$13))),2),0)</f>
        <v>0</v>
      </c>
      <c r="J19" s="619" cm="1">
        <f t="array" aca="1" ref="J19" ca="1">IF(AUTOEVENTO="Manual",ROUND(SUMPRODUCT((CÁLCULO!$M$15:$M$33=EVENTOS!$C19)*(OFFSET(CÁLCULO!$AA$15:$AA$33,0,J$13))),2),0)</f>
        <v>0</v>
      </c>
      <c r="K19" s="619" cm="1">
        <f t="array" aca="1" ref="K19" ca="1">IF(AUTOEVENTO="Manual",ROUND(SUMPRODUCT((CÁLCULO!$M$15:$M$33=EVENTOS!$C19)*(OFFSET(CÁLCULO!$AA$15:$AA$33,0,K$13))),2),0)</f>
        <v>0</v>
      </c>
      <c r="L19" s="619" cm="1">
        <f t="array" aca="1" ref="L19" ca="1">IF(AUTOEVENTO="Manual",ROUND(SUMPRODUCT((CÁLCULO!$M$15:$M$33=EVENTOS!$C19)*(OFFSET(CÁLCULO!$AA$15:$AA$33,0,L$13))),2),0)</f>
        <v>0</v>
      </c>
      <c r="M19" s="619" cm="1">
        <f t="array" aca="1" ref="M19" ca="1">IF(AUTOEVENTO="Manual",ROUND(SUMPRODUCT((CÁLCULO!$M$15:$M$33=EVENTOS!$C19)*(OFFSET(CÁLCULO!$AA$15:$AA$33,0,M$13))),2),0)</f>
        <v>0</v>
      </c>
      <c r="N19" s="619" cm="1">
        <f t="array" aca="1" ref="N19" ca="1">IF(AUTOEVENTO="Manual",ROUND(SUMPRODUCT((CÁLCULO!$M$15:$M$33=EVENTOS!$C19)*(OFFSET(CÁLCULO!$AA$15:$AA$33,0,N$13))),2),0)</f>
        <v>0</v>
      </c>
      <c r="O19" s="619" cm="1">
        <f t="array" aca="1" ref="O19" ca="1">IF(AUTOEVENTO="Manual",ROUND(SUMPRODUCT((CÁLCULO!$M$15:$M$33=EVENTOS!$C19)*(OFFSET(CÁLCULO!$AA$15:$AA$33,0,O$13))),2),0)</f>
        <v>0</v>
      </c>
      <c r="P19" s="619" cm="1">
        <f t="array" aca="1" ref="P19" ca="1">IF(AUTOEVENTO="Manual",ROUND(SUMPRODUCT((CÁLCULO!$M$15:$M$33=EVENTOS!$C19)*(OFFSET(CÁLCULO!$AA$15:$AA$33,0,P$13))),2),0)</f>
        <v>0</v>
      </c>
      <c r="Q19" s="619" cm="1">
        <f t="array" aca="1" ref="Q19" ca="1">IF(AUTOEVENTO="Manual",ROUND(SUMPRODUCT((CÁLCULO!$M$15:$M$33=EVENTOS!$C19)*(OFFSET(CÁLCULO!$AA$15:$AA$33,0,Q$13))),2),0)</f>
        <v>0</v>
      </c>
      <c r="R19" s="619" cm="1">
        <f t="array" aca="1" ref="R19" ca="1">IF(AUTOEVENTO="Manual",ROUND(SUMPRODUCT((CÁLCULO!$M$15:$M$33=EVENTOS!$C19)*(OFFSET(CÁLCULO!$AA$15:$AA$33,0,R$13))),2),0)</f>
        <v>0</v>
      </c>
      <c r="S19" s="619" cm="1">
        <f t="array" aca="1" ref="S19" ca="1">IF(AUTOEVENTO="Manual",ROUND(SUMPRODUCT((CÁLCULO!$M$15:$M$33=EVENTOS!$C19)*(OFFSET(CÁLCULO!$AA$15:$AA$33,0,S$13))),2),0)</f>
        <v>0</v>
      </c>
      <c r="T19" s="619" cm="1">
        <f t="array" aca="1" ref="T19" ca="1">IF(AUTOEVENTO="Manual",ROUND(SUMPRODUCT((CÁLCULO!$M$15:$M$33=EVENTOS!$C19)*(OFFSET(CÁLCULO!$AA$15:$AA$33,0,T$13))),2),0)</f>
        <v>0</v>
      </c>
      <c r="U19" s="619" cm="1">
        <f t="array" aca="1" ref="U19" ca="1">IF(AUTOEVENTO="Manual",ROUND(SUMPRODUCT((CÁLCULO!$M$15:$M$33=EVENTOS!$C19)*(OFFSET(CÁLCULO!$AA$15:$AA$33,0,U$13))),2),0)</f>
        <v>0</v>
      </c>
      <c r="V19" s="619" cm="1">
        <f t="array" aca="1" ref="V19" ca="1">IF(AUTOEVENTO="Manual",ROUND(SUMPRODUCT((CÁLCULO!$M$15:$M$33=EVENTOS!$C19)*(OFFSET(CÁLCULO!$AA$15:$AA$33,0,V$13))),2),0)</f>
        <v>0</v>
      </c>
      <c r="W19" s="619" cm="1">
        <f t="array" aca="1" ref="W19" ca="1">IF(AUTOEVENTO="Manual",ROUND(SUMPRODUCT((CÁLCULO!$M$15:$M$33=EVENTOS!$C19)*(OFFSET(CÁLCULO!$AA$15:$AA$33,0,W$13))),2),0)</f>
        <v>0</v>
      </c>
      <c r="X19" s="619" cm="1">
        <f t="array" aca="1" ref="X19" ca="1">IF(AUTOEVENTO="Manual",ROUND(SUMPRODUCT((CÁLCULO!$M$15:$M$33=EVENTOS!$C19)*(OFFSET(CÁLCULO!$AA$15:$AA$33,0,X$13))),2),0)</f>
        <v>0</v>
      </c>
      <c r="Y19" s="619" cm="1">
        <f t="array" aca="1" ref="Y19" ca="1">IF(AUTOEVENTO="Manual",ROUND(SUMPRODUCT((CÁLCULO!$M$15:$M$33=EVENTOS!$C19)*(OFFSET(CÁLCULO!$AA$15:$AA$33,0,Y$13))),2),0)</f>
        <v>0</v>
      </c>
    </row>
    <row r="20" spans="1:25" x14ac:dyDescent="0.2">
      <c r="A20" s="505" t="str">
        <f t="shared" si="3"/>
        <v/>
      </c>
      <c r="B20" t="str">
        <f t="shared" ca="1" si="4"/>
        <v/>
      </c>
      <c r="C20" s="181" t="str" cm="1">
        <f t="array" aca="1" ref="C20" ca="1">IF(OR(ROW(C20)=ROW(EVENTOS.firstrow)+1,AND(OFFSET(C20,-1,0)&lt;&gt;" ",OFFSET(C20,-1,1)&lt;&gt;"")),OFFSET(C20,-1,0)+1," ")</f>
        <v xml:space="preserve"> </v>
      </c>
      <c r="D20" s="495"/>
      <c r="E20" s="619" cm="1">
        <f t="array" aca="1" ref="E20" ca="1">IF(AUTOEVENTO="Manual",ROUND(SUMPRODUCT((CÁLCULO!$M$15:$M$33=EVENTOS!$C20)*(OFFSET(CÁLCULO!$AA$15:$AA$33,0,E$13))),2),0)</f>
        <v>0</v>
      </c>
      <c r="F20" s="182">
        <f ca="1">IF(AUTOEVENTO="Manual",ROUND(SUMPRODUCT((CÁLCULO!$M$15:$M$33=EVENTOS!$C20)*(OFFSET(CÁLCULO!$AA$15,0,1):OFFSET(CÁLCULO!$AL$33,0,-1))),2),0)</f>
        <v>0</v>
      </c>
      <c r="G20" s="620" t="str">
        <f t="shared" ca="1" si="5"/>
        <v/>
      </c>
      <c r="H20" s="619" cm="1">
        <f t="array" aca="1" ref="H20" ca="1">IF(AUTOEVENTO="Manual",ROUND(SUMPRODUCT((CÁLCULO!$M$15:$M$33=EVENTOS!$C20)*(OFFSET(CÁLCULO!$AA$15:$AA$33,0,H$13))),2),0)</f>
        <v>0</v>
      </c>
      <c r="I20" s="619" cm="1">
        <f t="array" aca="1" ref="I20" ca="1">IF(AUTOEVENTO="Manual",ROUND(SUMPRODUCT((CÁLCULO!$M$15:$M$33=EVENTOS!$C20)*(OFFSET(CÁLCULO!$AA$15:$AA$33,0,I$13))),2),0)</f>
        <v>0</v>
      </c>
      <c r="J20" s="619" cm="1">
        <f t="array" aca="1" ref="J20" ca="1">IF(AUTOEVENTO="Manual",ROUND(SUMPRODUCT((CÁLCULO!$M$15:$M$33=EVENTOS!$C20)*(OFFSET(CÁLCULO!$AA$15:$AA$33,0,J$13))),2),0)</f>
        <v>0</v>
      </c>
      <c r="K20" s="619" cm="1">
        <f t="array" aca="1" ref="K20" ca="1">IF(AUTOEVENTO="Manual",ROUND(SUMPRODUCT((CÁLCULO!$M$15:$M$33=EVENTOS!$C20)*(OFFSET(CÁLCULO!$AA$15:$AA$33,0,K$13))),2),0)</f>
        <v>0</v>
      </c>
      <c r="L20" s="619" cm="1">
        <f t="array" aca="1" ref="L20" ca="1">IF(AUTOEVENTO="Manual",ROUND(SUMPRODUCT((CÁLCULO!$M$15:$M$33=EVENTOS!$C20)*(OFFSET(CÁLCULO!$AA$15:$AA$33,0,L$13))),2),0)</f>
        <v>0</v>
      </c>
      <c r="M20" s="619" cm="1">
        <f t="array" aca="1" ref="M20" ca="1">IF(AUTOEVENTO="Manual",ROUND(SUMPRODUCT((CÁLCULO!$M$15:$M$33=EVENTOS!$C20)*(OFFSET(CÁLCULO!$AA$15:$AA$33,0,M$13))),2),0)</f>
        <v>0</v>
      </c>
      <c r="N20" s="619" cm="1">
        <f t="array" aca="1" ref="N20" ca="1">IF(AUTOEVENTO="Manual",ROUND(SUMPRODUCT((CÁLCULO!$M$15:$M$33=EVENTOS!$C20)*(OFFSET(CÁLCULO!$AA$15:$AA$33,0,N$13))),2),0)</f>
        <v>0</v>
      </c>
      <c r="O20" s="619" cm="1">
        <f t="array" aca="1" ref="O20" ca="1">IF(AUTOEVENTO="Manual",ROUND(SUMPRODUCT((CÁLCULO!$M$15:$M$33=EVENTOS!$C20)*(OFFSET(CÁLCULO!$AA$15:$AA$33,0,O$13))),2),0)</f>
        <v>0</v>
      </c>
      <c r="P20" s="619" cm="1">
        <f t="array" aca="1" ref="P20" ca="1">IF(AUTOEVENTO="Manual",ROUND(SUMPRODUCT((CÁLCULO!$M$15:$M$33=EVENTOS!$C20)*(OFFSET(CÁLCULO!$AA$15:$AA$33,0,P$13))),2),0)</f>
        <v>0</v>
      </c>
      <c r="Q20" s="619" cm="1">
        <f t="array" aca="1" ref="Q20" ca="1">IF(AUTOEVENTO="Manual",ROUND(SUMPRODUCT((CÁLCULO!$M$15:$M$33=EVENTOS!$C20)*(OFFSET(CÁLCULO!$AA$15:$AA$33,0,Q$13))),2),0)</f>
        <v>0</v>
      </c>
      <c r="R20" s="619" cm="1">
        <f t="array" aca="1" ref="R20" ca="1">IF(AUTOEVENTO="Manual",ROUND(SUMPRODUCT((CÁLCULO!$M$15:$M$33=EVENTOS!$C20)*(OFFSET(CÁLCULO!$AA$15:$AA$33,0,R$13))),2),0)</f>
        <v>0</v>
      </c>
      <c r="S20" s="619" cm="1">
        <f t="array" aca="1" ref="S20" ca="1">IF(AUTOEVENTO="Manual",ROUND(SUMPRODUCT((CÁLCULO!$M$15:$M$33=EVENTOS!$C20)*(OFFSET(CÁLCULO!$AA$15:$AA$33,0,S$13))),2),0)</f>
        <v>0</v>
      </c>
      <c r="T20" s="619" cm="1">
        <f t="array" aca="1" ref="T20" ca="1">IF(AUTOEVENTO="Manual",ROUND(SUMPRODUCT((CÁLCULO!$M$15:$M$33=EVENTOS!$C20)*(OFFSET(CÁLCULO!$AA$15:$AA$33,0,T$13))),2),0)</f>
        <v>0</v>
      </c>
      <c r="U20" s="619" cm="1">
        <f t="array" aca="1" ref="U20" ca="1">IF(AUTOEVENTO="Manual",ROUND(SUMPRODUCT((CÁLCULO!$M$15:$M$33=EVENTOS!$C20)*(OFFSET(CÁLCULO!$AA$15:$AA$33,0,U$13))),2),0)</f>
        <v>0</v>
      </c>
      <c r="V20" s="619" cm="1">
        <f t="array" aca="1" ref="V20" ca="1">IF(AUTOEVENTO="Manual",ROUND(SUMPRODUCT((CÁLCULO!$M$15:$M$33=EVENTOS!$C20)*(OFFSET(CÁLCULO!$AA$15:$AA$33,0,V$13))),2),0)</f>
        <v>0</v>
      </c>
      <c r="W20" s="619" cm="1">
        <f t="array" aca="1" ref="W20" ca="1">IF(AUTOEVENTO="Manual",ROUND(SUMPRODUCT((CÁLCULO!$M$15:$M$33=EVENTOS!$C20)*(OFFSET(CÁLCULO!$AA$15:$AA$33,0,W$13))),2),0)</f>
        <v>0</v>
      </c>
      <c r="X20" s="619" cm="1">
        <f t="array" aca="1" ref="X20" ca="1">IF(AUTOEVENTO="Manual",ROUND(SUMPRODUCT((CÁLCULO!$M$15:$M$33=EVENTOS!$C20)*(OFFSET(CÁLCULO!$AA$15:$AA$33,0,X$13))),2),0)</f>
        <v>0</v>
      </c>
      <c r="Y20" s="619" cm="1">
        <f t="array" aca="1" ref="Y20" ca="1">IF(AUTOEVENTO="Manual",ROUND(SUMPRODUCT((CÁLCULO!$M$15:$M$33=EVENTOS!$C20)*(OFFSET(CÁLCULO!$AA$15:$AA$33,0,Y$13))),2),0)</f>
        <v>0</v>
      </c>
    </row>
    <row r="21" spans="1:25" x14ac:dyDescent="0.2">
      <c r="A21" s="505" t="str">
        <f t="shared" si="3"/>
        <v/>
      </c>
      <c r="B21" t="str">
        <f t="shared" ca="1" si="4"/>
        <v/>
      </c>
      <c r="C21" s="181" t="str" cm="1">
        <f t="array" aca="1" ref="C21" ca="1">IF(OR(ROW(C21)=ROW(EVENTOS.firstrow)+1,AND(OFFSET(C21,-1,0)&lt;&gt;" ",OFFSET(C21,-1,1)&lt;&gt;"")),OFFSET(C21,-1,0)+1," ")</f>
        <v xml:space="preserve"> </v>
      </c>
      <c r="D21" s="495"/>
      <c r="E21" s="619" cm="1">
        <f t="array" aca="1" ref="E21" ca="1">IF(AUTOEVENTO="Manual",ROUND(SUMPRODUCT((CÁLCULO!$M$15:$M$33=EVENTOS!$C21)*(OFFSET(CÁLCULO!$AA$15:$AA$33,0,E$13))),2),0)</f>
        <v>0</v>
      </c>
      <c r="F21" s="182">
        <f ca="1">IF(AUTOEVENTO="Manual",ROUND(SUMPRODUCT((CÁLCULO!$M$15:$M$33=EVENTOS!$C21)*(OFFSET(CÁLCULO!$AA$15,0,1):OFFSET(CÁLCULO!$AL$33,0,-1))),2),0)</f>
        <v>0</v>
      </c>
      <c r="G21" s="620" t="str">
        <f t="shared" ca="1" si="5"/>
        <v/>
      </c>
      <c r="H21" s="619" cm="1">
        <f t="array" aca="1" ref="H21" ca="1">IF(AUTOEVENTO="Manual",ROUND(SUMPRODUCT((CÁLCULO!$M$15:$M$33=EVENTOS!$C21)*(OFFSET(CÁLCULO!$AA$15:$AA$33,0,H$13))),2),0)</f>
        <v>0</v>
      </c>
      <c r="I21" s="619" cm="1">
        <f t="array" aca="1" ref="I21" ca="1">IF(AUTOEVENTO="Manual",ROUND(SUMPRODUCT((CÁLCULO!$M$15:$M$33=EVENTOS!$C21)*(OFFSET(CÁLCULO!$AA$15:$AA$33,0,I$13))),2),0)</f>
        <v>0</v>
      </c>
      <c r="J21" s="619" cm="1">
        <f t="array" aca="1" ref="J21" ca="1">IF(AUTOEVENTO="Manual",ROUND(SUMPRODUCT((CÁLCULO!$M$15:$M$33=EVENTOS!$C21)*(OFFSET(CÁLCULO!$AA$15:$AA$33,0,J$13))),2),0)</f>
        <v>0</v>
      </c>
      <c r="K21" s="619" cm="1">
        <f t="array" aca="1" ref="K21" ca="1">IF(AUTOEVENTO="Manual",ROUND(SUMPRODUCT((CÁLCULO!$M$15:$M$33=EVENTOS!$C21)*(OFFSET(CÁLCULO!$AA$15:$AA$33,0,K$13))),2),0)</f>
        <v>0</v>
      </c>
      <c r="L21" s="619" cm="1">
        <f t="array" aca="1" ref="L21" ca="1">IF(AUTOEVENTO="Manual",ROUND(SUMPRODUCT((CÁLCULO!$M$15:$M$33=EVENTOS!$C21)*(OFFSET(CÁLCULO!$AA$15:$AA$33,0,L$13))),2),0)</f>
        <v>0</v>
      </c>
      <c r="M21" s="619" cm="1">
        <f t="array" aca="1" ref="M21" ca="1">IF(AUTOEVENTO="Manual",ROUND(SUMPRODUCT((CÁLCULO!$M$15:$M$33=EVENTOS!$C21)*(OFFSET(CÁLCULO!$AA$15:$AA$33,0,M$13))),2),0)</f>
        <v>0</v>
      </c>
      <c r="N21" s="619" cm="1">
        <f t="array" aca="1" ref="N21" ca="1">IF(AUTOEVENTO="Manual",ROUND(SUMPRODUCT((CÁLCULO!$M$15:$M$33=EVENTOS!$C21)*(OFFSET(CÁLCULO!$AA$15:$AA$33,0,N$13))),2),0)</f>
        <v>0</v>
      </c>
      <c r="O21" s="619" cm="1">
        <f t="array" aca="1" ref="O21" ca="1">IF(AUTOEVENTO="Manual",ROUND(SUMPRODUCT((CÁLCULO!$M$15:$M$33=EVENTOS!$C21)*(OFFSET(CÁLCULO!$AA$15:$AA$33,0,O$13))),2),0)</f>
        <v>0</v>
      </c>
      <c r="P21" s="619" cm="1">
        <f t="array" aca="1" ref="P21" ca="1">IF(AUTOEVENTO="Manual",ROUND(SUMPRODUCT((CÁLCULO!$M$15:$M$33=EVENTOS!$C21)*(OFFSET(CÁLCULO!$AA$15:$AA$33,0,P$13))),2),0)</f>
        <v>0</v>
      </c>
      <c r="Q21" s="619" cm="1">
        <f t="array" aca="1" ref="Q21" ca="1">IF(AUTOEVENTO="Manual",ROUND(SUMPRODUCT((CÁLCULO!$M$15:$M$33=EVENTOS!$C21)*(OFFSET(CÁLCULO!$AA$15:$AA$33,0,Q$13))),2),0)</f>
        <v>0</v>
      </c>
      <c r="R21" s="619" cm="1">
        <f t="array" aca="1" ref="R21" ca="1">IF(AUTOEVENTO="Manual",ROUND(SUMPRODUCT((CÁLCULO!$M$15:$M$33=EVENTOS!$C21)*(OFFSET(CÁLCULO!$AA$15:$AA$33,0,R$13))),2),0)</f>
        <v>0</v>
      </c>
      <c r="S21" s="619" cm="1">
        <f t="array" aca="1" ref="S21" ca="1">IF(AUTOEVENTO="Manual",ROUND(SUMPRODUCT((CÁLCULO!$M$15:$M$33=EVENTOS!$C21)*(OFFSET(CÁLCULO!$AA$15:$AA$33,0,S$13))),2),0)</f>
        <v>0</v>
      </c>
      <c r="T21" s="619" cm="1">
        <f t="array" aca="1" ref="T21" ca="1">IF(AUTOEVENTO="Manual",ROUND(SUMPRODUCT((CÁLCULO!$M$15:$M$33=EVENTOS!$C21)*(OFFSET(CÁLCULO!$AA$15:$AA$33,0,T$13))),2),0)</f>
        <v>0</v>
      </c>
      <c r="U21" s="619" cm="1">
        <f t="array" aca="1" ref="U21" ca="1">IF(AUTOEVENTO="Manual",ROUND(SUMPRODUCT((CÁLCULO!$M$15:$M$33=EVENTOS!$C21)*(OFFSET(CÁLCULO!$AA$15:$AA$33,0,U$13))),2),0)</f>
        <v>0</v>
      </c>
      <c r="V21" s="619" cm="1">
        <f t="array" aca="1" ref="V21" ca="1">IF(AUTOEVENTO="Manual",ROUND(SUMPRODUCT((CÁLCULO!$M$15:$M$33=EVENTOS!$C21)*(OFFSET(CÁLCULO!$AA$15:$AA$33,0,V$13))),2),0)</f>
        <v>0</v>
      </c>
      <c r="W21" s="619" cm="1">
        <f t="array" aca="1" ref="W21" ca="1">IF(AUTOEVENTO="Manual",ROUND(SUMPRODUCT((CÁLCULO!$M$15:$M$33=EVENTOS!$C21)*(OFFSET(CÁLCULO!$AA$15:$AA$33,0,W$13))),2),0)</f>
        <v>0</v>
      </c>
      <c r="X21" s="619" cm="1">
        <f t="array" aca="1" ref="X21" ca="1">IF(AUTOEVENTO="Manual",ROUND(SUMPRODUCT((CÁLCULO!$M$15:$M$33=EVENTOS!$C21)*(OFFSET(CÁLCULO!$AA$15:$AA$33,0,X$13))),2),0)</f>
        <v>0</v>
      </c>
      <c r="Y21" s="619" cm="1">
        <f t="array" aca="1" ref="Y21" ca="1">IF(AUTOEVENTO="Manual",ROUND(SUMPRODUCT((CÁLCULO!$M$15:$M$33=EVENTOS!$C21)*(OFFSET(CÁLCULO!$AA$15:$AA$33,0,Y$13))),2),0)</f>
        <v>0</v>
      </c>
    </row>
    <row r="22" spans="1:25" x14ac:dyDescent="0.2">
      <c r="A22" s="505" t="str">
        <f t="shared" si="3"/>
        <v/>
      </c>
      <c r="B22" t="str">
        <f t="shared" ca="1" si="4"/>
        <v/>
      </c>
      <c r="C22" s="181" t="str" cm="1">
        <f t="array" aca="1" ref="C22" ca="1">IF(OR(ROW(C22)=ROW(EVENTOS.firstrow)+1,AND(OFFSET(C22,-1,0)&lt;&gt;" ",OFFSET(C22,-1,1)&lt;&gt;"")),OFFSET(C22,-1,0)+1," ")</f>
        <v xml:space="preserve"> </v>
      </c>
      <c r="D22" s="495"/>
      <c r="E22" s="619" cm="1">
        <f t="array" aca="1" ref="E22" ca="1">IF(AUTOEVENTO="Manual",ROUND(SUMPRODUCT((CÁLCULO!$M$15:$M$33=EVENTOS!$C22)*(OFFSET(CÁLCULO!$AA$15:$AA$33,0,E$13))),2),0)</f>
        <v>0</v>
      </c>
      <c r="F22" s="182">
        <f ca="1">IF(AUTOEVENTO="Manual",ROUND(SUMPRODUCT((CÁLCULO!$M$15:$M$33=EVENTOS!$C22)*(OFFSET(CÁLCULO!$AA$15,0,1):OFFSET(CÁLCULO!$AL$33,0,-1))),2),0)</f>
        <v>0</v>
      </c>
      <c r="G22" s="620" t="str">
        <f t="shared" ca="1" si="5"/>
        <v/>
      </c>
      <c r="H22" s="619" cm="1">
        <f t="array" aca="1" ref="H22" ca="1">IF(AUTOEVENTO="Manual",ROUND(SUMPRODUCT((CÁLCULO!$M$15:$M$33=EVENTOS!$C22)*(OFFSET(CÁLCULO!$AA$15:$AA$33,0,H$13))),2),0)</f>
        <v>0</v>
      </c>
      <c r="I22" s="619" cm="1">
        <f t="array" aca="1" ref="I22" ca="1">IF(AUTOEVENTO="Manual",ROUND(SUMPRODUCT((CÁLCULO!$M$15:$M$33=EVENTOS!$C22)*(OFFSET(CÁLCULO!$AA$15:$AA$33,0,I$13))),2),0)</f>
        <v>0</v>
      </c>
      <c r="J22" s="619" cm="1">
        <f t="array" aca="1" ref="J22" ca="1">IF(AUTOEVENTO="Manual",ROUND(SUMPRODUCT((CÁLCULO!$M$15:$M$33=EVENTOS!$C22)*(OFFSET(CÁLCULO!$AA$15:$AA$33,0,J$13))),2),0)</f>
        <v>0</v>
      </c>
      <c r="K22" s="619" cm="1">
        <f t="array" aca="1" ref="K22" ca="1">IF(AUTOEVENTO="Manual",ROUND(SUMPRODUCT((CÁLCULO!$M$15:$M$33=EVENTOS!$C22)*(OFFSET(CÁLCULO!$AA$15:$AA$33,0,K$13))),2),0)</f>
        <v>0</v>
      </c>
      <c r="L22" s="619" cm="1">
        <f t="array" aca="1" ref="L22" ca="1">IF(AUTOEVENTO="Manual",ROUND(SUMPRODUCT((CÁLCULO!$M$15:$M$33=EVENTOS!$C22)*(OFFSET(CÁLCULO!$AA$15:$AA$33,0,L$13))),2),0)</f>
        <v>0</v>
      </c>
      <c r="M22" s="619" cm="1">
        <f t="array" aca="1" ref="M22" ca="1">IF(AUTOEVENTO="Manual",ROUND(SUMPRODUCT((CÁLCULO!$M$15:$M$33=EVENTOS!$C22)*(OFFSET(CÁLCULO!$AA$15:$AA$33,0,M$13))),2),0)</f>
        <v>0</v>
      </c>
      <c r="N22" s="619" cm="1">
        <f t="array" aca="1" ref="N22" ca="1">IF(AUTOEVENTO="Manual",ROUND(SUMPRODUCT((CÁLCULO!$M$15:$M$33=EVENTOS!$C22)*(OFFSET(CÁLCULO!$AA$15:$AA$33,0,N$13))),2),0)</f>
        <v>0</v>
      </c>
      <c r="O22" s="619" cm="1">
        <f t="array" aca="1" ref="O22" ca="1">IF(AUTOEVENTO="Manual",ROUND(SUMPRODUCT((CÁLCULO!$M$15:$M$33=EVENTOS!$C22)*(OFFSET(CÁLCULO!$AA$15:$AA$33,0,O$13))),2),0)</f>
        <v>0</v>
      </c>
      <c r="P22" s="619" cm="1">
        <f t="array" aca="1" ref="P22" ca="1">IF(AUTOEVENTO="Manual",ROUND(SUMPRODUCT((CÁLCULO!$M$15:$M$33=EVENTOS!$C22)*(OFFSET(CÁLCULO!$AA$15:$AA$33,0,P$13))),2),0)</f>
        <v>0</v>
      </c>
      <c r="Q22" s="619" cm="1">
        <f t="array" aca="1" ref="Q22" ca="1">IF(AUTOEVENTO="Manual",ROUND(SUMPRODUCT((CÁLCULO!$M$15:$M$33=EVENTOS!$C22)*(OFFSET(CÁLCULO!$AA$15:$AA$33,0,Q$13))),2),0)</f>
        <v>0</v>
      </c>
      <c r="R22" s="619" cm="1">
        <f t="array" aca="1" ref="R22" ca="1">IF(AUTOEVENTO="Manual",ROUND(SUMPRODUCT((CÁLCULO!$M$15:$M$33=EVENTOS!$C22)*(OFFSET(CÁLCULO!$AA$15:$AA$33,0,R$13))),2),0)</f>
        <v>0</v>
      </c>
      <c r="S22" s="619" cm="1">
        <f t="array" aca="1" ref="S22" ca="1">IF(AUTOEVENTO="Manual",ROUND(SUMPRODUCT((CÁLCULO!$M$15:$M$33=EVENTOS!$C22)*(OFFSET(CÁLCULO!$AA$15:$AA$33,0,S$13))),2),0)</f>
        <v>0</v>
      </c>
      <c r="T22" s="619" cm="1">
        <f t="array" aca="1" ref="T22" ca="1">IF(AUTOEVENTO="Manual",ROUND(SUMPRODUCT((CÁLCULO!$M$15:$M$33=EVENTOS!$C22)*(OFFSET(CÁLCULO!$AA$15:$AA$33,0,T$13))),2),0)</f>
        <v>0</v>
      </c>
      <c r="U22" s="619" cm="1">
        <f t="array" aca="1" ref="U22" ca="1">IF(AUTOEVENTO="Manual",ROUND(SUMPRODUCT((CÁLCULO!$M$15:$M$33=EVENTOS!$C22)*(OFFSET(CÁLCULO!$AA$15:$AA$33,0,U$13))),2),0)</f>
        <v>0</v>
      </c>
      <c r="V22" s="619" cm="1">
        <f t="array" aca="1" ref="V22" ca="1">IF(AUTOEVENTO="Manual",ROUND(SUMPRODUCT((CÁLCULO!$M$15:$M$33=EVENTOS!$C22)*(OFFSET(CÁLCULO!$AA$15:$AA$33,0,V$13))),2),0)</f>
        <v>0</v>
      </c>
      <c r="W22" s="619" cm="1">
        <f t="array" aca="1" ref="W22" ca="1">IF(AUTOEVENTO="Manual",ROUND(SUMPRODUCT((CÁLCULO!$M$15:$M$33=EVENTOS!$C22)*(OFFSET(CÁLCULO!$AA$15:$AA$33,0,W$13))),2),0)</f>
        <v>0</v>
      </c>
      <c r="X22" s="619" cm="1">
        <f t="array" aca="1" ref="X22" ca="1">IF(AUTOEVENTO="Manual",ROUND(SUMPRODUCT((CÁLCULO!$M$15:$M$33=EVENTOS!$C22)*(OFFSET(CÁLCULO!$AA$15:$AA$33,0,X$13))),2),0)</f>
        <v>0</v>
      </c>
      <c r="Y22" s="619" cm="1">
        <f t="array" aca="1" ref="Y22" ca="1">IF(AUTOEVENTO="Manual",ROUND(SUMPRODUCT((CÁLCULO!$M$15:$M$33=EVENTOS!$C22)*(OFFSET(CÁLCULO!$AA$15:$AA$33,0,Y$13))),2),0)</f>
        <v>0</v>
      </c>
    </row>
    <row r="23" spans="1:25" x14ac:dyDescent="0.2">
      <c r="A23" s="505" t="str">
        <f t="shared" si="3"/>
        <v/>
      </c>
      <c r="B23" t="str">
        <f t="shared" ca="1" si="4"/>
        <v/>
      </c>
      <c r="C23" s="181" t="str" cm="1">
        <f t="array" aca="1" ref="C23" ca="1">IF(OR(ROW(C23)=ROW(EVENTOS.firstrow)+1,AND(OFFSET(C23,-1,0)&lt;&gt;" ",OFFSET(C23,-1,1)&lt;&gt;"")),OFFSET(C23,-1,0)+1," ")</f>
        <v xml:space="preserve"> </v>
      </c>
      <c r="D23" s="495"/>
      <c r="E23" s="619" cm="1">
        <f t="array" aca="1" ref="E23" ca="1">IF(AUTOEVENTO="Manual",ROUND(SUMPRODUCT((CÁLCULO!$M$15:$M$33=EVENTOS!$C23)*(OFFSET(CÁLCULO!$AA$15:$AA$33,0,E$13))),2),0)</f>
        <v>0</v>
      </c>
      <c r="F23" s="182">
        <f ca="1">IF(AUTOEVENTO="Manual",ROUND(SUMPRODUCT((CÁLCULO!$M$15:$M$33=EVENTOS!$C23)*(OFFSET(CÁLCULO!$AA$15,0,1):OFFSET(CÁLCULO!$AL$33,0,-1))),2),0)</f>
        <v>0</v>
      </c>
      <c r="G23" s="620" t="str">
        <f t="shared" ca="1" si="5"/>
        <v/>
      </c>
      <c r="H23" s="619" cm="1">
        <f t="array" aca="1" ref="H23" ca="1">IF(AUTOEVENTO="Manual",ROUND(SUMPRODUCT((CÁLCULO!$M$15:$M$33=EVENTOS!$C23)*(OFFSET(CÁLCULO!$AA$15:$AA$33,0,H$13))),2),0)</f>
        <v>0</v>
      </c>
      <c r="I23" s="619" cm="1">
        <f t="array" aca="1" ref="I23" ca="1">IF(AUTOEVENTO="Manual",ROUND(SUMPRODUCT((CÁLCULO!$M$15:$M$33=EVENTOS!$C23)*(OFFSET(CÁLCULO!$AA$15:$AA$33,0,I$13))),2),0)</f>
        <v>0</v>
      </c>
      <c r="J23" s="619" cm="1">
        <f t="array" aca="1" ref="J23" ca="1">IF(AUTOEVENTO="Manual",ROUND(SUMPRODUCT((CÁLCULO!$M$15:$M$33=EVENTOS!$C23)*(OFFSET(CÁLCULO!$AA$15:$AA$33,0,J$13))),2),0)</f>
        <v>0</v>
      </c>
      <c r="K23" s="619" cm="1">
        <f t="array" aca="1" ref="K23" ca="1">IF(AUTOEVENTO="Manual",ROUND(SUMPRODUCT((CÁLCULO!$M$15:$M$33=EVENTOS!$C23)*(OFFSET(CÁLCULO!$AA$15:$AA$33,0,K$13))),2),0)</f>
        <v>0</v>
      </c>
      <c r="L23" s="619" cm="1">
        <f t="array" aca="1" ref="L23" ca="1">IF(AUTOEVENTO="Manual",ROUND(SUMPRODUCT((CÁLCULO!$M$15:$M$33=EVENTOS!$C23)*(OFFSET(CÁLCULO!$AA$15:$AA$33,0,L$13))),2),0)</f>
        <v>0</v>
      </c>
      <c r="M23" s="619" cm="1">
        <f t="array" aca="1" ref="M23" ca="1">IF(AUTOEVENTO="Manual",ROUND(SUMPRODUCT((CÁLCULO!$M$15:$M$33=EVENTOS!$C23)*(OFFSET(CÁLCULO!$AA$15:$AA$33,0,M$13))),2),0)</f>
        <v>0</v>
      </c>
      <c r="N23" s="619" cm="1">
        <f t="array" aca="1" ref="N23" ca="1">IF(AUTOEVENTO="Manual",ROUND(SUMPRODUCT((CÁLCULO!$M$15:$M$33=EVENTOS!$C23)*(OFFSET(CÁLCULO!$AA$15:$AA$33,0,N$13))),2),0)</f>
        <v>0</v>
      </c>
      <c r="O23" s="619" cm="1">
        <f t="array" aca="1" ref="O23" ca="1">IF(AUTOEVENTO="Manual",ROUND(SUMPRODUCT((CÁLCULO!$M$15:$M$33=EVENTOS!$C23)*(OFFSET(CÁLCULO!$AA$15:$AA$33,0,O$13))),2),0)</f>
        <v>0</v>
      </c>
      <c r="P23" s="619" cm="1">
        <f t="array" aca="1" ref="P23" ca="1">IF(AUTOEVENTO="Manual",ROUND(SUMPRODUCT((CÁLCULO!$M$15:$M$33=EVENTOS!$C23)*(OFFSET(CÁLCULO!$AA$15:$AA$33,0,P$13))),2),0)</f>
        <v>0</v>
      </c>
      <c r="Q23" s="619" cm="1">
        <f t="array" aca="1" ref="Q23" ca="1">IF(AUTOEVENTO="Manual",ROUND(SUMPRODUCT((CÁLCULO!$M$15:$M$33=EVENTOS!$C23)*(OFFSET(CÁLCULO!$AA$15:$AA$33,0,Q$13))),2),0)</f>
        <v>0</v>
      </c>
      <c r="R23" s="619" cm="1">
        <f t="array" aca="1" ref="R23" ca="1">IF(AUTOEVENTO="Manual",ROUND(SUMPRODUCT((CÁLCULO!$M$15:$M$33=EVENTOS!$C23)*(OFFSET(CÁLCULO!$AA$15:$AA$33,0,R$13))),2),0)</f>
        <v>0</v>
      </c>
      <c r="S23" s="619" cm="1">
        <f t="array" aca="1" ref="S23" ca="1">IF(AUTOEVENTO="Manual",ROUND(SUMPRODUCT((CÁLCULO!$M$15:$M$33=EVENTOS!$C23)*(OFFSET(CÁLCULO!$AA$15:$AA$33,0,S$13))),2),0)</f>
        <v>0</v>
      </c>
      <c r="T23" s="619" cm="1">
        <f t="array" aca="1" ref="T23" ca="1">IF(AUTOEVENTO="Manual",ROUND(SUMPRODUCT((CÁLCULO!$M$15:$M$33=EVENTOS!$C23)*(OFFSET(CÁLCULO!$AA$15:$AA$33,0,T$13))),2),0)</f>
        <v>0</v>
      </c>
      <c r="U23" s="619" cm="1">
        <f t="array" aca="1" ref="U23" ca="1">IF(AUTOEVENTO="Manual",ROUND(SUMPRODUCT((CÁLCULO!$M$15:$M$33=EVENTOS!$C23)*(OFFSET(CÁLCULO!$AA$15:$AA$33,0,U$13))),2),0)</f>
        <v>0</v>
      </c>
      <c r="V23" s="619" cm="1">
        <f t="array" aca="1" ref="V23" ca="1">IF(AUTOEVENTO="Manual",ROUND(SUMPRODUCT((CÁLCULO!$M$15:$M$33=EVENTOS!$C23)*(OFFSET(CÁLCULO!$AA$15:$AA$33,0,V$13))),2),0)</f>
        <v>0</v>
      </c>
      <c r="W23" s="619" cm="1">
        <f t="array" aca="1" ref="W23" ca="1">IF(AUTOEVENTO="Manual",ROUND(SUMPRODUCT((CÁLCULO!$M$15:$M$33=EVENTOS!$C23)*(OFFSET(CÁLCULO!$AA$15:$AA$33,0,W$13))),2),0)</f>
        <v>0</v>
      </c>
      <c r="X23" s="619" cm="1">
        <f t="array" aca="1" ref="X23" ca="1">IF(AUTOEVENTO="Manual",ROUND(SUMPRODUCT((CÁLCULO!$M$15:$M$33=EVENTOS!$C23)*(OFFSET(CÁLCULO!$AA$15:$AA$33,0,X$13))),2),0)</f>
        <v>0</v>
      </c>
      <c r="Y23" s="619" cm="1">
        <f t="array" aca="1" ref="Y23" ca="1">IF(AUTOEVENTO="Manual",ROUND(SUMPRODUCT((CÁLCULO!$M$15:$M$33=EVENTOS!$C23)*(OFFSET(CÁLCULO!$AA$15:$AA$33,0,Y$13))),2),0)</f>
        <v>0</v>
      </c>
    </row>
    <row r="24" spans="1:25" x14ac:dyDescent="0.2">
      <c r="A24" s="505" t="str">
        <f t="shared" si="3"/>
        <v/>
      </c>
      <c r="B24" t="str">
        <f t="shared" ca="1" si="4"/>
        <v/>
      </c>
      <c r="C24" s="181" t="str" cm="1">
        <f t="array" aca="1" ref="C24" ca="1">IF(OR(ROW(C24)=ROW(EVENTOS.firstrow)+1,AND(OFFSET(C24,-1,0)&lt;&gt;" ",OFFSET(C24,-1,1)&lt;&gt;"")),OFFSET(C24,-1,0)+1," ")</f>
        <v xml:space="preserve"> </v>
      </c>
      <c r="D24" s="495"/>
      <c r="E24" s="619" cm="1">
        <f t="array" aca="1" ref="E24" ca="1">IF(AUTOEVENTO="Manual",ROUND(SUMPRODUCT((CÁLCULO!$M$15:$M$33=EVENTOS!$C24)*(OFFSET(CÁLCULO!$AA$15:$AA$33,0,E$13))),2),0)</f>
        <v>0</v>
      </c>
      <c r="F24" s="182">
        <f ca="1">IF(AUTOEVENTO="Manual",ROUND(SUMPRODUCT((CÁLCULO!$M$15:$M$33=EVENTOS!$C24)*(OFFSET(CÁLCULO!$AA$15,0,1):OFFSET(CÁLCULO!$AL$33,0,-1))),2),0)</f>
        <v>0</v>
      </c>
      <c r="G24" s="620" t="str">
        <f t="shared" ca="1" si="5"/>
        <v/>
      </c>
      <c r="H24" s="619" cm="1">
        <f t="array" aca="1" ref="H24" ca="1">IF(AUTOEVENTO="Manual",ROUND(SUMPRODUCT((CÁLCULO!$M$15:$M$33=EVENTOS!$C24)*(OFFSET(CÁLCULO!$AA$15:$AA$33,0,H$13))),2),0)</f>
        <v>0</v>
      </c>
      <c r="I24" s="619" cm="1">
        <f t="array" aca="1" ref="I24" ca="1">IF(AUTOEVENTO="Manual",ROUND(SUMPRODUCT((CÁLCULO!$M$15:$M$33=EVENTOS!$C24)*(OFFSET(CÁLCULO!$AA$15:$AA$33,0,I$13))),2),0)</f>
        <v>0</v>
      </c>
      <c r="J24" s="619" cm="1">
        <f t="array" aca="1" ref="J24" ca="1">IF(AUTOEVENTO="Manual",ROUND(SUMPRODUCT((CÁLCULO!$M$15:$M$33=EVENTOS!$C24)*(OFFSET(CÁLCULO!$AA$15:$AA$33,0,J$13))),2),0)</f>
        <v>0</v>
      </c>
      <c r="K24" s="619" cm="1">
        <f t="array" aca="1" ref="K24" ca="1">IF(AUTOEVENTO="Manual",ROUND(SUMPRODUCT((CÁLCULO!$M$15:$M$33=EVENTOS!$C24)*(OFFSET(CÁLCULO!$AA$15:$AA$33,0,K$13))),2),0)</f>
        <v>0</v>
      </c>
      <c r="L24" s="619" cm="1">
        <f t="array" aca="1" ref="L24" ca="1">IF(AUTOEVENTO="Manual",ROUND(SUMPRODUCT((CÁLCULO!$M$15:$M$33=EVENTOS!$C24)*(OFFSET(CÁLCULO!$AA$15:$AA$33,0,L$13))),2),0)</f>
        <v>0</v>
      </c>
      <c r="M24" s="619" cm="1">
        <f t="array" aca="1" ref="M24" ca="1">IF(AUTOEVENTO="Manual",ROUND(SUMPRODUCT((CÁLCULO!$M$15:$M$33=EVENTOS!$C24)*(OFFSET(CÁLCULO!$AA$15:$AA$33,0,M$13))),2),0)</f>
        <v>0</v>
      </c>
      <c r="N24" s="619" cm="1">
        <f t="array" aca="1" ref="N24" ca="1">IF(AUTOEVENTO="Manual",ROUND(SUMPRODUCT((CÁLCULO!$M$15:$M$33=EVENTOS!$C24)*(OFFSET(CÁLCULO!$AA$15:$AA$33,0,N$13))),2),0)</f>
        <v>0</v>
      </c>
      <c r="O24" s="619" cm="1">
        <f t="array" aca="1" ref="O24" ca="1">IF(AUTOEVENTO="Manual",ROUND(SUMPRODUCT((CÁLCULO!$M$15:$M$33=EVENTOS!$C24)*(OFFSET(CÁLCULO!$AA$15:$AA$33,0,O$13))),2),0)</f>
        <v>0</v>
      </c>
      <c r="P24" s="619" cm="1">
        <f t="array" aca="1" ref="P24" ca="1">IF(AUTOEVENTO="Manual",ROUND(SUMPRODUCT((CÁLCULO!$M$15:$M$33=EVENTOS!$C24)*(OFFSET(CÁLCULO!$AA$15:$AA$33,0,P$13))),2),0)</f>
        <v>0</v>
      </c>
      <c r="Q24" s="619" cm="1">
        <f t="array" aca="1" ref="Q24" ca="1">IF(AUTOEVENTO="Manual",ROUND(SUMPRODUCT((CÁLCULO!$M$15:$M$33=EVENTOS!$C24)*(OFFSET(CÁLCULO!$AA$15:$AA$33,0,Q$13))),2),0)</f>
        <v>0</v>
      </c>
      <c r="R24" s="619" cm="1">
        <f t="array" aca="1" ref="R24" ca="1">IF(AUTOEVENTO="Manual",ROUND(SUMPRODUCT((CÁLCULO!$M$15:$M$33=EVENTOS!$C24)*(OFFSET(CÁLCULO!$AA$15:$AA$33,0,R$13))),2),0)</f>
        <v>0</v>
      </c>
      <c r="S24" s="619" cm="1">
        <f t="array" aca="1" ref="S24" ca="1">IF(AUTOEVENTO="Manual",ROUND(SUMPRODUCT((CÁLCULO!$M$15:$M$33=EVENTOS!$C24)*(OFFSET(CÁLCULO!$AA$15:$AA$33,0,S$13))),2),0)</f>
        <v>0</v>
      </c>
      <c r="T24" s="619" cm="1">
        <f t="array" aca="1" ref="T24" ca="1">IF(AUTOEVENTO="Manual",ROUND(SUMPRODUCT((CÁLCULO!$M$15:$M$33=EVENTOS!$C24)*(OFFSET(CÁLCULO!$AA$15:$AA$33,0,T$13))),2),0)</f>
        <v>0</v>
      </c>
      <c r="U24" s="619" cm="1">
        <f t="array" aca="1" ref="U24" ca="1">IF(AUTOEVENTO="Manual",ROUND(SUMPRODUCT((CÁLCULO!$M$15:$M$33=EVENTOS!$C24)*(OFFSET(CÁLCULO!$AA$15:$AA$33,0,U$13))),2),0)</f>
        <v>0</v>
      </c>
      <c r="V24" s="619" cm="1">
        <f t="array" aca="1" ref="V24" ca="1">IF(AUTOEVENTO="Manual",ROUND(SUMPRODUCT((CÁLCULO!$M$15:$M$33=EVENTOS!$C24)*(OFFSET(CÁLCULO!$AA$15:$AA$33,0,V$13))),2),0)</f>
        <v>0</v>
      </c>
      <c r="W24" s="619" cm="1">
        <f t="array" aca="1" ref="W24" ca="1">IF(AUTOEVENTO="Manual",ROUND(SUMPRODUCT((CÁLCULO!$M$15:$M$33=EVENTOS!$C24)*(OFFSET(CÁLCULO!$AA$15:$AA$33,0,W$13))),2),0)</f>
        <v>0</v>
      </c>
      <c r="X24" s="619" cm="1">
        <f t="array" aca="1" ref="X24" ca="1">IF(AUTOEVENTO="Manual",ROUND(SUMPRODUCT((CÁLCULO!$M$15:$M$33=EVENTOS!$C24)*(OFFSET(CÁLCULO!$AA$15:$AA$33,0,X$13))),2),0)</f>
        <v>0</v>
      </c>
      <c r="Y24" s="619" cm="1">
        <f t="array" aca="1" ref="Y24" ca="1">IF(AUTOEVENTO="Manual",ROUND(SUMPRODUCT((CÁLCULO!$M$15:$M$33=EVENTOS!$C24)*(OFFSET(CÁLCULO!$AA$15:$AA$33,0,Y$13))),2),0)</f>
        <v>0</v>
      </c>
    </row>
    <row r="25" spans="1:25" x14ac:dyDescent="0.2">
      <c r="A25" s="505" t="str">
        <f t="shared" si="3"/>
        <v/>
      </c>
      <c r="B25" t="str">
        <f t="shared" ca="1" si="4"/>
        <v/>
      </c>
      <c r="C25" s="181" t="str" cm="1">
        <f t="array" aca="1" ref="C25" ca="1">IF(OR(ROW(C25)=ROW(EVENTOS.firstrow)+1,AND(OFFSET(C25,-1,0)&lt;&gt;" ",OFFSET(C25,-1,1)&lt;&gt;"")),OFFSET(C25,-1,0)+1," ")</f>
        <v xml:space="preserve"> </v>
      </c>
      <c r="D25" s="495"/>
      <c r="E25" s="619" cm="1">
        <f t="array" aca="1" ref="E25" ca="1">IF(AUTOEVENTO="Manual",ROUND(SUMPRODUCT((CÁLCULO!$M$15:$M$33=EVENTOS!$C25)*(OFFSET(CÁLCULO!$AA$15:$AA$33,0,E$13))),2),0)</f>
        <v>0</v>
      </c>
      <c r="F25" s="182">
        <f ca="1">IF(AUTOEVENTO="Manual",ROUND(SUMPRODUCT((CÁLCULO!$M$15:$M$33=EVENTOS!$C25)*(OFFSET(CÁLCULO!$AA$15,0,1):OFFSET(CÁLCULO!$AL$33,0,-1))),2),0)</f>
        <v>0</v>
      </c>
      <c r="G25" s="620" t="str">
        <f t="shared" ca="1" si="5"/>
        <v/>
      </c>
      <c r="H25" s="619" cm="1">
        <f t="array" aca="1" ref="H25" ca="1">IF(AUTOEVENTO="Manual",ROUND(SUMPRODUCT((CÁLCULO!$M$15:$M$33=EVENTOS!$C25)*(OFFSET(CÁLCULO!$AA$15:$AA$33,0,H$13))),2),0)</f>
        <v>0</v>
      </c>
      <c r="I25" s="619" cm="1">
        <f t="array" aca="1" ref="I25" ca="1">IF(AUTOEVENTO="Manual",ROUND(SUMPRODUCT((CÁLCULO!$M$15:$M$33=EVENTOS!$C25)*(OFFSET(CÁLCULO!$AA$15:$AA$33,0,I$13))),2),0)</f>
        <v>0</v>
      </c>
      <c r="J25" s="619" cm="1">
        <f t="array" aca="1" ref="J25" ca="1">IF(AUTOEVENTO="Manual",ROUND(SUMPRODUCT((CÁLCULO!$M$15:$M$33=EVENTOS!$C25)*(OFFSET(CÁLCULO!$AA$15:$AA$33,0,J$13))),2),0)</f>
        <v>0</v>
      </c>
      <c r="K25" s="619" cm="1">
        <f t="array" aca="1" ref="K25" ca="1">IF(AUTOEVENTO="Manual",ROUND(SUMPRODUCT((CÁLCULO!$M$15:$M$33=EVENTOS!$C25)*(OFFSET(CÁLCULO!$AA$15:$AA$33,0,K$13))),2),0)</f>
        <v>0</v>
      </c>
      <c r="L25" s="619" cm="1">
        <f t="array" aca="1" ref="L25" ca="1">IF(AUTOEVENTO="Manual",ROUND(SUMPRODUCT((CÁLCULO!$M$15:$M$33=EVENTOS!$C25)*(OFFSET(CÁLCULO!$AA$15:$AA$33,0,L$13))),2),0)</f>
        <v>0</v>
      </c>
      <c r="M25" s="619" cm="1">
        <f t="array" aca="1" ref="M25" ca="1">IF(AUTOEVENTO="Manual",ROUND(SUMPRODUCT((CÁLCULO!$M$15:$M$33=EVENTOS!$C25)*(OFFSET(CÁLCULO!$AA$15:$AA$33,0,M$13))),2),0)</f>
        <v>0</v>
      </c>
      <c r="N25" s="619" cm="1">
        <f t="array" aca="1" ref="N25" ca="1">IF(AUTOEVENTO="Manual",ROUND(SUMPRODUCT((CÁLCULO!$M$15:$M$33=EVENTOS!$C25)*(OFFSET(CÁLCULO!$AA$15:$AA$33,0,N$13))),2),0)</f>
        <v>0</v>
      </c>
      <c r="O25" s="619" cm="1">
        <f t="array" aca="1" ref="O25" ca="1">IF(AUTOEVENTO="Manual",ROUND(SUMPRODUCT((CÁLCULO!$M$15:$M$33=EVENTOS!$C25)*(OFFSET(CÁLCULO!$AA$15:$AA$33,0,O$13))),2),0)</f>
        <v>0</v>
      </c>
      <c r="P25" s="619" cm="1">
        <f t="array" aca="1" ref="P25" ca="1">IF(AUTOEVENTO="Manual",ROUND(SUMPRODUCT((CÁLCULO!$M$15:$M$33=EVENTOS!$C25)*(OFFSET(CÁLCULO!$AA$15:$AA$33,0,P$13))),2),0)</f>
        <v>0</v>
      </c>
      <c r="Q25" s="619" cm="1">
        <f t="array" aca="1" ref="Q25" ca="1">IF(AUTOEVENTO="Manual",ROUND(SUMPRODUCT((CÁLCULO!$M$15:$M$33=EVENTOS!$C25)*(OFFSET(CÁLCULO!$AA$15:$AA$33,0,Q$13))),2),0)</f>
        <v>0</v>
      </c>
      <c r="R25" s="619" cm="1">
        <f t="array" aca="1" ref="R25" ca="1">IF(AUTOEVENTO="Manual",ROUND(SUMPRODUCT((CÁLCULO!$M$15:$M$33=EVENTOS!$C25)*(OFFSET(CÁLCULO!$AA$15:$AA$33,0,R$13))),2),0)</f>
        <v>0</v>
      </c>
      <c r="S25" s="619" cm="1">
        <f t="array" aca="1" ref="S25" ca="1">IF(AUTOEVENTO="Manual",ROUND(SUMPRODUCT((CÁLCULO!$M$15:$M$33=EVENTOS!$C25)*(OFFSET(CÁLCULO!$AA$15:$AA$33,0,S$13))),2),0)</f>
        <v>0</v>
      </c>
      <c r="T25" s="619" cm="1">
        <f t="array" aca="1" ref="T25" ca="1">IF(AUTOEVENTO="Manual",ROUND(SUMPRODUCT((CÁLCULO!$M$15:$M$33=EVENTOS!$C25)*(OFFSET(CÁLCULO!$AA$15:$AA$33,0,T$13))),2),0)</f>
        <v>0</v>
      </c>
      <c r="U25" s="619" cm="1">
        <f t="array" aca="1" ref="U25" ca="1">IF(AUTOEVENTO="Manual",ROUND(SUMPRODUCT((CÁLCULO!$M$15:$M$33=EVENTOS!$C25)*(OFFSET(CÁLCULO!$AA$15:$AA$33,0,U$13))),2),0)</f>
        <v>0</v>
      </c>
      <c r="V25" s="619" cm="1">
        <f t="array" aca="1" ref="V25" ca="1">IF(AUTOEVENTO="Manual",ROUND(SUMPRODUCT((CÁLCULO!$M$15:$M$33=EVENTOS!$C25)*(OFFSET(CÁLCULO!$AA$15:$AA$33,0,V$13))),2),0)</f>
        <v>0</v>
      </c>
      <c r="W25" s="619" cm="1">
        <f t="array" aca="1" ref="W25" ca="1">IF(AUTOEVENTO="Manual",ROUND(SUMPRODUCT((CÁLCULO!$M$15:$M$33=EVENTOS!$C25)*(OFFSET(CÁLCULO!$AA$15:$AA$33,0,W$13))),2),0)</f>
        <v>0</v>
      </c>
      <c r="X25" s="619" cm="1">
        <f t="array" aca="1" ref="X25" ca="1">IF(AUTOEVENTO="Manual",ROUND(SUMPRODUCT((CÁLCULO!$M$15:$M$33=EVENTOS!$C25)*(OFFSET(CÁLCULO!$AA$15:$AA$33,0,X$13))),2),0)</f>
        <v>0</v>
      </c>
      <c r="Y25" s="619" cm="1">
        <f t="array" aca="1" ref="Y25" ca="1">IF(AUTOEVENTO="Manual",ROUND(SUMPRODUCT((CÁLCULO!$M$15:$M$33=EVENTOS!$C25)*(OFFSET(CÁLCULO!$AA$15:$AA$33,0,Y$13))),2),0)</f>
        <v>0</v>
      </c>
    </row>
    <row r="26" spans="1:25" x14ac:dyDescent="0.2">
      <c r="A26" s="505" t="str">
        <f t="shared" si="3"/>
        <v/>
      </c>
      <c r="B26" t="str">
        <f t="shared" ca="1" si="4"/>
        <v/>
      </c>
      <c r="C26" s="181" t="str" cm="1">
        <f t="array" aca="1" ref="C26" ca="1">IF(OR(ROW(C26)=ROW(EVENTOS.firstrow)+1,AND(OFFSET(C26,-1,0)&lt;&gt;" ",OFFSET(C26,-1,1)&lt;&gt;"")),OFFSET(C26,-1,0)+1," ")</f>
        <v xml:space="preserve"> </v>
      </c>
      <c r="D26" s="495"/>
      <c r="E26" s="619" cm="1">
        <f t="array" aca="1" ref="E26" ca="1">IF(AUTOEVENTO="Manual",ROUND(SUMPRODUCT((CÁLCULO!$M$15:$M$33=EVENTOS!$C26)*(OFFSET(CÁLCULO!$AA$15:$AA$33,0,E$13))),2),0)</f>
        <v>0</v>
      </c>
      <c r="F26" s="182">
        <f ca="1">IF(AUTOEVENTO="Manual",ROUND(SUMPRODUCT((CÁLCULO!$M$15:$M$33=EVENTOS!$C26)*(OFFSET(CÁLCULO!$AA$15,0,1):OFFSET(CÁLCULO!$AL$33,0,-1))),2),0)</f>
        <v>0</v>
      </c>
      <c r="G26" s="620" t="str">
        <f t="shared" ca="1" si="5"/>
        <v/>
      </c>
      <c r="H26" s="619" cm="1">
        <f t="array" aca="1" ref="H26" ca="1">IF(AUTOEVENTO="Manual",ROUND(SUMPRODUCT((CÁLCULO!$M$15:$M$33=EVENTOS!$C26)*(OFFSET(CÁLCULO!$AA$15:$AA$33,0,H$13))),2),0)</f>
        <v>0</v>
      </c>
      <c r="I26" s="619" cm="1">
        <f t="array" aca="1" ref="I26" ca="1">IF(AUTOEVENTO="Manual",ROUND(SUMPRODUCT((CÁLCULO!$M$15:$M$33=EVENTOS!$C26)*(OFFSET(CÁLCULO!$AA$15:$AA$33,0,I$13))),2),0)</f>
        <v>0</v>
      </c>
      <c r="J26" s="619" cm="1">
        <f t="array" aca="1" ref="J26" ca="1">IF(AUTOEVENTO="Manual",ROUND(SUMPRODUCT((CÁLCULO!$M$15:$M$33=EVENTOS!$C26)*(OFFSET(CÁLCULO!$AA$15:$AA$33,0,J$13))),2),0)</f>
        <v>0</v>
      </c>
      <c r="K26" s="619" cm="1">
        <f t="array" aca="1" ref="K26" ca="1">IF(AUTOEVENTO="Manual",ROUND(SUMPRODUCT((CÁLCULO!$M$15:$M$33=EVENTOS!$C26)*(OFFSET(CÁLCULO!$AA$15:$AA$33,0,K$13))),2),0)</f>
        <v>0</v>
      </c>
      <c r="L26" s="619" cm="1">
        <f t="array" aca="1" ref="L26" ca="1">IF(AUTOEVENTO="Manual",ROUND(SUMPRODUCT((CÁLCULO!$M$15:$M$33=EVENTOS!$C26)*(OFFSET(CÁLCULO!$AA$15:$AA$33,0,L$13))),2),0)</f>
        <v>0</v>
      </c>
      <c r="M26" s="619" cm="1">
        <f t="array" aca="1" ref="M26" ca="1">IF(AUTOEVENTO="Manual",ROUND(SUMPRODUCT((CÁLCULO!$M$15:$M$33=EVENTOS!$C26)*(OFFSET(CÁLCULO!$AA$15:$AA$33,0,M$13))),2),0)</f>
        <v>0</v>
      </c>
      <c r="N26" s="619" cm="1">
        <f t="array" aca="1" ref="N26" ca="1">IF(AUTOEVENTO="Manual",ROUND(SUMPRODUCT((CÁLCULO!$M$15:$M$33=EVENTOS!$C26)*(OFFSET(CÁLCULO!$AA$15:$AA$33,0,N$13))),2),0)</f>
        <v>0</v>
      </c>
      <c r="O26" s="619" cm="1">
        <f t="array" aca="1" ref="O26" ca="1">IF(AUTOEVENTO="Manual",ROUND(SUMPRODUCT((CÁLCULO!$M$15:$M$33=EVENTOS!$C26)*(OFFSET(CÁLCULO!$AA$15:$AA$33,0,O$13))),2),0)</f>
        <v>0</v>
      </c>
      <c r="P26" s="619" cm="1">
        <f t="array" aca="1" ref="P26" ca="1">IF(AUTOEVENTO="Manual",ROUND(SUMPRODUCT((CÁLCULO!$M$15:$M$33=EVENTOS!$C26)*(OFFSET(CÁLCULO!$AA$15:$AA$33,0,P$13))),2),0)</f>
        <v>0</v>
      </c>
      <c r="Q26" s="619" cm="1">
        <f t="array" aca="1" ref="Q26" ca="1">IF(AUTOEVENTO="Manual",ROUND(SUMPRODUCT((CÁLCULO!$M$15:$M$33=EVENTOS!$C26)*(OFFSET(CÁLCULO!$AA$15:$AA$33,0,Q$13))),2),0)</f>
        <v>0</v>
      </c>
      <c r="R26" s="619" cm="1">
        <f t="array" aca="1" ref="R26" ca="1">IF(AUTOEVENTO="Manual",ROUND(SUMPRODUCT((CÁLCULO!$M$15:$M$33=EVENTOS!$C26)*(OFFSET(CÁLCULO!$AA$15:$AA$33,0,R$13))),2),0)</f>
        <v>0</v>
      </c>
      <c r="S26" s="619" cm="1">
        <f t="array" aca="1" ref="S26" ca="1">IF(AUTOEVENTO="Manual",ROUND(SUMPRODUCT((CÁLCULO!$M$15:$M$33=EVENTOS!$C26)*(OFFSET(CÁLCULO!$AA$15:$AA$33,0,S$13))),2),0)</f>
        <v>0</v>
      </c>
      <c r="T26" s="619" cm="1">
        <f t="array" aca="1" ref="T26" ca="1">IF(AUTOEVENTO="Manual",ROUND(SUMPRODUCT((CÁLCULO!$M$15:$M$33=EVENTOS!$C26)*(OFFSET(CÁLCULO!$AA$15:$AA$33,0,T$13))),2),0)</f>
        <v>0</v>
      </c>
      <c r="U26" s="619" cm="1">
        <f t="array" aca="1" ref="U26" ca="1">IF(AUTOEVENTO="Manual",ROUND(SUMPRODUCT((CÁLCULO!$M$15:$M$33=EVENTOS!$C26)*(OFFSET(CÁLCULO!$AA$15:$AA$33,0,U$13))),2),0)</f>
        <v>0</v>
      </c>
      <c r="V26" s="619" cm="1">
        <f t="array" aca="1" ref="V26" ca="1">IF(AUTOEVENTO="Manual",ROUND(SUMPRODUCT((CÁLCULO!$M$15:$M$33=EVENTOS!$C26)*(OFFSET(CÁLCULO!$AA$15:$AA$33,0,V$13))),2),0)</f>
        <v>0</v>
      </c>
      <c r="W26" s="619" cm="1">
        <f t="array" aca="1" ref="W26" ca="1">IF(AUTOEVENTO="Manual",ROUND(SUMPRODUCT((CÁLCULO!$M$15:$M$33=EVENTOS!$C26)*(OFFSET(CÁLCULO!$AA$15:$AA$33,0,W$13))),2),0)</f>
        <v>0</v>
      </c>
      <c r="X26" s="619" cm="1">
        <f t="array" aca="1" ref="X26" ca="1">IF(AUTOEVENTO="Manual",ROUND(SUMPRODUCT((CÁLCULO!$M$15:$M$33=EVENTOS!$C26)*(OFFSET(CÁLCULO!$AA$15:$AA$33,0,X$13))),2),0)</f>
        <v>0</v>
      </c>
      <c r="Y26" s="619" cm="1">
        <f t="array" aca="1" ref="Y26" ca="1">IF(AUTOEVENTO="Manual",ROUND(SUMPRODUCT((CÁLCULO!$M$15:$M$33=EVENTOS!$C26)*(OFFSET(CÁLCULO!$AA$15:$AA$33,0,Y$13))),2),0)</f>
        <v>0</v>
      </c>
    </row>
    <row r="27" spans="1:25" x14ac:dyDescent="0.2">
      <c r="A27" s="505" t="str">
        <f t="shared" si="3"/>
        <v/>
      </c>
      <c r="B27" t="str">
        <f t="shared" ca="1" si="4"/>
        <v/>
      </c>
      <c r="C27" s="181" t="str" cm="1">
        <f t="array" aca="1" ref="C27" ca="1">IF(OR(ROW(C27)=ROW(EVENTOS.firstrow)+1,AND(OFFSET(C27,-1,0)&lt;&gt;" ",OFFSET(C27,-1,1)&lt;&gt;"")),OFFSET(C27,-1,0)+1," ")</f>
        <v xml:space="preserve"> </v>
      </c>
      <c r="D27" s="495"/>
      <c r="E27" s="619" cm="1">
        <f t="array" aca="1" ref="E27" ca="1">IF(AUTOEVENTO="Manual",ROUND(SUMPRODUCT((CÁLCULO!$M$15:$M$33=EVENTOS!$C27)*(OFFSET(CÁLCULO!$AA$15:$AA$33,0,E$13))),2),0)</f>
        <v>0</v>
      </c>
      <c r="F27" s="182">
        <f ca="1">IF(AUTOEVENTO="Manual",ROUND(SUMPRODUCT((CÁLCULO!$M$15:$M$33=EVENTOS!$C27)*(OFFSET(CÁLCULO!$AA$15,0,1):OFFSET(CÁLCULO!$AL$33,0,-1))),2),0)</f>
        <v>0</v>
      </c>
      <c r="G27" s="620" t="str">
        <f t="shared" ca="1" si="5"/>
        <v/>
      </c>
      <c r="H27" s="619" cm="1">
        <f t="array" aca="1" ref="H27" ca="1">IF(AUTOEVENTO="Manual",ROUND(SUMPRODUCT((CÁLCULO!$M$15:$M$33=EVENTOS!$C27)*(OFFSET(CÁLCULO!$AA$15:$AA$33,0,H$13))),2),0)</f>
        <v>0</v>
      </c>
      <c r="I27" s="619" cm="1">
        <f t="array" aca="1" ref="I27" ca="1">IF(AUTOEVENTO="Manual",ROUND(SUMPRODUCT((CÁLCULO!$M$15:$M$33=EVENTOS!$C27)*(OFFSET(CÁLCULO!$AA$15:$AA$33,0,I$13))),2),0)</f>
        <v>0</v>
      </c>
      <c r="J27" s="619" cm="1">
        <f t="array" aca="1" ref="J27" ca="1">IF(AUTOEVENTO="Manual",ROUND(SUMPRODUCT((CÁLCULO!$M$15:$M$33=EVENTOS!$C27)*(OFFSET(CÁLCULO!$AA$15:$AA$33,0,J$13))),2),0)</f>
        <v>0</v>
      </c>
      <c r="K27" s="619" cm="1">
        <f t="array" aca="1" ref="K27" ca="1">IF(AUTOEVENTO="Manual",ROUND(SUMPRODUCT((CÁLCULO!$M$15:$M$33=EVENTOS!$C27)*(OFFSET(CÁLCULO!$AA$15:$AA$33,0,K$13))),2),0)</f>
        <v>0</v>
      </c>
      <c r="L27" s="619" cm="1">
        <f t="array" aca="1" ref="L27" ca="1">IF(AUTOEVENTO="Manual",ROUND(SUMPRODUCT((CÁLCULO!$M$15:$M$33=EVENTOS!$C27)*(OFFSET(CÁLCULO!$AA$15:$AA$33,0,L$13))),2),0)</f>
        <v>0</v>
      </c>
      <c r="M27" s="619" cm="1">
        <f t="array" aca="1" ref="M27" ca="1">IF(AUTOEVENTO="Manual",ROUND(SUMPRODUCT((CÁLCULO!$M$15:$M$33=EVENTOS!$C27)*(OFFSET(CÁLCULO!$AA$15:$AA$33,0,M$13))),2),0)</f>
        <v>0</v>
      </c>
      <c r="N27" s="619" cm="1">
        <f t="array" aca="1" ref="N27" ca="1">IF(AUTOEVENTO="Manual",ROUND(SUMPRODUCT((CÁLCULO!$M$15:$M$33=EVENTOS!$C27)*(OFFSET(CÁLCULO!$AA$15:$AA$33,0,N$13))),2),0)</f>
        <v>0</v>
      </c>
      <c r="O27" s="619" cm="1">
        <f t="array" aca="1" ref="O27" ca="1">IF(AUTOEVENTO="Manual",ROUND(SUMPRODUCT((CÁLCULO!$M$15:$M$33=EVENTOS!$C27)*(OFFSET(CÁLCULO!$AA$15:$AA$33,0,O$13))),2),0)</f>
        <v>0</v>
      </c>
      <c r="P27" s="619" cm="1">
        <f t="array" aca="1" ref="P27" ca="1">IF(AUTOEVENTO="Manual",ROUND(SUMPRODUCT((CÁLCULO!$M$15:$M$33=EVENTOS!$C27)*(OFFSET(CÁLCULO!$AA$15:$AA$33,0,P$13))),2),0)</f>
        <v>0</v>
      </c>
      <c r="Q27" s="619" cm="1">
        <f t="array" aca="1" ref="Q27" ca="1">IF(AUTOEVENTO="Manual",ROUND(SUMPRODUCT((CÁLCULO!$M$15:$M$33=EVENTOS!$C27)*(OFFSET(CÁLCULO!$AA$15:$AA$33,0,Q$13))),2),0)</f>
        <v>0</v>
      </c>
      <c r="R27" s="619" cm="1">
        <f t="array" aca="1" ref="R27" ca="1">IF(AUTOEVENTO="Manual",ROUND(SUMPRODUCT((CÁLCULO!$M$15:$M$33=EVENTOS!$C27)*(OFFSET(CÁLCULO!$AA$15:$AA$33,0,R$13))),2),0)</f>
        <v>0</v>
      </c>
      <c r="S27" s="619" cm="1">
        <f t="array" aca="1" ref="S27" ca="1">IF(AUTOEVENTO="Manual",ROUND(SUMPRODUCT((CÁLCULO!$M$15:$M$33=EVENTOS!$C27)*(OFFSET(CÁLCULO!$AA$15:$AA$33,0,S$13))),2),0)</f>
        <v>0</v>
      </c>
      <c r="T27" s="619" cm="1">
        <f t="array" aca="1" ref="T27" ca="1">IF(AUTOEVENTO="Manual",ROUND(SUMPRODUCT((CÁLCULO!$M$15:$M$33=EVENTOS!$C27)*(OFFSET(CÁLCULO!$AA$15:$AA$33,0,T$13))),2),0)</f>
        <v>0</v>
      </c>
      <c r="U27" s="619" cm="1">
        <f t="array" aca="1" ref="U27" ca="1">IF(AUTOEVENTO="Manual",ROUND(SUMPRODUCT((CÁLCULO!$M$15:$M$33=EVENTOS!$C27)*(OFFSET(CÁLCULO!$AA$15:$AA$33,0,U$13))),2),0)</f>
        <v>0</v>
      </c>
      <c r="V27" s="619" cm="1">
        <f t="array" aca="1" ref="V27" ca="1">IF(AUTOEVENTO="Manual",ROUND(SUMPRODUCT((CÁLCULO!$M$15:$M$33=EVENTOS!$C27)*(OFFSET(CÁLCULO!$AA$15:$AA$33,0,V$13))),2),0)</f>
        <v>0</v>
      </c>
      <c r="W27" s="619" cm="1">
        <f t="array" aca="1" ref="W27" ca="1">IF(AUTOEVENTO="Manual",ROUND(SUMPRODUCT((CÁLCULO!$M$15:$M$33=EVENTOS!$C27)*(OFFSET(CÁLCULO!$AA$15:$AA$33,0,W$13))),2),0)</f>
        <v>0</v>
      </c>
      <c r="X27" s="619" cm="1">
        <f t="array" aca="1" ref="X27" ca="1">IF(AUTOEVENTO="Manual",ROUND(SUMPRODUCT((CÁLCULO!$M$15:$M$33=EVENTOS!$C27)*(OFFSET(CÁLCULO!$AA$15:$AA$33,0,X$13))),2),0)</f>
        <v>0</v>
      </c>
      <c r="Y27" s="619" cm="1">
        <f t="array" aca="1" ref="Y27" ca="1">IF(AUTOEVENTO="Manual",ROUND(SUMPRODUCT((CÁLCULO!$M$15:$M$33=EVENTOS!$C27)*(OFFSET(CÁLCULO!$AA$15:$AA$33,0,Y$13))),2),0)</f>
        <v>0</v>
      </c>
    </row>
    <row r="28" spans="1:25" x14ac:dyDescent="0.2">
      <c r="A28" s="505" t="str">
        <f t="shared" si="3"/>
        <v/>
      </c>
      <c r="B28" t="str">
        <f t="shared" ca="1" si="4"/>
        <v/>
      </c>
      <c r="C28" s="181" t="str" cm="1">
        <f t="array" aca="1" ref="C28" ca="1">IF(OR(ROW(C28)=ROW(EVENTOS.firstrow)+1,AND(OFFSET(C28,-1,0)&lt;&gt;" ",OFFSET(C28,-1,1)&lt;&gt;"")),OFFSET(C28,-1,0)+1," ")</f>
        <v xml:space="preserve"> </v>
      </c>
      <c r="D28" s="495"/>
      <c r="E28" s="619" cm="1">
        <f t="array" aca="1" ref="E28" ca="1">IF(AUTOEVENTO="Manual",ROUND(SUMPRODUCT((CÁLCULO!$M$15:$M$33=EVENTOS!$C28)*(OFFSET(CÁLCULO!$AA$15:$AA$33,0,E$13))),2),0)</f>
        <v>0</v>
      </c>
      <c r="F28" s="182">
        <f ca="1">IF(AUTOEVENTO="Manual",ROUND(SUMPRODUCT((CÁLCULO!$M$15:$M$33=EVENTOS!$C28)*(OFFSET(CÁLCULO!$AA$15,0,1):OFFSET(CÁLCULO!$AL$33,0,-1))),2),0)</f>
        <v>0</v>
      </c>
      <c r="G28" s="620" t="str">
        <f t="shared" ca="1" si="5"/>
        <v/>
      </c>
      <c r="H28" s="619" cm="1">
        <f t="array" aca="1" ref="H28" ca="1">IF(AUTOEVENTO="Manual",ROUND(SUMPRODUCT((CÁLCULO!$M$15:$M$33=EVENTOS!$C28)*(OFFSET(CÁLCULO!$AA$15:$AA$33,0,H$13))),2),0)</f>
        <v>0</v>
      </c>
      <c r="I28" s="619" cm="1">
        <f t="array" aca="1" ref="I28" ca="1">IF(AUTOEVENTO="Manual",ROUND(SUMPRODUCT((CÁLCULO!$M$15:$M$33=EVENTOS!$C28)*(OFFSET(CÁLCULO!$AA$15:$AA$33,0,I$13))),2),0)</f>
        <v>0</v>
      </c>
      <c r="J28" s="619" cm="1">
        <f t="array" aca="1" ref="J28" ca="1">IF(AUTOEVENTO="Manual",ROUND(SUMPRODUCT((CÁLCULO!$M$15:$M$33=EVENTOS!$C28)*(OFFSET(CÁLCULO!$AA$15:$AA$33,0,J$13))),2),0)</f>
        <v>0</v>
      </c>
      <c r="K28" s="619" cm="1">
        <f t="array" aca="1" ref="K28" ca="1">IF(AUTOEVENTO="Manual",ROUND(SUMPRODUCT((CÁLCULO!$M$15:$M$33=EVENTOS!$C28)*(OFFSET(CÁLCULO!$AA$15:$AA$33,0,K$13))),2),0)</f>
        <v>0</v>
      </c>
      <c r="L28" s="619" cm="1">
        <f t="array" aca="1" ref="L28" ca="1">IF(AUTOEVENTO="Manual",ROUND(SUMPRODUCT((CÁLCULO!$M$15:$M$33=EVENTOS!$C28)*(OFFSET(CÁLCULO!$AA$15:$AA$33,0,L$13))),2),0)</f>
        <v>0</v>
      </c>
      <c r="M28" s="619" cm="1">
        <f t="array" aca="1" ref="M28" ca="1">IF(AUTOEVENTO="Manual",ROUND(SUMPRODUCT((CÁLCULO!$M$15:$M$33=EVENTOS!$C28)*(OFFSET(CÁLCULO!$AA$15:$AA$33,0,M$13))),2),0)</f>
        <v>0</v>
      </c>
      <c r="N28" s="619" cm="1">
        <f t="array" aca="1" ref="N28" ca="1">IF(AUTOEVENTO="Manual",ROUND(SUMPRODUCT((CÁLCULO!$M$15:$M$33=EVENTOS!$C28)*(OFFSET(CÁLCULO!$AA$15:$AA$33,0,N$13))),2),0)</f>
        <v>0</v>
      </c>
      <c r="O28" s="619" cm="1">
        <f t="array" aca="1" ref="O28" ca="1">IF(AUTOEVENTO="Manual",ROUND(SUMPRODUCT((CÁLCULO!$M$15:$M$33=EVENTOS!$C28)*(OFFSET(CÁLCULO!$AA$15:$AA$33,0,O$13))),2),0)</f>
        <v>0</v>
      </c>
      <c r="P28" s="619" cm="1">
        <f t="array" aca="1" ref="P28" ca="1">IF(AUTOEVENTO="Manual",ROUND(SUMPRODUCT((CÁLCULO!$M$15:$M$33=EVENTOS!$C28)*(OFFSET(CÁLCULO!$AA$15:$AA$33,0,P$13))),2),0)</f>
        <v>0</v>
      </c>
      <c r="Q28" s="619" cm="1">
        <f t="array" aca="1" ref="Q28" ca="1">IF(AUTOEVENTO="Manual",ROUND(SUMPRODUCT((CÁLCULO!$M$15:$M$33=EVENTOS!$C28)*(OFFSET(CÁLCULO!$AA$15:$AA$33,0,Q$13))),2),0)</f>
        <v>0</v>
      </c>
      <c r="R28" s="619" cm="1">
        <f t="array" aca="1" ref="R28" ca="1">IF(AUTOEVENTO="Manual",ROUND(SUMPRODUCT((CÁLCULO!$M$15:$M$33=EVENTOS!$C28)*(OFFSET(CÁLCULO!$AA$15:$AA$33,0,R$13))),2),0)</f>
        <v>0</v>
      </c>
      <c r="S28" s="619" cm="1">
        <f t="array" aca="1" ref="S28" ca="1">IF(AUTOEVENTO="Manual",ROUND(SUMPRODUCT((CÁLCULO!$M$15:$M$33=EVENTOS!$C28)*(OFFSET(CÁLCULO!$AA$15:$AA$33,0,S$13))),2),0)</f>
        <v>0</v>
      </c>
      <c r="T28" s="619" cm="1">
        <f t="array" aca="1" ref="T28" ca="1">IF(AUTOEVENTO="Manual",ROUND(SUMPRODUCT((CÁLCULO!$M$15:$M$33=EVENTOS!$C28)*(OFFSET(CÁLCULO!$AA$15:$AA$33,0,T$13))),2),0)</f>
        <v>0</v>
      </c>
      <c r="U28" s="619" cm="1">
        <f t="array" aca="1" ref="U28" ca="1">IF(AUTOEVENTO="Manual",ROUND(SUMPRODUCT((CÁLCULO!$M$15:$M$33=EVENTOS!$C28)*(OFFSET(CÁLCULO!$AA$15:$AA$33,0,U$13))),2),0)</f>
        <v>0</v>
      </c>
      <c r="V28" s="619" cm="1">
        <f t="array" aca="1" ref="V28" ca="1">IF(AUTOEVENTO="Manual",ROUND(SUMPRODUCT((CÁLCULO!$M$15:$M$33=EVENTOS!$C28)*(OFFSET(CÁLCULO!$AA$15:$AA$33,0,V$13))),2),0)</f>
        <v>0</v>
      </c>
      <c r="W28" s="619" cm="1">
        <f t="array" aca="1" ref="W28" ca="1">IF(AUTOEVENTO="Manual",ROUND(SUMPRODUCT((CÁLCULO!$M$15:$M$33=EVENTOS!$C28)*(OFFSET(CÁLCULO!$AA$15:$AA$33,0,W$13))),2),0)</f>
        <v>0</v>
      </c>
      <c r="X28" s="619" cm="1">
        <f t="array" aca="1" ref="X28" ca="1">IF(AUTOEVENTO="Manual",ROUND(SUMPRODUCT((CÁLCULO!$M$15:$M$33=EVENTOS!$C28)*(OFFSET(CÁLCULO!$AA$15:$AA$33,0,X$13))),2),0)</f>
        <v>0</v>
      </c>
      <c r="Y28" s="619" cm="1">
        <f t="array" aca="1" ref="Y28" ca="1">IF(AUTOEVENTO="Manual",ROUND(SUMPRODUCT((CÁLCULO!$M$15:$M$33=EVENTOS!$C28)*(OFFSET(CÁLCULO!$AA$15:$AA$33,0,Y$13))),2),0)</f>
        <v>0</v>
      </c>
    </row>
    <row r="29" spans="1:25" x14ac:dyDescent="0.2">
      <c r="A29" s="505" t="str">
        <f t="shared" si="3"/>
        <v/>
      </c>
      <c r="B29" t="str">
        <f t="shared" ca="1" si="4"/>
        <v/>
      </c>
      <c r="C29" s="181" t="str" cm="1">
        <f t="array" aca="1" ref="C29" ca="1">IF(OR(ROW(C29)=ROW(EVENTOS.firstrow)+1,AND(OFFSET(C29,-1,0)&lt;&gt;" ",OFFSET(C29,-1,1)&lt;&gt;"")),OFFSET(C29,-1,0)+1," ")</f>
        <v xml:space="preserve"> </v>
      </c>
      <c r="D29" s="495"/>
      <c r="E29" s="619" cm="1">
        <f t="array" aca="1" ref="E29" ca="1">IF(AUTOEVENTO="Manual",ROUND(SUMPRODUCT((CÁLCULO!$M$15:$M$33=EVENTOS!$C29)*(OFFSET(CÁLCULO!$AA$15:$AA$33,0,E$13))),2),0)</f>
        <v>0</v>
      </c>
      <c r="F29" s="182">
        <f ca="1">IF(AUTOEVENTO="Manual",ROUND(SUMPRODUCT((CÁLCULO!$M$15:$M$33=EVENTOS!$C29)*(OFFSET(CÁLCULO!$AA$15,0,1):OFFSET(CÁLCULO!$AL$33,0,-1))),2),0)</f>
        <v>0</v>
      </c>
      <c r="G29" s="620" t="str">
        <f t="shared" ca="1" si="5"/>
        <v/>
      </c>
      <c r="H29" s="619" cm="1">
        <f t="array" aca="1" ref="H29" ca="1">IF(AUTOEVENTO="Manual",ROUND(SUMPRODUCT((CÁLCULO!$M$15:$M$33=EVENTOS!$C29)*(OFFSET(CÁLCULO!$AA$15:$AA$33,0,H$13))),2),0)</f>
        <v>0</v>
      </c>
      <c r="I29" s="619" cm="1">
        <f t="array" aca="1" ref="I29" ca="1">IF(AUTOEVENTO="Manual",ROUND(SUMPRODUCT((CÁLCULO!$M$15:$M$33=EVENTOS!$C29)*(OFFSET(CÁLCULO!$AA$15:$AA$33,0,I$13))),2),0)</f>
        <v>0</v>
      </c>
      <c r="J29" s="619" cm="1">
        <f t="array" aca="1" ref="J29" ca="1">IF(AUTOEVENTO="Manual",ROUND(SUMPRODUCT((CÁLCULO!$M$15:$M$33=EVENTOS!$C29)*(OFFSET(CÁLCULO!$AA$15:$AA$33,0,J$13))),2),0)</f>
        <v>0</v>
      </c>
      <c r="K29" s="619" cm="1">
        <f t="array" aca="1" ref="K29" ca="1">IF(AUTOEVENTO="Manual",ROUND(SUMPRODUCT((CÁLCULO!$M$15:$M$33=EVENTOS!$C29)*(OFFSET(CÁLCULO!$AA$15:$AA$33,0,K$13))),2),0)</f>
        <v>0</v>
      </c>
      <c r="L29" s="619" cm="1">
        <f t="array" aca="1" ref="L29" ca="1">IF(AUTOEVENTO="Manual",ROUND(SUMPRODUCT((CÁLCULO!$M$15:$M$33=EVENTOS!$C29)*(OFFSET(CÁLCULO!$AA$15:$AA$33,0,L$13))),2),0)</f>
        <v>0</v>
      </c>
      <c r="M29" s="619" cm="1">
        <f t="array" aca="1" ref="M29" ca="1">IF(AUTOEVENTO="Manual",ROUND(SUMPRODUCT((CÁLCULO!$M$15:$M$33=EVENTOS!$C29)*(OFFSET(CÁLCULO!$AA$15:$AA$33,0,M$13))),2),0)</f>
        <v>0</v>
      </c>
      <c r="N29" s="619" cm="1">
        <f t="array" aca="1" ref="N29" ca="1">IF(AUTOEVENTO="Manual",ROUND(SUMPRODUCT((CÁLCULO!$M$15:$M$33=EVENTOS!$C29)*(OFFSET(CÁLCULO!$AA$15:$AA$33,0,N$13))),2),0)</f>
        <v>0</v>
      </c>
      <c r="O29" s="619" cm="1">
        <f t="array" aca="1" ref="O29" ca="1">IF(AUTOEVENTO="Manual",ROUND(SUMPRODUCT((CÁLCULO!$M$15:$M$33=EVENTOS!$C29)*(OFFSET(CÁLCULO!$AA$15:$AA$33,0,O$13))),2),0)</f>
        <v>0</v>
      </c>
      <c r="P29" s="619" cm="1">
        <f t="array" aca="1" ref="P29" ca="1">IF(AUTOEVENTO="Manual",ROUND(SUMPRODUCT((CÁLCULO!$M$15:$M$33=EVENTOS!$C29)*(OFFSET(CÁLCULO!$AA$15:$AA$33,0,P$13))),2),0)</f>
        <v>0</v>
      </c>
      <c r="Q29" s="619" cm="1">
        <f t="array" aca="1" ref="Q29" ca="1">IF(AUTOEVENTO="Manual",ROUND(SUMPRODUCT((CÁLCULO!$M$15:$M$33=EVENTOS!$C29)*(OFFSET(CÁLCULO!$AA$15:$AA$33,0,Q$13))),2),0)</f>
        <v>0</v>
      </c>
      <c r="R29" s="619" cm="1">
        <f t="array" aca="1" ref="R29" ca="1">IF(AUTOEVENTO="Manual",ROUND(SUMPRODUCT((CÁLCULO!$M$15:$M$33=EVENTOS!$C29)*(OFFSET(CÁLCULO!$AA$15:$AA$33,0,R$13))),2),0)</f>
        <v>0</v>
      </c>
      <c r="S29" s="619" cm="1">
        <f t="array" aca="1" ref="S29" ca="1">IF(AUTOEVENTO="Manual",ROUND(SUMPRODUCT((CÁLCULO!$M$15:$M$33=EVENTOS!$C29)*(OFFSET(CÁLCULO!$AA$15:$AA$33,0,S$13))),2),0)</f>
        <v>0</v>
      </c>
      <c r="T29" s="619" cm="1">
        <f t="array" aca="1" ref="T29" ca="1">IF(AUTOEVENTO="Manual",ROUND(SUMPRODUCT((CÁLCULO!$M$15:$M$33=EVENTOS!$C29)*(OFFSET(CÁLCULO!$AA$15:$AA$33,0,T$13))),2),0)</f>
        <v>0</v>
      </c>
      <c r="U29" s="619" cm="1">
        <f t="array" aca="1" ref="U29" ca="1">IF(AUTOEVENTO="Manual",ROUND(SUMPRODUCT((CÁLCULO!$M$15:$M$33=EVENTOS!$C29)*(OFFSET(CÁLCULO!$AA$15:$AA$33,0,U$13))),2),0)</f>
        <v>0</v>
      </c>
      <c r="V29" s="619" cm="1">
        <f t="array" aca="1" ref="V29" ca="1">IF(AUTOEVENTO="Manual",ROUND(SUMPRODUCT((CÁLCULO!$M$15:$M$33=EVENTOS!$C29)*(OFFSET(CÁLCULO!$AA$15:$AA$33,0,V$13))),2),0)</f>
        <v>0</v>
      </c>
      <c r="W29" s="619" cm="1">
        <f t="array" aca="1" ref="W29" ca="1">IF(AUTOEVENTO="Manual",ROUND(SUMPRODUCT((CÁLCULO!$M$15:$M$33=EVENTOS!$C29)*(OFFSET(CÁLCULO!$AA$15:$AA$33,0,W$13))),2),0)</f>
        <v>0</v>
      </c>
      <c r="X29" s="619" cm="1">
        <f t="array" aca="1" ref="X29" ca="1">IF(AUTOEVENTO="Manual",ROUND(SUMPRODUCT((CÁLCULO!$M$15:$M$33=EVENTOS!$C29)*(OFFSET(CÁLCULO!$AA$15:$AA$33,0,X$13))),2),0)</f>
        <v>0</v>
      </c>
      <c r="Y29" s="619" cm="1">
        <f t="array" aca="1" ref="Y29" ca="1">IF(AUTOEVENTO="Manual",ROUND(SUMPRODUCT((CÁLCULO!$M$15:$M$33=EVENTOS!$C29)*(OFFSET(CÁLCULO!$AA$15:$AA$33,0,Y$13))),2),0)</f>
        <v>0</v>
      </c>
    </row>
    <row r="30" spans="1:25" x14ac:dyDescent="0.2">
      <c r="A30" s="505" t="str">
        <f t="shared" si="3"/>
        <v/>
      </c>
      <c r="B30" t="str">
        <f t="shared" ca="1" si="4"/>
        <v/>
      </c>
      <c r="C30" s="181" t="str" cm="1">
        <f t="array" aca="1" ref="C30" ca="1">IF(OR(ROW(C30)=ROW(EVENTOS.firstrow)+1,AND(OFFSET(C30,-1,0)&lt;&gt;" ",OFFSET(C30,-1,1)&lt;&gt;"")),OFFSET(C30,-1,0)+1," ")</f>
        <v xml:space="preserve"> </v>
      </c>
      <c r="D30" s="495"/>
      <c r="E30" s="619" cm="1">
        <f t="array" aca="1" ref="E30" ca="1">IF(AUTOEVENTO="Manual",ROUND(SUMPRODUCT((CÁLCULO!$M$15:$M$33=EVENTOS!$C30)*(OFFSET(CÁLCULO!$AA$15:$AA$33,0,E$13))),2),0)</f>
        <v>0</v>
      </c>
      <c r="F30" s="182">
        <f ca="1">IF(AUTOEVENTO="Manual",ROUND(SUMPRODUCT((CÁLCULO!$M$15:$M$33=EVENTOS!$C30)*(OFFSET(CÁLCULO!$AA$15,0,1):OFFSET(CÁLCULO!$AL$33,0,-1))),2),0)</f>
        <v>0</v>
      </c>
      <c r="G30" s="620" t="str">
        <f t="shared" ca="1" si="5"/>
        <v/>
      </c>
      <c r="H30" s="619" cm="1">
        <f t="array" aca="1" ref="H30" ca="1">IF(AUTOEVENTO="Manual",ROUND(SUMPRODUCT((CÁLCULO!$M$15:$M$33=EVENTOS!$C30)*(OFFSET(CÁLCULO!$AA$15:$AA$33,0,H$13))),2),0)</f>
        <v>0</v>
      </c>
      <c r="I30" s="619" cm="1">
        <f t="array" aca="1" ref="I30" ca="1">IF(AUTOEVENTO="Manual",ROUND(SUMPRODUCT((CÁLCULO!$M$15:$M$33=EVENTOS!$C30)*(OFFSET(CÁLCULO!$AA$15:$AA$33,0,I$13))),2),0)</f>
        <v>0</v>
      </c>
      <c r="J30" s="619" cm="1">
        <f t="array" aca="1" ref="J30" ca="1">IF(AUTOEVENTO="Manual",ROUND(SUMPRODUCT((CÁLCULO!$M$15:$M$33=EVENTOS!$C30)*(OFFSET(CÁLCULO!$AA$15:$AA$33,0,J$13))),2),0)</f>
        <v>0</v>
      </c>
      <c r="K30" s="619" cm="1">
        <f t="array" aca="1" ref="K30" ca="1">IF(AUTOEVENTO="Manual",ROUND(SUMPRODUCT((CÁLCULO!$M$15:$M$33=EVENTOS!$C30)*(OFFSET(CÁLCULO!$AA$15:$AA$33,0,K$13))),2),0)</f>
        <v>0</v>
      </c>
      <c r="L30" s="619" cm="1">
        <f t="array" aca="1" ref="L30" ca="1">IF(AUTOEVENTO="Manual",ROUND(SUMPRODUCT((CÁLCULO!$M$15:$M$33=EVENTOS!$C30)*(OFFSET(CÁLCULO!$AA$15:$AA$33,0,L$13))),2),0)</f>
        <v>0</v>
      </c>
      <c r="M30" s="619" cm="1">
        <f t="array" aca="1" ref="M30" ca="1">IF(AUTOEVENTO="Manual",ROUND(SUMPRODUCT((CÁLCULO!$M$15:$M$33=EVENTOS!$C30)*(OFFSET(CÁLCULO!$AA$15:$AA$33,0,M$13))),2),0)</f>
        <v>0</v>
      </c>
      <c r="N30" s="619" cm="1">
        <f t="array" aca="1" ref="N30" ca="1">IF(AUTOEVENTO="Manual",ROUND(SUMPRODUCT((CÁLCULO!$M$15:$M$33=EVENTOS!$C30)*(OFFSET(CÁLCULO!$AA$15:$AA$33,0,N$13))),2),0)</f>
        <v>0</v>
      </c>
      <c r="O30" s="619" cm="1">
        <f t="array" aca="1" ref="O30" ca="1">IF(AUTOEVENTO="Manual",ROUND(SUMPRODUCT((CÁLCULO!$M$15:$M$33=EVENTOS!$C30)*(OFFSET(CÁLCULO!$AA$15:$AA$33,0,O$13))),2),0)</f>
        <v>0</v>
      </c>
      <c r="P30" s="619" cm="1">
        <f t="array" aca="1" ref="P30" ca="1">IF(AUTOEVENTO="Manual",ROUND(SUMPRODUCT((CÁLCULO!$M$15:$M$33=EVENTOS!$C30)*(OFFSET(CÁLCULO!$AA$15:$AA$33,0,P$13))),2),0)</f>
        <v>0</v>
      </c>
      <c r="Q30" s="619" cm="1">
        <f t="array" aca="1" ref="Q30" ca="1">IF(AUTOEVENTO="Manual",ROUND(SUMPRODUCT((CÁLCULO!$M$15:$M$33=EVENTOS!$C30)*(OFFSET(CÁLCULO!$AA$15:$AA$33,0,Q$13))),2),0)</f>
        <v>0</v>
      </c>
      <c r="R30" s="619" cm="1">
        <f t="array" aca="1" ref="R30" ca="1">IF(AUTOEVENTO="Manual",ROUND(SUMPRODUCT((CÁLCULO!$M$15:$M$33=EVENTOS!$C30)*(OFFSET(CÁLCULO!$AA$15:$AA$33,0,R$13))),2),0)</f>
        <v>0</v>
      </c>
      <c r="S30" s="619" cm="1">
        <f t="array" aca="1" ref="S30" ca="1">IF(AUTOEVENTO="Manual",ROUND(SUMPRODUCT((CÁLCULO!$M$15:$M$33=EVENTOS!$C30)*(OFFSET(CÁLCULO!$AA$15:$AA$33,0,S$13))),2),0)</f>
        <v>0</v>
      </c>
      <c r="T30" s="619" cm="1">
        <f t="array" aca="1" ref="T30" ca="1">IF(AUTOEVENTO="Manual",ROUND(SUMPRODUCT((CÁLCULO!$M$15:$M$33=EVENTOS!$C30)*(OFFSET(CÁLCULO!$AA$15:$AA$33,0,T$13))),2),0)</f>
        <v>0</v>
      </c>
      <c r="U30" s="619" cm="1">
        <f t="array" aca="1" ref="U30" ca="1">IF(AUTOEVENTO="Manual",ROUND(SUMPRODUCT((CÁLCULO!$M$15:$M$33=EVENTOS!$C30)*(OFFSET(CÁLCULO!$AA$15:$AA$33,0,U$13))),2),0)</f>
        <v>0</v>
      </c>
      <c r="V30" s="619" cm="1">
        <f t="array" aca="1" ref="V30" ca="1">IF(AUTOEVENTO="Manual",ROUND(SUMPRODUCT((CÁLCULO!$M$15:$M$33=EVENTOS!$C30)*(OFFSET(CÁLCULO!$AA$15:$AA$33,0,V$13))),2),0)</f>
        <v>0</v>
      </c>
      <c r="W30" s="619" cm="1">
        <f t="array" aca="1" ref="W30" ca="1">IF(AUTOEVENTO="Manual",ROUND(SUMPRODUCT((CÁLCULO!$M$15:$M$33=EVENTOS!$C30)*(OFFSET(CÁLCULO!$AA$15:$AA$33,0,W$13))),2),0)</f>
        <v>0</v>
      </c>
      <c r="X30" s="619" cm="1">
        <f t="array" aca="1" ref="X30" ca="1">IF(AUTOEVENTO="Manual",ROUND(SUMPRODUCT((CÁLCULO!$M$15:$M$33=EVENTOS!$C30)*(OFFSET(CÁLCULO!$AA$15:$AA$33,0,X$13))),2),0)</f>
        <v>0</v>
      </c>
      <c r="Y30" s="619" cm="1">
        <f t="array" aca="1" ref="Y30" ca="1">IF(AUTOEVENTO="Manual",ROUND(SUMPRODUCT((CÁLCULO!$M$15:$M$33=EVENTOS!$C30)*(OFFSET(CÁLCULO!$AA$15:$AA$33,0,Y$13))),2),0)</f>
        <v>0</v>
      </c>
    </row>
    <row r="31" spans="1:25" x14ac:dyDescent="0.2">
      <c r="A31" s="505" t="str">
        <f t="shared" si="3"/>
        <v/>
      </c>
      <c r="B31" t="str">
        <f t="shared" ca="1" si="4"/>
        <v/>
      </c>
      <c r="C31" s="181" t="str" cm="1">
        <f t="array" aca="1" ref="C31" ca="1">IF(OR(ROW(C31)=ROW(EVENTOS.firstrow)+1,AND(OFFSET(C31,-1,0)&lt;&gt;" ",OFFSET(C31,-1,1)&lt;&gt;"")),OFFSET(C31,-1,0)+1," ")</f>
        <v xml:space="preserve"> </v>
      </c>
      <c r="D31" s="495"/>
      <c r="E31" s="619" cm="1">
        <f t="array" aca="1" ref="E31" ca="1">IF(AUTOEVENTO="Manual",ROUND(SUMPRODUCT((CÁLCULO!$M$15:$M$33=EVENTOS!$C31)*(OFFSET(CÁLCULO!$AA$15:$AA$33,0,E$13))),2),0)</f>
        <v>0</v>
      </c>
      <c r="F31" s="182">
        <f ca="1">IF(AUTOEVENTO="Manual",ROUND(SUMPRODUCT((CÁLCULO!$M$15:$M$33=EVENTOS!$C31)*(OFFSET(CÁLCULO!$AA$15,0,1):OFFSET(CÁLCULO!$AL$33,0,-1))),2),0)</f>
        <v>0</v>
      </c>
      <c r="G31" s="620" t="str">
        <f t="shared" ca="1" si="5"/>
        <v/>
      </c>
      <c r="H31" s="619" cm="1">
        <f t="array" aca="1" ref="H31" ca="1">IF(AUTOEVENTO="Manual",ROUND(SUMPRODUCT((CÁLCULO!$M$15:$M$33=EVENTOS!$C31)*(OFFSET(CÁLCULO!$AA$15:$AA$33,0,H$13))),2),0)</f>
        <v>0</v>
      </c>
      <c r="I31" s="619" cm="1">
        <f t="array" aca="1" ref="I31" ca="1">IF(AUTOEVENTO="Manual",ROUND(SUMPRODUCT((CÁLCULO!$M$15:$M$33=EVENTOS!$C31)*(OFFSET(CÁLCULO!$AA$15:$AA$33,0,I$13))),2),0)</f>
        <v>0</v>
      </c>
      <c r="J31" s="619" cm="1">
        <f t="array" aca="1" ref="J31" ca="1">IF(AUTOEVENTO="Manual",ROUND(SUMPRODUCT((CÁLCULO!$M$15:$M$33=EVENTOS!$C31)*(OFFSET(CÁLCULO!$AA$15:$AA$33,0,J$13))),2),0)</f>
        <v>0</v>
      </c>
      <c r="K31" s="619" cm="1">
        <f t="array" aca="1" ref="K31" ca="1">IF(AUTOEVENTO="Manual",ROUND(SUMPRODUCT((CÁLCULO!$M$15:$M$33=EVENTOS!$C31)*(OFFSET(CÁLCULO!$AA$15:$AA$33,0,K$13))),2),0)</f>
        <v>0</v>
      </c>
      <c r="L31" s="619" cm="1">
        <f t="array" aca="1" ref="L31" ca="1">IF(AUTOEVENTO="Manual",ROUND(SUMPRODUCT((CÁLCULO!$M$15:$M$33=EVENTOS!$C31)*(OFFSET(CÁLCULO!$AA$15:$AA$33,0,L$13))),2),0)</f>
        <v>0</v>
      </c>
      <c r="M31" s="619" cm="1">
        <f t="array" aca="1" ref="M31" ca="1">IF(AUTOEVENTO="Manual",ROUND(SUMPRODUCT((CÁLCULO!$M$15:$M$33=EVENTOS!$C31)*(OFFSET(CÁLCULO!$AA$15:$AA$33,0,M$13))),2),0)</f>
        <v>0</v>
      </c>
      <c r="N31" s="619" cm="1">
        <f t="array" aca="1" ref="N31" ca="1">IF(AUTOEVENTO="Manual",ROUND(SUMPRODUCT((CÁLCULO!$M$15:$M$33=EVENTOS!$C31)*(OFFSET(CÁLCULO!$AA$15:$AA$33,0,N$13))),2),0)</f>
        <v>0</v>
      </c>
      <c r="O31" s="619" cm="1">
        <f t="array" aca="1" ref="O31" ca="1">IF(AUTOEVENTO="Manual",ROUND(SUMPRODUCT((CÁLCULO!$M$15:$M$33=EVENTOS!$C31)*(OFFSET(CÁLCULO!$AA$15:$AA$33,0,O$13))),2),0)</f>
        <v>0</v>
      </c>
      <c r="P31" s="619" cm="1">
        <f t="array" aca="1" ref="P31" ca="1">IF(AUTOEVENTO="Manual",ROUND(SUMPRODUCT((CÁLCULO!$M$15:$M$33=EVENTOS!$C31)*(OFFSET(CÁLCULO!$AA$15:$AA$33,0,P$13))),2),0)</f>
        <v>0</v>
      </c>
      <c r="Q31" s="619" cm="1">
        <f t="array" aca="1" ref="Q31" ca="1">IF(AUTOEVENTO="Manual",ROUND(SUMPRODUCT((CÁLCULO!$M$15:$M$33=EVENTOS!$C31)*(OFFSET(CÁLCULO!$AA$15:$AA$33,0,Q$13))),2),0)</f>
        <v>0</v>
      </c>
      <c r="R31" s="619" cm="1">
        <f t="array" aca="1" ref="R31" ca="1">IF(AUTOEVENTO="Manual",ROUND(SUMPRODUCT((CÁLCULO!$M$15:$M$33=EVENTOS!$C31)*(OFFSET(CÁLCULO!$AA$15:$AA$33,0,R$13))),2),0)</f>
        <v>0</v>
      </c>
      <c r="S31" s="619" cm="1">
        <f t="array" aca="1" ref="S31" ca="1">IF(AUTOEVENTO="Manual",ROUND(SUMPRODUCT((CÁLCULO!$M$15:$M$33=EVENTOS!$C31)*(OFFSET(CÁLCULO!$AA$15:$AA$33,0,S$13))),2),0)</f>
        <v>0</v>
      </c>
      <c r="T31" s="619" cm="1">
        <f t="array" aca="1" ref="T31" ca="1">IF(AUTOEVENTO="Manual",ROUND(SUMPRODUCT((CÁLCULO!$M$15:$M$33=EVENTOS!$C31)*(OFFSET(CÁLCULO!$AA$15:$AA$33,0,T$13))),2),0)</f>
        <v>0</v>
      </c>
      <c r="U31" s="619" cm="1">
        <f t="array" aca="1" ref="U31" ca="1">IF(AUTOEVENTO="Manual",ROUND(SUMPRODUCT((CÁLCULO!$M$15:$M$33=EVENTOS!$C31)*(OFFSET(CÁLCULO!$AA$15:$AA$33,0,U$13))),2),0)</f>
        <v>0</v>
      </c>
      <c r="V31" s="619" cm="1">
        <f t="array" aca="1" ref="V31" ca="1">IF(AUTOEVENTO="Manual",ROUND(SUMPRODUCT((CÁLCULO!$M$15:$M$33=EVENTOS!$C31)*(OFFSET(CÁLCULO!$AA$15:$AA$33,0,V$13))),2),0)</f>
        <v>0</v>
      </c>
      <c r="W31" s="619" cm="1">
        <f t="array" aca="1" ref="W31" ca="1">IF(AUTOEVENTO="Manual",ROUND(SUMPRODUCT((CÁLCULO!$M$15:$M$33=EVENTOS!$C31)*(OFFSET(CÁLCULO!$AA$15:$AA$33,0,W$13))),2),0)</f>
        <v>0</v>
      </c>
      <c r="X31" s="619" cm="1">
        <f t="array" aca="1" ref="X31" ca="1">IF(AUTOEVENTO="Manual",ROUND(SUMPRODUCT((CÁLCULO!$M$15:$M$33=EVENTOS!$C31)*(OFFSET(CÁLCULO!$AA$15:$AA$33,0,X$13))),2),0)</f>
        <v>0</v>
      </c>
      <c r="Y31" s="619" cm="1">
        <f t="array" aca="1" ref="Y31" ca="1">IF(AUTOEVENTO="Manual",ROUND(SUMPRODUCT((CÁLCULO!$M$15:$M$33=EVENTOS!$C31)*(OFFSET(CÁLCULO!$AA$15:$AA$33,0,Y$13))),2),0)</f>
        <v>0</v>
      </c>
    </row>
    <row r="32" spans="1:25" x14ac:dyDescent="0.2">
      <c r="A32" s="505" t="str">
        <f t="shared" si="3"/>
        <v/>
      </c>
      <c r="B32" t="str">
        <f t="shared" ca="1" si="4"/>
        <v/>
      </c>
      <c r="C32" s="181" t="str" cm="1">
        <f t="array" aca="1" ref="C32" ca="1">IF(OR(ROW(C32)=ROW(EVENTOS.firstrow)+1,AND(OFFSET(C32,-1,0)&lt;&gt;" ",OFFSET(C32,-1,1)&lt;&gt;"")),OFFSET(C32,-1,0)+1," ")</f>
        <v xml:space="preserve"> </v>
      </c>
      <c r="D32" s="495"/>
      <c r="E32" s="619" cm="1">
        <f t="array" aca="1" ref="E32" ca="1">IF(AUTOEVENTO="Manual",ROUND(SUMPRODUCT((CÁLCULO!$M$15:$M$33=EVENTOS!$C32)*(OFFSET(CÁLCULO!$AA$15:$AA$33,0,E$13))),2),0)</f>
        <v>0</v>
      </c>
      <c r="F32" s="182">
        <f ca="1">IF(AUTOEVENTO="Manual",ROUND(SUMPRODUCT((CÁLCULO!$M$15:$M$33=EVENTOS!$C32)*(OFFSET(CÁLCULO!$AA$15,0,1):OFFSET(CÁLCULO!$AL$33,0,-1))),2),0)</f>
        <v>0</v>
      </c>
      <c r="G32" s="620" t="str">
        <f t="shared" ca="1" si="5"/>
        <v/>
      </c>
      <c r="H32" s="619" cm="1">
        <f t="array" aca="1" ref="H32" ca="1">IF(AUTOEVENTO="Manual",ROUND(SUMPRODUCT((CÁLCULO!$M$15:$M$33=EVENTOS!$C32)*(OFFSET(CÁLCULO!$AA$15:$AA$33,0,H$13))),2),0)</f>
        <v>0</v>
      </c>
      <c r="I32" s="619" cm="1">
        <f t="array" aca="1" ref="I32" ca="1">IF(AUTOEVENTO="Manual",ROUND(SUMPRODUCT((CÁLCULO!$M$15:$M$33=EVENTOS!$C32)*(OFFSET(CÁLCULO!$AA$15:$AA$33,0,I$13))),2),0)</f>
        <v>0</v>
      </c>
      <c r="J32" s="619" cm="1">
        <f t="array" aca="1" ref="J32" ca="1">IF(AUTOEVENTO="Manual",ROUND(SUMPRODUCT((CÁLCULO!$M$15:$M$33=EVENTOS!$C32)*(OFFSET(CÁLCULO!$AA$15:$AA$33,0,J$13))),2),0)</f>
        <v>0</v>
      </c>
      <c r="K32" s="619" cm="1">
        <f t="array" aca="1" ref="K32" ca="1">IF(AUTOEVENTO="Manual",ROUND(SUMPRODUCT((CÁLCULO!$M$15:$M$33=EVENTOS!$C32)*(OFFSET(CÁLCULO!$AA$15:$AA$33,0,K$13))),2),0)</f>
        <v>0</v>
      </c>
      <c r="L32" s="619" cm="1">
        <f t="array" aca="1" ref="L32" ca="1">IF(AUTOEVENTO="Manual",ROUND(SUMPRODUCT((CÁLCULO!$M$15:$M$33=EVENTOS!$C32)*(OFFSET(CÁLCULO!$AA$15:$AA$33,0,L$13))),2),0)</f>
        <v>0</v>
      </c>
      <c r="M32" s="619" cm="1">
        <f t="array" aca="1" ref="M32" ca="1">IF(AUTOEVENTO="Manual",ROUND(SUMPRODUCT((CÁLCULO!$M$15:$M$33=EVENTOS!$C32)*(OFFSET(CÁLCULO!$AA$15:$AA$33,0,M$13))),2),0)</f>
        <v>0</v>
      </c>
      <c r="N32" s="619" cm="1">
        <f t="array" aca="1" ref="N32" ca="1">IF(AUTOEVENTO="Manual",ROUND(SUMPRODUCT((CÁLCULO!$M$15:$M$33=EVENTOS!$C32)*(OFFSET(CÁLCULO!$AA$15:$AA$33,0,N$13))),2),0)</f>
        <v>0</v>
      </c>
      <c r="O32" s="619" cm="1">
        <f t="array" aca="1" ref="O32" ca="1">IF(AUTOEVENTO="Manual",ROUND(SUMPRODUCT((CÁLCULO!$M$15:$M$33=EVENTOS!$C32)*(OFFSET(CÁLCULO!$AA$15:$AA$33,0,O$13))),2),0)</f>
        <v>0</v>
      </c>
      <c r="P32" s="619" cm="1">
        <f t="array" aca="1" ref="P32" ca="1">IF(AUTOEVENTO="Manual",ROUND(SUMPRODUCT((CÁLCULO!$M$15:$M$33=EVENTOS!$C32)*(OFFSET(CÁLCULO!$AA$15:$AA$33,0,P$13))),2),0)</f>
        <v>0</v>
      </c>
      <c r="Q32" s="619" cm="1">
        <f t="array" aca="1" ref="Q32" ca="1">IF(AUTOEVENTO="Manual",ROUND(SUMPRODUCT((CÁLCULO!$M$15:$M$33=EVENTOS!$C32)*(OFFSET(CÁLCULO!$AA$15:$AA$33,0,Q$13))),2),0)</f>
        <v>0</v>
      </c>
      <c r="R32" s="619" cm="1">
        <f t="array" aca="1" ref="R32" ca="1">IF(AUTOEVENTO="Manual",ROUND(SUMPRODUCT((CÁLCULO!$M$15:$M$33=EVENTOS!$C32)*(OFFSET(CÁLCULO!$AA$15:$AA$33,0,R$13))),2),0)</f>
        <v>0</v>
      </c>
      <c r="S32" s="619" cm="1">
        <f t="array" aca="1" ref="S32" ca="1">IF(AUTOEVENTO="Manual",ROUND(SUMPRODUCT((CÁLCULO!$M$15:$M$33=EVENTOS!$C32)*(OFFSET(CÁLCULO!$AA$15:$AA$33,0,S$13))),2),0)</f>
        <v>0</v>
      </c>
      <c r="T32" s="619" cm="1">
        <f t="array" aca="1" ref="T32" ca="1">IF(AUTOEVENTO="Manual",ROUND(SUMPRODUCT((CÁLCULO!$M$15:$M$33=EVENTOS!$C32)*(OFFSET(CÁLCULO!$AA$15:$AA$33,0,T$13))),2),0)</f>
        <v>0</v>
      </c>
      <c r="U32" s="619" cm="1">
        <f t="array" aca="1" ref="U32" ca="1">IF(AUTOEVENTO="Manual",ROUND(SUMPRODUCT((CÁLCULO!$M$15:$M$33=EVENTOS!$C32)*(OFFSET(CÁLCULO!$AA$15:$AA$33,0,U$13))),2),0)</f>
        <v>0</v>
      </c>
      <c r="V32" s="619" cm="1">
        <f t="array" aca="1" ref="V32" ca="1">IF(AUTOEVENTO="Manual",ROUND(SUMPRODUCT((CÁLCULO!$M$15:$M$33=EVENTOS!$C32)*(OFFSET(CÁLCULO!$AA$15:$AA$33,0,V$13))),2),0)</f>
        <v>0</v>
      </c>
      <c r="W32" s="619" cm="1">
        <f t="array" aca="1" ref="W32" ca="1">IF(AUTOEVENTO="Manual",ROUND(SUMPRODUCT((CÁLCULO!$M$15:$M$33=EVENTOS!$C32)*(OFFSET(CÁLCULO!$AA$15:$AA$33,0,W$13))),2),0)</f>
        <v>0</v>
      </c>
      <c r="X32" s="619" cm="1">
        <f t="array" aca="1" ref="X32" ca="1">IF(AUTOEVENTO="Manual",ROUND(SUMPRODUCT((CÁLCULO!$M$15:$M$33=EVENTOS!$C32)*(OFFSET(CÁLCULO!$AA$15:$AA$33,0,X$13))),2),0)</f>
        <v>0</v>
      </c>
      <c r="Y32" s="619" cm="1">
        <f t="array" aca="1" ref="Y32" ca="1">IF(AUTOEVENTO="Manual",ROUND(SUMPRODUCT((CÁLCULO!$M$15:$M$33=EVENTOS!$C32)*(OFFSET(CÁLCULO!$AA$15:$AA$33,0,Y$13))),2),0)</f>
        <v>0</v>
      </c>
    </row>
    <row r="33" spans="1:25" x14ac:dyDescent="0.2">
      <c r="A33" s="505" t="str">
        <f t="shared" si="3"/>
        <v/>
      </c>
      <c r="B33" t="str">
        <f t="shared" ca="1" si="4"/>
        <v/>
      </c>
      <c r="C33" s="181" t="str" cm="1">
        <f t="array" aca="1" ref="C33" ca="1">IF(OR(ROW(C33)=ROW(EVENTOS.firstrow)+1,AND(OFFSET(C33,-1,0)&lt;&gt;" ",OFFSET(C33,-1,1)&lt;&gt;"")),OFFSET(C33,-1,0)+1," ")</f>
        <v xml:space="preserve"> </v>
      </c>
      <c r="D33" s="495"/>
      <c r="E33" s="619" cm="1">
        <f t="array" aca="1" ref="E33" ca="1">IF(AUTOEVENTO="Manual",ROUND(SUMPRODUCT((CÁLCULO!$M$15:$M$33=EVENTOS!$C33)*(OFFSET(CÁLCULO!$AA$15:$AA$33,0,E$13))),2),0)</f>
        <v>0</v>
      </c>
      <c r="F33" s="182">
        <f ca="1">IF(AUTOEVENTO="Manual",ROUND(SUMPRODUCT((CÁLCULO!$M$15:$M$33=EVENTOS!$C33)*(OFFSET(CÁLCULO!$AA$15,0,1):OFFSET(CÁLCULO!$AL$33,0,-1))),2),0)</f>
        <v>0</v>
      </c>
      <c r="G33" s="620" t="str">
        <f t="shared" ca="1" si="5"/>
        <v/>
      </c>
      <c r="H33" s="619" cm="1">
        <f t="array" aca="1" ref="H33" ca="1">IF(AUTOEVENTO="Manual",ROUND(SUMPRODUCT((CÁLCULO!$M$15:$M$33=EVENTOS!$C33)*(OFFSET(CÁLCULO!$AA$15:$AA$33,0,H$13))),2),0)</f>
        <v>0</v>
      </c>
      <c r="I33" s="619" cm="1">
        <f t="array" aca="1" ref="I33" ca="1">IF(AUTOEVENTO="Manual",ROUND(SUMPRODUCT((CÁLCULO!$M$15:$M$33=EVENTOS!$C33)*(OFFSET(CÁLCULO!$AA$15:$AA$33,0,I$13))),2),0)</f>
        <v>0</v>
      </c>
      <c r="J33" s="619" cm="1">
        <f t="array" aca="1" ref="J33" ca="1">IF(AUTOEVENTO="Manual",ROUND(SUMPRODUCT((CÁLCULO!$M$15:$M$33=EVENTOS!$C33)*(OFFSET(CÁLCULO!$AA$15:$AA$33,0,J$13))),2),0)</f>
        <v>0</v>
      </c>
      <c r="K33" s="619" cm="1">
        <f t="array" aca="1" ref="K33" ca="1">IF(AUTOEVENTO="Manual",ROUND(SUMPRODUCT((CÁLCULO!$M$15:$M$33=EVENTOS!$C33)*(OFFSET(CÁLCULO!$AA$15:$AA$33,0,K$13))),2),0)</f>
        <v>0</v>
      </c>
      <c r="L33" s="619" cm="1">
        <f t="array" aca="1" ref="L33" ca="1">IF(AUTOEVENTO="Manual",ROUND(SUMPRODUCT((CÁLCULO!$M$15:$M$33=EVENTOS!$C33)*(OFFSET(CÁLCULO!$AA$15:$AA$33,0,L$13))),2),0)</f>
        <v>0</v>
      </c>
      <c r="M33" s="619" cm="1">
        <f t="array" aca="1" ref="M33" ca="1">IF(AUTOEVENTO="Manual",ROUND(SUMPRODUCT((CÁLCULO!$M$15:$M$33=EVENTOS!$C33)*(OFFSET(CÁLCULO!$AA$15:$AA$33,0,M$13))),2),0)</f>
        <v>0</v>
      </c>
      <c r="N33" s="619" cm="1">
        <f t="array" aca="1" ref="N33" ca="1">IF(AUTOEVENTO="Manual",ROUND(SUMPRODUCT((CÁLCULO!$M$15:$M$33=EVENTOS!$C33)*(OFFSET(CÁLCULO!$AA$15:$AA$33,0,N$13))),2),0)</f>
        <v>0</v>
      </c>
      <c r="O33" s="619" cm="1">
        <f t="array" aca="1" ref="O33" ca="1">IF(AUTOEVENTO="Manual",ROUND(SUMPRODUCT((CÁLCULO!$M$15:$M$33=EVENTOS!$C33)*(OFFSET(CÁLCULO!$AA$15:$AA$33,0,O$13))),2),0)</f>
        <v>0</v>
      </c>
      <c r="P33" s="619" cm="1">
        <f t="array" aca="1" ref="P33" ca="1">IF(AUTOEVENTO="Manual",ROUND(SUMPRODUCT((CÁLCULO!$M$15:$M$33=EVENTOS!$C33)*(OFFSET(CÁLCULO!$AA$15:$AA$33,0,P$13))),2),0)</f>
        <v>0</v>
      </c>
      <c r="Q33" s="619" cm="1">
        <f t="array" aca="1" ref="Q33" ca="1">IF(AUTOEVENTO="Manual",ROUND(SUMPRODUCT((CÁLCULO!$M$15:$M$33=EVENTOS!$C33)*(OFFSET(CÁLCULO!$AA$15:$AA$33,0,Q$13))),2),0)</f>
        <v>0</v>
      </c>
      <c r="R33" s="619" cm="1">
        <f t="array" aca="1" ref="R33" ca="1">IF(AUTOEVENTO="Manual",ROUND(SUMPRODUCT((CÁLCULO!$M$15:$M$33=EVENTOS!$C33)*(OFFSET(CÁLCULO!$AA$15:$AA$33,0,R$13))),2),0)</f>
        <v>0</v>
      </c>
      <c r="S33" s="619" cm="1">
        <f t="array" aca="1" ref="S33" ca="1">IF(AUTOEVENTO="Manual",ROUND(SUMPRODUCT((CÁLCULO!$M$15:$M$33=EVENTOS!$C33)*(OFFSET(CÁLCULO!$AA$15:$AA$33,0,S$13))),2),0)</f>
        <v>0</v>
      </c>
      <c r="T33" s="619" cm="1">
        <f t="array" aca="1" ref="T33" ca="1">IF(AUTOEVENTO="Manual",ROUND(SUMPRODUCT((CÁLCULO!$M$15:$M$33=EVENTOS!$C33)*(OFFSET(CÁLCULO!$AA$15:$AA$33,0,T$13))),2),0)</f>
        <v>0</v>
      </c>
      <c r="U33" s="619" cm="1">
        <f t="array" aca="1" ref="U33" ca="1">IF(AUTOEVENTO="Manual",ROUND(SUMPRODUCT((CÁLCULO!$M$15:$M$33=EVENTOS!$C33)*(OFFSET(CÁLCULO!$AA$15:$AA$33,0,U$13))),2),0)</f>
        <v>0</v>
      </c>
      <c r="V33" s="619" cm="1">
        <f t="array" aca="1" ref="V33" ca="1">IF(AUTOEVENTO="Manual",ROUND(SUMPRODUCT((CÁLCULO!$M$15:$M$33=EVENTOS!$C33)*(OFFSET(CÁLCULO!$AA$15:$AA$33,0,V$13))),2),0)</f>
        <v>0</v>
      </c>
      <c r="W33" s="619" cm="1">
        <f t="array" aca="1" ref="W33" ca="1">IF(AUTOEVENTO="Manual",ROUND(SUMPRODUCT((CÁLCULO!$M$15:$M$33=EVENTOS!$C33)*(OFFSET(CÁLCULO!$AA$15:$AA$33,0,W$13))),2),0)</f>
        <v>0</v>
      </c>
      <c r="X33" s="619" cm="1">
        <f t="array" aca="1" ref="X33" ca="1">IF(AUTOEVENTO="Manual",ROUND(SUMPRODUCT((CÁLCULO!$M$15:$M$33=EVENTOS!$C33)*(OFFSET(CÁLCULO!$AA$15:$AA$33,0,X$13))),2),0)</f>
        <v>0</v>
      </c>
      <c r="Y33" s="619" cm="1">
        <f t="array" aca="1" ref="Y33" ca="1">IF(AUTOEVENTO="Manual",ROUND(SUMPRODUCT((CÁLCULO!$M$15:$M$33=EVENTOS!$C33)*(OFFSET(CÁLCULO!$AA$15:$AA$33,0,Y$13))),2),0)</f>
        <v>0</v>
      </c>
    </row>
    <row r="34" spans="1:25" x14ac:dyDescent="0.2">
      <c r="A34" s="505" t="str">
        <f t="shared" si="3"/>
        <v/>
      </c>
      <c r="B34" t="str">
        <f t="shared" ca="1" si="4"/>
        <v/>
      </c>
      <c r="C34" s="181" t="str" cm="1">
        <f t="array" aca="1" ref="C34" ca="1">IF(OR(ROW(C34)=ROW(EVENTOS.firstrow)+1,AND(OFFSET(C34,-1,0)&lt;&gt;" ",OFFSET(C34,-1,1)&lt;&gt;"")),OFFSET(C34,-1,0)+1," ")</f>
        <v xml:space="preserve"> </v>
      </c>
      <c r="D34" s="495"/>
      <c r="E34" s="619" cm="1">
        <f t="array" aca="1" ref="E34" ca="1">IF(AUTOEVENTO="Manual",ROUND(SUMPRODUCT((CÁLCULO!$M$15:$M$33=EVENTOS!$C34)*(OFFSET(CÁLCULO!$AA$15:$AA$33,0,E$13))),2),0)</f>
        <v>0</v>
      </c>
      <c r="F34" s="182">
        <f ca="1">IF(AUTOEVENTO="Manual",ROUND(SUMPRODUCT((CÁLCULO!$M$15:$M$33=EVENTOS!$C34)*(OFFSET(CÁLCULO!$AA$15,0,1):OFFSET(CÁLCULO!$AL$33,0,-1))),2),0)</f>
        <v>0</v>
      </c>
      <c r="G34" s="620" t="str">
        <f t="shared" ca="1" si="5"/>
        <v/>
      </c>
      <c r="H34" s="619" cm="1">
        <f t="array" aca="1" ref="H34" ca="1">IF(AUTOEVENTO="Manual",ROUND(SUMPRODUCT((CÁLCULO!$M$15:$M$33=EVENTOS!$C34)*(OFFSET(CÁLCULO!$AA$15:$AA$33,0,H$13))),2),0)</f>
        <v>0</v>
      </c>
      <c r="I34" s="619" cm="1">
        <f t="array" aca="1" ref="I34" ca="1">IF(AUTOEVENTO="Manual",ROUND(SUMPRODUCT((CÁLCULO!$M$15:$M$33=EVENTOS!$C34)*(OFFSET(CÁLCULO!$AA$15:$AA$33,0,I$13))),2),0)</f>
        <v>0</v>
      </c>
      <c r="J34" s="619" cm="1">
        <f t="array" aca="1" ref="J34" ca="1">IF(AUTOEVENTO="Manual",ROUND(SUMPRODUCT((CÁLCULO!$M$15:$M$33=EVENTOS!$C34)*(OFFSET(CÁLCULO!$AA$15:$AA$33,0,J$13))),2),0)</f>
        <v>0</v>
      </c>
      <c r="K34" s="619" cm="1">
        <f t="array" aca="1" ref="K34" ca="1">IF(AUTOEVENTO="Manual",ROUND(SUMPRODUCT((CÁLCULO!$M$15:$M$33=EVENTOS!$C34)*(OFFSET(CÁLCULO!$AA$15:$AA$33,0,K$13))),2),0)</f>
        <v>0</v>
      </c>
      <c r="L34" s="619" cm="1">
        <f t="array" aca="1" ref="L34" ca="1">IF(AUTOEVENTO="Manual",ROUND(SUMPRODUCT((CÁLCULO!$M$15:$M$33=EVENTOS!$C34)*(OFFSET(CÁLCULO!$AA$15:$AA$33,0,L$13))),2),0)</f>
        <v>0</v>
      </c>
      <c r="M34" s="619" cm="1">
        <f t="array" aca="1" ref="M34" ca="1">IF(AUTOEVENTO="Manual",ROUND(SUMPRODUCT((CÁLCULO!$M$15:$M$33=EVENTOS!$C34)*(OFFSET(CÁLCULO!$AA$15:$AA$33,0,M$13))),2),0)</f>
        <v>0</v>
      </c>
      <c r="N34" s="619" cm="1">
        <f t="array" aca="1" ref="N34" ca="1">IF(AUTOEVENTO="Manual",ROUND(SUMPRODUCT((CÁLCULO!$M$15:$M$33=EVENTOS!$C34)*(OFFSET(CÁLCULO!$AA$15:$AA$33,0,N$13))),2),0)</f>
        <v>0</v>
      </c>
      <c r="O34" s="619" cm="1">
        <f t="array" aca="1" ref="O34" ca="1">IF(AUTOEVENTO="Manual",ROUND(SUMPRODUCT((CÁLCULO!$M$15:$M$33=EVENTOS!$C34)*(OFFSET(CÁLCULO!$AA$15:$AA$33,0,O$13))),2),0)</f>
        <v>0</v>
      </c>
      <c r="P34" s="619" cm="1">
        <f t="array" aca="1" ref="P34" ca="1">IF(AUTOEVENTO="Manual",ROUND(SUMPRODUCT((CÁLCULO!$M$15:$M$33=EVENTOS!$C34)*(OFFSET(CÁLCULO!$AA$15:$AA$33,0,P$13))),2),0)</f>
        <v>0</v>
      </c>
      <c r="Q34" s="619" cm="1">
        <f t="array" aca="1" ref="Q34" ca="1">IF(AUTOEVENTO="Manual",ROUND(SUMPRODUCT((CÁLCULO!$M$15:$M$33=EVENTOS!$C34)*(OFFSET(CÁLCULO!$AA$15:$AA$33,0,Q$13))),2),0)</f>
        <v>0</v>
      </c>
      <c r="R34" s="619" cm="1">
        <f t="array" aca="1" ref="R34" ca="1">IF(AUTOEVENTO="Manual",ROUND(SUMPRODUCT((CÁLCULO!$M$15:$M$33=EVENTOS!$C34)*(OFFSET(CÁLCULO!$AA$15:$AA$33,0,R$13))),2),0)</f>
        <v>0</v>
      </c>
      <c r="S34" s="619" cm="1">
        <f t="array" aca="1" ref="S34" ca="1">IF(AUTOEVENTO="Manual",ROUND(SUMPRODUCT((CÁLCULO!$M$15:$M$33=EVENTOS!$C34)*(OFFSET(CÁLCULO!$AA$15:$AA$33,0,S$13))),2),0)</f>
        <v>0</v>
      </c>
      <c r="T34" s="619" cm="1">
        <f t="array" aca="1" ref="T34" ca="1">IF(AUTOEVENTO="Manual",ROUND(SUMPRODUCT((CÁLCULO!$M$15:$M$33=EVENTOS!$C34)*(OFFSET(CÁLCULO!$AA$15:$AA$33,0,T$13))),2),0)</f>
        <v>0</v>
      </c>
      <c r="U34" s="619" cm="1">
        <f t="array" aca="1" ref="U34" ca="1">IF(AUTOEVENTO="Manual",ROUND(SUMPRODUCT((CÁLCULO!$M$15:$M$33=EVENTOS!$C34)*(OFFSET(CÁLCULO!$AA$15:$AA$33,0,U$13))),2),0)</f>
        <v>0</v>
      </c>
      <c r="V34" s="619" cm="1">
        <f t="array" aca="1" ref="V34" ca="1">IF(AUTOEVENTO="Manual",ROUND(SUMPRODUCT((CÁLCULO!$M$15:$M$33=EVENTOS!$C34)*(OFFSET(CÁLCULO!$AA$15:$AA$33,0,V$13))),2),0)</f>
        <v>0</v>
      </c>
      <c r="W34" s="619" cm="1">
        <f t="array" aca="1" ref="W34" ca="1">IF(AUTOEVENTO="Manual",ROUND(SUMPRODUCT((CÁLCULO!$M$15:$M$33=EVENTOS!$C34)*(OFFSET(CÁLCULO!$AA$15:$AA$33,0,W$13))),2),0)</f>
        <v>0</v>
      </c>
      <c r="X34" s="619" cm="1">
        <f t="array" aca="1" ref="X34" ca="1">IF(AUTOEVENTO="Manual",ROUND(SUMPRODUCT((CÁLCULO!$M$15:$M$33=EVENTOS!$C34)*(OFFSET(CÁLCULO!$AA$15:$AA$33,0,X$13))),2),0)</f>
        <v>0</v>
      </c>
      <c r="Y34" s="619" cm="1">
        <f t="array" aca="1" ref="Y34" ca="1">IF(AUTOEVENTO="Manual",ROUND(SUMPRODUCT((CÁLCULO!$M$15:$M$33=EVENTOS!$C34)*(OFFSET(CÁLCULO!$AA$15:$AA$33,0,Y$13))),2),0)</f>
        <v>0</v>
      </c>
    </row>
    <row r="35" spans="1:25" x14ac:dyDescent="0.2">
      <c r="A35" s="505" t="str">
        <f t="shared" si="3"/>
        <v/>
      </c>
      <c r="B35" t="str">
        <f t="shared" ca="1" si="4"/>
        <v/>
      </c>
      <c r="C35" s="181" t="str" cm="1">
        <f t="array" aca="1" ref="C35" ca="1">IF(OR(ROW(C35)=ROW(EVENTOS.firstrow)+1,AND(OFFSET(C35,-1,0)&lt;&gt;" ",OFFSET(C35,-1,1)&lt;&gt;"")),OFFSET(C35,-1,0)+1," ")</f>
        <v xml:space="preserve"> </v>
      </c>
      <c r="D35" s="495"/>
      <c r="E35" s="619" cm="1">
        <f t="array" aca="1" ref="E35" ca="1">IF(AUTOEVENTO="Manual",ROUND(SUMPRODUCT((CÁLCULO!$M$15:$M$33=EVENTOS!$C35)*(OFFSET(CÁLCULO!$AA$15:$AA$33,0,E$13))),2),0)</f>
        <v>0</v>
      </c>
      <c r="F35" s="182">
        <f ca="1">IF(AUTOEVENTO="Manual",ROUND(SUMPRODUCT((CÁLCULO!$M$15:$M$33=EVENTOS!$C35)*(OFFSET(CÁLCULO!$AA$15,0,1):OFFSET(CÁLCULO!$AL$33,0,-1))),2),0)</f>
        <v>0</v>
      </c>
      <c r="G35" s="620" t="str">
        <f t="shared" ca="1" si="5"/>
        <v/>
      </c>
      <c r="H35" s="619" cm="1">
        <f t="array" aca="1" ref="H35" ca="1">IF(AUTOEVENTO="Manual",ROUND(SUMPRODUCT((CÁLCULO!$M$15:$M$33=EVENTOS!$C35)*(OFFSET(CÁLCULO!$AA$15:$AA$33,0,H$13))),2),0)</f>
        <v>0</v>
      </c>
      <c r="I35" s="619" cm="1">
        <f t="array" aca="1" ref="I35" ca="1">IF(AUTOEVENTO="Manual",ROUND(SUMPRODUCT((CÁLCULO!$M$15:$M$33=EVENTOS!$C35)*(OFFSET(CÁLCULO!$AA$15:$AA$33,0,I$13))),2),0)</f>
        <v>0</v>
      </c>
      <c r="J35" s="619" cm="1">
        <f t="array" aca="1" ref="J35" ca="1">IF(AUTOEVENTO="Manual",ROUND(SUMPRODUCT((CÁLCULO!$M$15:$M$33=EVENTOS!$C35)*(OFFSET(CÁLCULO!$AA$15:$AA$33,0,J$13))),2),0)</f>
        <v>0</v>
      </c>
      <c r="K35" s="619" cm="1">
        <f t="array" aca="1" ref="K35" ca="1">IF(AUTOEVENTO="Manual",ROUND(SUMPRODUCT((CÁLCULO!$M$15:$M$33=EVENTOS!$C35)*(OFFSET(CÁLCULO!$AA$15:$AA$33,0,K$13))),2),0)</f>
        <v>0</v>
      </c>
      <c r="L35" s="619" cm="1">
        <f t="array" aca="1" ref="L35" ca="1">IF(AUTOEVENTO="Manual",ROUND(SUMPRODUCT((CÁLCULO!$M$15:$M$33=EVENTOS!$C35)*(OFFSET(CÁLCULO!$AA$15:$AA$33,0,L$13))),2),0)</f>
        <v>0</v>
      </c>
      <c r="M35" s="619" cm="1">
        <f t="array" aca="1" ref="M35" ca="1">IF(AUTOEVENTO="Manual",ROUND(SUMPRODUCT((CÁLCULO!$M$15:$M$33=EVENTOS!$C35)*(OFFSET(CÁLCULO!$AA$15:$AA$33,0,M$13))),2),0)</f>
        <v>0</v>
      </c>
      <c r="N35" s="619" cm="1">
        <f t="array" aca="1" ref="N35" ca="1">IF(AUTOEVENTO="Manual",ROUND(SUMPRODUCT((CÁLCULO!$M$15:$M$33=EVENTOS!$C35)*(OFFSET(CÁLCULO!$AA$15:$AA$33,0,N$13))),2),0)</f>
        <v>0</v>
      </c>
      <c r="O35" s="619" cm="1">
        <f t="array" aca="1" ref="O35" ca="1">IF(AUTOEVENTO="Manual",ROUND(SUMPRODUCT((CÁLCULO!$M$15:$M$33=EVENTOS!$C35)*(OFFSET(CÁLCULO!$AA$15:$AA$33,0,O$13))),2),0)</f>
        <v>0</v>
      </c>
      <c r="P35" s="619" cm="1">
        <f t="array" aca="1" ref="P35" ca="1">IF(AUTOEVENTO="Manual",ROUND(SUMPRODUCT((CÁLCULO!$M$15:$M$33=EVENTOS!$C35)*(OFFSET(CÁLCULO!$AA$15:$AA$33,0,P$13))),2),0)</f>
        <v>0</v>
      </c>
      <c r="Q35" s="619" cm="1">
        <f t="array" aca="1" ref="Q35" ca="1">IF(AUTOEVENTO="Manual",ROUND(SUMPRODUCT((CÁLCULO!$M$15:$M$33=EVENTOS!$C35)*(OFFSET(CÁLCULO!$AA$15:$AA$33,0,Q$13))),2),0)</f>
        <v>0</v>
      </c>
      <c r="R35" s="619" cm="1">
        <f t="array" aca="1" ref="R35" ca="1">IF(AUTOEVENTO="Manual",ROUND(SUMPRODUCT((CÁLCULO!$M$15:$M$33=EVENTOS!$C35)*(OFFSET(CÁLCULO!$AA$15:$AA$33,0,R$13))),2),0)</f>
        <v>0</v>
      </c>
      <c r="S35" s="619" cm="1">
        <f t="array" aca="1" ref="S35" ca="1">IF(AUTOEVENTO="Manual",ROUND(SUMPRODUCT((CÁLCULO!$M$15:$M$33=EVENTOS!$C35)*(OFFSET(CÁLCULO!$AA$15:$AA$33,0,S$13))),2),0)</f>
        <v>0</v>
      </c>
      <c r="T35" s="619" cm="1">
        <f t="array" aca="1" ref="T35" ca="1">IF(AUTOEVENTO="Manual",ROUND(SUMPRODUCT((CÁLCULO!$M$15:$M$33=EVENTOS!$C35)*(OFFSET(CÁLCULO!$AA$15:$AA$33,0,T$13))),2),0)</f>
        <v>0</v>
      </c>
      <c r="U35" s="619" cm="1">
        <f t="array" aca="1" ref="U35" ca="1">IF(AUTOEVENTO="Manual",ROUND(SUMPRODUCT((CÁLCULO!$M$15:$M$33=EVENTOS!$C35)*(OFFSET(CÁLCULO!$AA$15:$AA$33,0,U$13))),2),0)</f>
        <v>0</v>
      </c>
      <c r="V35" s="619" cm="1">
        <f t="array" aca="1" ref="V35" ca="1">IF(AUTOEVENTO="Manual",ROUND(SUMPRODUCT((CÁLCULO!$M$15:$M$33=EVENTOS!$C35)*(OFFSET(CÁLCULO!$AA$15:$AA$33,0,V$13))),2),0)</f>
        <v>0</v>
      </c>
      <c r="W35" s="619" cm="1">
        <f t="array" aca="1" ref="W35" ca="1">IF(AUTOEVENTO="Manual",ROUND(SUMPRODUCT((CÁLCULO!$M$15:$M$33=EVENTOS!$C35)*(OFFSET(CÁLCULO!$AA$15:$AA$33,0,W$13))),2),0)</f>
        <v>0</v>
      </c>
      <c r="X35" s="619" cm="1">
        <f t="array" aca="1" ref="X35" ca="1">IF(AUTOEVENTO="Manual",ROUND(SUMPRODUCT((CÁLCULO!$M$15:$M$33=EVENTOS!$C35)*(OFFSET(CÁLCULO!$AA$15:$AA$33,0,X$13))),2),0)</f>
        <v>0</v>
      </c>
      <c r="Y35" s="619" cm="1">
        <f t="array" aca="1" ref="Y35" ca="1">IF(AUTOEVENTO="Manual",ROUND(SUMPRODUCT((CÁLCULO!$M$15:$M$33=EVENTOS!$C35)*(OFFSET(CÁLCULO!$AA$15:$AA$33,0,Y$13))),2),0)</f>
        <v>0</v>
      </c>
    </row>
    <row r="36" spans="1:25" x14ac:dyDescent="0.2">
      <c r="A36" s="505" t="str">
        <f t="shared" si="3"/>
        <v/>
      </c>
      <c r="B36" t="str">
        <f t="shared" ca="1" si="4"/>
        <v/>
      </c>
      <c r="C36" s="181" t="str" cm="1">
        <f t="array" aca="1" ref="C36" ca="1">IF(OR(ROW(C36)=ROW(EVENTOS.firstrow)+1,AND(OFFSET(C36,-1,0)&lt;&gt;" ",OFFSET(C36,-1,1)&lt;&gt;"")),OFFSET(C36,-1,0)+1," ")</f>
        <v xml:space="preserve"> </v>
      </c>
      <c r="D36" s="495"/>
      <c r="E36" s="619" cm="1">
        <f t="array" aca="1" ref="E36" ca="1">IF(AUTOEVENTO="Manual",ROUND(SUMPRODUCT((CÁLCULO!$M$15:$M$33=EVENTOS!$C36)*(OFFSET(CÁLCULO!$AA$15:$AA$33,0,E$13))),2),0)</f>
        <v>0</v>
      </c>
      <c r="F36" s="182">
        <f ca="1">IF(AUTOEVENTO="Manual",ROUND(SUMPRODUCT((CÁLCULO!$M$15:$M$33=EVENTOS!$C36)*(OFFSET(CÁLCULO!$AA$15,0,1):OFFSET(CÁLCULO!$AL$33,0,-1))),2),0)</f>
        <v>0</v>
      </c>
      <c r="G36" s="620" t="str">
        <f t="shared" ca="1" si="5"/>
        <v/>
      </c>
      <c r="H36" s="619" cm="1">
        <f t="array" aca="1" ref="H36" ca="1">IF(AUTOEVENTO="Manual",ROUND(SUMPRODUCT((CÁLCULO!$M$15:$M$33=EVENTOS!$C36)*(OFFSET(CÁLCULO!$AA$15:$AA$33,0,H$13))),2),0)</f>
        <v>0</v>
      </c>
      <c r="I36" s="619" cm="1">
        <f t="array" aca="1" ref="I36" ca="1">IF(AUTOEVENTO="Manual",ROUND(SUMPRODUCT((CÁLCULO!$M$15:$M$33=EVENTOS!$C36)*(OFFSET(CÁLCULO!$AA$15:$AA$33,0,I$13))),2),0)</f>
        <v>0</v>
      </c>
      <c r="J36" s="619" cm="1">
        <f t="array" aca="1" ref="J36" ca="1">IF(AUTOEVENTO="Manual",ROUND(SUMPRODUCT((CÁLCULO!$M$15:$M$33=EVENTOS!$C36)*(OFFSET(CÁLCULO!$AA$15:$AA$33,0,J$13))),2),0)</f>
        <v>0</v>
      </c>
      <c r="K36" s="619" cm="1">
        <f t="array" aca="1" ref="K36" ca="1">IF(AUTOEVENTO="Manual",ROUND(SUMPRODUCT((CÁLCULO!$M$15:$M$33=EVENTOS!$C36)*(OFFSET(CÁLCULO!$AA$15:$AA$33,0,K$13))),2),0)</f>
        <v>0</v>
      </c>
      <c r="L36" s="619" cm="1">
        <f t="array" aca="1" ref="L36" ca="1">IF(AUTOEVENTO="Manual",ROUND(SUMPRODUCT((CÁLCULO!$M$15:$M$33=EVENTOS!$C36)*(OFFSET(CÁLCULO!$AA$15:$AA$33,0,L$13))),2),0)</f>
        <v>0</v>
      </c>
      <c r="M36" s="619" cm="1">
        <f t="array" aca="1" ref="M36" ca="1">IF(AUTOEVENTO="Manual",ROUND(SUMPRODUCT((CÁLCULO!$M$15:$M$33=EVENTOS!$C36)*(OFFSET(CÁLCULO!$AA$15:$AA$33,0,M$13))),2),0)</f>
        <v>0</v>
      </c>
      <c r="N36" s="619" cm="1">
        <f t="array" aca="1" ref="N36" ca="1">IF(AUTOEVENTO="Manual",ROUND(SUMPRODUCT((CÁLCULO!$M$15:$M$33=EVENTOS!$C36)*(OFFSET(CÁLCULO!$AA$15:$AA$33,0,N$13))),2),0)</f>
        <v>0</v>
      </c>
      <c r="O36" s="619" cm="1">
        <f t="array" aca="1" ref="O36" ca="1">IF(AUTOEVENTO="Manual",ROUND(SUMPRODUCT((CÁLCULO!$M$15:$M$33=EVENTOS!$C36)*(OFFSET(CÁLCULO!$AA$15:$AA$33,0,O$13))),2),0)</f>
        <v>0</v>
      </c>
      <c r="P36" s="619" cm="1">
        <f t="array" aca="1" ref="P36" ca="1">IF(AUTOEVENTO="Manual",ROUND(SUMPRODUCT((CÁLCULO!$M$15:$M$33=EVENTOS!$C36)*(OFFSET(CÁLCULO!$AA$15:$AA$33,0,P$13))),2),0)</f>
        <v>0</v>
      </c>
      <c r="Q36" s="619" cm="1">
        <f t="array" aca="1" ref="Q36" ca="1">IF(AUTOEVENTO="Manual",ROUND(SUMPRODUCT((CÁLCULO!$M$15:$M$33=EVENTOS!$C36)*(OFFSET(CÁLCULO!$AA$15:$AA$33,0,Q$13))),2),0)</f>
        <v>0</v>
      </c>
      <c r="R36" s="619" cm="1">
        <f t="array" aca="1" ref="R36" ca="1">IF(AUTOEVENTO="Manual",ROUND(SUMPRODUCT((CÁLCULO!$M$15:$M$33=EVENTOS!$C36)*(OFFSET(CÁLCULO!$AA$15:$AA$33,0,R$13))),2),0)</f>
        <v>0</v>
      </c>
      <c r="S36" s="619" cm="1">
        <f t="array" aca="1" ref="S36" ca="1">IF(AUTOEVENTO="Manual",ROUND(SUMPRODUCT((CÁLCULO!$M$15:$M$33=EVENTOS!$C36)*(OFFSET(CÁLCULO!$AA$15:$AA$33,0,S$13))),2),0)</f>
        <v>0</v>
      </c>
      <c r="T36" s="619" cm="1">
        <f t="array" aca="1" ref="T36" ca="1">IF(AUTOEVENTO="Manual",ROUND(SUMPRODUCT((CÁLCULO!$M$15:$M$33=EVENTOS!$C36)*(OFFSET(CÁLCULO!$AA$15:$AA$33,0,T$13))),2),0)</f>
        <v>0</v>
      </c>
      <c r="U36" s="619" cm="1">
        <f t="array" aca="1" ref="U36" ca="1">IF(AUTOEVENTO="Manual",ROUND(SUMPRODUCT((CÁLCULO!$M$15:$M$33=EVENTOS!$C36)*(OFFSET(CÁLCULO!$AA$15:$AA$33,0,U$13))),2),0)</f>
        <v>0</v>
      </c>
      <c r="V36" s="619" cm="1">
        <f t="array" aca="1" ref="V36" ca="1">IF(AUTOEVENTO="Manual",ROUND(SUMPRODUCT((CÁLCULO!$M$15:$M$33=EVENTOS!$C36)*(OFFSET(CÁLCULO!$AA$15:$AA$33,0,V$13))),2),0)</f>
        <v>0</v>
      </c>
      <c r="W36" s="619" cm="1">
        <f t="array" aca="1" ref="W36" ca="1">IF(AUTOEVENTO="Manual",ROUND(SUMPRODUCT((CÁLCULO!$M$15:$M$33=EVENTOS!$C36)*(OFFSET(CÁLCULO!$AA$15:$AA$33,0,W$13))),2),0)</f>
        <v>0</v>
      </c>
      <c r="X36" s="619" cm="1">
        <f t="array" aca="1" ref="X36" ca="1">IF(AUTOEVENTO="Manual",ROUND(SUMPRODUCT((CÁLCULO!$M$15:$M$33=EVENTOS!$C36)*(OFFSET(CÁLCULO!$AA$15:$AA$33,0,X$13))),2),0)</f>
        <v>0</v>
      </c>
      <c r="Y36" s="619" cm="1">
        <f t="array" aca="1" ref="Y36" ca="1">IF(AUTOEVENTO="Manual",ROUND(SUMPRODUCT((CÁLCULO!$M$15:$M$33=EVENTOS!$C36)*(OFFSET(CÁLCULO!$AA$15:$AA$33,0,Y$13))),2),0)</f>
        <v>0</v>
      </c>
    </row>
    <row r="37" spans="1:25" x14ac:dyDescent="0.2">
      <c r="A37" s="505" t="str">
        <f t="shared" si="3"/>
        <v/>
      </c>
      <c r="B37" t="str">
        <f t="shared" ca="1" si="4"/>
        <v/>
      </c>
      <c r="C37" s="181" t="str" cm="1">
        <f t="array" aca="1" ref="C37" ca="1">IF(OR(ROW(C37)=ROW(EVENTOS.firstrow)+1,AND(OFFSET(C37,-1,0)&lt;&gt;" ",OFFSET(C37,-1,1)&lt;&gt;"")),OFFSET(C37,-1,0)+1," ")</f>
        <v xml:space="preserve"> </v>
      </c>
      <c r="D37" s="495"/>
      <c r="E37" s="619" cm="1">
        <f t="array" aca="1" ref="E37" ca="1">IF(AUTOEVENTO="Manual",ROUND(SUMPRODUCT((CÁLCULO!$M$15:$M$33=EVENTOS!$C37)*(OFFSET(CÁLCULO!$AA$15:$AA$33,0,E$13))),2),0)</f>
        <v>0</v>
      </c>
      <c r="F37" s="182">
        <f ca="1">IF(AUTOEVENTO="Manual",ROUND(SUMPRODUCT((CÁLCULO!$M$15:$M$33=EVENTOS!$C37)*(OFFSET(CÁLCULO!$AA$15,0,1):OFFSET(CÁLCULO!$AL$33,0,-1))),2),0)</f>
        <v>0</v>
      </c>
      <c r="G37" s="620" t="str">
        <f t="shared" ca="1" si="5"/>
        <v/>
      </c>
      <c r="H37" s="619" cm="1">
        <f t="array" aca="1" ref="H37" ca="1">IF(AUTOEVENTO="Manual",ROUND(SUMPRODUCT((CÁLCULO!$M$15:$M$33=EVENTOS!$C37)*(OFFSET(CÁLCULO!$AA$15:$AA$33,0,H$13))),2),0)</f>
        <v>0</v>
      </c>
      <c r="I37" s="619" cm="1">
        <f t="array" aca="1" ref="I37" ca="1">IF(AUTOEVENTO="Manual",ROUND(SUMPRODUCT((CÁLCULO!$M$15:$M$33=EVENTOS!$C37)*(OFFSET(CÁLCULO!$AA$15:$AA$33,0,I$13))),2),0)</f>
        <v>0</v>
      </c>
      <c r="J37" s="619" cm="1">
        <f t="array" aca="1" ref="J37" ca="1">IF(AUTOEVENTO="Manual",ROUND(SUMPRODUCT((CÁLCULO!$M$15:$M$33=EVENTOS!$C37)*(OFFSET(CÁLCULO!$AA$15:$AA$33,0,J$13))),2),0)</f>
        <v>0</v>
      </c>
      <c r="K37" s="619" cm="1">
        <f t="array" aca="1" ref="K37" ca="1">IF(AUTOEVENTO="Manual",ROUND(SUMPRODUCT((CÁLCULO!$M$15:$M$33=EVENTOS!$C37)*(OFFSET(CÁLCULO!$AA$15:$AA$33,0,K$13))),2),0)</f>
        <v>0</v>
      </c>
      <c r="L37" s="619" cm="1">
        <f t="array" aca="1" ref="L37" ca="1">IF(AUTOEVENTO="Manual",ROUND(SUMPRODUCT((CÁLCULO!$M$15:$M$33=EVENTOS!$C37)*(OFFSET(CÁLCULO!$AA$15:$AA$33,0,L$13))),2),0)</f>
        <v>0</v>
      </c>
      <c r="M37" s="619" cm="1">
        <f t="array" aca="1" ref="M37" ca="1">IF(AUTOEVENTO="Manual",ROUND(SUMPRODUCT((CÁLCULO!$M$15:$M$33=EVENTOS!$C37)*(OFFSET(CÁLCULO!$AA$15:$AA$33,0,M$13))),2),0)</f>
        <v>0</v>
      </c>
      <c r="N37" s="619" cm="1">
        <f t="array" aca="1" ref="N37" ca="1">IF(AUTOEVENTO="Manual",ROUND(SUMPRODUCT((CÁLCULO!$M$15:$M$33=EVENTOS!$C37)*(OFFSET(CÁLCULO!$AA$15:$AA$33,0,N$13))),2),0)</f>
        <v>0</v>
      </c>
      <c r="O37" s="619" cm="1">
        <f t="array" aca="1" ref="O37" ca="1">IF(AUTOEVENTO="Manual",ROUND(SUMPRODUCT((CÁLCULO!$M$15:$M$33=EVENTOS!$C37)*(OFFSET(CÁLCULO!$AA$15:$AA$33,0,O$13))),2),0)</f>
        <v>0</v>
      </c>
      <c r="P37" s="619" cm="1">
        <f t="array" aca="1" ref="P37" ca="1">IF(AUTOEVENTO="Manual",ROUND(SUMPRODUCT((CÁLCULO!$M$15:$M$33=EVENTOS!$C37)*(OFFSET(CÁLCULO!$AA$15:$AA$33,0,P$13))),2),0)</f>
        <v>0</v>
      </c>
      <c r="Q37" s="619" cm="1">
        <f t="array" aca="1" ref="Q37" ca="1">IF(AUTOEVENTO="Manual",ROUND(SUMPRODUCT((CÁLCULO!$M$15:$M$33=EVENTOS!$C37)*(OFFSET(CÁLCULO!$AA$15:$AA$33,0,Q$13))),2),0)</f>
        <v>0</v>
      </c>
      <c r="R37" s="619" cm="1">
        <f t="array" aca="1" ref="R37" ca="1">IF(AUTOEVENTO="Manual",ROUND(SUMPRODUCT((CÁLCULO!$M$15:$M$33=EVENTOS!$C37)*(OFFSET(CÁLCULO!$AA$15:$AA$33,0,R$13))),2),0)</f>
        <v>0</v>
      </c>
      <c r="S37" s="619" cm="1">
        <f t="array" aca="1" ref="S37" ca="1">IF(AUTOEVENTO="Manual",ROUND(SUMPRODUCT((CÁLCULO!$M$15:$M$33=EVENTOS!$C37)*(OFFSET(CÁLCULO!$AA$15:$AA$33,0,S$13))),2),0)</f>
        <v>0</v>
      </c>
      <c r="T37" s="619" cm="1">
        <f t="array" aca="1" ref="T37" ca="1">IF(AUTOEVENTO="Manual",ROUND(SUMPRODUCT((CÁLCULO!$M$15:$M$33=EVENTOS!$C37)*(OFFSET(CÁLCULO!$AA$15:$AA$33,0,T$13))),2),0)</f>
        <v>0</v>
      </c>
      <c r="U37" s="619" cm="1">
        <f t="array" aca="1" ref="U37" ca="1">IF(AUTOEVENTO="Manual",ROUND(SUMPRODUCT((CÁLCULO!$M$15:$M$33=EVENTOS!$C37)*(OFFSET(CÁLCULO!$AA$15:$AA$33,0,U$13))),2),0)</f>
        <v>0</v>
      </c>
      <c r="V37" s="619" cm="1">
        <f t="array" aca="1" ref="V37" ca="1">IF(AUTOEVENTO="Manual",ROUND(SUMPRODUCT((CÁLCULO!$M$15:$M$33=EVENTOS!$C37)*(OFFSET(CÁLCULO!$AA$15:$AA$33,0,V$13))),2),0)</f>
        <v>0</v>
      </c>
      <c r="W37" s="619" cm="1">
        <f t="array" aca="1" ref="W37" ca="1">IF(AUTOEVENTO="Manual",ROUND(SUMPRODUCT((CÁLCULO!$M$15:$M$33=EVENTOS!$C37)*(OFFSET(CÁLCULO!$AA$15:$AA$33,0,W$13))),2),0)</f>
        <v>0</v>
      </c>
      <c r="X37" s="619" cm="1">
        <f t="array" aca="1" ref="X37" ca="1">IF(AUTOEVENTO="Manual",ROUND(SUMPRODUCT((CÁLCULO!$M$15:$M$33=EVENTOS!$C37)*(OFFSET(CÁLCULO!$AA$15:$AA$33,0,X$13))),2),0)</f>
        <v>0</v>
      </c>
      <c r="Y37" s="619" cm="1">
        <f t="array" aca="1" ref="Y37" ca="1">IF(AUTOEVENTO="Manual",ROUND(SUMPRODUCT((CÁLCULO!$M$15:$M$33=EVENTOS!$C37)*(OFFSET(CÁLCULO!$AA$15:$AA$33,0,Y$13))),2),0)</f>
        <v>0</v>
      </c>
    </row>
    <row r="38" spans="1:25" x14ac:dyDescent="0.2">
      <c r="A38" s="505" t="str">
        <f t="shared" si="3"/>
        <v/>
      </c>
      <c r="B38" t="str">
        <f t="shared" ca="1" si="4"/>
        <v/>
      </c>
      <c r="C38" s="181" t="str" cm="1">
        <f t="array" aca="1" ref="C38" ca="1">IF(OR(ROW(C38)=ROW(EVENTOS.firstrow)+1,AND(OFFSET(C38,-1,0)&lt;&gt;" ",OFFSET(C38,-1,1)&lt;&gt;"")),OFFSET(C38,-1,0)+1," ")</f>
        <v xml:space="preserve"> </v>
      </c>
      <c r="D38" s="495"/>
      <c r="E38" s="619" cm="1">
        <f t="array" aca="1" ref="E38" ca="1">IF(AUTOEVENTO="Manual",ROUND(SUMPRODUCT((CÁLCULO!$M$15:$M$33=EVENTOS!$C38)*(OFFSET(CÁLCULO!$AA$15:$AA$33,0,E$13))),2),0)</f>
        <v>0</v>
      </c>
      <c r="F38" s="182">
        <f ca="1">IF(AUTOEVENTO="Manual",ROUND(SUMPRODUCT((CÁLCULO!$M$15:$M$33=EVENTOS!$C38)*(OFFSET(CÁLCULO!$AA$15,0,1):OFFSET(CÁLCULO!$AL$33,0,-1))),2),0)</f>
        <v>0</v>
      </c>
      <c r="G38" s="620" t="str">
        <f t="shared" ca="1" si="5"/>
        <v/>
      </c>
      <c r="H38" s="619" cm="1">
        <f t="array" aca="1" ref="H38" ca="1">IF(AUTOEVENTO="Manual",ROUND(SUMPRODUCT((CÁLCULO!$M$15:$M$33=EVENTOS!$C38)*(OFFSET(CÁLCULO!$AA$15:$AA$33,0,H$13))),2),0)</f>
        <v>0</v>
      </c>
      <c r="I38" s="619" cm="1">
        <f t="array" aca="1" ref="I38" ca="1">IF(AUTOEVENTO="Manual",ROUND(SUMPRODUCT((CÁLCULO!$M$15:$M$33=EVENTOS!$C38)*(OFFSET(CÁLCULO!$AA$15:$AA$33,0,I$13))),2),0)</f>
        <v>0</v>
      </c>
      <c r="J38" s="619" cm="1">
        <f t="array" aca="1" ref="J38" ca="1">IF(AUTOEVENTO="Manual",ROUND(SUMPRODUCT((CÁLCULO!$M$15:$M$33=EVENTOS!$C38)*(OFFSET(CÁLCULO!$AA$15:$AA$33,0,J$13))),2),0)</f>
        <v>0</v>
      </c>
      <c r="K38" s="619" cm="1">
        <f t="array" aca="1" ref="K38" ca="1">IF(AUTOEVENTO="Manual",ROUND(SUMPRODUCT((CÁLCULO!$M$15:$M$33=EVENTOS!$C38)*(OFFSET(CÁLCULO!$AA$15:$AA$33,0,K$13))),2),0)</f>
        <v>0</v>
      </c>
      <c r="L38" s="619" cm="1">
        <f t="array" aca="1" ref="L38" ca="1">IF(AUTOEVENTO="Manual",ROUND(SUMPRODUCT((CÁLCULO!$M$15:$M$33=EVENTOS!$C38)*(OFFSET(CÁLCULO!$AA$15:$AA$33,0,L$13))),2),0)</f>
        <v>0</v>
      </c>
      <c r="M38" s="619" cm="1">
        <f t="array" aca="1" ref="M38" ca="1">IF(AUTOEVENTO="Manual",ROUND(SUMPRODUCT((CÁLCULO!$M$15:$M$33=EVENTOS!$C38)*(OFFSET(CÁLCULO!$AA$15:$AA$33,0,M$13))),2),0)</f>
        <v>0</v>
      </c>
      <c r="N38" s="619" cm="1">
        <f t="array" aca="1" ref="N38" ca="1">IF(AUTOEVENTO="Manual",ROUND(SUMPRODUCT((CÁLCULO!$M$15:$M$33=EVENTOS!$C38)*(OFFSET(CÁLCULO!$AA$15:$AA$33,0,N$13))),2),0)</f>
        <v>0</v>
      </c>
      <c r="O38" s="619" cm="1">
        <f t="array" aca="1" ref="O38" ca="1">IF(AUTOEVENTO="Manual",ROUND(SUMPRODUCT((CÁLCULO!$M$15:$M$33=EVENTOS!$C38)*(OFFSET(CÁLCULO!$AA$15:$AA$33,0,O$13))),2),0)</f>
        <v>0</v>
      </c>
      <c r="P38" s="619" cm="1">
        <f t="array" aca="1" ref="P38" ca="1">IF(AUTOEVENTO="Manual",ROUND(SUMPRODUCT((CÁLCULO!$M$15:$M$33=EVENTOS!$C38)*(OFFSET(CÁLCULO!$AA$15:$AA$33,0,P$13))),2),0)</f>
        <v>0</v>
      </c>
      <c r="Q38" s="619" cm="1">
        <f t="array" aca="1" ref="Q38" ca="1">IF(AUTOEVENTO="Manual",ROUND(SUMPRODUCT((CÁLCULO!$M$15:$M$33=EVENTOS!$C38)*(OFFSET(CÁLCULO!$AA$15:$AA$33,0,Q$13))),2),0)</f>
        <v>0</v>
      </c>
      <c r="R38" s="619" cm="1">
        <f t="array" aca="1" ref="R38" ca="1">IF(AUTOEVENTO="Manual",ROUND(SUMPRODUCT((CÁLCULO!$M$15:$M$33=EVENTOS!$C38)*(OFFSET(CÁLCULO!$AA$15:$AA$33,0,R$13))),2),0)</f>
        <v>0</v>
      </c>
      <c r="S38" s="619" cm="1">
        <f t="array" aca="1" ref="S38" ca="1">IF(AUTOEVENTO="Manual",ROUND(SUMPRODUCT((CÁLCULO!$M$15:$M$33=EVENTOS!$C38)*(OFFSET(CÁLCULO!$AA$15:$AA$33,0,S$13))),2),0)</f>
        <v>0</v>
      </c>
      <c r="T38" s="619" cm="1">
        <f t="array" aca="1" ref="T38" ca="1">IF(AUTOEVENTO="Manual",ROUND(SUMPRODUCT((CÁLCULO!$M$15:$M$33=EVENTOS!$C38)*(OFFSET(CÁLCULO!$AA$15:$AA$33,0,T$13))),2),0)</f>
        <v>0</v>
      </c>
      <c r="U38" s="619" cm="1">
        <f t="array" aca="1" ref="U38" ca="1">IF(AUTOEVENTO="Manual",ROUND(SUMPRODUCT((CÁLCULO!$M$15:$M$33=EVENTOS!$C38)*(OFFSET(CÁLCULO!$AA$15:$AA$33,0,U$13))),2),0)</f>
        <v>0</v>
      </c>
      <c r="V38" s="619" cm="1">
        <f t="array" aca="1" ref="V38" ca="1">IF(AUTOEVENTO="Manual",ROUND(SUMPRODUCT((CÁLCULO!$M$15:$M$33=EVENTOS!$C38)*(OFFSET(CÁLCULO!$AA$15:$AA$33,0,V$13))),2),0)</f>
        <v>0</v>
      </c>
      <c r="W38" s="619" cm="1">
        <f t="array" aca="1" ref="W38" ca="1">IF(AUTOEVENTO="Manual",ROUND(SUMPRODUCT((CÁLCULO!$M$15:$M$33=EVENTOS!$C38)*(OFFSET(CÁLCULO!$AA$15:$AA$33,0,W$13))),2),0)</f>
        <v>0</v>
      </c>
      <c r="X38" s="619" cm="1">
        <f t="array" aca="1" ref="X38" ca="1">IF(AUTOEVENTO="Manual",ROUND(SUMPRODUCT((CÁLCULO!$M$15:$M$33=EVENTOS!$C38)*(OFFSET(CÁLCULO!$AA$15:$AA$33,0,X$13))),2),0)</f>
        <v>0</v>
      </c>
      <c r="Y38" s="619" cm="1">
        <f t="array" aca="1" ref="Y38" ca="1">IF(AUTOEVENTO="Manual",ROUND(SUMPRODUCT((CÁLCULO!$M$15:$M$33=EVENTOS!$C38)*(OFFSET(CÁLCULO!$AA$15:$AA$33,0,Y$13))),2),0)</f>
        <v>0</v>
      </c>
    </row>
    <row r="39" spans="1:25" x14ac:dyDescent="0.2">
      <c r="A39" s="505" t="str">
        <f t="shared" si="3"/>
        <v/>
      </c>
      <c r="B39" t="str">
        <f t="shared" ca="1" si="4"/>
        <v/>
      </c>
      <c r="C39" s="181" t="str" cm="1">
        <f t="array" aca="1" ref="C39" ca="1">IF(OR(ROW(C39)=ROW(EVENTOS.firstrow)+1,AND(OFFSET(C39,-1,0)&lt;&gt;" ",OFFSET(C39,-1,1)&lt;&gt;"")),OFFSET(C39,-1,0)+1," ")</f>
        <v xml:space="preserve"> </v>
      </c>
      <c r="D39" s="495"/>
      <c r="E39" s="619" cm="1">
        <f t="array" aca="1" ref="E39" ca="1">IF(AUTOEVENTO="Manual",ROUND(SUMPRODUCT((CÁLCULO!$M$15:$M$33=EVENTOS!$C39)*(OFFSET(CÁLCULO!$AA$15:$AA$33,0,E$13))),2),0)</f>
        <v>0</v>
      </c>
      <c r="F39" s="182">
        <f ca="1">IF(AUTOEVENTO="Manual",ROUND(SUMPRODUCT((CÁLCULO!$M$15:$M$33=EVENTOS!$C39)*(OFFSET(CÁLCULO!$AA$15,0,1):OFFSET(CÁLCULO!$AL$33,0,-1))),2),0)</f>
        <v>0</v>
      </c>
      <c r="G39" s="620" t="str">
        <f t="shared" ca="1" si="5"/>
        <v/>
      </c>
      <c r="H39" s="619" cm="1">
        <f t="array" aca="1" ref="H39" ca="1">IF(AUTOEVENTO="Manual",ROUND(SUMPRODUCT((CÁLCULO!$M$15:$M$33=EVENTOS!$C39)*(OFFSET(CÁLCULO!$AA$15:$AA$33,0,H$13))),2),0)</f>
        <v>0</v>
      </c>
      <c r="I39" s="619" cm="1">
        <f t="array" aca="1" ref="I39" ca="1">IF(AUTOEVENTO="Manual",ROUND(SUMPRODUCT((CÁLCULO!$M$15:$M$33=EVENTOS!$C39)*(OFFSET(CÁLCULO!$AA$15:$AA$33,0,I$13))),2),0)</f>
        <v>0</v>
      </c>
      <c r="J39" s="619" cm="1">
        <f t="array" aca="1" ref="J39" ca="1">IF(AUTOEVENTO="Manual",ROUND(SUMPRODUCT((CÁLCULO!$M$15:$M$33=EVENTOS!$C39)*(OFFSET(CÁLCULO!$AA$15:$AA$33,0,J$13))),2),0)</f>
        <v>0</v>
      </c>
      <c r="K39" s="619" cm="1">
        <f t="array" aca="1" ref="K39" ca="1">IF(AUTOEVENTO="Manual",ROUND(SUMPRODUCT((CÁLCULO!$M$15:$M$33=EVENTOS!$C39)*(OFFSET(CÁLCULO!$AA$15:$AA$33,0,K$13))),2),0)</f>
        <v>0</v>
      </c>
      <c r="L39" s="619" cm="1">
        <f t="array" aca="1" ref="L39" ca="1">IF(AUTOEVENTO="Manual",ROUND(SUMPRODUCT((CÁLCULO!$M$15:$M$33=EVENTOS!$C39)*(OFFSET(CÁLCULO!$AA$15:$AA$33,0,L$13))),2),0)</f>
        <v>0</v>
      </c>
      <c r="M39" s="619" cm="1">
        <f t="array" aca="1" ref="M39" ca="1">IF(AUTOEVENTO="Manual",ROUND(SUMPRODUCT((CÁLCULO!$M$15:$M$33=EVENTOS!$C39)*(OFFSET(CÁLCULO!$AA$15:$AA$33,0,M$13))),2),0)</f>
        <v>0</v>
      </c>
      <c r="N39" s="619" cm="1">
        <f t="array" aca="1" ref="N39" ca="1">IF(AUTOEVENTO="Manual",ROUND(SUMPRODUCT((CÁLCULO!$M$15:$M$33=EVENTOS!$C39)*(OFFSET(CÁLCULO!$AA$15:$AA$33,0,N$13))),2),0)</f>
        <v>0</v>
      </c>
      <c r="O39" s="619" cm="1">
        <f t="array" aca="1" ref="O39" ca="1">IF(AUTOEVENTO="Manual",ROUND(SUMPRODUCT((CÁLCULO!$M$15:$M$33=EVENTOS!$C39)*(OFFSET(CÁLCULO!$AA$15:$AA$33,0,O$13))),2),0)</f>
        <v>0</v>
      </c>
      <c r="P39" s="619" cm="1">
        <f t="array" aca="1" ref="P39" ca="1">IF(AUTOEVENTO="Manual",ROUND(SUMPRODUCT((CÁLCULO!$M$15:$M$33=EVENTOS!$C39)*(OFFSET(CÁLCULO!$AA$15:$AA$33,0,P$13))),2),0)</f>
        <v>0</v>
      </c>
      <c r="Q39" s="619" cm="1">
        <f t="array" aca="1" ref="Q39" ca="1">IF(AUTOEVENTO="Manual",ROUND(SUMPRODUCT((CÁLCULO!$M$15:$M$33=EVENTOS!$C39)*(OFFSET(CÁLCULO!$AA$15:$AA$33,0,Q$13))),2),0)</f>
        <v>0</v>
      </c>
      <c r="R39" s="619" cm="1">
        <f t="array" aca="1" ref="R39" ca="1">IF(AUTOEVENTO="Manual",ROUND(SUMPRODUCT((CÁLCULO!$M$15:$M$33=EVENTOS!$C39)*(OFFSET(CÁLCULO!$AA$15:$AA$33,0,R$13))),2),0)</f>
        <v>0</v>
      </c>
      <c r="S39" s="619" cm="1">
        <f t="array" aca="1" ref="S39" ca="1">IF(AUTOEVENTO="Manual",ROUND(SUMPRODUCT((CÁLCULO!$M$15:$M$33=EVENTOS!$C39)*(OFFSET(CÁLCULO!$AA$15:$AA$33,0,S$13))),2),0)</f>
        <v>0</v>
      </c>
      <c r="T39" s="619" cm="1">
        <f t="array" aca="1" ref="T39" ca="1">IF(AUTOEVENTO="Manual",ROUND(SUMPRODUCT((CÁLCULO!$M$15:$M$33=EVENTOS!$C39)*(OFFSET(CÁLCULO!$AA$15:$AA$33,0,T$13))),2),0)</f>
        <v>0</v>
      </c>
      <c r="U39" s="619" cm="1">
        <f t="array" aca="1" ref="U39" ca="1">IF(AUTOEVENTO="Manual",ROUND(SUMPRODUCT((CÁLCULO!$M$15:$M$33=EVENTOS!$C39)*(OFFSET(CÁLCULO!$AA$15:$AA$33,0,U$13))),2),0)</f>
        <v>0</v>
      </c>
      <c r="V39" s="619" cm="1">
        <f t="array" aca="1" ref="V39" ca="1">IF(AUTOEVENTO="Manual",ROUND(SUMPRODUCT((CÁLCULO!$M$15:$M$33=EVENTOS!$C39)*(OFFSET(CÁLCULO!$AA$15:$AA$33,0,V$13))),2),0)</f>
        <v>0</v>
      </c>
      <c r="W39" s="619" cm="1">
        <f t="array" aca="1" ref="W39" ca="1">IF(AUTOEVENTO="Manual",ROUND(SUMPRODUCT((CÁLCULO!$M$15:$M$33=EVENTOS!$C39)*(OFFSET(CÁLCULO!$AA$15:$AA$33,0,W$13))),2),0)</f>
        <v>0</v>
      </c>
      <c r="X39" s="619" cm="1">
        <f t="array" aca="1" ref="X39" ca="1">IF(AUTOEVENTO="Manual",ROUND(SUMPRODUCT((CÁLCULO!$M$15:$M$33=EVENTOS!$C39)*(OFFSET(CÁLCULO!$AA$15:$AA$33,0,X$13))),2),0)</f>
        <v>0</v>
      </c>
      <c r="Y39" s="619" cm="1">
        <f t="array" aca="1" ref="Y39" ca="1">IF(AUTOEVENTO="Manual",ROUND(SUMPRODUCT((CÁLCULO!$M$15:$M$33=EVENTOS!$C39)*(OFFSET(CÁLCULO!$AA$15:$AA$33,0,Y$13))),2),0)</f>
        <v>0</v>
      </c>
    </row>
    <row r="40" spans="1:25" x14ac:dyDescent="0.2">
      <c r="A40" s="505" t="str">
        <f t="shared" si="3"/>
        <v/>
      </c>
      <c r="B40" t="str">
        <f t="shared" ca="1" si="4"/>
        <v/>
      </c>
      <c r="C40" s="181" t="str" cm="1">
        <f t="array" aca="1" ref="C40" ca="1">IF(OR(ROW(C40)=ROW(EVENTOS.firstrow)+1,AND(OFFSET(C40,-1,0)&lt;&gt;" ",OFFSET(C40,-1,1)&lt;&gt;"")),OFFSET(C40,-1,0)+1," ")</f>
        <v xml:space="preserve"> </v>
      </c>
      <c r="D40" s="495"/>
      <c r="E40" s="619" cm="1">
        <f t="array" aca="1" ref="E40" ca="1">IF(AUTOEVENTO="Manual",ROUND(SUMPRODUCT((CÁLCULO!$M$15:$M$33=EVENTOS!$C40)*(OFFSET(CÁLCULO!$AA$15:$AA$33,0,E$13))),2),0)</f>
        <v>0</v>
      </c>
      <c r="F40" s="182">
        <f ca="1">IF(AUTOEVENTO="Manual",ROUND(SUMPRODUCT((CÁLCULO!$M$15:$M$33=EVENTOS!$C40)*(OFFSET(CÁLCULO!$AA$15,0,1):OFFSET(CÁLCULO!$AL$33,0,-1))),2),0)</f>
        <v>0</v>
      </c>
      <c r="G40" s="620" t="str">
        <f t="shared" ca="1" si="5"/>
        <v/>
      </c>
      <c r="H40" s="619" cm="1">
        <f t="array" aca="1" ref="H40" ca="1">IF(AUTOEVENTO="Manual",ROUND(SUMPRODUCT((CÁLCULO!$M$15:$M$33=EVENTOS!$C40)*(OFFSET(CÁLCULO!$AA$15:$AA$33,0,H$13))),2),0)</f>
        <v>0</v>
      </c>
      <c r="I40" s="619" cm="1">
        <f t="array" aca="1" ref="I40" ca="1">IF(AUTOEVENTO="Manual",ROUND(SUMPRODUCT((CÁLCULO!$M$15:$M$33=EVENTOS!$C40)*(OFFSET(CÁLCULO!$AA$15:$AA$33,0,I$13))),2),0)</f>
        <v>0</v>
      </c>
      <c r="J40" s="619" cm="1">
        <f t="array" aca="1" ref="J40" ca="1">IF(AUTOEVENTO="Manual",ROUND(SUMPRODUCT((CÁLCULO!$M$15:$M$33=EVENTOS!$C40)*(OFFSET(CÁLCULO!$AA$15:$AA$33,0,J$13))),2),0)</f>
        <v>0</v>
      </c>
      <c r="K40" s="619" cm="1">
        <f t="array" aca="1" ref="K40" ca="1">IF(AUTOEVENTO="Manual",ROUND(SUMPRODUCT((CÁLCULO!$M$15:$M$33=EVENTOS!$C40)*(OFFSET(CÁLCULO!$AA$15:$AA$33,0,K$13))),2),0)</f>
        <v>0</v>
      </c>
      <c r="L40" s="619" cm="1">
        <f t="array" aca="1" ref="L40" ca="1">IF(AUTOEVENTO="Manual",ROUND(SUMPRODUCT((CÁLCULO!$M$15:$M$33=EVENTOS!$C40)*(OFFSET(CÁLCULO!$AA$15:$AA$33,0,L$13))),2),0)</f>
        <v>0</v>
      </c>
      <c r="M40" s="619" cm="1">
        <f t="array" aca="1" ref="M40" ca="1">IF(AUTOEVENTO="Manual",ROUND(SUMPRODUCT((CÁLCULO!$M$15:$M$33=EVENTOS!$C40)*(OFFSET(CÁLCULO!$AA$15:$AA$33,0,M$13))),2),0)</f>
        <v>0</v>
      </c>
      <c r="N40" s="619" cm="1">
        <f t="array" aca="1" ref="N40" ca="1">IF(AUTOEVENTO="Manual",ROUND(SUMPRODUCT((CÁLCULO!$M$15:$M$33=EVENTOS!$C40)*(OFFSET(CÁLCULO!$AA$15:$AA$33,0,N$13))),2),0)</f>
        <v>0</v>
      </c>
      <c r="O40" s="619" cm="1">
        <f t="array" aca="1" ref="O40" ca="1">IF(AUTOEVENTO="Manual",ROUND(SUMPRODUCT((CÁLCULO!$M$15:$M$33=EVENTOS!$C40)*(OFFSET(CÁLCULO!$AA$15:$AA$33,0,O$13))),2),0)</f>
        <v>0</v>
      </c>
      <c r="P40" s="619" cm="1">
        <f t="array" aca="1" ref="P40" ca="1">IF(AUTOEVENTO="Manual",ROUND(SUMPRODUCT((CÁLCULO!$M$15:$M$33=EVENTOS!$C40)*(OFFSET(CÁLCULO!$AA$15:$AA$33,0,P$13))),2),0)</f>
        <v>0</v>
      </c>
      <c r="Q40" s="619" cm="1">
        <f t="array" aca="1" ref="Q40" ca="1">IF(AUTOEVENTO="Manual",ROUND(SUMPRODUCT((CÁLCULO!$M$15:$M$33=EVENTOS!$C40)*(OFFSET(CÁLCULO!$AA$15:$AA$33,0,Q$13))),2),0)</f>
        <v>0</v>
      </c>
      <c r="R40" s="619" cm="1">
        <f t="array" aca="1" ref="R40" ca="1">IF(AUTOEVENTO="Manual",ROUND(SUMPRODUCT((CÁLCULO!$M$15:$M$33=EVENTOS!$C40)*(OFFSET(CÁLCULO!$AA$15:$AA$33,0,R$13))),2),0)</f>
        <v>0</v>
      </c>
      <c r="S40" s="619" cm="1">
        <f t="array" aca="1" ref="S40" ca="1">IF(AUTOEVENTO="Manual",ROUND(SUMPRODUCT((CÁLCULO!$M$15:$M$33=EVENTOS!$C40)*(OFFSET(CÁLCULO!$AA$15:$AA$33,0,S$13))),2),0)</f>
        <v>0</v>
      </c>
      <c r="T40" s="619" cm="1">
        <f t="array" aca="1" ref="T40" ca="1">IF(AUTOEVENTO="Manual",ROUND(SUMPRODUCT((CÁLCULO!$M$15:$M$33=EVENTOS!$C40)*(OFFSET(CÁLCULO!$AA$15:$AA$33,0,T$13))),2),0)</f>
        <v>0</v>
      </c>
      <c r="U40" s="619" cm="1">
        <f t="array" aca="1" ref="U40" ca="1">IF(AUTOEVENTO="Manual",ROUND(SUMPRODUCT((CÁLCULO!$M$15:$M$33=EVENTOS!$C40)*(OFFSET(CÁLCULO!$AA$15:$AA$33,0,U$13))),2),0)</f>
        <v>0</v>
      </c>
      <c r="V40" s="619" cm="1">
        <f t="array" aca="1" ref="V40" ca="1">IF(AUTOEVENTO="Manual",ROUND(SUMPRODUCT((CÁLCULO!$M$15:$M$33=EVENTOS!$C40)*(OFFSET(CÁLCULO!$AA$15:$AA$33,0,V$13))),2),0)</f>
        <v>0</v>
      </c>
      <c r="W40" s="619" cm="1">
        <f t="array" aca="1" ref="W40" ca="1">IF(AUTOEVENTO="Manual",ROUND(SUMPRODUCT((CÁLCULO!$M$15:$M$33=EVENTOS!$C40)*(OFFSET(CÁLCULO!$AA$15:$AA$33,0,W$13))),2),0)</f>
        <v>0</v>
      </c>
      <c r="X40" s="619" cm="1">
        <f t="array" aca="1" ref="X40" ca="1">IF(AUTOEVENTO="Manual",ROUND(SUMPRODUCT((CÁLCULO!$M$15:$M$33=EVENTOS!$C40)*(OFFSET(CÁLCULO!$AA$15:$AA$33,0,X$13))),2),0)</f>
        <v>0</v>
      </c>
      <c r="Y40" s="619" cm="1">
        <f t="array" aca="1" ref="Y40" ca="1">IF(AUTOEVENTO="Manual",ROUND(SUMPRODUCT((CÁLCULO!$M$15:$M$33=EVENTOS!$C40)*(OFFSET(CÁLCULO!$AA$15:$AA$33,0,Y$13))),2),0)</f>
        <v>0</v>
      </c>
    </row>
    <row r="41" spans="1:25" x14ac:dyDescent="0.2">
      <c r="A41" s="505" t="str">
        <f t="shared" si="3"/>
        <v/>
      </c>
      <c r="B41" t="str">
        <f t="shared" ca="1" si="4"/>
        <v/>
      </c>
      <c r="C41" s="181" t="str" cm="1">
        <f t="array" aca="1" ref="C41" ca="1">IF(OR(ROW(C41)=ROW(EVENTOS.firstrow)+1,AND(OFFSET(C41,-1,0)&lt;&gt;" ",OFFSET(C41,-1,1)&lt;&gt;"")),OFFSET(C41,-1,0)+1," ")</f>
        <v xml:space="preserve"> </v>
      </c>
      <c r="D41" s="495"/>
      <c r="E41" s="619" cm="1">
        <f t="array" aca="1" ref="E41" ca="1">IF(AUTOEVENTO="Manual",ROUND(SUMPRODUCT((CÁLCULO!$M$15:$M$33=EVENTOS!$C41)*(OFFSET(CÁLCULO!$AA$15:$AA$33,0,E$13))),2),0)</f>
        <v>0</v>
      </c>
      <c r="F41" s="182">
        <f ca="1">IF(AUTOEVENTO="Manual",ROUND(SUMPRODUCT((CÁLCULO!$M$15:$M$33=EVENTOS!$C41)*(OFFSET(CÁLCULO!$AA$15,0,1):OFFSET(CÁLCULO!$AL$33,0,-1))),2),0)</f>
        <v>0</v>
      </c>
      <c r="G41" s="620" t="str">
        <f t="shared" ca="1" si="5"/>
        <v/>
      </c>
      <c r="H41" s="619" cm="1">
        <f t="array" aca="1" ref="H41" ca="1">IF(AUTOEVENTO="Manual",ROUND(SUMPRODUCT((CÁLCULO!$M$15:$M$33=EVENTOS!$C41)*(OFFSET(CÁLCULO!$AA$15:$AA$33,0,H$13))),2),0)</f>
        <v>0</v>
      </c>
      <c r="I41" s="619" cm="1">
        <f t="array" aca="1" ref="I41" ca="1">IF(AUTOEVENTO="Manual",ROUND(SUMPRODUCT((CÁLCULO!$M$15:$M$33=EVENTOS!$C41)*(OFFSET(CÁLCULO!$AA$15:$AA$33,0,I$13))),2),0)</f>
        <v>0</v>
      </c>
      <c r="J41" s="619" cm="1">
        <f t="array" aca="1" ref="J41" ca="1">IF(AUTOEVENTO="Manual",ROUND(SUMPRODUCT((CÁLCULO!$M$15:$M$33=EVENTOS!$C41)*(OFFSET(CÁLCULO!$AA$15:$AA$33,0,J$13))),2),0)</f>
        <v>0</v>
      </c>
      <c r="K41" s="619" cm="1">
        <f t="array" aca="1" ref="K41" ca="1">IF(AUTOEVENTO="Manual",ROUND(SUMPRODUCT((CÁLCULO!$M$15:$M$33=EVENTOS!$C41)*(OFFSET(CÁLCULO!$AA$15:$AA$33,0,K$13))),2),0)</f>
        <v>0</v>
      </c>
      <c r="L41" s="619" cm="1">
        <f t="array" aca="1" ref="L41" ca="1">IF(AUTOEVENTO="Manual",ROUND(SUMPRODUCT((CÁLCULO!$M$15:$M$33=EVENTOS!$C41)*(OFFSET(CÁLCULO!$AA$15:$AA$33,0,L$13))),2),0)</f>
        <v>0</v>
      </c>
      <c r="M41" s="619" cm="1">
        <f t="array" aca="1" ref="M41" ca="1">IF(AUTOEVENTO="Manual",ROUND(SUMPRODUCT((CÁLCULO!$M$15:$M$33=EVENTOS!$C41)*(OFFSET(CÁLCULO!$AA$15:$AA$33,0,M$13))),2),0)</f>
        <v>0</v>
      </c>
      <c r="N41" s="619" cm="1">
        <f t="array" aca="1" ref="N41" ca="1">IF(AUTOEVENTO="Manual",ROUND(SUMPRODUCT((CÁLCULO!$M$15:$M$33=EVENTOS!$C41)*(OFFSET(CÁLCULO!$AA$15:$AA$33,0,N$13))),2),0)</f>
        <v>0</v>
      </c>
      <c r="O41" s="619" cm="1">
        <f t="array" aca="1" ref="O41" ca="1">IF(AUTOEVENTO="Manual",ROUND(SUMPRODUCT((CÁLCULO!$M$15:$M$33=EVENTOS!$C41)*(OFFSET(CÁLCULO!$AA$15:$AA$33,0,O$13))),2),0)</f>
        <v>0</v>
      </c>
      <c r="P41" s="619" cm="1">
        <f t="array" aca="1" ref="P41" ca="1">IF(AUTOEVENTO="Manual",ROUND(SUMPRODUCT((CÁLCULO!$M$15:$M$33=EVENTOS!$C41)*(OFFSET(CÁLCULO!$AA$15:$AA$33,0,P$13))),2),0)</f>
        <v>0</v>
      </c>
      <c r="Q41" s="619" cm="1">
        <f t="array" aca="1" ref="Q41" ca="1">IF(AUTOEVENTO="Manual",ROUND(SUMPRODUCT((CÁLCULO!$M$15:$M$33=EVENTOS!$C41)*(OFFSET(CÁLCULO!$AA$15:$AA$33,0,Q$13))),2),0)</f>
        <v>0</v>
      </c>
      <c r="R41" s="619" cm="1">
        <f t="array" aca="1" ref="R41" ca="1">IF(AUTOEVENTO="Manual",ROUND(SUMPRODUCT((CÁLCULO!$M$15:$M$33=EVENTOS!$C41)*(OFFSET(CÁLCULO!$AA$15:$AA$33,0,R$13))),2),0)</f>
        <v>0</v>
      </c>
      <c r="S41" s="619" cm="1">
        <f t="array" aca="1" ref="S41" ca="1">IF(AUTOEVENTO="Manual",ROUND(SUMPRODUCT((CÁLCULO!$M$15:$M$33=EVENTOS!$C41)*(OFFSET(CÁLCULO!$AA$15:$AA$33,0,S$13))),2),0)</f>
        <v>0</v>
      </c>
      <c r="T41" s="619" cm="1">
        <f t="array" aca="1" ref="T41" ca="1">IF(AUTOEVENTO="Manual",ROUND(SUMPRODUCT((CÁLCULO!$M$15:$M$33=EVENTOS!$C41)*(OFFSET(CÁLCULO!$AA$15:$AA$33,0,T$13))),2),0)</f>
        <v>0</v>
      </c>
      <c r="U41" s="619" cm="1">
        <f t="array" aca="1" ref="U41" ca="1">IF(AUTOEVENTO="Manual",ROUND(SUMPRODUCT((CÁLCULO!$M$15:$M$33=EVENTOS!$C41)*(OFFSET(CÁLCULO!$AA$15:$AA$33,0,U$13))),2),0)</f>
        <v>0</v>
      </c>
      <c r="V41" s="619" cm="1">
        <f t="array" aca="1" ref="V41" ca="1">IF(AUTOEVENTO="Manual",ROUND(SUMPRODUCT((CÁLCULO!$M$15:$M$33=EVENTOS!$C41)*(OFFSET(CÁLCULO!$AA$15:$AA$33,0,V$13))),2),0)</f>
        <v>0</v>
      </c>
      <c r="W41" s="619" cm="1">
        <f t="array" aca="1" ref="W41" ca="1">IF(AUTOEVENTO="Manual",ROUND(SUMPRODUCT((CÁLCULO!$M$15:$M$33=EVENTOS!$C41)*(OFFSET(CÁLCULO!$AA$15:$AA$33,0,W$13))),2),0)</f>
        <v>0</v>
      </c>
      <c r="X41" s="619" cm="1">
        <f t="array" aca="1" ref="X41" ca="1">IF(AUTOEVENTO="Manual",ROUND(SUMPRODUCT((CÁLCULO!$M$15:$M$33=EVENTOS!$C41)*(OFFSET(CÁLCULO!$AA$15:$AA$33,0,X$13))),2),0)</f>
        <v>0</v>
      </c>
      <c r="Y41" s="619" cm="1">
        <f t="array" aca="1" ref="Y41" ca="1">IF(AUTOEVENTO="Manual",ROUND(SUMPRODUCT((CÁLCULO!$M$15:$M$33=EVENTOS!$C41)*(OFFSET(CÁLCULO!$AA$15:$AA$33,0,Y$13))),2),0)</f>
        <v>0</v>
      </c>
    </row>
    <row r="42" spans="1:25" x14ac:dyDescent="0.2">
      <c r="A42" s="505" t="str">
        <f t="shared" si="3"/>
        <v/>
      </c>
      <c r="B42" t="str">
        <f t="shared" ca="1" si="4"/>
        <v/>
      </c>
      <c r="C42" s="181" t="str" cm="1">
        <f t="array" aca="1" ref="C42" ca="1">IF(OR(ROW(C42)=ROW(EVENTOS.firstrow)+1,AND(OFFSET(C42,-1,0)&lt;&gt;" ",OFFSET(C42,-1,1)&lt;&gt;"")),OFFSET(C42,-1,0)+1," ")</f>
        <v xml:space="preserve"> </v>
      </c>
      <c r="D42" s="495"/>
      <c r="E42" s="619" cm="1">
        <f t="array" aca="1" ref="E42" ca="1">IF(AUTOEVENTO="Manual",ROUND(SUMPRODUCT((CÁLCULO!$M$15:$M$33=EVENTOS!$C42)*(OFFSET(CÁLCULO!$AA$15:$AA$33,0,E$13))),2),0)</f>
        <v>0</v>
      </c>
      <c r="F42" s="182">
        <f ca="1">IF(AUTOEVENTO="Manual",ROUND(SUMPRODUCT((CÁLCULO!$M$15:$M$33=EVENTOS!$C42)*(OFFSET(CÁLCULO!$AA$15,0,1):OFFSET(CÁLCULO!$AL$33,0,-1))),2),0)</f>
        <v>0</v>
      </c>
      <c r="G42" s="620" t="str">
        <f t="shared" ca="1" si="5"/>
        <v/>
      </c>
      <c r="H42" s="619" cm="1">
        <f t="array" aca="1" ref="H42" ca="1">IF(AUTOEVENTO="Manual",ROUND(SUMPRODUCT((CÁLCULO!$M$15:$M$33=EVENTOS!$C42)*(OFFSET(CÁLCULO!$AA$15:$AA$33,0,H$13))),2),0)</f>
        <v>0</v>
      </c>
      <c r="I42" s="619" cm="1">
        <f t="array" aca="1" ref="I42" ca="1">IF(AUTOEVENTO="Manual",ROUND(SUMPRODUCT((CÁLCULO!$M$15:$M$33=EVENTOS!$C42)*(OFFSET(CÁLCULO!$AA$15:$AA$33,0,I$13))),2),0)</f>
        <v>0</v>
      </c>
      <c r="J42" s="619" cm="1">
        <f t="array" aca="1" ref="J42" ca="1">IF(AUTOEVENTO="Manual",ROUND(SUMPRODUCT((CÁLCULO!$M$15:$M$33=EVENTOS!$C42)*(OFFSET(CÁLCULO!$AA$15:$AA$33,0,J$13))),2),0)</f>
        <v>0</v>
      </c>
      <c r="K42" s="619" cm="1">
        <f t="array" aca="1" ref="K42" ca="1">IF(AUTOEVENTO="Manual",ROUND(SUMPRODUCT((CÁLCULO!$M$15:$M$33=EVENTOS!$C42)*(OFFSET(CÁLCULO!$AA$15:$AA$33,0,K$13))),2),0)</f>
        <v>0</v>
      </c>
      <c r="L42" s="619" cm="1">
        <f t="array" aca="1" ref="L42" ca="1">IF(AUTOEVENTO="Manual",ROUND(SUMPRODUCT((CÁLCULO!$M$15:$M$33=EVENTOS!$C42)*(OFFSET(CÁLCULO!$AA$15:$AA$33,0,L$13))),2),0)</f>
        <v>0</v>
      </c>
      <c r="M42" s="619" cm="1">
        <f t="array" aca="1" ref="M42" ca="1">IF(AUTOEVENTO="Manual",ROUND(SUMPRODUCT((CÁLCULO!$M$15:$M$33=EVENTOS!$C42)*(OFFSET(CÁLCULO!$AA$15:$AA$33,0,M$13))),2),0)</f>
        <v>0</v>
      </c>
      <c r="N42" s="619" cm="1">
        <f t="array" aca="1" ref="N42" ca="1">IF(AUTOEVENTO="Manual",ROUND(SUMPRODUCT((CÁLCULO!$M$15:$M$33=EVENTOS!$C42)*(OFFSET(CÁLCULO!$AA$15:$AA$33,0,N$13))),2),0)</f>
        <v>0</v>
      </c>
      <c r="O42" s="619" cm="1">
        <f t="array" aca="1" ref="O42" ca="1">IF(AUTOEVENTO="Manual",ROUND(SUMPRODUCT((CÁLCULO!$M$15:$M$33=EVENTOS!$C42)*(OFFSET(CÁLCULO!$AA$15:$AA$33,0,O$13))),2),0)</f>
        <v>0</v>
      </c>
      <c r="P42" s="619" cm="1">
        <f t="array" aca="1" ref="P42" ca="1">IF(AUTOEVENTO="Manual",ROUND(SUMPRODUCT((CÁLCULO!$M$15:$M$33=EVENTOS!$C42)*(OFFSET(CÁLCULO!$AA$15:$AA$33,0,P$13))),2),0)</f>
        <v>0</v>
      </c>
      <c r="Q42" s="619" cm="1">
        <f t="array" aca="1" ref="Q42" ca="1">IF(AUTOEVENTO="Manual",ROUND(SUMPRODUCT((CÁLCULO!$M$15:$M$33=EVENTOS!$C42)*(OFFSET(CÁLCULO!$AA$15:$AA$33,0,Q$13))),2),0)</f>
        <v>0</v>
      </c>
      <c r="R42" s="619" cm="1">
        <f t="array" aca="1" ref="R42" ca="1">IF(AUTOEVENTO="Manual",ROUND(SUMPRODUCT((CÁLCULO!$M$15:$M$33=EVENTOS!$C42)*(OFFSET(CÁLCULO!$AA$15:$AA$33,0,R$13))),2),0)</f>
        <v>0</v>
      </c>
      <c r="S42" s="619" cm="1">
        <f t="array" aca="1" ref="S42" ca="1">IF(AUTOEVENTO="Manual",ROUND(SUMPRODUCT((CÁLCULO!$M$15:$M$33=EVENTOS!$C42)*(OFFSET(CÁLCULO!$AA$15:$AA$33,0,S$13))),2),0)</f>
        <v>0</v>
      </c>
      <c r="T42" s="619" cm="1">
        <f t="array" aca="1" ref="T42" ca="1">IF(AUTOEVENTO="Manual",ROUND(SUMPRODUCT((CÁLCULO!$M$15:$M$33=EVENTOS!$C42)*(OFFSET(CÁLCULO!$AA$15:$AA$33,0,T$13))),2),0)</f>
        <v>0</v>
      </c>
      <c r="U42" s="619" cm="1">
        <f t="array" aca="1" ref="U42" ca="1">IF(AUTOEVENTO="Manual",ROUND(SUMPRODUCT((CÁLCULO!$M$15:$M$33=EVENTOS!$C42)*(OFFSET(CÁLCULO!$AA$15:$AA$33,0,U$13))),2),0)</f>
        <v>0</v>
      </c>
      <c r="V42" s="619" cm="1">
        <f t="array" aca="1" ref="V42" ca="1">IF(AUTOEVENTO="Manual",ROUND(SUMPRODUCT((CÁLCULO!$M$15:$M$33=EVENTOS!$C42)*(OFFSET(CÁLCULO!$AA$15:$AA$33,0,V$13))),2),0)</f>
        <v>0</v>
      </c>
      <c r="W42" s="619" cm="1">
        <f t="array" aca="1" ref="W42" ca="1">IF(AUTOEVENTO="Manual",ROUND(SUMPRODUCT((CÁLCULO!$M$15:$M$33=EVENTOS!$C42)*(OFFSET(CÁLCULO!$AA$15:$AA$33,0,W$13))),2),0)</f>
        <v>0</v>
      </c>
      <c r="X42" s="619" cm="1">
        <f t="array" aca="1" ref="X42" ca="1">IF(AUTOEVENTO="Manual",ROUND(SUMPRODUCT((CÁLCULO!$M$15:$M$33=EVENTOS!$C42)*(OFFSET(CÁLCULO!$AA$15:$AA$33,0,X$13))),2),0)</f>
        <v>0</v>
      </c>
      <c r="Y42" s="619" cm="1">
        <f t="array" aca="1" ref="Y42" ca="1">IF(AUTOEVENTO="Manual",ROUND(SUMPRODUCT((CÁLCULO!$M$15:$M$33=EVENTOS!$C42)*(OFFSET(CÁLCULO!$AA$15:$AA$33,0,Y$13))),2),0)</f>
        <v>0</v>
      </c>
    </row>
    <row r="43" spans="1:25" x14ac:dyDescent="0.2">
      <c r="A43" s="505" t="str">
        <f t="shared" si="3"/>
        <v/>
      </c>
      <c r="B43" t="str">
        <f t="shared" ca="1" si="4"/>
        <v/>
      </c>
      <c r="C43" s="181" t="str" cm="1">
        <f t="array" aca="1" ref="C43" ca="1">IF(OR(ROW(C43)=ROW(EVENTOS.firstrow)+1,AND(OFFSET(C43,-1,0)&lt;&gt;" ",OFFSET(C43,-1,1)&lt;&gt;"")),OFFSET(C43,-1,0)+1," ")</f>
        <v xml:space="preserve"> </v>
      </c>
      <c r="D43" s="495"/>
      <c r="E43" s="619" cm="1">
        <f t="array" aca="1" ref="E43" ca="1">IF(AUTOEVENTO="Manual",ROUND(SUMPRODUCT((CÁLCULO!$M$15:$M$33=EVENTOS!$C43)*(OFFSET(CÁLCULO!$AA$15:$AA$33,0,E$13))),2),0)</f>
        <v>0</v>
      </c>
      <c r="F43" s="182">
        <f ca="1">IF(AUTOEVENTO="Manual",ROUND(SUMPRODUCT((CÁLCULO!$M$15:$M$33=EVENTOS!$C43)*(OFFSET(CÁLCULO!$AA$15,0,1):OFFSET(CÁLCULO!$AL$33,0,-1))),2),0)</f>
        <v>0</v>
      </c>
      <c r="G43" s="620" t="str">
        <f t="shared" ca="1" si="5"/>
        <v/>
      </c>
      <c r="H43" s="619" cm="1">
        <f t="array" aca="1" ref="H43" ca="1">IF(AUTOEVENTO="Manual",ROUND(SUMPRODUCT((CÁLCULO!$M$15:$M$33=EVENTOS!$C43)*(OFFSET(CÁLCULO!$AA$15:$AA$33,0,H$13))),2),0)</f>
        <v>0</v>
      </c>
      <c r="I43" s="619" cm="1">
        <f t="array" aca="1" ref="I43" ca="1">IF(AUTOEVENTO="Manual",ROUND(SUMPRODUCT((CÁLCULO!$M$15:$M$33=EVENTOS!$C43)*(OFFSET(CÁLCULO!$AA$15:$AA$33,0,I$13))),2),0)</f>
        <v>0</v>
      </c>
      <c r="J43" s="619" cm="1">
        <f t="array" aca="1" ref="J43" ca="1">IF(AUTOEVENTO="Manual",ROUND(SUMPRODUCT((CÁLCULO!$M$15:$M$33=EVENTOS!$C43)*(OFFSET(CÁLCULO!$AA$15:$AA$33,0,J$13))),2),0)</f>
        <v>0</v>
      </c>
      <c r="K43" s="619" cm="1">
        <f t="array" aca="1" ref="K43" ca="1">IF(AUTOEVENTO="Manual",ROUND(SUMPRODUCT((CÁLCULO!$M$15:$M$33=EVENTOS!$C43)*(OFFSET(CÁLCULO!$AA$15:$AA$33,0,K$13))),2),0)</f>
        <v>0</v>
      </c>
      <c r="L43" s="619" cm="1">
        <f t="array" aca="1" ref="L43" ca="1">IF(AUTOEVENTO="Manual",ROUND(SUMPRODUCT((CÁLCULO!$M$15:$M$33=EVENTOS!$C43)*(OFFSET(CÁLCULO!$AA$15:$AA$33,0,L$13))),2),0)</f>
        <v>0</v>
      </c>
      <c r="M43" s="619" cm="1">
        <f t="array" aca="1" ref="M43" ca="1">IF(AUTOEVENTO="Manual",ROUND(SUMPRODUCT((CÁLCULO!$M$15:$M$33=EVENTOS!$C43)*(OFFSET(CÁLCULO!$AA$15:$AA$33,0,M$13))),2),0)</f>
        <v>0</v>
      </c>
      <c r="N43" s="619" cm="1">
        <f t="array" aca="1" ref="N43" ca="1">IF(AUTOEVENTO="Manual",ROUND(SUMPRODUCT((CÁLCULO!$M$15:$M$33=EVENTOS!$C43)*(OFFSET(CÁLCULO!$AA$15:$AA$33,0,N$13))),2),0)</f>
        <v>0</v>
      </c>
      <c r="O43" s="619" cm="1">
        <f t="array" aca="1" ref="O43" ca="1">IF(AUTOEVENTO="Manual",ROUND(SUMPRODUCT((CÁLCULO!$M$15:$M$33=EVENTOS!$C43)*(OFFSET(CÁLCULO!$AA$15:$AA$33,0,O$13))),2),0)</f>
        <v>0</v>
      </c>
      <c r="P43" s="619" cm="1">
        <f t="array" aca="1" ref="P43" ca="1">IF(AUTOEVENTO="Manual",ROUND(SUMPRODUCT((CÁLCULO!$M$15:$M$33=EVENTOS!$C43)*(OFFSET(CÁLCULO!$AA$15:$AA$33,0,P$13))),2),0)</f>
        <v>0</v>
      </c>
      <c r="Q43" s="619" cm="1">
        <f t="array" aca="1" ref="Q43" ca="1">IF(AUTOEVENTO="Manual",ROUND(SUMPRODUCT((CÁLCULO!$M$15:$M$33=EVENTOS!$C43)*(OFFSET(CÁLCULO!$AA$15:$AA$33,0,Q$13))),2),0)</f>
        <v>0</v>
      </c>
      <c r="R43" s="619" cm="1">
        <f t="array" aca="1" ref="R43" ca="1">IF(AUTOEVENTO="Manual",ROUND(SUMPRODUCT((CÁLCULO!$M$15:$M$33=EVENTOS!$C43)*(OFFSET(CÁLCULO!$AA$15:$AA$33,0,R$13))),2),0)</f>
        <v>0</v>
      </c>
      <c r="S43" s="619" cm="1">
        <f t="array" aca="1" ref="S43" ca="1">IF(AUTOEVENTO="Manual",ROUND(SUMPRODUCT((CÁLCULO!$M$15:$M$33=EVENTOS!$C43)*(OFFSET(CÁLCULO!$AA$15:$AA$33,0,S$13))),2),0)</f>
        <v>0</v>
      </c>
      <c r="T43" s="619" cm="1">
        <f t="array" aca="1" ref="T43" ca="1">IF(AUTOEVENTO="Manual",ROUND(SUMPRODUCT((CÁLCULO!$M$15:$M$33=EVENTOS!$C43)*(OFFSET(CÁLCULO!$AA$15:$AA$33,0,T$13))),2),0)</f>
        <v>0</v>
      </c>
      <c r="U43" s="619" cm="1">
        <f t="array" aca="1" ref="U43" ca="1">IF(AUTOEVENTO="Manual",ROUND(SUMPRODUCT((CÁLCULO!$M$15:$M$33=EVENTOS!$C43)*(OFFSET(CÁLCULO!$AA$15:$AA$33,0,U$13))),2),0)</f>
        <v>0</v>
      </c>
      <c r="V43" s="619" cm="1">
        <f t="array" aca="1" ref="V43" ca="1">IF(AUTOEVENTO="Manual",ROUND(SUMPRODUCT((CÁLCULO!$M$15:$M$33=EVENTOS!$C43)*(OFFSET(CÁLCULO!$AA$15:$AA$33,0,V$13))),2),0)</f>
        <v>0</v>
      </c>
      <c r="W43" s="619" cm="1">
        <f t="array" aca="1" ref="W43" ca="1">IF(AUTOEVENTO="Manual",ROUND(SUMPRODUCT((CÁLCULO!$M$15:$M$33=EVENTOS!$C43)*(OFFSET(CÁLCULO!$AA$15:$AA$33,0,W$13))),2),0)</f>
        <v>0</v>
      </c>
      <c r="X43" s="619" cm="1">
        <f t="array" aca="1" ref="X43" ca="1">IF(AUTOEVENTO="Manual",ROUND(SUMPRODUCT((CÁLCULO!$M$15:$M$33=EVENTOS!$C43)*(OFFSET(CÁLCULO!$AA$15:$AA$33,0,X$13))),2),0)</f>
        <v>0</v>
      </c>
      <c r="Y43" s="619" cm="1">
        <f t="array" aca="1" ref="Y43" ca="1">IF(AUTOEVENTO="Manual",ROUND(SUMPRODUCT((CÁLCULO!$M$15:$M$33=EVENTOS!$C43)*(OFFSET(CÁLCULO!$AA$15:$AA$33,0,Y$13))),2),0)</f>
        <v>0</v>
      </c>
    </row>
    <row r="44" spans="1:25" x14ac:dyDescent="0.2">
      <c r="A44" s="505" t="str">
        <f t="shared" si="3"/>
        <v/>
      </c>
      <c r="B44" t="str">
        <f t="shared" ca="1" si="4"/>
        <v/>
      </c>
      <c r="C44" s="181" t="str" cm="1">
        <f t="array" aca="1" ref="C44" ca="1">IF(OR(ROW(C44)=ROW(EVENTOS.firstrow)+1,AND(OFFSET(C44,-1,0)&lt;&gt;" ",OFFSET(C44,-1,1)&lt;&gt;"")),OFFSET(C44,-1,0)+1," ")</f>
        <v xml:space="preserve"> </v>
      </c>
      <c r="D44" s="495"/>
      <c r="E44" s="619" cm="1">
        <f t="array" aca="1" ref="E44" ca="1">IF(AUTOEVENTO="Manual",ROUND(SUMPRODUCT((CÁLCULO!$M$15:$M$33=EVENTOS!$C44)*(OFFSET(CÁLCULO!$AA$15:$AA$33,0,E$13))),2),0)</f>
        <v>0</v>
      </c>
      <c r="F44" s="182">
        <f ca="1">IF(AUTOEVENTO="Manual",ROUND(SUMPRODUCT((CÁLCULO!$M$15:$M$33=EVENTOS!$C44)*(OFFSET(CÁLCULO!$AA$15,0,1):OFFSET(CÁLCULO!$AL$33,0,-1))),2),0)</f>
        <v>0</v>
      </c>
      <c r="G44" s="620" t="str">
        <f t="shared" ca="1" si="5"/>
        <v/>
      </c>
      <c r="H44" s="619" cm="1">
        <f t="array" aca="1" ref="H44" ca="1">IF(AUTOEVENTO="Manual",ROUND(SUMPRODUCT((CÁLCULO!$M$15:$M$33=EVENTOS!$C44)*(OFFSET(CÁLCULO!$AA$15:$AA$33,0,H$13))),2),0)</f>
        <v>0</v>
      </c>
      <c r="I44" s="619" cm="1">
        <f t="array" aca="1" ref="I44" ca="1">IF(AUTOEVENTO="Manual",ROUND(SUMPRODUCT((CÁLCULO!$M$15:$M$33=EVENTOS!$C44)*(OFFSET(CÁLCULO!$AA$15:$AA$33,0,I$13))),2),0)</f>
        <v>0</v>
      </c>
      <c r="J44" s="619" cm="1">
        <f t="array" aca="1" ref="J44" ca="1">IF(AUTOEVENTO="Manual",ROUND(SUMPRODUCT((CÁLCULO!$M$15:$M$33=EVENTOS!$C44)*(OFFSET(CÁLCULO!$AA$15:$AA$33,0,J$13))),2),0)</f>
        <v>0</v>
      </c>
      <c r="K44" s="619" cm="1">
        <f t="array" aca="1" ref="K44" ca="1">IF(AUTOEVENTO="Manual",ROUND(SUMPRODUCT((CÁLCULO!$M$15:$M$33=EVENTOS!$C44)*(OFFSET(CÁLCULO!$AA$15:$AA$33,0,K$13))),2),0)</f>
        <v>0</v>
      </c>
      <c r="L44" s="619" cm="1">
        <f t="array" aca="1" ref="L44" ca="1">IF(AUTOEVENTO="Manual",ROUND(SUMPRODUCT((CÁLCULO!$M$15:$M$33=EVENTOS!$C44)*(OFFSET(CÁLCULO!$AA$15:$AA$33,0,L$13))),2),0)</f>
        <v>0</v>
      </c>
      <c r="M44" s="619" cm="1">
        <f t="array" aca="1" ref="M44" ca="1">IF(AUTOEVENTO="Manual",ROUND(SUMPRODUCT((CÁLCULO!$M$15:$M$33=EVENTOS!$C44)*(OFFSET(CÁLCULO!$AA$15:$AA$33,0,M$13))),2),0)</f>
        <v>0</v>
      </c>
      <c r="N44" s="619" cm="1">
        <f t="array" aca="1" ref="N44" ca="1">IF(AUTOEVENTO="Manual",ROUND(SUMPRODUCT((CÁLCULO!$M$15:$M$33=EVENTOS!$C44)*(OFFSET(CÁLCULO!$AA$15:$AA$33,0,N$13))),2),0)</f>
        <v>0</v>
      </c>
      <c r="O44" s="619" cm="1">
        <f t="array" aca="1" ref="O44" ca="1">IF(AUTOEVENTO="Manual",ROUND(SUMPRODUCT((CÁLCULO!$M$15:$M$33=EVENTOS!$C44)*(OFFSET(CÁLCULO!$AA$15:$AA$33,0,O$13))),2),0)</f>
        <v>0</v>
      </c>
      <c r="P44" s="619" cm="1">
        <f t="array" aca="1" ref="P44" ca="1">IF(AUTOEVENTO="Manual",ROUND(SUMPRODUCT((CÁLCULO!$M$15:$M$33=EVENTOS!$C44)*(OFFSET(CÁLCULO!$AA$15:$AA$33,0,P$13))),2),0)</f>
        <v>0</v>
      </c>
      <c r="Q44" s="619" cm="1">
        <f t="array" aca="1" ref="Q44" ca="1">IF(AUTOEVENTO="Manual",ROUND(SUMPRODUCT((CÁLCULO!$M$15:$M$33=EVENTOS!$C44)*(OFFSET(CÁLCULO!$AA$15:$AA$33,0,Q$13))),2),0)</f>
        <v>0</v>
      </c>
      <c r="R44" s="619" cm="1">
        <f t="array" aca="1" ref="R44" ca="1">IF(AUTOEVENTO="Manual",ROUND(SUMPRODUCT((CÁLCULO!$M$15:$M$33=EVENTOS!$C44)*(OFFSET(CÁLCULO!$AA$15:$AA$33,0,R$13))),2),0)</f>
        <v>0</v>
      </c>
      <c r="S44" s="619" cm="1">
        <f t="array" aca="1" ref="S44" ca="1">IF(AUTOEVENTO="Manual",ROUND(SUMPRODUCT((CÁLCULO!$M$15:$M$33=EVENTOS!$C44)*(OFFSET(CÁLCULO!$AA$15:$AA$33,0,S$13))),2),0)</f>
        <v>0</v>
      </c>
      <c r="T44" s="619" cm="1">
        <f t="array" aca="1" ref="T44" ca="1">IF(AUTOEVENTO="Manual",ROUND(SUMPRODUCT((CÁLCULO!$M$15:$M$33=EVENTOS!$C44)*(OFFSET(CÁLCULO!$AA$15:$AA$33,0,T$13))),2),0)</f>
        <v>0</v>
      </c>
      <c r="U44" s="619" cm="1">
        <f t="array" aca="1" ref="U44" ca="1">IF(AUTOEVENTO="Manual",ROUND(SUMPRODUCT((CÁLCULO!$M$15:$M$33=EVENTOS!$C44)*(OFFSET(CÁLCULO!$AA$15:$AA$33,0,U$13))),2),0)</f>
        <v>0</v>
      </c>
      <c r="V44" s="619" cm="1">
        <f t="array" aca="1" ref="V44" ca="1">IF(AUTOEVENTO="Manual",ROUND(SUMPRODUCT((CÁLCULO!$M$15:$M$33=EVENTOS!$C44)*(OFFSET(CÁLCULO!$AA$15:$AA$33,0,V$13))),2),0)</f>
        <v>0</v>
      </c>
      <c r="W44" s="619" cm="1">
        <f t="array" aca="1" ref="W44" ca="1">IF(AUTOEVENTO="Manual",ROUND(SUMPRODUCT((CÁLCULO!$M$15:$M$33=EVENTOS!$C44)*(OFFSET(CÁLCULO!$AA$15:$AA$33,0,W$13))),2),0)</f>
        <v>0</v>
      </c>
      <c r="X44" s="619" cm="1">
        <f t="array" aca="1" ref="X44" ca="1">IF(AUTOEVENTO="Manual",ROUND(SUMPRODUCT((CÁLCULO!$M$15:$M$33=EVENTOS!$C44)*(OFFSET(CÁLCULO!$AA$15:$AA$33,0,X$13))),2),0)</f>
        <v>0</v>
      </c>
      <c r="Y44" s="619" cm="1">
        <f t="array" aca="1" ref="Y44" ca="1">IF(AUTOEVENTO="Manual",ROUND(SUMPRODUCT((CÁLCULO!$M$15:$M$33=EVENTOS!$C44)*(OFFSET(CÁLCULO!$AA$15:$AA$33,0,Y$13))),2),0)</f>
        <v>0</v>
      </c>
    </row>
    <row r="45" spans="1:25" x14ac:dyDescent="0.2">
      <c r="A45" s="505" t="str">
        <f t="shared" si="3"/>
        <v/>
      </c>
      <c r="B45" t="str">
        <f t="shared" ca="1" si="4"/>
        <v/>
      </c>
      <c r="C45" s="181" t="str" cm="1">
        <f t="array" aca="1" ref="C45" ca="1">IF(OR(ROW(C45)=ROW(EVENTOS.firstrow)+1,AND(OFFSET(C45,-1,0)&lt;&gt;" ",OFFSET(C45,-1,1)&lt;&gt;"")),OFFSET(C45,-1,0)+1," ")</f>
        <v xml:space="preserve"> </v>
      </c>
      <c r="D45" s="495"/>
      <c r="E45" s="619" cm="1">
        <f t="array" aca="1" ref="E45" ca="1">IF(AUTOEVENTO="Manual",ROUND(SUMPRODUCT((CÁLCULO!$M$15:$M$33=EVENTOS!$C45)*(OFFSET(CÁLCULO!$AA$15:$AA$33,0,E$13))),2),0)</f>
        <v>0</v>
      </c>
      <c r="F45" s="182">
        <f ca="1">IF(AUTOEVENTO="Manual",ROUND(SUMPRODUCT((CÁLCULO!$M$15:$M$33=EVENTOS!$C45)*(OFFSET(CÁLCULO!$AA$15,0,1):OFFSET(CÁLCULO!$AL$33,0,-1))),2),0)</f>
        <v>0</v>
      </c>
      <c r="G45" s="620" t="str">
        <f t="shared" ca="1" si="5"/>
        <v/>
      </c>
      <c r="H45" s="619" cm="1">
        <f t="array" aca="1" ref="H45" ca="1">IF(AUTOEVENTO="Manual",ROUND(SUMPRODUCT((CÁLCULO!$M$15:$M$33=EVENTOS!$C45)*(OFFSET(CÁLCULO!$AA$15:$AA$33,0,H$13))),2),0)</f>
        <v>0</v>
      </c>
      <c r="I45" s="619" cm="1">
        <f t="array" aca="1" ref="I45" ca="1">IF(AUTOEVENTO="Manual",ROUND(SUMPRODUCT((CÁLCULO!$M$15:$M$33=EVENTOS!$C45)*(OFFSET(CÁLCULO!$AA$15:$AA$33,0,I$13))),2),0)</f>
        <v>0</v>
      </c>
      <c r="J45" s="619" cm="1">
        <f t="array" aca="1" ref="J45" ca="1">IF(AUTOEVENTO="Manual",ROUND(SUMPRODUCT((CÁLCULO!$M$15:$M$33=EVENTOS!$C45)*(OFFSET(CÁLCULO!$AA$15:$AA$33,0,J$13))),2),0)</f>
        <v>0</v>
      </c>
      <c r="K45" s="619" cm="1">
        <f t="array" aca="1" ref="K45" ca="1">IF(AUTOEVENTO="Manual",ROUND(SUMPRODUCT((CÁLCULO!$M$15:$M$33=EVENTOS!$C45)*(OFFSET(CÁLCULO!$AA$15:$AA$33,0,K$13))),2),0)</f>
        <v>0</v>
      </c>
      <c r="L45" s="619" cm="1">
        <f t="array" aca="1" ref="L45" ca="1">IF(AUTOEVENTO="Manual",ROUND(SUMPRODUCT((CÁLCULO!$M$15:$M$33=EVENTOS!$C45)*(OFFSET(CÁLCULO!$AA$15:$AA$33,0,L$13))),2),0)</f>
        <v>0</v>
      </c>
      <c r="M45" s="619" cm="1">
        <f t="array" aca="1" ref="M45" ca="1">IF(AUTOEVENTO="Manual",ROUND(SUMPRODUCT((CÁLCULO!$M$15:$M$33=EVENTOS!$C45)*(OFFSET(CÁLCULO!$AA$15:$AA$33,0,M$13))),2),0)</f>
        <v>0</v>
      </c>
      <c r="N45" s="619" cm="1">
        <f t="array" aca="1" ref="N45" ca="1">IF(AUTOEVENTO="Manual",ROUND(SUMPRODUCT((CÁLCULO!$M$15:$M$33=EVENTOS!$C45)*(OFFSET(CÁLCULO!$AA$15:$AA$33,0,N$13))),2),0)</f>
        <v>0</v>
      </c>
      <c r="O45" s="619" cm="1">
        <f t="array" aca="1" ref="O45" ca="1">IF(AUTOEVENTO="Manual",ROUND(SUMPRODUCT((CÁLCULO!$M$15:$M$33=EVENTOS!$C45)*(OFFSET(CÁLCULO!$AA$15:$AA$33,0,O$13))),2),0)</f>
        <v>0</v>
      </c>
      <c r="P45" s="619" cm="1">
        <f t="array" aca="1" ref="P45" ca="1">IF(AUTOEVENTO="Manual",ROUND(SUMPRODUCT((CÁLCULO!$M$15:$M$33=EVENTOS!$C45)*(OFFSET(CÁLCULO!$AA$15:$AA$33,0,P$13))),2),0)</f>
        <v>0</v>
      </c>
      <c r="Q45" s="619" cm="1">
        <f t="array" aca="1" ref="Q45" ca="1">IF(AUTOEVENTO="Manual",ROUND(SUMPRODUCT((CÁLCULO!$M$15:$M$33=EVENTOS!$C45)*(OFFSET(CÁLCULO!$AA$15:$AA$33,0,Q$13))),2),0)</f>
        <v>0</v>
      </c>
      <c r="R45" s="619" cm="1">
        <f t="array" aca="1" ref="R45" ca="1">IF(AUTOEVENTO="Manual",ROUND(SUMPRODUCT((CÁLCULO!$M$15:$M$33=EVENTOS!$C45)*(OFFSET(CÁLCULO!$AA$15:$AA$33,0,R$13))),2),0)</f>
        <v>0</v>
      </c>
      <c r="S45" s="619" cm="1">
        <f t="array" aca="1" ref="S45" ca="1">IF(AUTOEVENTO="Manual",ROUND(SUMPRODUCT((CÁLCULO!$M$15:$M$33=EVENTOS!$C45)*(OFFSET(CÁLCULO!$AA$15:$AA$33,0,S$13))),2),0)</f>
        <v>0</v>
      </c>
      <c r="T45" s="619" cm="1">
        <f t="array" aca="1" ref="T45" ca="1">IF(AUTOEVENTO="Manual",ROUND(SUMPRODUCT((CÁLCULO!$M$15:$M$33=EVENTOS!$C45)*(OFFSET(CÁLCULO!$AA$15:$AA$33,0,T$13))),2),0)</f>
        <v>0</v>
      </c>
      <c r="U45" s="619" cm="1">
        <f t="array" aca="1" ref="U45" ca="1">IF(AUTOEVENTO="Manual",ROUND(SUMPRODUCT((CÁLCULO!$M$15:$M$33=EVENTOS!$C45)*(OFFSET(CÁLCULO!$AA$15:$AA$33,0,U$13))),2),0)</f>
        <v>0</v>
      </c>
      <c r="V45" s="619" cm="1">
        <f t="array" aca="1" ref="V45" ca="1">IF(AUTOEVENTO="Manual",ROUND(SUMPRODUCT((CÁLCULO!$M$15:$M$33=EVENTOS!$C45)*(OFFSET(CÁLCULO!$AA$15:$AA$33,0,V$13))),2),0)</f>
        <v>0</v>
      </c>
      <c r="W45" s="619" cm="1">
        <f t="array" aca="1" ref="W45" ca="1">IF(AUTOEVENTO="Manual",ROUND(SUMPRODUCT((CÁLCULO!$M$15:$M$33=EVENTOS!$C45)*(OFFSET(CÁLCULO!$AA$15:$AA$33,0,W$13))),2),0)</f>
        <v>0</v>
      </c>
      <c r="X45" s="619" cm="1">
        <f t="array" aca="1" ref="X45" ca="1">IF(AUTOEVENTO="Manual",ROUND(SUMPRODUCT((CÁLCULO!$M$15:$M$33=EVENTOS!$C45)*(OFFSET(CÁLCULO!$AA$15:$AA$33,0,X$13))),2),0)</f>
        <v>0</v>
      </c>
      <c r="Y45" s="619" cm="1">
        <f t="array" aca="1" ref="Y45" ca="1">IF(AUTOEVENTO="Manual",ROUND(SUMPRODUCT((CÁLCULO!$M$15:$M$33=EVENTOS!$C45)*(OFFSET(CÁLCULO!$AA$15:$AA$33,0,Y$13))),2),0)</f>
        <v>0</v>
      </c>
    </row>
    <row r="46" spans="1:25" x14ac:dyDescent="0.2">
      <c r="A46" s="505" t="str">
        <f t="shared" si="3"/>
        <v/>
      </c>
      <c r="B46" t="str">
        <f t="shared" ca="1" si="4"/>
        <v/>
      </c>
      <c r="C46" s="181" t="str" cm="1">
        <f t="array" aca="1" ref="C46" ca="1">IF(OR(ROW(C46)=ROW(EVENTOS.firstrow)+1,AND(OFFSET(C46,-1,0)&lt;&gt;" ",OFFSET(C46,-1,1)&lt;&gt;"")),OFFSET(C46,-1,0)+1," ")</f>
        <v xml:space="preserve"> </v>
      </c>
      <c r="D46" s="495"/>
      <c r="E46" s="619" cm="1">
        <f t="array" aca="1" ref="E46" ca="1">IF(AUTOEVENTO="Manual",ROUND(SUMPRODUCT((CÁLCULO!$M$15:$M$33=EVENTOS!$C46)*(OFFSET(CÁLCULO!$AA$15:$AA$33,0,E$13))),2),0)</f>
        <v>0</v>
      </c>
      <c r="F46" s="182">
        <f ca="1">IF(AUTOEVENTO="Manual",ROUND(SUMPRODUCT((CÁLCULO!$M$15:$M$33=EVENTOS!$C46)*(OFFSET(CÁLCULO!$AA$15,0,1):OFFSET(CÁLCULO!$AL$33,0,-1))),2),0)</f>
        <v>0</v>
      </c>
      <c r="G46" s="620" t="str">
        <f t="shared" ca="1" si="5"/>
        <v/>
      </c>
      <c r="H46" s="619" cm="1">
        <f t="array" aca="1" ref="H46" ca="1">IF(AUTOEVENTO="Manual",ROUND(SUMPRODUCT((CÁLCULO!$M$15:$M$33=EVENTOS!$C46)*(OFFSET(CÁLCULO!$AA$15:$AA$33,0,H$13))),2),0)</f>
        <v>0</v>
      </c>
      <c r="I46" s="619" cm="1">
        <f t="array" aca="1" ref="I46" ca="1">IF(AUTOEVENTO="Manual",ROUND(SUMPRODUCT((CÁLCULO!$M$15:$M$33=EVENTOS!$C46)*(OFFSET(CÁLCULO!$AA$15:$AA$33,0,I$13))),2),0)</f>
        <v>0</v>
      </c>
      <c r="J46" s="619" cm="1">
        <f t="array" aca="1" ref="J46" ca="1">IF(AUTOEVENTO="Manual",ROUND(SUMPRODUCT((CÁLCULO!$M$15:$M$33=EVENTOS!$C46)*(OFFSET(CÁLCULO!$AA$15:$AA$33,0,J$13))),2),0)</f>
        <v>0</v>
      </c>
      <c r="K46" s="619" cm="1">
        <f t="array" aca="1" ref="K46" ca="1">IF(AUTOEVENTO="Manual",ROUND(SUMPRODUCT((CÁLCULO!$M$15:$M$33=EVENTOS!$C46)*(OFFSET(CÁLCULO!$AA$15:$AA$33,0,K$13))),2),0)</f>
        <v>0</v>
      </c>
      <c r="L46" s="619" cm="1">
        <f t="array" aca="1" ref="L46" ca="1">IF(AUTOEVENTO="Manual",ROUND(SUMPRODUCT((CÁLCULO!$M$15:$M$33=EVENTOS!$C46)*(OFFSET(CÁLCULO!$AA$15:$AA$33,0,L$13))),2),0)</f>
        <v>0</v>
      </c>
      <c r="M46" s="619" cm="1">
        <f t="array" aca="1" ref="M46" ca="1">IF(AUTOEVENTO="Manual",ROUND(SUMPRODUCT((CÁLCULO!$M$15:$M$33=EVENTOS!$C46)*(OFFSET(CÁLCULO!$AA$15:$AA$33,0,M$13))),2),0)</f>
        <v>0</v>
      </c>
      <c r="N46" s="619" cm="1">
        <f t="array" aca="1" ref="N46" ca="1">IF(AUTOEVENTO="Manual",ROUND(SUMPRODUCT((CÁLCULO!$M$15:$M$33=EVENTOS!$C46)*(OFFSET(CÁLCULO!$AA$15:$AA$33,0,N$13))),2),0)</f>
        <v>0</v>
      </c>
      <c r="O46" s="619" cm="1">
        <f t="array" aca="1" ref="O46" ca="1">IF(AUTOEVENTO="Manual",ROUND(SUMPRODUCT((CÁLCULO!$M$15:$M$33=EVENTOS!$C46)*(OFFSET(CÁLCULO!$AA$15:$AA$33,0,O$13))),2),0)</f>
        <v>0</v>
      </c>
      <c r="P46" s="619" cm="1">
        <f t="array" aca="1" ref="P46" ca="1">IF(AUTOEVENTO="Manual",ROUND(SUMPRODUCT((CÁLCULO!$M$15:$M$33=EVENTOS!$C46)*(OFFSET(CÁLCULO!$AA$15:$AA$33,0,P$13))),2),0)</f>
        <v>0</v>
      </c>
      <c r="Q46" s="619" cm="1">
        <f t="array" aca="1" ref="Q46" ca="1">IF(AUTOEVENTO="Manual",ROUND(SUMPRODUCT((CÁLCULO!$M$15:$M$33=EVENTOS!$C46)*(OFFSET(CÁLCULO!$AA$15:$AA$33,0,Q$13))),2),0)</f>
        <v>0</v>
      </c>
      <c r="R46" s="619" cm="1">
        <f t="array" aca="1" ref="R46" ca="1">IF(AUTOEVENTO="Manual",ROUND(SUMPRODUCT((CÁLCULO!$M$15:$M$33=EVENTOS!$C46)*(OFFSET(CÁLCULO!$AA$15:$AA$33,0,R$13))),2),0)</f>
        <v>0</v>
      </c>
      <c r="S46" s="619" cm="1">
        <f t="array" aca="1" ref="S46" ca="1">IF(AUTOEVENTO="Manual",ROUND(SUMPRODUCT((CÁLCULO!$M$15:$M$33=EVENTOS!$C46)*(OFFSET(CÁLCULO!$AA$15:$AA$33,0,S$13))),2),0)</f>
        <v>0</v>
      </c>
      <c r="T46" s="619" cm="1">
        <f t="array" aca="1" ref="T46" ca="1">IF(AUTOEVENTO="Manual",ROUND(SUMPRODUCT((CÁLCULO!$M$15:$M$33=EVENTOS!$C46)*(OFFSET(CÁLCULO!$AA$15:$AA$33,0,T$13))),2),0)</f>
        <v>0</v>
      </c>
      <c r="U46" s="619" cm="1">
        <f t="array" aca="1" ref="U46" ca="1">IF(AUTOEVENTO="Manual",ROUND(SUMPRODUCT((CÁLCULO!$M$15:$M$33=EVENTOS!$C46)*(OFFSET(CÁLCULO!$AA$15:$AA$33,0,U$13))),2),0)</f>
        <v>0</v>
      </c>
      <c r="V46" s="619" cm="1">
        <f t="array" aca="1" ref="V46" ca="1">IF(AUTOEVENTO="Manual",ROUND(SUMPRODUCT((CÁLCULO!$M$15:$M$33=EVENTOS!$C46)*(OFFSET(CÁLCULO!$AA$15:$AA$33,0,V$13))),2),0)</f>
        <v>0</v>
      </c>
      <c r="W46" s="619" cm="1">
        <f t="array" aca="1" ref="W46" ca="1">IF(AUTOEVENTO="Manual",ROUND(SUMPRODUCT((CÁLCULO!$M$15:$M$33=EVENTOS!$C46)*(OFFSET(CÁLCULO!$AA$15:$AA$33,0,W$13))),2),0)</f>
        <v>0</v>
      </c>
      <c r="X46" s="619" cm="1">
        <f t="array" aca="1" ref="X46" ca="1">IF(AUTOEVENTO="Manual",ROUND(SUMPRODUCT((CÁLCULO!$M$15:$M$33=EVENTOS!$C46)*(OFFSET(CÁLCULO!$AA$15:$AA$33,0,X$13))),2),0)</f>
        <v>0</v>
      </c>
      <c r="Y46" s="619" cm="1">
        <f t="array" aca="1" ref="Y46" ca="1">IF(AUTOEVENTO="Manual",ROUND(SUMPRODUCT((CÁLCULO!$M$15:$M$33=EVENTOS!$C46)*(OFFSET(CÁLCULO!$AA$15:$AA$33,0,Y$13))),2),0)</f>
        <v>0</v>
      </c>
    </row>
    <row r="47" spans="1:25" x14ac:dyDescent="0.2">
      <c r="A47" s="505" t="str">
        <f t="shared" si="3"/>
        <v/>
      </c>
      <c r="B47" t="str">
        <f t="shared" ca="1" si="4"/>
        <v/>
      </c>
      <c r="C47" s="181" t="str" cm="1">
        <f t="array" aca="1" ref="C47" ca="1">IF(OR(ROW(C47)=ROW(EVENTOS.firstrow)+1,AND(OFFSET(C47,-1,0)&lt;&gt;" ",OFFSET(C47,-1,1)&lt;&gt;"")),OFFSET(C47,-1,0)+1," ")</f>
        <v xml:space="preserve"> </v>
      </c>
      <c r="D47" s="495"/>
      <c r="E47" s="619" cm="1">
        <f t="array" aca="1" ref="E47" ca="1">IF(AUTOEVENTO="Manual",ROUND(SUMPRODUCT((CÁLCULO!$M$15:$M$33=EVENTOS!$C47)*(OFFSET(CÁLCULO!$AA$15:$AA$33,0,E$13))),2),0)</f>
        <v>0</v>
      </c>
      <c r="F47" s="182">
        <f ca="1">IF(AUTOEVENTO="Manual",ROUND(SUMPRODUCT((CÁLCULO!$M$15:$M$33=EVENTOS!$C47)*(OFFSET(CÁLCULO!$AA$15,0,1):OFFSET(CÁLCULO!$AL$33,0,-1))),2),0)</f>
        <v>0</v>
      </c>
      <c r="G47" s="620" t="str">
        <f t="shared" ca="1" si="5"/>
        <v/>
      </c>
      <c r="H47" s="619" cm="1">
        <f t="array" aca="1" ref="H47" ca="1">IF(AUTOEVENTO="Manual",ROUND(SUMPRODUCT((CÁLCULO!$M$15:$M$33=EVENTOS!$C47)*(OFFSET(CÁLCULO!$AA$15:$AA$33,0,H$13))),2),0)</f>
        <v>0</v>
      </c>
      <c r="I47" s="619" cm="1">
        <f t="array" aca="1" ref="I47" ca="1">IF(AUTOEVENTO="Manual",ROUND(SUMPRODUCT((CÁLCULO!$M$15:$M$33=EVENTOS!$C47)*(OFFSET(CÁLCULO!$AA$15:$AA$33,0,I$13))),2),0)</f>
        <v>0</v>
      </c>
      <c r="J47" s="619" cm="1">
        <f t="array" aca="1" ref="J47" ca="1">IF(AUTOEVENTO="Manual",ROUND(SUMPRODUCT((CÁLCULO!$M$15:$M$33=EVENTOS!$C47)*(OFFSET(CÁLCULO!$AA$15:$AA$33,0,J$13))),2),0)</f>
        <v>0</v>
      </c>
      <c r="K47" s="619" cm="1">
        <f t="array" aca="1" ref="K47" ca="1">IF(AUTOEVENTO="Manual",ROUND(SUMPRODUCT((CÁLCULO!$M$15:$M$33=EVENTOS!$C47)*(OFFSET(CÁLCULO!$AA$15:$AA$33,0,K$13))),2),0)</f>
        <v>0</v>
      </c>
      <c r="L47" s="619" cm="1">
        <f t="array" aca="1" ref="L47" ca="1">IF(AUTOEVENTO="Manual",ROUND(SUMPRODUCT((CÁLCULO!$M$15:$M$33=EVENTOS!$C47)*(OFFSET(CÁLCULO!$AA$15:$AA$33,0,L$13))),2),0)</f>
        <v>0</v>
      </c>
      <c r="M47" s="619" cm="1">
        <f t="array" aca="1" ref="M47" ca="1">IF(AUTOEVENTO="Manual",ROUND(SUMPRODUCT((CÁLCULO!$M$15:$M$33=EVENTOS!$C47)*(OFFSET(CÁLCULO!$AA$15:$AA$33,0,M$13))),2),0)</f>
        <v>0</v>
      </c>
      <c r="N47" s="619" cm="1">
        <f t="array" aca="1" ref="N47" ca="1">IF(AUTOEVENTO="Manual",ROUND(SUMPRODUCT((CÁLCULO!$M$15:$M$33=EVENTOS!$C47)*(OFFSET(CÁLCULO!$AA$15:$AA$33,0,N$13))),2),0)</f>
        <v>0</v>
      </c>
      <c r="O47" s="619" cm="1">
        <f t="array" aca="1" ref="O47" ca="1">IF(AUTOEVENTO="Manual",ROUND(SUMPRODUCT((CÁLCULO!$M$15:$M$33=EVENTOS!$C47)*(OFFSET(CÁLCULO!$AA$15:$AA$33,0,O$13))),2),0)</f>
        <v>0</v>
      </c>
      <c r="P47" s="619" cm="1">
        <f t="array" aca="1" ref="P47" ca="1">IF(AUTOEVENTO="Manual",ROUND(SUMPRODUCT((CÁLCULO!$M$15:$M$33=EVENTOS!$C47)*(OFFSET(CÁLCULO!$AA$15:$AA$33,0,P$13))),2),0)</f>
        <v>0</v>
      </c>
      <c r="Q47" s="619" cm="1">
        <f t="array" aca="1" ref="Q47" ca="1">IF(AUTOEVENTO="Manual",ROUND(SUMPRODUCT((CÁLCULO!$M$15:$M$33=EVENTOS!$C47)*(OFFSET(CÁLCULO!$AA$15:$AA$33,0,Q$13))),2),0)</f>
        <v>0</v>
      </c>
      <c r="R47" s="619" cm="1">
        <f t="array" aca="1" ref="R47" ca="1">IF(AUTOEVENTO="Manual",ROUND(SUMPRODUCT((CÁLCULO!$M$15:$M$33=EVENTOS!$C47)*(OFFSET(CÁLCULO!$AA$15:$AA$33,0,R$13))),2),0)</f>
        <v>0</v>
      </c>
      <c r="S47" s="619" cm="1">
        <f t="array" aca="1" ref="S47" ca="1">IF(AUTOEVENTO="Manual",ROUND(SUMPRODUCT((CÁLCULO!$M$15:$M$33=EVENTOS!$C47)*(OFFSET(CÁLCULO!$AA$15:$AA$33,0,S$13))),2),0)</f>
        <v>0</v>
      </c>
      <c r="T47" s="619" cm="1">
        <f t="array" aca="1" ref="T47" ca="1">IF(AUTOEVENTO="Manual",ROUND(SUMPRODUCT((CÁLCULO!$M$15:$M$33=EVENTOS!$C47)*(OFFSET(CÁLCULO!$AA$15:$AA$33,0,T$13))),2),0)</f>
        <v>0</v>
      </c>
      <c r="U47" s="619" cm="1">
        <f t="array" aca="1" ref="U47" ca="1">IF(AUTOEVENTO="Manual",ROUND(SUMPRODUCT((CÁLCULO!$M$15:$M$33=EVENTOS!$C47)*(OFFSET(CÁLCULO!$AA$15:$AA$33,0,U$13))),2),0)</f>
        <v>0</v>
      </c>
      <c r="V47" s="619" cm="1">
        <f t="array" aca="1" ref="V47" ca="1">IF(AUTOEVENTO="Manual",ROUND(SUMPRODUCT((CÁLCULO!$M$15:$M$33=EVENTOS!$C47)*(OFFSET(CÁLCULO!$AA$15:$AA$33,0,V$13))),2),0)</f>
        <v>0</v>
      </c>
      <c r="W47" s="619" cm="1">
        <f t="array" aca="1" ref="W47" ca="1">IF(AUTOEVENTO="Manual",ROUND(SUMPRODUCT((CÁLCULO!$M$15:$M$33=EVENTOS!$C47)*(OFFSET(CÁLCULO!$AA$15:$AA$33,0,W$13))),2),0)</f>
        <v>0</v>
      </c>
      <c r="X47" s="619" cm="1">
        <f t="array" aca="1" ref="X47" ca="1">IF(AUTOEVENTO="Manual",ROUND(SUMPRODUCT((CÁLCULO!$M$15:$M$33=EVENTOS!$C47)*(OFFSET(CÁLCULO!$AA$15:$AA$33,0,X$13))),2),0)</f>
        <v>0</v>
      </c>
      <c r="Y47" s="619" cm="1">
        <f t="array" aca="1" ref="Y47" ca="1">IF(AUTOEVENTO="Manual",ROUND(SUMPRODUCT((CÁLCULO!$M$15:$M$33=EVENTOS!$C47)*(OFFSET(CÁLCULO!$AA$15:$AA$33,0,Y$13))),2),0)</f>
        <v>0</v>
      </c>
    </row>
    <row r="48" spans="1:25" x14ac:dyDescent="0.2">
      <c r="A48" s="505" t="str">
        <f t="shared" si="3"/>
        <v/>
      </c>
      <c r="B48" t="str">
        <f t="shared" ca="1" si="4"/>
        <v/>
      </c>
      <c r="C48" s="181" t="str" cm="1">
        <f t="array" aca="1" ref="C48" ca="1">IF(OR(ROW(C48)=ROW(EVENTOS.firstrow)+1,AND(OFFSET(C48,-1,0)&lt;&gt;" ",OFFSET(C48,-1,1)&lt;&gt;"")),OFFSET(C48,-1,0)+1," ")</f>
        <v xml:space="preserve"> </v>
      </c>
      <c r="D48" s="495"/>
      <c r="E48" s="619" cm="1">
        <f t="array" aca="1" ref="E48" ca="1">IF(AUTOEVENTO="Manual",ROUND(SUMPRODUCT((CÁLCULO!$M$15:$M$33=EVENTOS!$C48)*(OFFSET(CÁLCULO!$AA$15:$AA$33,0,E$13))),2),0)</f>
        <v>0</v>
      </c>
      <c r="F48" s="182">
        <f ca="1">IF(AUTOEVENTO="Manual",ROUND(SUMPRODUCT((CÁLCULO!$M$15:$M$33=EVENTOS!$C48)*(OFFSET(CÁLCULO!$AA$15,0,1):OFFSET(CÁLCULO!$AL$33,0,-1))),2),0)</f>
        <v>0</v>
      </c>
      <c r="G48" s="620" t="str">
        <f t="shared" ref="G48:G64" ca="1" si="6">IF(AND(D48=0,F48&gt;0),"NOME",
 IF(AND(D48&lt;&gt;0,$F$14&gt;0,F48=0),"VALOR",
 IF(AND(Import.TipoArredondamento="TransfereGOV",$A48="F",LEN(D48)&gt;100),"Nome &gt;100","")))</f>
        <v/>
      </c>
      <c r="H48" s="619" cm="1">
        <f t="array" aca="1" ref="H48" ca="1">IF(AUTOEVENTO="Manual",ROUND(SUMPRODUCT((CÁLCULO!$M$15:$M$33=EVENTOS!$C48)*(OFFSET(CÁLCULO!$AA$15:$AA$33,0,H$13))),2),0)</f>
        <v>0</v>
      </c>
      <c r="I48" s="619" cm="1">
        <f t="array" aca="1" ref="I48" ca="1">IF(AUTOEVENTO="Manual",ROUND(SUMPRODUCT((CÁLCULO!$M$15:$M$33=EVENTOS!$C48)*(OFFSET(CÁLCULO!$AA$15:$AA$33,0,I$13))),2),0)</f>
        <v>0</v>
      </c>
      <c r="J48" s="619" cm="1">
        <f t="array" aca="1" ref="J48" ca="1">IF(AUTOEVENTO="Manual",ROUND(SUMPRODUCT((CÁLCULO!$M$15:$M$33=EVENTOS!$C48)*(OFFSET(CÁLCULO!$AA$15:$AA$33,0,J$13))),2),0)</f>
        <v>0</v>
      </c>
      <c r="K48" s="619" cm="1">
        <f t="array" aca="1" ref="K48" ca="1">IF(AUTOEVENTO="Manual",ROUND(SUMPRODUCT((CÁLCULO!$M$15:$M$33=EVENTOS!$C48)*(OFFSET(CÁLCULO!$AA$15:$AA$33,0,K$13))),2),0)</f>
        <v>0</v>
      </c>
      <c r="L48" s="619" cm="1">
        <f t="array" aca="1" ref="L48" ca="1">IF(AUTOEVENTO="Manual",ROUND(SUMPRODUCT((CÁLCULO!$M$15:$M$33=EVENTOS!$C48)*(OFFSET(CÁLCULO!$AA$15:$AA$33,0,L$13))),2),0)</f>
        <v>0</v>
      </c>
      <c r="M48" s="619" cm="1">
        <f t="array" aca="1" ref="M48" ca="1">IF(AUTOEVENTO="Manual",ROUND(SUMPRODUCT((CÁLCULO!$M$15:$M$33=EVENTOS!$C48)*(OFFSET(CÁLCULO!$AA$15:$AA$33,0,M$13))),2),0)</f>
        <v>0</v>
      </c>
      <c r="N48" s="619" cm="1">
        <f t="array" aca="1" ref="N48" ca="1">IF(AUTOEVENTO="Manual",ROUND(SUMPRODUCT((CÁLCULO!$M$15:$M$33=EVENTOS!$C48)*(OFFSET(CÁLCULO!$AA$15:$AA$33,0,N$13))),2),0)</f>
        <v>0</v>
      </c>
      <c r="O48" s="619" cm="1">
        <f t="array" aca="1" ref="O48" ca="1">IF(AUTOEVENTO="Manual",ROUND(SUMPRODUCT((CÁLCULO!$M$15:$M$33=EVENTOS!$C48)*(OFFSET(CÁLCULO!$AA$15:$AA$33,0,O$13))),2),0)</f>
        <v>0</v>
      </c>
      <c r="P48" s="619" cm="1">
        <f t="array" aca="1" ref="P48" ca="1">IF(AUTOEVENTO="Manual",ROUND(SUMPRODUCT((CÁLCULO!$M$15:$M$33=EVENTOS!$C48)*(OFFSET(CÁLCULO!$AA$15:$AA$33,0,P$13))),2),0)</f>
        <v>0</v>
      </c>
      <c r="Q48" s="619" cm="1">
        <f t="array" aca="1" ref="Q48" ca="1">IF(AUTOEVENTO="Manual",ROUND(SUMPRODUCT((CÁLCULO!$M$15:$M$33=EVENTOS!$C48)*(OFFSET(CÁLCULO!$AA$15:$AA$33,0,Q$13))),2),0)</f>
        <v>0</v>
      </c>
      <c r="R48" s="619" cm="1">
        <f t="array" aca="1" ref="R48" ca="1">IF(AUTOEVENTO="Manual",ROUND(SUMPRODUCT((CÁLCULO!$M$15:$M$33=EVENTOS!$C48)*(OFFSET(CÁLCULO!$AA$15:$AA$33,0,R$13))),2),0)</f>
        <v>0</v>
      </c>
      <c r="S48" s="619" cm="1">
        <f t="array" aca="1" ref="S48" ca="1">IF(AUTOEVENTO="Manual",ROUND(SUMPRODUCT((CÁLCULO!$M$15:$M$33=EVENTOS!$C48)*(OFFSET(CÁLCULO!$AA$15:$AA$33,0,S$13))),2),0)</f>
        <v>0</v>
      </c>
      <c r="T48" s="619" cm="1">
        <f t="array" aca="1" ref="T48" ca="1">IF(AUTOEVENTO="Manual",ROUND(SUMPRODUCT((CÁLCULO!$M$15:$M$33=EVENTOS!$C48)*(OFFSET(CÁLCULO!$AA$15:$AA$33,0,T$13))),2),0)</f>
        <v>0</v>
      </c>
      <c r="U48" s="619" cm="1">
        <f t="array" aca="1" ref="U48" ca="1">IF(AUTOEVENTO="Manual",ROUND(SUMPRODUCT((CÁLCULO!$M$15:$M$33=EVENTOS!$C48)*(OFFSET(CÁLCULO!$AA$15:$AA$33,0,U$13))),2),0)</f>
        <v>0</v>
      </c>
      <c r="V48" s="619" cm="1">
        <f t="array" aca="1" ref="V48" ca="1">IF(AUTOEVENTO="Manual",ROUND(SUMPRODUCT((CÁLCULO!$M$15:$M$33=EVENTOS!$C48)*(OFFSET(CÁLCULO!$AA$15:$AA$33,0,V$13))),2),0)</f>
        <v>0</v>
      </c>
      <c r="W48" s="619" cm="1">
        <f t="array" aca="1" ref="W48" ca="1">IF(AUTOEVENTO="Manual",ROUND(SUMPRODUCT((CÁLCULO!$M$15:$M$33=EVENTOS!$C48)*(OFFSET(CÁLCULO!$AA$15:$AA$33,0,W$13))),2),0)</f>
        <v>0</v>
      </c>
      <c r="X48" s="619" cm="1">
        <f t="array" aca="1" ref="X48" ca="1">IF(AUTOEVENTO="Manual",ROUND(SUMPRODUCT((CÁLCULO!$M$15:$M$33=EVENTOS!$C48)*(OFFSET(CÁLCULO!$AA$15:$AA$33,0,X$13))),2),0)</f>
        <v>0</v>
      </c>
      <c r="Y48" s="619" cm="1">
        <f t="array" aca="1" ref="Y48" ca="1">IF(AUTOEVENTO="Manual",ROUND(SUMPRODUCT((CÁLCULO!$M$15:$M$33=EVENTOS!$C48)*(OFFSET(CÁLCULO!$AA$15:$AA$33,0,Y$13))),2),0)</f>
        <v>0</v>
      </c>
    </row>
    <row r="49" spans="1:25" x14ac:dyDescent="0.2">
      <c r="A49" s="505" t="str">
        <f t="shared" si="3"/>
        <v/>
      </c>
      <c r="B49" t="str">
        <f t="shared" ca="1" si="4"/>
        <v/>
      </c>
      <c r="C49" s="181" t="str" cm="1">
        <f t="array" aca="1" ref="C49" ca="1">IF(OR(ROW(C49)=ROW(EVENTOS.firstrow)+1,AND(OFFSET(C49,-1,0)&lt;&gt;" ",OFFSET(C49,-1,1)&lt;&gt;"")),OFFSET(C49,-1,0)+1," ")</f>
        <v xml:space="preserve"> </v>
      </c>
      <c r="D49" s="495"/>
      <c r="E49" s="619" cm="1">
        <f t="array" aca="1" ref="E49" ca="1">IF(AUTOEVENTO="Manual",ROUND(SUMPRODUCT((CÁLCULO!$M$15:$M$33=EVENTOS!$C49)*(OFFSET(CÁLCULO!$AA$15:$AA$33,0,E$13))),2),0)</f>
        <v>0</v>
      </c>
      <c r="F49" s="182">
        <f ca="1">IF(AUTOEVENTO="Manual",ROUND(SUMPRODUCT((CÁLCULO!$M$15:$M$33=EVENTOS!$C49)*(OFFSET(CÁLCULO!$AA$15,0,1):OFFSET(CÁLCULO!$AL$33,0,-1))),2),0)</f>
        <v>0</v>
      </c>
      <c r="G49" s="620" t="str">
        <f t="shared" ca="1" si="6"/>
        <v/>
      </c>
      <c r="H49" s="619" cm="1">
        <f t="array" aca="1" ref="H49" ca="1">IF(AUTOEVENTO="Manual",ROUND(SUMPRODUCT((CÁLCULO!$M$15:$M$33=EVENTOS!$C49)*(OFFSET(CÁLCULO!$AA$15:$AA$33,0,H$13))),2),0)</f>
        <v>0</v>
      </c>
      <c r="I49" s="619" cm="1">
        <f t="array" aca="1" ref="I49" ca="1">IF(AUTOEVENTO="Manual",ROUND(SUMPRODUCT((CÁLCULO!$M$15:$M$33=EVENTOS!$C49)*(OFFSET(CÁLCULO!$AA$15:$AA$33,0,I$13))),2),0)</f>
        <v>0</v>
      </c>
      <c r="J49" s="619" cm="1">
        <f t="array" aca="1" ref="J49" ca="1">IF(AUTOEVENTO="Manual",ROUND(SUMPRODUCT((CÁLCULO!$M$15:$M$33=EVENTOS!$C49)*(OFFSET(CÁLCULO!$AA$15:$AA$33,0,J$13))),2),0)</f>
        <v>0</v>
      </c>
      <c r="K49" s="619" cm="1">
        <f t="array" aca="1" ref="K49" ca="1">IF(AUTOEVENTO="Manual",ROUND(SUMPRODUCT((CÁLCULO!$M$15:$M$33=EVENTOS!$C49)*(OFFSET(CÁLCULO!$AA$15:$AA$33,0,K$13))),2),0)</f>
        <v>0</v>
      </c>
      <c r="L49" s="619" cm="1">
        <f t="array" aca="1" ref="L49" ca="1">IF(AUTOEVENTO="Manual",ROUND(SUMPRODUCT((CÁLCULO!$M$15:$M$33=EVENTOS!$C49)*(OFFSET(CÁLCULO!$AA$15:$AA$33,0,L$13))),2),0)</f>
        <v>0</v>
      </c>
      <c r="M49" s="619" cm="1">
        <f t="array" aca="1" ref="M49" ca="1">IF(AUTOEVENTO="Manual",ROUND(SUMPRODUCT((CÁLCULO!$M$15:$M$33=EVENTOS!$C49)*(OFFSET(CÁLCULO!$AA$15:$AA$33,0,M$13))),2),0)</f>
        <v>0</v>
      </c>
      <c r="N49" s="619" cm="1">
        <f t="array" aca="1" ref="N49" ca="1">IF(AUTOEVENTO="Manual",ROUND(SUMPRODUCT((CÁLCULO!$M$15:$M$33=EVENTOS!$C49)*(OFFSET(CÁLCULO!$AA$15:$AA$33,0,N$13))),2),0)</f>
        <v>0</v>
      </c>
      <c r="O49" s="619" cm="1">
        <f t="array" aca="1" ref="O49" ca="1">IF(AUTOEVENTO="Manual",ROUND(SUMPRODUCT((CÁLCULO!$M$15:$M$33=EVENTOS!$C49)*(OFFSET(CÁLCULO!$AA$15:$AA$33,0,O$13))),2),0)</f>
        <v>0</v>
      </c>
      <c r="P49" s="619" cm="1">
        <f t="array" aca="1" ref="P49" ca="1">IF(AUTOEVENTO="Manual",ROUND(SUMPRODUCT((CÁLCULO!$M$15:$M$33=EVENTOS!$C49)*(OFFSET(CÁLCULO!$AA$15:$AA$33,0,P$13))),2),0)</f>
        <v>0</v>
      </c>
      <c r="Q49" s="619" cm="1">
        <f t="array" aca="1" ref="Q49" ca="1">IF(AUTOEVENTO="Manual",ROUND(SUMPRODUCT((CÁLCULO!$M$15:$M$33=EVENTOS!$C49)*(OFFSET(CÁLCULO!$AA$15:$AA$33,0,Q$13))),2),0)</f>
        <v>0</v>
      </c>
      <c r="R49" s="619" cm="1">
        <f t="array" aca="1" ref="R49" ca="1">IF(AUTOEVENTO="Manual",ROUND(SUMPRODUCT((CÁLCULO!$M$15:$M$33=EVENTOS!$C49)*(OFFSET(CÁLCULO!$AA$15:$AA$33,0,R$13))),2),0)</f>
        <v>0</v>
      </c>
      <c r="S49" s="619" cm="1">
        <f t="array" aca="1" ref="S49" ca="1">IF(AUTOEVENTO="Manual",ROUND(SUMPRODUCT((CÁLCULO!$M$15:$M$33=EVENTOS!$C49)*(OFFSET(CÁLCULO!$AA$15:$AA$33,0,S$13))),2),0)</f>
        <v>0</v>
      </c>
      <c r="T49" s="619" cm="1">
        <f t="array" aca="1" ref="T49" ca="1">IF(AUTOEVENTO="Manual",ROUND(SUMPRODUCT((CÁLCULO!$M$15:$M$33=EVENTOS!$C49)*(OFFSET(CÁLCULO!$AA$15:$AA$33,0,T$13))),2),0)</f>
        <v>0</v>
      </c>
      <c r="U49" s="619" cm="1">
        <f t="array" aca="1" ref="U49" ca="1">IF(AUTOEVENTO="Manual",ROUND(SUMPRODUCT((CÁLCULO!$M$15:$M$33=EVENTOS!$C49)*(OFFSET(CÁLCULO!$AA$15:$AA$33,0,U$13))),2),0)</f>
        <v>0</v>
      </c>
      <c r="V49" s="619" cm="1">
        <f t="array" aca="1" ref="V49" ca="1">IF(AUTOEVENTO="Manual",ROUND(SUMPRODUCT((CÁLCULO!$M$15:$M$33=EVENTOS!$C49)*(OFFSET(CÁLCULO!$AA$15:$AA$33,0,V$13))),2),0)</f>
        <v>0</v>
      </c>
      <c r="W49" s="619" cm="1">
        <f t="array" aca="1" ref="W49" ca="1">IF(AUTOEVENTO="Manual",ROUND(SUMPRODUCT((CÁLCULO!$M$15:$M$33=EVENTOS!$C49)*(OFFSET(CÁLCULO!$AA$15:$AA$33,0,W$13))),2),0)</f>
        <v>0</v>
      </c>
      <c r="X49" s="619" cm="1">
        <f t="array" aca="1" ref="X49" ca="1">IF(AUTOEVENTO="Manual",ROUND(SUMPRODUCT((CÁLCULO!$M$15:$M$33=EVENTOS!$C49)*(OFFSET(CÁLCULO!$AA$15:$AA$33,0,X$13))),2),0)</f>
        <v>0</v>
      </c>
      <c r="Y49" s="619" cm="1">
        <f t="array" aca="1" ref="Y49" ca="1">IF(AUTOEVENTO="Manual",ROUND(SUMPRODUCT((CÁLCULO!$M$15:$M$33=EVENTOS!$C49)*(OFFSET(CÁLCULO!$AA$15:$AA$33,0,Y$13))),2),0)</f>
        <v>0</v>
      </c>
    </row>
    <row r="50" spans="1:25" x14ac:dyDescent="0.2">
      <c r="A50" s="505" t="str">
        <f t="shared" si="3"/>
        <v/>
      </c>
      <c r="B50" t="str">
        <f t="shared" ca="1" si="4"/>
        <v/>
      </c>
      <c r="C50" s="181" t="str" cm="1">
        <f t="array" aca="1" ref="C50" ca="1">IF(OR(ROW(C50)=ROW(EVENTOS.firstrow)+1,AND(OFFSET(C50,-1,0)&lt;&gt;" ",OFFSET(C50,-1,1)&lt;&gt;"")),OFFSET(C50,-1,0)+1," ")</f>
        <v xml:space="preserve"> </v>
      </c>
      <c r="D50" s="495"/>
      <c r="E50" s="619" cm="1">
        <f t="array" aca="1" ref="E50" ca="1">IF(AUTOEVENTO="Manual",ROUND(SUMPRODUCT((CÁLCULO!$M$15:$M$33=EVENTOS!$C50)*(OFFSET(CÁLCULO!$AA$15:$AA$33,0,E$13))),2),0)</f>
        <v>0</v>
      </c>
      <c r="F50" s="182">
        <f ca="1">IF(AUTOEVENTO="Manual",ROUND(SUMPRODUCT((CÁLCULO!$M$15:$M$33=EVENTOS!$C50)*(OFFSET(CÁLCULO!$AA$15,0,1):OFFSET(CÁLCULO!$AL$33,0,-1))),2),0)</f>
        <v>0</v>
      </c>
      <c r="G50" s="620" t="str">
        <f t="shared" ca="1" si="6"/>
        <v/>
      </c>
      <c r="H50" s="619" cm="1">
        <f t="array" aca="1" ref="H50" ca="1">IF(AUTOEVENTO="Manual",ROUND(SUMPRODUCT((CÁLCULO!$M$15:$M$33=EVENTOS!$C50)*(OFFSET(CÁLCULO!$AA$15:$AA$33,0,H$13))),2),0)</f>
        <v>0</v>
      </c>
      <c r="I50" s="619" cm="1">
        <f t="array" aca="1" ref="I50" ca="1">IF(AUTOEVENTO="Manual",ROUND(SUMPRODUCT((CÁLCULO!$M$15:$M$33=EVENTOS!$C50)*(OFFSET(CÁLCULO!$AA$15:$AA$33,0,I$13))),2),0)</f>
        <v>0</v>
      </c>
      <c r="J50" s="619" cm="1">
        <f t="array" aca="1" ref="J50" ca="1">IF(AUTOEVENTO="Manual",ROUND(SUMPRODUCT((CÁLCULO!$M$15:$M$33=EVENTOS!$C50)*(OFFSET(CÁLCULO!$AA$15:$AA$33,0,J$13))),2),0)</f>
        <v>0</v>
      </c>
      <c r="K50" s="619" cm="1">
        <f t="array" aca="1" ref="K50" ca="1">IF(AUTOEVENTO="Manual",ROUND(SUMPRODUCT((CÁLCULO!$M$15:$M$33=EVENTOS!$C50)*(OFFSET(CÁLCULO!$AA$15:$AA$33,0,K$13))),2),0)</f>
        <v>0</v>
      </c>
      <c r="L50" s="619" cm="1">
        <f t="array" aca="1" ref="L50" ca="1">IF(AUTOEVENTO="Manual",ROUND(SUMPRODUCT((CÁLCULO!$M$15:$M$33=EVENTOS!$C50)*(OFFSET(CÁLCULO!$AA$15:$AA$33,0,L$13))),2),0)</f>
        <v>0</v>
      </c>
      <c r="M50" s="619" cm="1">
        <f t="array" aca="1" ref="M50" ca="1">IF(AUTOEVENTO="Manual",ROUND(SUMPRODUCT((CÁLCULO!$M$15:$M$33=EVENTOS!$C50)*(OFFSET(CÁLCULO!$AA$15:$AA$33,0,M$13))),2),0)</f>
        <v>0</v>
      </c>
      <c r="N50" s="619" cm="1">
        <f t="array" aca="1" ref="N50" ca="1">IF(AUTOEVENTO="Manual",ROUND(SUMPRODUCT((CÁLCULO!$M$15:$M$33=EVENTOS!$C50)*(OFFSET(CÁLCULO!$AA$15:$AA$33,0,N$13))),2),0)</f>
        <v>0</v>
      </c>
      <c r="O50" s="619" cm="1">
        <f t="array" aca="1" ref="O50" ca="1">IF(AUTOEVENTO="Manual",ROUND(SUMPRODUCT((CÁLCULO!$M$15:$M$33=EVENTOS!$C50)*(OFFSET(CÁLCULO!$AA$15:$AA$33,0,O$13))),2),0)</f>
        <v>0</v>
      </c>
      <c r="P50" s="619" cm="1">
        <f t="array" aca="1" ref="P50" ca="1">IF(AUTOEVENTO="Manual",ROUND(SUMPRODUCT((CÁLCULO!$M$15:$M$33=EVENTOS!$C50)*(OFFSET(CÁLCULO!$AA$15:$AA$33,0,P$13))),2),0)</f>
        <v>0</v>
      </c>
      <c r="Q50" s="619" cm="1">
        <f t="array" aca="1" ref="Q50" ca="1">IF(AUTOEVENTO="Manual",ROUND(SUMPRODUCT((CÁLCULO!$M$15:$M$33=EVENTOS!$C50)*(OFFSET(CÁLCULO!$AA$15:$AA$33,0,Q$13))),2),0)</f>
        <v>0</v>
      </c>
      <c r="R50" s="619" cm="1">
        <f t="array" aca="1" ref="R50" ca="1">IF(AUTOEVENTO="Manual",ROUND(SUMPRODUCT((CÁLCULO!$M$15:$M$33=EVENTOS!$C50)*(OFFSET(CÁLCULO!$AA$15:$AA$33,0,R$13))),2),0)</f>
        <v>0</v>
      </c>
      <c r="S50" s="619" cm="1">
        <f t="array" aca="1" ref="S50" ca="1">IF(AUTOEVENTO="Manual",ROUND(SUMPRODUCT((CÁLCULO!$M$15:$M$33=EVENTOS!$C50)*(OFFSET(CÁLCULO!$AA$15:$AA$33,0,S$13))),2),0)</f>
        <v>0</v>
      </c>
      <c r="T50" s="619" cm="1">
        <f t="array" aca="1" ref="T50" ca="1">IF(AUTOEVENTO="Manual",ROUND(SUMPRODUCT((CÁLCULO!$M$15:$M$33=EVENTOS!$C50)*(OFFSET(CÁLCULO!$AA$15:$AA$33,0,T$13))),2),0)</f>
        <v>0</v>
      </c>
      <c r="U50" s="619" cm="1">
        <f t="array" aca="1" ref="U50" ca="1">IF(AUTOEVENTO="Manual",ROUND(SUMPRODUCT((CÁLCULO!$M$15:$M$33=EVENTOS!$C50)*(OFFSET(CÁLCULO!$AA$15:$AA$33,0,U$13))),2),0)</f>
        <v>0</v>
      </c>
      <c r="V50" s="619" cm="1">
        <f t="array" aca="1" ref="V50" ca="1">IF(AUTOEVENTO="Manual",ROUND(SUMPRODUCT((CÁLCULO!$M$15:$M$33=EVENTOS!$C50)*(OFFSET(CÁLCULO!$AA$15:$AA$33,0,V$13))),2),0)</f>
        <v>0</v>
      </c>
      <c r="W50" s="619" cm="1">
        <f t="array" aca="1" ref="W50" ca="1">IF(AUTOEVENTO="Manual",ROUND(SUMPRODUCT((CÁLCULO!$M$15:$M$33=EVENTOS!$C50)*(OFFSET(CÁLCULO!$AA$15:$AA$33,0,W$13))),2),0)</f>
        <v>0</v>
      </c>
      <c r="X50" s="619" cm="1">
        <f t="array" aca="1" ref="X50" ca="1">IF(AUTOEVENTO="Manual",ROUND(SUMPRODUCT((CÁLCULO!$M$15:$M$33=EVENTOS!$C50)*(OFFSET(CÁLCULO!$AA$15:$AA$33,0,X$13))),2),0)</f>
        <v>0</v>
      </c>
      <c r="Y50" s="619" cm="1">
        <f t="array" aca="1" ref="Y50" ca="1">IF(AUTOEVENTO="Manual",ROUND(SUMPRODUCT((CÁLCULO!$M$15:$M$33=EVENTOS!$C50)*(OFFSET(CÁLCULO!$AA$15:$AA$33,0,Y$13))),2),0)</f>
        <v>0</v>
      </c>
    </row>
    <row r="51" spans="1:25" x14ac:dyDescent="0.2">
      <c r="A51" s="505" t="str">
        <f t="shared" si="3"/>
        <v/>
      </c>
      <c r="B51" t="str">
        <f t="shared" ca="1" si="4"/>
        <v/>
      </c>
      <c r="C51" s="181" t="str" cm="1">
        <f t="array" aca="1" ref="C51" ca="1">IF(OR(ROW(C51)=ROW(EVENTOS.firstrow)+1,AND(OFFSET(C51,-1,0)&lt;&gt;" ",OFFSET(C51,-1,1)&lt;&gt;"")),OFFSET(C51,-1,0)+1," ")</f>
        <v xml:space="preserve"> </v>
      </c>
      <c r="D51" s="495"/>
      <c r="E51" s="619" cm="1">
        <f t="array" aca="1" ref="E51" ca="1">IF(AUTOEVENTO="Manual",ROUND(SUMPRODUCT((CÁLCULO!$M$15:$M$33=EVENTOS!$C51)*(OFFSET(CÁLCULO!$AA$15:$AA$33,0,E$13))),2),0)</f>
        <v>0</v>
      </c>
      <c r="F51" s="182">
        <f ca="1">IF(AUTOEVENTO="Manual",ROUND(SUMPRODUCT((CÁLCULO!$M$15:$M$33=EVENTOS!$C51)*(OFFSET(CÁLCULO!$AA$15,0,1):OFFSET(CÁLCULO!$AL$33,0,-1))),2),0)</f>
        <v>0</v>
      </c>
      <c r="G51" s="620" t="str">
        <f t="shared" ca="1" si="6"/>
        <v/>
      </c>
      <c r="H51" s="619" cm="1">
        <f t="array" aca="1" ref="H51" ca="1">IF(AUTOEVENTO="Manual",ROUND(SUMPRODUCT((CÁLCULO!$M$15:$M$33=EVENTOS!$C51)*(OFFSET(CÁLCULO!$AA$15:$AA$33,0,H$13))),2),0)</f>
        <v>0</v>
      </c>
      <c r="I51" s="619" cm="1">
        <f t="array" aca="1" ref="I51" ca="1">IF(AUTOEVENTO="Manual",ROUND(SUMPRODUCT((CÁLCULO!$M$15:$M$33=EVENTOS!$C51)*(OFFSET(CÁLCULO!$AA$15:$AA$33,0,I$13))),2),0)</f>
        <v>0</v>
      </c>
      <c r="J51" s="619" cm="1">
        <f t="array" aca="1" ref="J51" ca="1">IF(AUTOEVENTO="Manual",ROUND(SUMPRODUCT((CÁLCULO!$M$15:$M$33=EVENTOS!$C51)*(OFFSET(CÁLCULO!$AA$15:$AA$33,0,J$13))),2),0)</f>
        <v>0</v>
      </c>
      <c r="K51" s="619" cm="1">
        <f t="array" aca="1" ref="K51" ca="1">IF(AUTOEVENTO="Manual",ROUND(SUMPRODUCT((CÁLCULO!$M$15:$M$33=EVENTOS!$C51)*(OFFSET(CÁLCULO!$AA$15:$AA$33,0,K$13))),2),0)</f>
        <v>0</v>
      </c>
      <c r="L51" s="619" cm="1">
        <f t="array" aca="1" ref="L51" ca="1">IF(AUTOEVENTO="Manual",ROUND(SUMPRODUCT((CÁLCULO!$M$15:$M$33=EVENTOS!$C51)*(OFFSET(CÁLCULO!$AA$15:$AA$33,0,L$13))),2),0)</f>
        <v>0</v>
      </c>
      <c r="M51" s="619" cm="1">
        <f t="array" aca="1" ref="M51" ca="1">IF(AUTOEVENTO="Manual",ROUND(SUMPRODUCT((CÁLCULO!$M$15:$M$33=EVENTOS!$C51)*(OFFSET(CÁLCULO!$AA$15:$AA$33,0,M$13))),2),0)</f>
        <v>0</v>
      </c>
      <c r="N51" s="619" cm="1">
        <f t="array" aca="1" ref="N51" ca="1">IF(AUTOEVENTO="Manual",ROUND(SUMPRODUCT((CÁLCULO!$M$15:$M$33=EVENTOS!$C51)*(OFFSET(CÁLCULO!$AA$15:$AA$33,0,N$13))),2),0)</f>
        <v>0</v>
      </c>
      <c r="O51" s="619" cm="1">
        <f t="array" aca="1" ref="O51" ca="1">IF(AUTOEVENTO="Manual",ROUND(SUMPRODUCT((CÁLCULO!$M$15:$M$33=EVENTOS!$C51)*(OFFSET(CÁLCULO!$AA$15:$AA$33,0,O$13))),2),0)</f>
        <v>0</v>
      </c>
      <c r="P51" s="619" cm="1">
        <f t="array" aca="1" ref="P51" ca="1">IF(AUTOEVENTO="Manual",ROUND(SUMPRODUCT((CÁLCULO!$M$15:$M$33=EVENTOS!$C51)*(OFFSET(CÁLCULO!$AA$15:$AA$33,0,P$13))),2),0)</f>
        <v>0</v>
      </c>
      <c r="Q51" s="619" cm="1">
        <f t="array" aca="1" ref="Q51" ca="1">IF(AUTOEVENTO="Manual",ROUND(SUMPRODUCT((CÁLCULO!$M$15:$M$33=EVENTOS!$C51)*(OFFSET(CÁLCULO!$AA$15:$AA$33,0,Q$13))),2),0)</f>
        <v>0</v>
      </c>
      <c r="R51" s="619" cm="1">
        <f t="array" aca="1" ref="R51" ca="1">IF(AUTOEVENTO="Manual",ROUND(SUMPRODUCT((CÁLCULO!$M$15:$M$33=EVENTOS!$C51)*(OFFSET(CÁLCULO!$AA$15:$AA$33,0,R$13))),2),0)</f>
        <v>0</v>
      </c>
      <c r="S51" s="619" cm="1">
        <f t="array" aca="1" ref="S51" ca="1">IF(AUTOEVENTO="Manual",ROUND(SUMPRODUCT((CÁLCULO!$M$15:$M$33=EVENTOS!$C51)*(OFFSET(CÁLCULO!$AA$15:$AA$33,0,S$13))),2),0)</f>
        <v>0</v>
      </c>
      <c r="T51" s="619" cm="1">
        <f t="array" aca="1" ref="T51" ca="1">IF(AUTOEVENTO="Manual",ROUND(SUMPRODUCT((CÁLCULO!$M$15:$M$33=EVENTOS!$C51)*(OFFSET(CÁLCULO!$AA$15:$AA$33,0,T$13))),2),0)</f>
        <v>0</v>
      </c>
      <c r="U51" s="619" cm="1">
        <f t="array" aca="1" ref="U51" ca="1">IF(AUTOEVENTO="Manual",ROUND(SUMPRODUCT((CÁLCULO!$M$15:$M$33=EVENTOS!$C51)*(OFFSET(CÁLCULO!$AA$15:$AA$33,0,U$13))),2),0)</f>
        <v>0</v>
      </c>
      <c r="V51" s="619" cm="1">
        <f t="array" aca="1" ref="V51" ca="1">IF(AUTOEVENTO="Manual",ROUND(SUMPRODUCT((CÁLCULO!$M$15:$M$33=EVENTOS!$C51)*(OFFSET(CÁLCULO!$AA$15:$AA$33,0,V$13))),2),0)</f>
        <v>0</v>
      </c>
      <c r="W51" s="619" cm="1">
        <f t="array" aca="1" ref="W51" ca="1">IF(AUTOEVENTO="Manual",ROUND(SUMPRODUCT((CÁLCULO!$M$15:$M$33=EVENTOS!$C51)*(OFFSET(CÁLCULO!$AA$15:$AA$33,0,W$13))),2),0)</f>
        <v>0</v>
      </c>
      <c r="X51" s="619" cm="1">
        <f t="array" aca="1" ref="X51" ca="1">IF(AUTOEVENTO="Manual",ROUND(SUMPRODUCT((CÁLCULO!$M$15:$M$33=EVENTOS!$C51)*(OFFSET(CÁLCULO!$AA$15:$AA$33,0,X$13))),2),0)</f>
        <v>0</v>
      </c>
      <c r="Y51" s="619" cm="1">
        <f t="array" aca="1" ref="Y51" ca="1">IF(AUTOEVENTO="Manual",ROUND(SUMPRODUCT((CÁLCULO!$M$15:$M$33=EVENTOS!$C51)*(OFFSET(CÁLCULO!$AA$15:$AA$33,0,Y$13))),2),0)</f>
        <v>0</v>
      </c>
    </row>
    <row r="52" spans="1:25" x14ac:dyDescent="0.2">
      <c r="A52" s="505" t="str">
        <f t="shared" si="3"/>
        <v/>
      </c>
      <c r="B52" t="str">
        <f t="shared" ca="1" si="4"/>
        <v/>
      </c>
      <c r="C52" s="181" t="str" cm="1">
        <f t="array" aca="1" ref="C52" ca="1">IF(OR(ROW(C52)=ROW(EVENTOS.firstrow)+1,AND(OFFSET(C52,-1,0)&lt;&gt;" ",OFFSET(C52,-1,1)&lt;&gt;"")),OFFSET(C52,-1,0)+1," ")</f>
        <v xml:space="preserve"> </v>
      </c>
      <c r="D52" s="495"/>
      <c r="E52" s="619" cm="1">
        <f t="array" aca="1" ref="E52" ca="1">IF(AUTOEVENTO="Manual",ROUND(SUMPRODUCT((CÁLCULO!$M$15:$M$33=EVENTOS!$C52)*(OFFSET(CÁLCULO!$AA$15:$AA$33,0,E$13))),2),0)</f>
        <v>0</v>
      </c>
      <c r="F52" s="182">
        <f ca="1">IF(AUTOEVENTO="Manual",ROUND(SUMPRODUCT((CÁLCULO!$M$15:$M$33=EVENTOS!$C52)*(OFFSET(CÁLCULO!$AA$15,0,1):OFFSET(CÁLCULO!$AL$33,0,-1))),2),0)</f>
        <v>0</v>
      </c>
      <c r="G52" s="620" t="str">
        <f t="shared" ca="1" si="6"/>
        <v/>
      </c>
      <c r="H52" s="619" cm="1">
        <f t="array" aca="1" ref="H52" ca="1">IF(AUTOEVENTO="Manual",ROUND(SUMPRODUCT((CÁLCULO!$M$15:$M$33=EVENTOS!$C52)*(OFFSET(CÁLCULO!$AA$15:$AA$33,0,H$13))),2),0)</f>
        <v>0</v>
      </c>
      <c r="I52" s="619" cm="1">
        <f t="array" aca="1" ref="I52" ca="1">IF(AUTOEVENTO="Manual",ROUND(SUMPRODUCT((CÁLCULO!$M$15:$M$33=EVENTOS!$C52)*(OFFSET(CÁLCULO!$AA$15:$AA$33,0,I$13))),2),0)</f>
        <v>0</v>
      </c>
      <c r="J52" s="619" cm="1">
        <f t="array" aca="1" ref="J52" ca="1">IF(AUTOEVENTO="Manual",ROUND(SUMPRODUCT((CÁLCULO!$M$15:$M$33=EVENTOS!$C52)*(OFFSET(CÁLCULO!$AA$15:$AA$33,0,J$13))),2),0)</f>
        <v>0</v>
      </c>
      <c r="K52" s="619" cm="1">
        <f t="array" aca="1" ref="K52" ca="1">IF(AUTOEVENTO="Manual",ROUND(SUMPRODUCT((CÁLCULO!$M$15:$M$33=EVENTOS!$C52)*(OFFSET(CÁLCULO!$AA$15:$AA$33,0,K$13))),2),0)</f>
        <v>0</v>
      </c>
      <c r="L52" s="619" cm="1">
        <f t="array" aca="1" ref="L52" ca="1">IF(AUTOEVENTO="Manual",ROUND(SUMPRODUCT((CÁLCULO!$M$15:$M$33=EVENTOS!$C52)*(OFFSET(CÁLCULO!$AA$15:$AA$33,0,L$13))),2),0)</f>
        <v>0</v>
      </c>
      <c r="M52" s="619" cm="1">
        <f t="array" aca="1" ref="M52" ca="1">IF(AUTOEVENTO="Manual",ROUND(SUMPRODUCT((CÁLCULO!$M$15:$M$33=EVENTOS!$C52)*(OFFSET(CÁLCULO!$AA$15:$AA$33,0,M$13))),2),0)</f>
        <v>0</v>
      </c>
      <c r="N52" s="619" cm="1">
        <f t="array" aca="1" ref="N52" ca="1">IF(AUTOEVENTO="Manual",ROUND(SUMPRODUCT((CÁLCULO!$M$15:$M$33=EVENTOS!$C52)*(OFFSET(CÁLCULO!$AA$15:$AA$33,0,N$13))),2),0)</f>
        <v>0</v>
      </c>
      <c r="O52" s="619" cm="1">
        <f t="array" aca="1" ref="O52" ca="1">IF(AUTOEVENTO="Manual",ROUND(SUMPRODUCT((CÁLCULO!$M$15:$M$33=EVENTOS!$C52)*(OFFSET(CÁLCULO!$AA$15:$AA$33,0,O$13))),2),0)</f>
        <v>0</v>
      </c>
      <c r="P52" s="619" cm="1">
        <f t="array" aca="1" ref="P52" ca="1">IF(AUTOEVENTO="Manual",ROUND(SUMPRODUCT((CÁLCULO!$M$15:$M$33=EVENTOS!$C52)*(OFFSET(CÁLCULO!$AA$15:$AA$33,0,P$13))),2),0)</f>
        <v>0</v>
      </c>
      <c r="Q52" s="619" cm="1">
        <f t="array" aca="1" ref="Q52" ca="1">IF(AUTOEVENTO="Manual",ROUND(SUMPRODUCT((CÁLCULO!$M$15:$M$33=EVENTOS!$C52)*(OFFSET(CÁLCULO!$AA$15:$AA$33,0,Q$13))),2),0)</f>
        <v>0</v>
      </c>
      <c r="R52" s="619" cm="1">
        <f t="array" aca="1" ref="R52" ca="1">IF(AUTOEVENTO="Manual",ROUND(SUMPRODUCT((CÁLCULO!$M$15:$M$33=EVENTOS!$C52)*(OFFSET(CÁLCULO!$AA$15:$AA$33,0,R$13))),2),0)</f>
        <v>0</v>
      </c>
      <c r="S52" s="619" cm="1">
        <f t="array" aca="1" ref="S52" ca="1">IF(AUTOEVENTO="Manual",ROUND(SUMPRODUCT((CÁLCULO!$M$15:$M$33=EVENTOS!$C52)*(OFFSET(CÁLCULO!$AA$15:$AA$33,0,S$13))),2),0)</f>
        <v>0</v>
      </c>
      <c r="T52" s="619" cm="1">
        <f t="array" aca="1" ref="T52" ca="1">IF(AUTOEVENTO="Manual",ROUND(SUMPRODUCT((CÁLCULO!$M$15:$M$33=EVENTOS!$C52)*(OFFSET(CÁLCULO!$AA$15:$AA$33,0,T$13))),2),0)</f>
        <v>0</v>
      </c>
      <c r="U52" s="619" cm="1">
        <f t="array" aca="1" ref="U52" ca="1">IF(AUTOEVENTO="Manual",ROUND(SUMPRODUCT((CÁLCULO!$M$15:$M$33=EVENTOS!$C52)*(OFFSET(CÁLCULO!$AA$15:$AA$33,0,U$13))),2),0)</f>
        <v>0</v>
      </c>
      <c r="V52" s="619" cm="1">
        <f t="array" aca="1" ref="V52" ca="1">IF(AUTOEVENTO="Manual",ROUND(SUMPRODUCT((CÁLCULO!$M$15:$M$33=EVENTOS!$C52)*(OFFSET(CÁLCULO!$AA$15:$AA$33,0,V$13))),2),0)</f>
        <v>0</v>
      </c>
      <c r="W52" s="619" cm="1">
        <f t="array" aca="1" ref="W52" ca="1">IF(AUTOEVENTO="Manual",ROUND(SUMPRODUCT((CÁLCULO!$M$15:$M$33=EVENTOS!$C52)*(OFFSET(CÁLCULO!$AA$15:$AA$33,0,W$13))),2),0)</f>
        <v>0</v>
      </c>
      <c r="X52" s="619" cm="1">
        <f t="array" aca="1" ref="X52" ca="1">IF(AUTOEVENTO="Manual",ROUND(SUMPRODUCT((CÁLCULO!$M$15:$M$33=EVENTOS!$C52)*(OFFSET(CÁLCULO!$AA$15:$AA$33,0,X$13))),2),0)</f>
        <v>0</v>
      </c>
      <c r="Y52" s="619" cm="1">
        <f t="array" aca="1" ref="Y52" ca="1">IF(AUTOEVENTO="Manual",ROUND(SUMPRODUCT((CÁLCULO!$M$15:$M$33=EVENTOS!$C52)*(OFFSET(CÁLCULO!$AA$15:$AA$33,0,Y$13))),2),0)</f>
        <v>0</v>
      </c>
    </row>
    <row r="53" spans="1:25" x14ac:dyDescent="0.2">
      <c r="A53" s="505" t="str">
        <f t="shared" si="3"/>
        <v/>
      </c>
      <c r="B53" t="str">
        <f t="shared" ca="1" si="4"/>
        <v/>
      </c>
      <c r="C53" s="181" t="str" cm="1">
        <f t="array" aca="1" ref="C53" ca="1">IF(OR(ROW(C53)=ROW(EVENTOS.firstrow)+1,AND(OFFSET(C53,-1,0)&lt;&gt;" ",OFFSET(C53,-1,1)&lt;&gt;"")),OFFSET(C53,-1,0)+1," ")</f>
        <v xml:space="preserve"> </v>
      </c>
      <c r="D53" s="495"/>
      <c r="E53" s="619" cm="1">
        <f t="array" aca="1" ref="E53" ca="1">IF(AUTOEVENTO="Manual",ROUND(SUMPRODUCT((CÁLCULO!$M$15:$M$33=EVENTOS!$C53)*(OFFSET(CÁLCULO!$AA$15:$AA$33,0,E$13))),2),0)</f>
        <v>0</v>
      </c>
      <c r="F53" s="182">
        <f ca="1">IF(AUTOEVENTO="Manual",ROUND(SUMPRODUCT((CÁLCULO!$M$15:$M$33=EVENTOS!$C53)*(OFFSET(CÁLCULO!$AA$15,0,1):OFFSET(CÁLCULO!$AL$33,0,-1))),2),0)</f>
        <v>0</v>
      </c>
      <c r="G53" s="620" t="str">
        <f t="shared" ca="1" si="6"/>
        <v/>
      </c>
      <c r="H53" s="619" cm="1">
        <f t="array" aca="1" ref="H53" ca="1">IF(AUTOEVENTO="Manual",ROUND(SUMPRODUCT((CÁLCULO!$M$15:$M$33=EVENTOS!$C53)*(OFFSET(CÁLCULO!$AA$15:$AA$33,0,H$13))),2),0)</f>
        <v>0</v>
      </c>
      <c r="I53" s="619" cm="1">
        <f t="array" aca="1" ref="I53" ca="1">IF(AUTOEVENTO="Manual",ROUND(SUMPRODUCT((CÁLCULO!$M$15:$M$33=EVENTOS!$C53)*(OFFSET(CÁLCULO!$AA$15:$AA$33,0,I$13))),2),0)</f>
        <v>0</v>
      </c>
      <c r="J53" s="619" cm="1">
        <f t="array" aca="1" ref="J53" ca="1">IF(AUTOEVENTO="Manual",ROUND(SUMPRODUCT((CÁLCULO!$M$15:$M$33=EVENTOS!$C53)*(OFFSET(CÁLCULO!$AA$15:$AA$33,0,J$13))),2),0)</f>
        <v>0</v>
      </c>
      <c r="K53" s="619" cm="1">
        <f t="array" aca="1" ref="K53" ca="1">IF(AUTOEVENTO="Manual",ROUND(SUMPRODUCT((CÁLCULO!$M$15:$M$33=EVENTOS!$C53)*(OFFSET(CÁLCULO!$AA$15:$AA$33,0,K$13))),2),0)</f>
        <v>0</v>
      </c>
      <c r="L53" s="619" cm="1">
        <f t="array" aca="1" ref="L53" ca="1">IF(AUTOEVENTO="Manual",ROUND(SUMPRODUCT((CÁLCULO!$M$15:$M$33=EVENTOS!$C53)*(OFFSET(CÁLCULO!$AA$15:$AA$33,0,L$13))),2),0)</f>
        <v>0</v>
      </c>
      <c r="M53" s="619" cm="1">
        <f t="array" aca="1" ref="M53" ca="1">IF(AUTOEVENTO="Manual",ROUND(SUMPRODUCT((CÁLCULO!$M$15:$M$33=EVENTOS!$C53)*(OFFSET(CÁLCULO!$AA$15:$AA$33,0,M$13))),2),0)</f>
        <v>0</v>
      </c>
      <c r="N53" s="619" cm="1">
        <f t="array" aca="1" ref="N53" ca="1">IF(AUTOEVENTO="Manual",ROUND(SUMPRODUCT((CÁLCULO!$M$15:$M$33=EVENTOS!$C53)*(OFFSET(CÁLCULO!$AA$15:$AA$33,0,N$13))),2),0)</f>
        <v>0</v>
      </c>
      <c r="O53" s="619" cm="1">
        <f t="array" aca="1" ref="O53" ca="1">IF(AUTOEVENTO="Manual",ROUND(SUMPRODUCT((CÁLCULO!$M$15:$M$33=EVENTOS!$C53)*(OFFSET(CÁLCULO!$AA$15:$AA$33,0,O$13))),2),0)</f>
        <v>0</v>
      </c>
      <c r="P53" s="619" cm="1">
        <f t="array" aca="1" ref="P53" ca="1">IF(AUTOEVENTO="Manual",ROUND(SUMPRODUCT((CÁLCULO!$M$15:$M$33=EVENTOS!$C53)*(OFFSET(CÁLCULO!$AA$15:$AA$33,0,P$13))),2),0)</f>
        <v>0</v>
      </c>
      <c r="Q53" s="619" cm="1">
        <f t="array" aca="1" ref="Q53" ca="1">IF(AUTOEVENTO="Manual",ROUND(SUMPRODUCT((CÁLCULO!$M$15:$M$33=EVENTOS!$C53)*(OFFSET(CÁLCULO!$AA$15:$AA$33,0,Q$13))),2),0)</f>
        <v>0</v>
      </c>
      <c r="R53" s="619" cm="1">
        <f t="array" aca="1" ref="R53" ca="1">IF(AUTOEVENTO="Manual",ROUND(SUMPRODUCT((CÁLCULO!$M$15:$M$33=EVENTOS!$C53)*(OFFSET(CÁLCULO!$AA$15:$AA$33,0,R$13))),2),0)</f>
        <v>0</v>
      </c>
      <c r="S53" s="619" cm="1">
        <f t="array" aca="1" ref="S53" ca="1">IF(AUTOEVENTO="Manual",ROUND(SUMPRODUCT((CÁLCULO!$M$15:$M$33=EVENTOS!$C53)*(OFFSET(CÁLCULO!$AA$15:$AA$33,0,S$13))),2),0)</f>
        <v>0</v>
      </c>
      <c r="T53" s="619" cm="1">
        <f t="array" aca="1" ref="T53" ca="1">IF(AUTOEVENTO="Manual",ROUND(SUMPRODUCT((CÁLCULO!$M$15:$M$33=EVENTOS!$C53)*(OFFSET(CÁLCULO!$AA$15:$AA$33,0,T$13))),2),0)</f>
        <v>0</v>
      </c>
      <c r="U53" s="619" cm="1">
        <f t="array" aca="1" ref="U53" ca="1">IF(AUTOEVENTO="Manual",ROUND(SUMPRODUCT((CÁLCULO!$M$15:$M$33=EVENTOS!$C53)*(OFFSET(CÁLCULO!$AA$15:$AA$33,0,U$13))),2),0)</f>
        <v>0</v>
      </c>
      <c r="V53" s="619" cm="1">
        <f t="array" aca="1" ref="V53" ca="1">IF(AUTOEVENTO="Manual",ROUND(SUMPRODUCT((CÁLCULO!$M$15:$M$33=EVENTOS!$C53)*(OFFSET(CÁLCULO!$AA$15:$AA$33,0,V$13))),2),0)</f>
        <v>0</v>
      </c>
      <c r="W53" s="619" cm="1">
        <f t="array" aca="1" ref="W53" ca="1">IF(AUTOEVENTO="Manual",ROUND(SUMPRODUCT((CÁLCULO!$M$15:$M$33=EVENTOS!$C53)*(OFFSET(CÁLCULO!$AA$15:$AA$33,0,W$13))),2),0)</f>
        <v>0</v>
      </c>
      <c r="X53" s="619" cm="1">
        <f t="array" aca="1" ref="X53" ca="1">IF(AUTOEVENTO="Manual",ROUND(SUMPRODUCT((CÁLCULO!$M$15:$M$33=EVENTOS!$C53)*(OFFSET(CÁLCULO!$AA$15:$AA$33,0,X$13))),2),0)</f>
        <v>0</v>
      </c>
      <c r="Y53" s="619" cm="1">
        <f t="array" aca="1" ref="Y53" ca="1">IF(AUTOEVENTO="Manual",ROUND(SUMPRODUCT((CÁLCULO!$M$15:$M$33=EVENTOS!$C53)*(OFFSET(CÁLCULO!$AA$15:$AA$33,0,Y$13))),2),0)</f>
        <v>0</v>
      </c>
    </row>
    <row r="54" spans="1:25" x14ac:dyDescent="0.2">
      <c r="A54" s="505" t="str">
        <f t="shared" si="3"/>
        <v/>
      </c>
      <c r="B54" t="str">
        <f t="shared" ca="1" si="4"/>
        <v/>
      </c>
      <c r="C54" s="181" t="str" cm="1">
        <f t="array" aca="1" ref="C54" ca="1">IF(OR(ROW(C54)=ROW(EVENTOS.firstrow)+1,AND(OFFSET(C54,-1,0)&lt;&gt;" ",OFFSET(C54,-1,1)&lt;&gt;"")),OFFSET(C54,-1,0)+1," ")</f>
        <v xml:space="preserve"> </v>
      </c>
      <c r="D54" s="495"/>
      <c r="E54" s="619" cm="1">
        <f t="array" aca="1" ref="E54" ca="1">IF(AUTOEVENTO="Manual",ROUND(SUMPRODUCT((CÁLCULO!$M$15:$M$33=EVENTOS!$C54)*(OFFSET(CÁLCULO!$AA$15:$AA$33,0,E$13))),2),0)</f>
        <v>0</v>
      </c>
      <c r="F54" s="182">
        <f ca="1">IF(AUTOEVENTO="Manual",ROUND(SUMPRODUCT((CÁLCULO!$M$15:$M$33=EVENTOS!$C54)*(OFFSET(CÁLCULO!$AA$15,0,1):OFFSET(CÁLCULO!$AL$33,0,-1))),2),0)</f>
        <v>0</v>
      </c>
      <c r="G54" s="620" t="str">
        <f t="shared" ca="1" si="6"/>
        <v/>
      </c>
      <c r="H54" s="619" cm="1">
        <f t="array" aca="1" ref="H54" ca="1">IF(AUTOEVENTO="Manual",ROUND(SUMPRODUCT((CÁLCULO!$M$15:$M$33=EVENTOS!$C54)*(OFFSET(CÁLCULO!$AA$15:$AA$33,0,H$13))),2),0)</f>
        <v>0</v>
      </c>
      <c r="I54" s="619" cm="1">
        <f t="array" aca="1" ref="I54" ca="1">IF(AUTOEVENTO="Manual",ROUND(SUMPRODUCT((CÁLCULO!$M$15:$M$33=EVENTOS!$C54)*(OFFSET(CÁLCULO!$AA$15:$AA$33,0,I$13))),2),0)</f>
        <v>0</v>
      </c>
      <c r="J54" s="619" cm="1">
        <f t="array" aca="1" ref="J54" ca="1">IF(AUTOEVENTO="Manual",ROUND(SUMPRODUCT((CÁLCULO!$M$15:$M$33=EVENTOS!$C54)*(OFFSET(CÁLCULO!$AA$15:$AA$33,0,J$13))),2),0)</f>
        <v>0</v>
      </c>
      <c r="K54" s="619" cm="1">
        <f t="array" aca="1" ref="K54" ca="1">IF(AUTOEVENTO="Manual",ROUND(SUMPRODUCT((CÁLCULO!$M$15:$M$33=EVENTOS!$C54)*(OFFSET(CÁLCULO!$AA$15:$AA$33,0,K$13))),2),0)</f>
        <v>0</v>
      </c>
      <c r="L54" s="619" cm="1">
        <f t="array" aca="1" ref="L54" ca="1">IF(AUTOEVENTO="Manual",ROUND(SUMPRODUCT((CÁLCULO!$M$15:$M$33=EVENTOS!$C54)*(OFFSET(CÁLCULO!$AA$15:$AA$33,0,L$13))),2),0)</f>
        <v>0</v>
      </c>
      <c r="M54" s="619" cm="1">
        <f t="array" aca="1" ref="M54" ca="1">IF(AUTOEVENTO="Manual",ROUND(SUMPRODUCT((CÁLCULO!$M$15:$M$33=EVENTOS!$C54)*(OFFSET(CÁLCULO!$AA$15:$AA$33,0,M$13))),2),0)</f>
        <v>0</v>
      </c>
      <c r="N54" s="619" cm="1">
        <f t="array" aca="1" ref="N54" ca="1">IF(AUTOEVENTO="Manual",ROUND(SUMPRODUCT((CÁLCULO!$M$15:$M$33=EVENTOS!$C54)*(OFFSET(CÁLCULO!$AA$15:$AA$33,0,N$13))),2),0)</f>
        <v>0</v>
      </c>
      <c r="O54" s="619" cm="1">
        <f t="array" aca="1" ref="O54" ca="1">IF(AUTOEVENTO="Manual",ROUND(SUMPRODUCT((CÁLCULO!$M$15:$M$33=EVENTOS!$C54)*(OFFSET(CÁLCULO!$AA$15:$AA$33,0,O$13))),2),0)</f>
        <v>0</v>
      </c>
      <c r="P54" s="619" cm="1">
        <f t="array" aca="1" ref="P54" ca="1">IF(AUTOEVENTO="Manual",ROUND(SUMPRODUCT((CÁLCULO!$M$15:$M$33=EVENTOS!$C54)*(OFFSET(CÁLCULO!$AA$15:$AA$33,0,P$13))),2),0)</f>
        <v>0</v>
      </c>
      <c r="Q54" s="619" cm="1">
        <f t="array" aca="1" ref="Q54" ca="1">IF(AUTOEVENTO="Manual",ROUND(SUMPRODUCT((CÁLCULO!$M$15:$M$33=EVENTOS!$C54)*(OFFSET(CÁLCULO!$AA$15:$AA$33,0,Q$13))),2),0)</f>
        <v>0</v>
      </c>
      <c r="R54" s="619" cm="1">
        <f t="array" aca="1" ref="R54" ca="1">IF(AUTOEVENTO="Manual",ROUND(SUMPRODUCT((CÁLCULO!$M$15:$M$33=EVENTOS!$C54)*(OFFSET(CÁLCULO!$AA$15:$AA$33,0,R$13))),2),0)</f>
        <v>0</v>
      </c>
      <c r="S54" s="619" cm="1">
        <f t="array" aca="1" ref="S54" ca="1">IF(AUTOEVENTO="Manual",ROUND(SUMPRODUCT((CÁLCULO!$M$15:$M$33=EVENTOS!$C54)*(OFFSET(CÁLCULO!$AA$15:$AA$33,0,S$13))),2),0)</f>
        <v>0</v>
      </c>
      <c r="T54" s="619" cm="1">
        <f t="array" aca="1" ref="T54" ca="1">IF(AUTOEVENTO="Manual",ROUND(SUMPRODUCT((CÁLCULO!$M$15:$M$33=EVENTOS!$C54)*(OFFSET(CÁLCULO!$AA$15:$AA$33,0,T$13))),2),0)</f>
        <v>0</v>
      </c>
      <c r="U54" s="619" cm="1">
        <f t="array" aca="1" ref="U54" ca="1">IF(AUTOEVENTO="Manual",ROUND(SUMPRODUCT((CÁLCULO!$M$15:$M$33=EVENTOS!$C54)*(OFFSET(CÁLCULO!$AA$15:$AA$33,0,U$13))),2),0)</f>
        <v>0</v>
      </c>
      <c r="V54" s="619" cm="1">
        <f t="array" aca="1" ref="V54" ca="1">IF(AUTOEVENTO="Manual",ROUND(SUMPRODUCT((CÁLCULO!$M$15:$M$33=EVENTOS!$C54)*(OFFSET(CÁLCULO!$AA$15:$AA$33,0,V$13))),2),0)</f>
        <v>0</v>
      </c>
      <c r="W54" s="619" cm="1">
        <f t="array" aca="1" ref="W54" ca="1">IF(AUTOEVENTO="Manual",ROUND(SUMPRODUCT((CÁLCULO!$M$15:$M$33=EVENTOS!$C54)*(OFFSET(CÁLCULO!$AA$15:$AA$33,0,W$13))),2),0)</f>
        <v>0</v>
      </c>
      <c r="X54" s="619" cm="1">
        <f t="array" aca="1" ref="X54" ca="1">IF(AUTOEVENTO="Manual",ROUND(SUMPRODUCT((CÁLCULO!$M$15:$M$33=EVENTOS!$C54)*(OFFSET(CÁLCULO!$AA$15:$AA$33,0,X$13))),2),0)</f>
        <v>0</v>
      </c>
      <c r="Y54" s="619" cm="1">
        <f t="array" aca="1" ref="Y54" ca="1">IF(AUTOEVENTO="Manual",ROUND(SUMPRODUCT((CÁLCULO!$M$15:$M$33=EVENTOS!$C54)*(OFFSET(CÁLCULO!$AA$15:$AA$33,0,Y$13))),2),0)</f>
        <v>0</v>
      </c>
    </row>
    <row r="55" spans="1:25" x14ac:dyDescent="0.2">
      <c r="A55" s="505" t="str">
        <f t="shared" si="3"/>
        <v/>
      </c>
      <c r="B55" t="str">
        <f t="shared" ca="1" si="4"/>
        <v/>
      </c>
      <c r="C55" s="181" t="str" cm="1">
        <f t="array" aca="1" ref="C55" ca="1">IF(OR(ROW(C55)=ROW(EVENTOS.firstrow)+1,AND(OFFSET(C55,-1,0)&lt;&gt;" ",OFFSET(C55,-1,1)&lt;&gt;"")),OFFSET(C55,-1,0)+1," ")</f>
        <v xml:space="preserve"> </v>
      </c>
      <c r="D55" s="495"/>
      <c r="E55" s="619" cm="1">
        <f t="array" aca="1" ref="E55" ca="1">IF(AUTOEVENTO="Manual",ROUND(SUMPRODUCT((CÁLCULO!$M$15:$M$33=EVENTOS!$C55)*(OFFSET(CÁLCULO!$AA$15:$AA$33,0,E$13))),2),0)</f>
        <v>0</v>
      </c>
      <c r="F55" s="182">
        <f ca="1">IF(AUTOEVENTO="Manual",ROUND(SUMPRODUCT((CÁLCULO!$M$15:$M$33=EVENTOS!$C55)*(OFFSET(CÁLCULO!$AA$15,0,1):OFFSET(CÁLCULO!$AL$33,0,-1))),2),0)</f>
        <v>0</v>
      </c>
      <c r="G55" s="620" t="str">
        <f t="shared" ca="1" si="6"/>
        <v/>
      </c>
      <c r="H55" s="619" cm="1">
        <f t="array" aca="1" ref="H55" ca="1">IF(AUTOEVENTO="Manual",ROUND(SUMPRODUCT((CÁLCULO!$M$15:$M$33=EVENTOS!$C55)*(OFFSET(CÁLCULO!$AA$15:$AA$33,0,H$13))),2),0)</f>
        <v>0</v>
      </c>
      <c r="I55" s="619" cm="1">
        <f t="array" aca="1" ref="I55" ca="1">IF(AUTOEVENTO="Manual",ROUND(SUMPRODUCT((CÁLCULO!$M$15:$M$33=EVENTOS!$C55)*(OFFSET(CÁLCULO!$AA$15:$AA$33,0,I$13))),2),0)</f>
        <v>0</v>
      </c>
      <c r="J55" s="619" cm="1">
        <f t="array" aca="1" ref="J55" ca="1">IF(AUTOEVENTO="Manual",ROUND(SUMPRODUCT((CÁLCULO!$M$15:$M$33=EVENTOS!$C55)*(OFFSET(CÁLCULO!$AA$15:$AA$33,0,J$13))),2),0)</f>
        <v>0</v>
      </c>
      <c r="K55" s="619" cm="1">
        <f t="array" aca="1" ref="K55" ca="1">IF(AUTOEVENTO="Manual",ROUND(SUMPRODUCT((CÁLCULO!$M$15:$M$33=EVENTOS!$C55)*(OFFSET(CÁLCULO!$AA$15:$AA$33,0,K$13))),2),0)</f>
        <v>0</v>
      </c>
      <c r="L55" s="619" cm="1">
        <f t="array" aca="1" ref="L55" ca="1">IF(AUTOEVENTO="Manual",ROUND(SUMPRODUCT((CÁLCULO!$M$15:$M$33=EVENTOS!$C55)*(OFFSET(CÁLCULO!$AA$15:$AA$33,0,L$13))),2),0)</f>
        <v>0</v>
      </c>
      <c r="M55" s="619" cm="1">
        <f t="array" aca="1" ref="M55" ca="1">IF(AUTOEVENTO="Manual",ROUND(SUMPRODUCT((CÁLCULO!$M$15:$M$33=EVENTOS!$C55)*(OFFSET(CÁLCULO!$AA$15:$AA$33,0,M$13))),2),0)</f>
        <v>0</v>
      </c>
      <c r="N55" s="619" cm="1">
        <f t="array" aca="1" ref="N55" ca="1">IF(AUTOEVENTO="Manual",ROUND(SUMPRODUCT((CÁLCULO!$M$15:$M$33=EVENTOS!$C55)*(OFFSET(CÁLCULO!$AA$15:$AA$33,0,N$13))),2),0)</f>
        <v>0</v>
      </c>
      <c r="O55" s="619" cm="1">
        <f t="array" aca="1" ref="O55" ca="1">IF(AUTOEVENTO="Manual",ROUND(SUMPRODUCT((CÁLCULO!$M$15:$M$33=EVENTOS!$C55)*(OFFSET(CÁLCULO!$AA$15:$AA$33,0,O$13))),2),0)</f>
        <v>0</v>
      </c>
      <c r="P55" s="619" cm="1">
        <f t="array" aca="1" ref="P55" ca="1">IF(AUTOEVENTO="Manual",ROUND(SUMPRODUCT((CÁLCULO!$M$15:$M$33=EVENTOS!$C55)*(OFFSET(CÁLCULO!$AA$15:$AA$33,0,P$13))),2),0)</f>
        <v>0</v>
      </c>
      <c r="Q55" s="619" cm="1">
        <f t="array" aca="1" ref="Q55" ca="1">IF(AUTOEVENTO="Manual",ROUND(SUMPRODUCT((CÁLCULO!$M$15:$M$33=EVENTOS!$C55)*(OFFSET(CÁLCULO!$AA$15:$AA$33,0,Q$13))),2),0)</f>
        <v>0</v>
      </c>
      <c r="R55" s="619" cm="1">
        <f t="array" aca="1" ref="R55" ca="1">IF(AUTOEVENTO="Manual",ROUND(SUMPRODUCT((CÁLCULO!$M$15:$M$33=EVENTOS!$C55)*(OFFSET(CÁLCULO!$AA$15:$AA$33,0,R$13))),2),0)</f>
        <v>0</v>
      </c>
      <c r="S55" s="619" cm="1">
        <f t="array" aca="1" ref="S55" ca="1">IF(AUTOEVENTO="Manual",ROUND(SUMPRODUCT((CÁLCULO!$M$15:$M$33=EVENTOS!$C55)*(OFFSET(CÁLCULO!$AA$15:$AA$33,0,S$13))),2),0)</f>
        <v>0</v>
      </c>
      <c r="T55" s="619" cm="1">
        <f t="array" aca="1" ref="T55" ca="1">IF(AUTOEVENTO="Manual",ROUND(SUMPRODUCT((CÁLCULO!$M$15:$M$33=EVENTOS!$C55)*(OFFSET(CÁLCULO!$AA$15:$AA$33,0,T$13))),2),0)</f>
        <v>0</v>
      </c>
      <c r="U55" s="619" cm="1">
        <f t="array" aca="1" ref="U55" ca="1">IF(AUTOEVENTO="Manual",ROUND(SUMPRODUCT((CÁLCULO!$M$15:$M$33=EVENTOS!$C55)*(OFFSET(CÁLCULO!$AA$15:$AA$33,0,U$13))),2),0)</f>
        <v>0</v>
      </c>
      <c r="V55" s="619" cm="1">
        <f t="array" aca="1" ref="V55" ca="1">IF(AUTOEVENTO="Manual",ROUND(SUMPRODUCT((CÁLCULO!$M$15:$M$33=EVENTOS!$C55)*(OFFSET(CÁLCULO!$AA$15:$AA$33,0,V$13))),2),0)</f>
        <v>0</v>
      </c>
      <c r="W55" s="619" cm="1">
        <f t="array" aca="1" ref="W55" ca="1">IF(AUTOEVENTO="Manual",ROUND(SUMPRODUCT((CÁLCULO!$M$15:$M$33=EVENTOS!$C55)*(OFFSET(CÁLCULO!$AA$15:$AA$33,0,W$13))),2),0)</f>
        <v>0</v>
      </c>
      <c r="X55" s="619" cm="1">
        <f t="array" aca="1" ref="X55" ca="1">IF(AUTOEVENTO="Manual",ROUND(SUMPRODUCT((CÁLCULO!$M$15:$M$33=EVENTOS!$C55)*(OFFSET(CÁLCULO!$AA$15:$AA$33,0,X$13))),2),0)</f>
        <v>0</v>
      </c>
      <c r="Y55" s="619" cm="1">
        <f t="array" aca="1" ref="Y55" ca="1">IF(AUTOEVENTO="Manual",ROUND(SUMPRODUCT((CÁLCULO!$M$15:$M$33=EVENTOS!$C55)*(OFFSET(CÁLCULO!$AA$15:$AA$33,0,Y$13))),2),0)</f>
        <v>0</v>
      </c>
    </row>
    <row r="56" spans="1:25" x14ac:dyDescent="0.2">
      <c r="A56" s="505" t="str">
        <f t="shared" si="3"/>
        <v/>
      </c>
      <c r="B56" t="str">
        <f t="shared" ca="1" si="4"/>
        <v/>
      </c>
      <c r="C56" s="181" t="str" cm="1">
        <f t="array" aca="1" ref="C56" ca="1">IF(OR(ROW(C56)=ROW(EVENTOS.firstrow)+1,AND(OFFSET(C56,-1,0)&lt;&gt;" ",OFFSET(C56,-1,1)&lt;&gt;"")),OFFSET(C56,-1,0)+1," ")</f>
        <v xml:space="preserve"> </v>
      </c>
      <c r="D56" s="495"/>
      <c r="E56" s="619" cm="1">
        <f t="array" aca="1" ref="E56" ca="1">IF(AUTOEVENTO="Manual",ROUND(SUMPRODUCT((CÁLCULO!$M$15:$M$33=EVENTOS!$C56)*(OFFSET(CÁLCULO!$AA$15:$AA$33,0,E$13))),2),0)</f>
        <v>0</v>
      </c>
      <c r="F56" s="182">
        <f ca="1">IF(AUTOEVENTO="Manual",ROUND(SUMPRODUCT((CÁLCULO!$M$15:$M$33=EVENTOS!$C56)*(OFFSET(CÁLCULO!$AA$15,0,1):OFFSET(CÁLCULO!$AL$33,0,-1))),2),0)</f>
        <v>0</v>
      </c>
      <c r="G56" s="620" t="str">
        <f t="shared" ca="1" si="6"/>
        <v/>
      </c>
      <c r="H56" s="619" cm="1">
        <f t="array" aca="1" ref="H56" ca="1">IF(AUTOEVENTO="Manual",ROUND(SUMPRODUCT((CÁLCULO!$M$15:$M$33=EVENTOS!$C56)*(OFFSET(CÁLCULO!$AA$15:$AA$33,0,H$13))),2),0)</f>
        <v>0</v>
      </c>
      <c r="I56" s="619" cm="1">
        <f t="array" aca="1" ref="I56" ca="1">IF(AUTOEVENTO="Manual",ROUND(SUMPRODUCT((CÁLCULO!$M$15:$M$33=EVENTOS!$C56)*(OFFSET(CÁLCULO!$AA$15:$AA$33,0,I$13))),2),0)</f>
        <v>0</v>
      </c>
      <c r="J56" s="619" cm="1">
        <f t="array" aca="1" ref="J56" ca="1">IF(AUTOEVENTO="Manual",ROUND(SUMPRODUCT((CÁLCULO!$M$15:$M$33=EVENTOS!$C56)*(OFFSET(CÁLCULO!$AA$15:$AA$33,0,J$13))),2),0)</f>
        <v>0</v>
      </c>
      <c r="K56" s="619" cm="1">
        <f t="array" aca="1" ref="K56" ca="1">IF(AUTOEVENTO="Manual",ROUND(SUMPRODUCT((CÁLCULO!$M$15:$M$33=EVENTOS!$C56)*(OFFSET(CÁLCULO!$AA$15:$AA$33,0,K$13))),2),0)</f>
        <v>0</v>
      </c>
      <c r="L56" s="619" cm="1">
        <f t="array" aca="1" ref="L56" ca="1">IF(AUTOEVENTO="Manual",ROUND(SUMPRODUCT((CÁLCULO!$M$15:$M$33=EVENTOS!$C56)*(OFFSET(CÁLCULO!$AA$15:$AA$33,0,L$13))),2),0)</f>
        <v>0</v>
      </c>
      <c r="M56" s="619" cm="1">
        <f t="array" aca="1" ref="M56" ca="1">IF(AUTOEVENTO="Manual",ROUND(SUMPRODUCT((CÁLCULO!$M$15:$M$33=EVENTOS!$C56)*(OFFSET(CÁLCULO!$AA$15:$AA$33,0,M$13))),2),0)</f>
        <v>0</v>
      </c>
      <c r="N56" s="619" cm="1">
        <f t="array" aca="1" ref="N56" ca="1">IF(AUTOEVENTO="Manual",ROUND(SUMPRODUCT((CÁLCULO!$M$15:$M$33=EVENTOS!$C56)*(OFFSET(CÁLCULO!$AA$15:$AA$33,0,N$13))),2),0)</f>
        <v>0</v>
      </c>
      <c r="O56" s="619" cm="1">
        <f t="array" aca="1" ref="O56" ca="1">IF(AUTOEVENTO="Manual",ROUND(SUMPRODUCT((CÁLCULO!$M$15:$M$33=EVENTOS!$C56)*(OFFSET(CÁLCULO!$AA$15:$AA$33,0,O$13))),2),0)</f>
        <v>0</v>
      </c>
      <c r="P56" s="619" cm="1">
        <f t="array" aca="1" ref="P56" ca="1">IF(AUTOEVENTO="Manual",ROUND(SUMPRODUCT((CÁLCULO!$M$15:$M$33=EVENTOS!$C56)*(OFFSET(CÁLCULO!$AA$15:$AA$33,0,P$13))),2),0)</f>
        <v>0</v>
      </c>
      <c r="Q56" s="619" cm="1">
        <f t="array" aca="1" ref="Q56" ca="1">IF(AUTOEVENTO="Manual",ROUND(SUMPRODUCT((CÁLCULO!$M$15:$M$33=EVENTOS!$C56)*(OFFSET(CÁLCULO!$AA$15:$AA$33,0,Q$13))),2),0)</f>
        <v>0</v>
      </c>
      <c r="R56" s="619" cm="1">
        <f t="array" aca="1" ref="R56" ca="1">IF(AUTOEVENTO="Manual",ROUND(SUMPRODUCT((CÁLCULO!$M$15:$M$33=EVENTOS!$C56)*(OFFSET(CÁLCULO!$AA$15:$AA$33,0,R$13))),2),0)</f>
        <v>0</v>
      </c>
      <c r="S56" s="619" cm="1">
        <f t="array" aca="1" ref="S56" ca="1">IF(AUTOEVENTO="Manual",ROUND(SUMPRODUCT((CÁLCULO!$M$15:$M$33=EVENTOS!$C56)*(OFFSET(CÁLCULO!$AA$15:$AA$33,0,S$13))),2),0)</f>
        <v>0</v>
      </c>
      <c r="T56" s="619" cm="1">
        <f t="array" aca="1" ref="T56" ca="1">IF(AUTOEVENTO="Manual",ROUND(SUMPRODUCT((CÁLCULO!$M$15:$M$33=EVENTOS!$C56)*(OFFSET(CÁLCULO!$AA$15:$AA$33,0,T$13))),2),0)</f>
        <v>0</v>
      </c>
      <c r="U56" s="619" cm="1">
        <f t="array" aca="1" ref="U56" ca="1">IF(AUTOEVENTO="Manual",ROUND(SUMPRODUCT((CÁLCULO!$M$15:$M$33=EVENTOS!$C56)*(OFFSET(CÁLCULO!$AA$15:$AA$33,0,U$13))),2),0)</f>
        <v>0</v>
      </c>
      <c r="V56" s="619" cm="1">
        <f t="array" aca="1" ref="V56" ca="1">IF(AUTOEVENTO="Manual",ROUND(SUMPRODUCT((CÁLCULO!$M$15:$M$33=EVENTOS!$C56)*(OFFSET(CÁLCULO!$AA$15:$AA$33,0,V$13))),2),0)</f>
        <v>0</v>
      </c>
      <c r="W56" s="619" cm="1">
        <f t="array" aca="1" ref="W56" ca="1">IF(AUTOEVENTO="Manual",ROUND(SUMPRODUCT((CÁLCULO!$M$15:$M$33=EVENTOS!$C56)*(OFFSET(CÁLCULO!$AA$15:$AA$33,0,W$13))),2),0)</f>
        <v>0</v>
      </c>
      <c r="X56" s="619" cm="1">
        <f t="array" aca="1" ref="X56" ca="1">IF(AUTOEVENTO="Manual",ROUND(SUMPRODUCT((CÁLCULO!$M$15:$M$33=EVENTOS!$C56)*(OFFSET(CÁLCULO!$AA$15:$AA$33,0,X$13))),2),0)</f>
        <v>0</v>
      </c>
      <c r="Y56" s="619" cm="1">
        <f t="array" aca="1" ref="Y56" ca="1">IF(AUTOEVENTO="Manual",ROUND(SUMPRODUCT((CÁLCULO!$M$15:$M$33=EVENTOS!$C56)*(OFFSET(CÁLCULO!$AA$15:$AA$33,0,Y$13))),2),0)</f>
        <v>0</v>
      </c>
    </row>
    <row r="57" spans="1:25" x14ac:dyDescent="0.2">
      <c r="A57" s="505" t="str">
        <f t="shared" si="3"/>
        <v/>
      </c>
      <c r="B57" t="str">
        <f t="shared" ca="1" si="4"/>
        <v/>
      </c>
      <c r="C57" s="181" t="str" cm="1">
        <f t="array" aca="1" ref="C57" ca="1">IF(OR(ROW(C57)=ROW(EVENTOS.firstrow)+1,AND(OFFSET(C57,-1,0)&lt;&gt;" ",OFFSET(C57,-1,1)&lt;&gt;"")),OFFSET(C57,-1,0)+1," ")</f>
        <v xml:space="preserve"> </v>
      </c>
      <c r="D57" s="495"/>
      <c r="E57" s="619" cm="1">
        <f t="array" aca="1" ref="E57" ca="1">IF(AUTOEVENTO="Manual",ROUND(SUMPRODUCT((CÁLCULO!$M$15:$M$33=EVENTOS!$C57)*(OFFSET(CÁLCULO!$AA$15:$AA$33,0,E$13))),2),0)</f>
        <v>0</v>
      </c>
      <c r="F57" s="182">
        <f ca="1">IF(AUTOEVENTO="Manual",ROUND(SUMPRODUCT((CÁLCULO!$M$15:$M$33=EVENTOS!$C57)*(OFFSET(CÁLCULO!$AA$15,0,1):OFFSET(CÁLCULO!$AL$33,0,-1))),2),0)</f>
        <v>0</v>
      </c>
      <c r="G57" s="620" t="str">
        <f t="shared" ca="1" si="6"/>
        <v/>
      </c>
      <c r="H57" s="619" cm="1">
        <f t="array" aca="1" ref="H57" ca="1">IF(AUTOEVENTO="Manual",ROUND(SUMPRODUCT((CÁLCULO!$M$15:$M$33=EVENTOS!$C57)*(OFFSET(CÁLCULO!$AA$15:$AA$33,0,H$13))),2),0)</f>
        <v>0</v>
      </c>
      <c r="I57" s="619" cm="1">
        <f t="array" aca="1" ref="I57" ca="1">IF(AUTOEVENTO="Manual",ROUND(SUMPRODUCT((CÁLCULO!$M$15:$M$33=EVENTOS!$C57)*(OFFSET(CÁLCULO!$AA$15:$AA$33,0,I$13))),2),0)</f>
        <v>0</v>
      </c>
      <c r="J57" s="619" cm="1">
        <f t="array" aca="1" ref="J57" ca="1">IF(AUTOEVENTO="Manual",ROUND(SUMPRODUCT((CÁLCULO!$M$15:$M$33=EVENTOS!$C57)*(OFFSET(CÁLCULO!$AA$15:$AA$33,0,J$13))),2),0)</f>
        <v>0</v>
      </c>
      <c r="K57" s="619" cm="1">
        <f t="array" aca="1" ref="K57" ca="1">IF(AUTOEVENTO="Manual",ROUND(SUMPRODUCT((CÁLCULO!$M$15:$M$33=EVENTOS!$C57)*(OFFSET(CÁLCULO!$AA$15:$AA$33,0,K$13))),2),0)</f>
        <v>0</v>
      </c>
      <c r="L57" s="619" cm="1">
        <f t="array" aca="1" ref="L57" ca="1">IF(AUTOEVENTO="Manual",ROUND(SUMPRODUCT((CÁLCULO!$M$15:$M$33=EVENTOS!$C57)*(OFFSET(CÁLCULO!$AA$15:$AA$33,0,L$13))),2),0)</f>
        <v>0</v>
      </c>
      <c r="M57" s="619" cm="1">
        <f t="array" aca="1" ref="M57" ca="1">IF(AUTOEVENTO="Manual",ROUND(SUMPRODUCT((CÁLCULO!$M$15:$M$33=EVENTOS!$C57)*(OFFSET(CÁLCULO!$AA$15:$AA$33,0,M$13))),2),0)</f>
        <v>0</v>
      </c>
      <c r="N57" s="619" cm="1">
        <f t="array" aca="1" ref="N57" ca="1">IF(AUTOEVENTO="Manual",ROUND(SUMPRODUCT((CÁLCULO!$M$15:$M$33=EVENTOS!$C57)*(OFFSET(CÁLCULO!$AA$15:$AA$33,0,N$13))),2),0)</f>
        <v>0</v>
      </c>
      <c r="O57" s="619" cm="1">
        <f t="array" aca="1" ref="O57" ca="1">IF(AUTOEVENTO="Manual",ROUND(SUMPRODUCT((CÁLCULO!$M$15:$M$33=EVENTOS!$C57)*(OFFSET(CÁLCULO!$AA$15:$AA$33,0,O$13))),2),0)</f>
        <v>0</v>
      </c>
      <c r="P57" s="619" cm="1">
        <f t="array" aca="1" ref="P57" ca="1">IF(AUTOEVENTO="Manual",ROUND(SUMPRODUCT((CÁLCULO!$M$15:$M$33=EVENTOS!$C57)*(OFFSET(CÁLCULO!$AA$15:$AA$33,0,P$13))),2),0)</f>
        <v>0</v>
      </c>
      <c r="Q57" s="619" cm="1">
        <f t="array" aca="1" ref="Q57" ca="1">IF(AUTOEVENTO="Manual",ROUND(SUMPRODUCT((CÁLCULO!$M$15:$M$33=EVENTOS!$C57)*(OFFSET(CÁLCULO!$AA$15:$AA$33,0,Q$13))),2),0)</f>
        <v>0</v>
      </c>
      <c r="R57" s="619" cm="1">
        <f t="array" aca="1" ref="R57" ca="1">IF(AUTOEVENTO="Manual",ROUND(SUMPRODUCT((CÁLCULO!$M$15:$M$33=EVENTOS!$C57)*(OFFSET(CÁLCULO!$AA$15:$AA$33,0,R$13))),2),0)</f>
        <v>0</v>
      </c>
      <c r="S57" s="619" cm="1">
        <f t="array" aca="1" ref="S57" ca="1">IF(AUTOEVENTO="Manual",ROUND(SUMPRODUCT((CÁLCULO!$M$15:$M$33=EVENTOS!$C57)*(OFFSET(CÁLCULO!$AA$15:$AA$33,0,S$13))),2),0)</f>
        <v>0</v>
      </c>
      <c r="T57" s="619" cm="1">
        <f t="array" aca="1" ref="T57" ca="1">IF(AUTOEVENTO="Manual",ROUND(SUMPRODUCT((CÁLCULO!$M$15:$M$33=EVENTOS!$C57)*(OFFSET(CÁLCULO!$AA$15:$AA$33,0,T$13))),2),0)</f>
        <v>0</v>
      </c>
      <c r="U57" s="619" cm="1">
        <f t="array" aca="1" ref="U57" ca="1">IF(AUTOEVENTO="Manual",ROUND(SUMPRODUCT((CÁLCULO!$M$15:$M$33=EVENTOS!$C57)*(OFFSET(CÁLCULO!$AA$15:$AA$33,0,U$13))),2),0)</f>
        <v>0</v>
      </c>
      <c r="V57" s="619" cm="1">
        <f t="array" aca="1" ref="V57" ca="1">IF(AUTOEVENTO="Manual",ROUND(SUMPRODUCT((CÁLCULO!$M$15:$M$33=EVENTOS!$C57)*(OFFSET(CÁLCULO!$AA$15:$AA$33,0,V$13))),2),0)</f>
        <v>0</v>
      </c>
      <c r="W57" s="619" cm="1">
        <f t="array" aca="1" ref="W57" ca="1">IF(AUTOEVENTO="Manual",ROUND(SUMPRODUCT((CÁLCULO!$M$15:$M$33=EVENTOS!$C57)*(OFFSET(CÁLCULO!$AA$15:$AA$33,0,W$13))),2),0)</f>
        <v>0</v>
      </c>
      <c r="X57" s="619" cm="1">
        <f t="array" aca="1" ref="X57" ca="1">IF(AUTOEVENTO="Manual",ROUND(SUMPRODUCT((CÁLCULO!$M$15:$M$33=EVENTOS!$C57)*(OFFSET(CÁLCULO!$AA$15:$AA$33,0,X$13))),2),0)</f>
        <v>0</v>
      </c>
      <c r="Y57" s="619" cm="1">
        <f t="array" aca="1" ref="Y57" ca="1">IF(AUTOEVENTO="Manual",ROUND(SUMPRODUCT((CÁLCULO!$M$15:$M$33=EVENTOS!$C57)*(OFFSET(CÁLCULO!$AA$15:$AA$33,0,Y$13))),2),0)</f>
        <v>0</v>
      </c>
    </row>
    <row r="58" spans="1:25" x14ac:dyDescent="0.2">
      <c r="A58" s="505" t="str">
        <f t="shared" si="3"/>
        <v/>
      </c>
      <c r="B58" t="str">
        <f t="shared" ca="1" si="4"/>
        <v/>
      </c>
      <c r="C58" s="181" t="str" cm="1">
        <f t="array" aca="1" ref="C58" ca="1">IF(OR(ROW(C58)=ROW(EVENTOS.firstrow)+1,AND(OFFSET(C58,-1,0)&lt;&gt;" ",OFFSET(C58,-1,1)&lt;&gt;"")),OFFSET(C58,-1,0)+1," ")</f>
        <v xml:space="preserve"> </v>
      </c>
      <c r="D58" s="495"/>
      <c r="E58" s="619" cm="1">
        <f t="array" aca="1" ref="E58" ca="1">IF(AUTOEVENTO="Manual",ROUND(SUMPRODUCT((CÁLCULO!$M$15:$M$33=EVENTOS!$C58)*(OFFSET(CÁLCULO!$AA$15:$AA$33,0,E$13))),2),0)</f>
        <v>0</v>
      </c>
      <c r="F58" s="182">
        <f ca="1">IF(AUTOEVENTO="Manual",ROUND(SUMPRODUCT((CÁLCULO!$M$15:$M$33=EVENTOS!$C58)*(OFFSET(CÁLCULO!$AA$15,0,1):OFFSET(CÁLCULO!$AL$33,0,-1))),2),0)</f>
        <v>0</v>
      </c>
      <c r="G58" s="620" t="str">
        <f t="shared" ca="1" si="6"/>
        <v/>
      </c>
      <c r="H58" s="619" cm="1">
        <f t="array" aca="1" ref="H58" ca="1">IF(AUTOEVENTO="Manual",ROUND(SUMPRODUCT((CÁLCULO!$M$15:$M$33=EVENTOS!$C58)*(OFFSET(CÁLCULO!$AA$15:$AA$33,0,H$13))),2),0)</f>
        <v>0</v>
      </c>
      <c r="I58" s="619" cm="1">
        <f t="array" aca="1" ref="I58" ca="1">IF(AUTOEVENTO="Manual",ROUND(SUMPRODUCT((CÁLCULO!$M$15:$M$33=EVENTOS!$C58)*(OFFSET(CÁLCULO!$AA$15:$AA$33,0,I$13))),2),0)</f>
        <v>0</v>
      </c>
      <c r="J58" s="619" cm="1">
        <f t="array" aca="1" ref="J58" ca="1">IF(AUTOEVENTO="Manual",ROUND(SUMPRODUCT((CÁLCULO!$M$15:$M$33=EVENTOS!$C58)*(OFFSET(CÁLCULO!$AA$15:$AA$33,0,J$13))),2),0)</f>
        <v>0</v>
      </c>
      <c r="K58" s="619" cm="1">
        <f t="array" aca="1" ref="K58" ca="1">IF(AUTOEVENTO="Manual",ROUND(SUMPRODUCT((CÁLCULO!$M$15:$M$33=EVENTOS!$C58)*(OFFSET(CÁLCULO!$AA$15:$AA$33,0,K$13))),2),0)</f>
        <v>0</v>
      </c>
      <c r="L58" s="619" cm="1">
        <f t="array" aca="1" ref="L58" ca="1">IF(AUTOEVENTO="Manual",ROUND(SUMPRODUCT((CÁLCULO!$M$15:$M$33=EVENTOS!$C58)*(OFFSET(CÁLCULO!$AA$15:$AA$33,0,L$13))),2),0)</f>
        <v>0</v>
      </c>
      <c r="M58" s="619" cm="1">
        <f t="array" aca="1" ref="M58" ca="1">IF(AUTOEVENTO="Manual",ROUND(SUMPRODUCT((CÁLCULO!$M$15:$M$33=EVENTOS!$C58)*(OFFSET(CÁLCULO!$AA$15:$AA$33,0,M$13))),2),0)</f>
        <v>0</v>
      </c>
      <c r="N58" s="619" cm="1">
        <f t="array" aca="1" ref="N58" ca="1">IF(AUTOEVENTO="Manual",ROUND(SUMPRODUCT((CÁLCULO!$M$15:$M$33=EVENTOS!$C58)*(OFFSET(CÁLCULO!$AA$15:$AA$33,0,N$13))),2),0)</f>
        <v>0</v>
      </c>
      <c r="O58" s="619" cm="1">
        <f t="array" aca="1" ref="O58" ca="1">IF(AUTOEVENTO="Manual",ROUND(SUMPRODUCT((CÁLCULO!$M$15:$M$33=EVENTOS!$C58)*(OFFSET(CÁLCULO!$AA$15:$AA$33,0,O$13))),2),0)</f>
        <v>0</v>
      </c>
      <c r="P58" s="619" cm="1">
        <f t="array" aca="1" ref="P58" ca="1">IF(AUTOEVENTO="Manual",ROUND(SUMPRODUCT((CÁLCULO!$M$15:$M$33=EVENTOS!$C58)*(OFFSET(CÁLCULO!$AA$15:$AA$33,0,P$13))),2),0)</f>
        <v>0</v>
      </c>
      <c r="Q58" s="619" cm="1">
        <f t="array" aca="1" ref="Q58" ca="1">IF(AUTOEVENTO="Manual",ROUND(SUMPRODUCT((CÁLCULO!$M$15:$M$33=EVENTOS!$C58)*(OFFSET(CÁLCULO!$AA$15:$AA$33,0,Q$13))),2),0)</f>
        <v>0</v>
      </c>
      <c r="R58" s="619" cm="1">
        <f t="array" aca="1" ref="R58" ca="1">IF(AUTOEVENTO="Manual",ROUND(SUMPRODUCT((CÁLCULO!$M$15:$M$33=EVENTOS!$C58)*(OFFSET(CÁLCULO!$AA$15:$AA$33,0,R$13))),2),0)</f>
        <v>0</v>
      </c>
      <c r="S58" s="619" cm="1">
        <f t="array" aca="1" ref="S58" ca="1">IF(AUTOEVENTO="Manual",ROUND(SUMPRODUCT((CÁLCULO!$M$15:$M$33=EVENTOS!$C58)*(OFFSET(CÁLCULO!$AA$15:$AA$33,0,S$13))),2),0)</f>
        <v>0</v>
      </c>
      <c r="T58" s="619" cm="1">
        <f t="array" aca="1" ref="T58" ca="1">IF(AUTOEVENTO="Manual",ROUND(SUMPRODUCT((CÁLCULO!$M$15:$M$33=EVENTOS!$C58)*(OFFSET(CÁLCULO!$AA$15:$AA$33,0,T$13))),2),0)</f>
        <v>0</v>
      </c>
      <c r="U58" s="619" cm="1">
        <f t="array" aca="1" ref="U58" ca="1">IF(AUTOEVENTO="Manual",ROUND(SUMPRODUCT((CÁLCULO!$M$15:$M$33=EVENTOS!$C58)*(OFFSET(CÁLCULO!$AA$15:$AA$33,0,U$13))),2),0)</f>
        <v>0</v>
      </c>
      <c r="V58" s="619" cm="1">
        <f t="array" aca="1" ref="V58" ca="1">IF(AUTOEVENTO="Manual",ROUND(SUMPRODUCT((CÁLCULO!$M$15:$M$33=EVENTOS!$C58)*(OFFSET(CÁLCULO!$AA$15:$AA$33,0,V$13))),2),0)</f>
        <v>0</v>
      </c>
      <c r="W58" s="619" cm="1">
        <f t="array" aca="1" ref="W58" ca="1">IF(AUTOEVENTO="Manual",ROUND(SUMPRODUCT((CÁLCULO!$M$15:$M$33=EVENTOS!$C58)*(OFFSET(CÁLCULO!$AA$15:$AA$33,0,W$13))),2),0)</f>
        <v>0</v>
      </c>
      <c r="X58" s="619" cm="1">
        <f t="array" aca="1" ref="X58" ca="1">IF(AUTOEVENTO="Manual",ROUND(SUMPRODUCT((CÁLCULO!$M$15:$M$33=EVENTOS!$C58)*(OFFSET(CÁLCULO!$AA$15:$AA$33,0,X$13))),2),0)</f>
        <v>0</v>
      </c>
      <c r="Y58" s="619" cm="1">
        <f t="array" aca="1" ref="Y58" ca="1">IF(AUTOEVENTO="Manual",ROUND(SUMPRODUCT((CÁLCULO!$M$15:$M$33=EVENTOS!$C58)*(OFFSET(CÁLCULO!$AA$15:$AA$33,0,Y$13))),2),0)</f>
        <v>0</v>
      </c>
    </row>
    <row r="59" spans="1:25" x14ac:dyDescent="0.2">
      <c r="A59" s="505" t="str">
        <f t="shared" si="3"/>
        <v/>
      </c>
      <c r="B59" t="str">
        <f t="shared" ca="1" si="4"/>
        <v/>
      </c>
      <c r="C59" s="181" t="str" cm="1">
        <f t="array" aca="1" ref="C59" ca="1">IF(OR(ROW(C59)=ROW(EVENTOS.firstrow)+1,AND(OFFSET(C59,-1,0)&lt;&gt;" ",OFFSET(C59,-1,1)&lt;&gt;"")),OFFSET(C59,-1,0)+1," ")</f>
        <v xml:space="preserve"> </v>
      </c>
      <c r="D59" s="495"/>
      <c r="E59" s="619" cm="1">
        <f t="array" aca="1" ref="E59" ca="1">IF(AUTOEVENTO="Manual",ROUND(SUMPRODUCT((CÁLCULO!$M$15:$M$33=EVENTOS!$C59)*(OFFSET(CÁLCULO!$AA$15:$AA$33,0,E$13))),2),0)</f>
        <v>0</v>
      </c>
      <c r="F59" s="182">
        <f ca="1">IF(AUTOEVENTO="Manual",ROUND(SUMPRODUCT((CÁLCULO!$M$15:$M$33=EVENTOS!$C59)*(OFFSET(CÁLCULO!$AA$15,0,1):OFFSET(CÁLCULO!$AL$33,0,-1))),2),0)</f>
        <v>0</v>
      </c>
      <c r="G59" s="620" t="str">
        <f t="shared" ca="1" si="6"/>
        <v/>
      </c>
      <c r="H59" s="619" cm="1">
        <f t="array" aca="1" ref="H59" ca="1">IF(AUTOEVENTO="Manual",ROUND(SUMPRODUCT((CÁLCULO!$M$15:$M$33=EVENTOS!$C59)*(OFFSET(CÁLCULO!$AA$15:$AA$33,0,H$13))),2),0)</f>
        <v>0</v>
      </c>
      <c r="I59" s="619" cm="1">
        <f t="array" aca="1" ref="I59" ca="1">IF(AUTOEVENTO="Manual",ROUND(SUMPRODUCT((CÁLCULO!$M$15:$M$33=EVENTOS!$C59)*(OFFSET(CÁLCULO!$AA$15:$AA$33,0,I$13))),2),0)</f>
        <v>0</v>
      </c>
      <c r="J59" s="619" cm="1">
        <f t="array" aca="1" ref="J59" ca="1">IF(AUTOEVENTO="Manual",ROUND(SUMPRODUCT((CÁLCULO!$M$15:$M$33=EVENTOS!$C59)*(OFFSET(CÁLCULO!$AA$15:$AA$33,0,J$13))),2),0)</f>
        <v>0</v>
      </c>
      <c r="K59" s="619" cm="1">
        <f t="array" aca="1" ref="K59" ca="1">IF(AUTOEVENTO="Manual",ROUND(SUMPRODUCT((CÁLCULO!$M$15:$M$33=EVENTOS!$C59)*(OFFSET(CÁLCULO!$AA$15:$AA$33,0,K$13))),2),0)</f>
        <v>0</v>
      </c>
      <c r="L59" s="619" cm="1">
        <f t="array" aca="1" ref="L59" ca="1">IF(AUTOEVENTO="Manual",ROUND(SUMPRODUCT((CÁLCULO!$M$15:$M$33=EVENTOS!$C59)*(OFFSET(CÁLCULO!$AA$15:$AA$33,0,L$13))),2),0)</f>
        <v>0</v>
      </c>
      <c r="M59" s="619" cm="1">
        <f t="array" aca="1" ref="M59" ca="1">IF(AUTOEVENTO="Manual",ROUND(SUMPRODUCT((CÁLCULO!$M$15:$M$33=EVENTOS!$C59)*(OFFSET(CÁLCULO!$AA$15:$AA$33,0,M$13))),2),0)</f>
        <v>0</v>
      </c>
      <c r="N59" s="619" cm="1">
        <f t="array" aca="1" ref="N59" ca="1">IF(AUTOEVENTO="Manual",ROUND(SUMPRODUCT((CÁLCULO!$M$15:$M$33=EVENTOS!$C59)*(OFFSET(CÁLCULO!$AA$15:$AA$33,0,N$13))),2),0)</f>
        <v>0</v>
      </c>
      <c r="O59" s="619" cm="1">
        <f t="array" aca="1" ref="O59" ca="1">IF(AUTOEVENTO="Manual",ROUND(SUMPRODUCT((CÁLCULO!$M$15:$M$33=EVENTOS!$C59)*(OFFSET(CÁLCULO!$AA$15:$AA$33,0,O$13))),2),0)</f>
        <v>0</v>
      </c>
      <c r="P59" s="619" cm="1">
        <f t="array" aca="1" ref="P59" ca="1">IF(AUTOEVENTO="Manual",ROUND(SUMPRODUCT((CÁLCULO!$M$15:$M$33=EVENTOS!$C59)*(OFFSET(CÁLCULO!$AA$15:$AA$33,0,P$13))),2),0)</f>
        <v>0</v>
      </c>
      <c r="Q59" s="619" cm="1">
        <f t="array" aca="1" ref="Q59" ca="1">IF(AUTOEVENTO="Manual",ROUND(SUMPRODUCT((CÁLCULO!$M$15:$M$33=EVENTOS!$C59)*(OFFSET(CÁLCULO!$AA$15:$AA$33,0,Q$13))),2),0)</f>
        <v>0</v>
      </c>
      <c r="R59" s="619" cm="1">
        <f t="array" aca="1" ref="R59" ca="1">IF(AUTOEVENTO="Manual",ROUND(SUMPRODUCT((CÁLCULO!$M$15:$M$33=EVENTOS!$C59)*(OFFSET(CÁLCULO!$AA$15:$AA$33,0,R$13))),2),0)</f>
        <v>0</v>
      </c>
      <c r="S59" s="619" cm="1">
        <f t="array" aca="1" ref="S59" ca="1">IF(AUTOEVENTO="Manual",ROUND(SUMPRODUCT((CÁLCULO!$M$15:$M$33=EVENTOS!$C59)*(OFFSET(CÁLCULO!$AA$15:$AA$33,0,S$13))),2),0)</f>
        <v>0</v>
      </c>
      <c r="T59" s="619" cm="1">
        <f t="array" aca="1" ref="T59" ca="1">IF(AUTOEVENTO="Manual",ROUND(SUMPRODUCT((CÁLCULO!$M$15:$M$33=EVENTOS!$C59)*(OFFSET(CÁLCULO!$AA$15:$AA$33,0,T$13))),2),0)</f>
        <v>0</v>
      </c>
      <c r="U59" s="619" cm="1">
        <f t="array" aca="1" ref="U59" ca="1">IF(AUTOEVENTO="Manual",ROUND(SUMPRODUCT((CÁLCULO!$M$15:$M$33=EVENTOS!$C59)*(OFFSET(CÁLCULO!$AA$15:$AA$33,0,U$13))),2),0)</f>
        <v>0</v>
      </c>
      <c r="V59" s="619" cm="1">
        <f t="array" aca="1" ref="V59" ca="1">IF(AUTOEVENTO="Manual",ROUND(SUMPRODUCT((CÁLCULO!$M$15:$M$33=EVENTOS!$C59)*(OFFSET(CÁLCULO!$AA$15:$AA$33,0,V$13))),2),0)</f>
        <v>0</v>
      </c>
      <c r="W59" s="619" cm="1">
        <f t="array" aca="1" ref="W59" ca="1">IF(AUTOEVENTO="Manual",ROUND(SUMPRODUCT((CÁLCULO!$M$15:$M$33=EVENTOS!$C59)*(OFFSET(CÁLCULO!$AA$15:$AA$33,0,W$13))),2),0)</f>
        <v>0</v>
      </c>
      <c r="X59" s="619" cm="1">
        <f t="array" aca="1" ref="X59" ca="1">IF(AUTOEVENTO="Manual",ROUND(SUMPRODUCT((CÁLCULO!$M$15:$M$33=EVENTOS!$C59)*(OFFSET(CÁLCULO!$AA$15:$AA$33,0,X$13))),2),0)</f>
        <v>0</v>
      </c>
      <c r="Y59" s="619" cm="1">
        <f t="array" aca="1" ref="Y59" ca="1">IF(AUTOEVENTO="Manual",ROUND(SUMPRODUCT((CÁLCULO!$M$15:$M$33=EVENTOS!$C59)*(OFFSET(CÁLCULO!$AA$15:$AA$33,0,Y$13))),2),0)</f>
        <v>0</v>
      </c>
    </row>
    <row r="60" spans="1:25" x14ac:dyDescent="0.2">
      <c r="A60" s="505" t="str">
        <f t="shared" si="3"/>
        <v/>
      </c>
      <c r="B60" t="str">
        <f t="shared" ca="1" si="4"/>
        <v/>
      </c>
      <c r="C60" s="181" t="str" cm="1">
        <f t="array" aca="1" ref="C60" ca="1">IF(OR(ROW(C60)=ROW(EVENTOS.firstrow)+1,AND(OFFSET(C60,-1,0)&lt;&gt;" ",OFFSET(C60,-1,1)&lt;&gt;"")),OFFSET(C60,-1,0)+1," ")</f>
        <v xml:space="preserve"> </v>
      </c>
      <c r="D60" s="495"/>
      <c r="E60" s="619" cm="1">
        <f t="array" aca="1" ref="E60" ca="1">IF(AUTOEVENTO="Manual",ROUND(SUMPRODUCT((CÁLCULO!$M$15:$M$33=EVENTOS!$C60)*(OFFSET(CÁLCULO!$AA$15:$AA$33,0,E$13))),2),0)</f>
        <v>0</v>
      </c>
      <c r="F60" s="182">
        <f ca="1">IF(AUTOEVENTO="Manual",ROUND(SUMPRODUCT((CÁLCULO!$M$15:$M$33=EVENTOS!$C60)*(OFFSET(CÁLCULO!$AA$15,0,1):OFFSET(CÁLCULO!$AL$33,0,-1))),2),0)</f>
        <v>0</v>
      </c>
      <c r="G60" s="620" t="str">
        <f t="shared" ca="1" si="6"/>
        <v/>
      </c>
      <c r="H60" s="619" cm="1">
        <f t="array" aca="1" ref="H60" ca="1">IF(AUTOEVENTO="Manual",ROUND(SUMPRODUCT((CÁLCULO!$M$15:$M$33=EVENTOS!$C60)*(OFFSET(CÁLCULO!$AA$15:$AA$33,0,H$13))),2),0)</f>
        <v>0</v>
      </c>
      <c r="I60" s="619" cm="1">
        <f t="array" aca="1" ref="I60" ca="1">IF(AUTOEVENTO="Manual",ROUND(SUMPRODUCT((CÁLCULO!$M$15:$M$33=EVENTOS!$C60)*(OFFSET(CÁLCULO!$AA$15:$AA$33,0,I$13))),2),0)</f>
        <v>0</v>
      </c>
      <c r="J60" s="619" cm="1">
        <f t="array" aca="1" ref="J60" ca="1">IF(AUTOEVENTO="Manual",ROUND(SUMPRODUCT((CÁLCULO!$M$15:$M$33=EVENTOS!$C60)*(OFFSET(CÁLCULO!$AA$15:$AA$33,0,J$13))),2),0)</f>
        <v>0</v>
      </c>
      <c r="K60" s="619" cm="1">
        <f t="array" aca="1" ref="K60" ca="1">IF(AUTOEVENTO="Manual",ROUND(SUMPRODUCT((CÁLCULO!$M$15:$M$33=EVENTOS!$C60)*(OFFSET(CÁLCULO!$AA$15:$AA$33,0,K$13))),2),0)</f>
        <v>0</v>
      </c>
      <c r="L60" s="619" cm="1">
        <f t="array" aca="1" ref="L60" ca="1">IF(AUTOEVENTO="Manual",ROUND(SUMPRODUCT((CÁLCULO!$M$15:$M$33=EVENTOS!$C60)*(OFFSET(CÁLCULO!$AA$15:$AA$33,0,L$13))),2),0)</f>
        <v>0</v>
      </c>
      <c r="M60" s="619" cm="1">
        <f t="array" aca="1" ref="M60" ca="1">IF(AUTOEVENTO="Manual",ROUND(SUMPRODUCT((CÁLCULO!$M$15:$M$33=EVENTOS!$C60)*(OFFSET(CÁLCULO!$AA$15:$AA$33,0,M$13))),2),0)</f>
        <v>0</v>
      </c>
      <c r="N60" s="619" cm="1">
        <f t="array" aca="1" ref="N60" ca="1">IF(AUTOEVENTO="Manual",ROUND(SUMPRODUCT((CÁLCULO!$M$15:$M$33=EVENTOS!$C60)*(OFFSET(CÁLCULO!$AA$15:$AA$33,0,N$13))),2),0)</f>
        <v>0</v>
      </c>
      <c r="O60" s="619" cm="1">
        <f t="array" aca="1" ref="O60" ca="1">IF(AUTOEVENTO="Manual",ROUND(SUMPRODUCT((CÁLCULO!$M$15:$M$33=EVENTOS!$C60)*(OFFSET(CÁLCULO!$AA$15:$AA$33,0,O$13))),2),0)</f>
        <v>0</v>
      </c>
      <c r="P60" s="619" cm="1">
        <f t="array" aca="1" ref="P60" ca="1">IF(AUTOEVENTO="Manual",ROUND(SUMPRODUCT((CÁLCULO!$M$15:$M$33=EVENTOS!$C60)*(OFFSET(CÁLCULO!$AA$15:$AA$33,0,P$13))),2),0)</f>
        <v>0</v>
      </c>
      <c r="Q60" s="619" cm="1">
        <f t="array" aca="1" ref="Q60" ca="1">IF(AUTOEVENTO="Manual",ROUND(SUMPRODUCT((CÁLCULO!$M$15:$M$33=EVENTOS!$C60)*(OFFSET(CÁLCULO!$AA$15:$AA$33,0,Q$13))),2),0)</f>
        <v>0</v>
      </c>
      <c r="R60" s="619" cm="1">
        <f t="array" aca="1" ref="R60" ca="1">IF(AUTOEVENTO="Manual",ROUND(SUMPRODUCT((CÁLCULO!$M$15:$M$33=EVENTOS!$C60)*(OFFSET(CÁLCULO!$AA$15:$AA$33,0,R$13))),2),0)</f>
        <v>0</v>
      </c>
      <c r="S60" s="619" cm="1">
        <f t="array" aca="1" ref="S60" ca="1">IF(AUTOEVENTO="Manual",ROUND(SUMPRODUCT((CÁLCULO!$M$15:$M$33=EVENTOS!$C60)*(OFFSET(CÁLCULO!$AA$15:$AA$33,0,S$13))),2),0)</f>
        <v>0</v>
      </c>
      <c r="T60" s="619" cm="1">
        <f t="array" aca="1" ref="T60" ca="1">IF(AUTOEVENTO="Manual",ROUND(SUMPRODUCT((CÁLCULO!$M$15:$M$33=EVENTOS!$C60)*(OFFSET(CÁLCULO!$AA$15:$AA$33,0,T$13))),2),0)</f>
        <v>0</v>
      </c>
      <c r="U60" s="619" cm="1">
        <f t="array" aca="1" ref="U60" ca="1">IF(AUTOEVENTO="Manual",ROUND(SUMPRODUCT((CÁLCULO!$M$15:$M$33=EVENTOS!$C60)*(OFFSET(CÁLCULO!$AA$15:$AA$33,0,U$13))),2),0)</f>
        <v>0</v>
      </c>
      <c r="V60" s="619" cm="1">
        <f t="array" aca="1" ref="V60" ca="1">IF(AUTOEVENTO="Manual",ROUND(SUMPRODUCT((CÁLCULO!$M$15:$M$33=EVENTOS!$C60)*(OFFSET(CÁLCULO!$AA$15:$AA$33,0,V$13))),2),0)</f>
        <v>0</v>
      </c>
      <c r="W60" s="619" cm="1">
        <f t="array" aca="1" ref="W60" ca="1">IF(AUTOEVENTO="Manual",ROUND(SUMPRODUCT((CÁLCULO!$M$15:$M$33=EVENTOS!$C60)*(OFFSET(CÁLCULO!$AA$15:$AA$33,0,W$13))),2),0)</f>
        <v>0</v>
      </c>
      <c r="X60" s="619" cm="1">
        <f t="array" aca="1" ref="X60" ca="1">IF(AUTOEVENTO="Manual",ROUND(SUMPRODUCT((CÁLCULO!$M$15:$M$33=EVENTOS!$C60)*(OFFSET(CÁLCULO!$AA$15:$AA$33,0,X$13))),2),0)</f>
        <v>0</v>
      </c>
      <c r="Y60" s="619" cm="1">
        <f t="array" aca="1" ref="Y60" ca="1">IF(AUTOEVENTO="Manual",ROUND(SUMPRODUCT((CÁLCULO!$M$15:$M$33=EVENTOS!$C60)*(OFFSET(CÁLCULO!$AA$15:$AA$33,0,Y$13))),2),0)</f>
        <v>0</v>
      </c>
    </row>
    <row r="61" spans="1:25" x14ac:dyDescent="0.2">
      <c r="A61" s="505" t="str">
        <f t="shared" si="3"/>
        <v/>
      </c>
      <c r="B61" t="str">
        <f t="shared" ca="1" si="4"/>
        <v/>
      </c>
      <c r="C61" s="181" t="str" cm="1">
        <f t="array" aca="1" ref="C61" ca="1">IF(OR(ROW(C61)=ROW(EVENTOS.firstrow)+1,AND(OFFSET(C61,-1,0)&lt;&gt;" ",OFFSET(C61,-1,1)&lt;&gt;"")),OFFSET(C61,-1,0)+1," ")</f>
        <v xml:space="preserve"> </v>
      </c>
      <c r="D61" s="495"/>
      <c r="E61" s="619" cm="1">
        <f t="array" aca="1" ref="E61" ca="1">IF(AUTOEVENTO="Manual",ROUND(SUMPRODUCT((CÁLCULO!$M$15:$M$33=EVENTOS!$C61)*(OFFSET(CÁLCULO!$AA$15:$AA$33,0,E$13))),2),0)</f>
        <v>0</v>
      </c>
      <c r="F61" s="182">
        <f ca="1">IF(AUTOEVENTO="Manual",ROUND(SUMPRODUCT((CÁLCULO!$M$15:$M$33=EVENTOS!$C61)*(OFFSET(CÁLCULO!$AA$15,0,1):OFFSET(CÁLCULO!$AL$33,0,-1))),2),0)</f>
        <v>0</v>
      </c>
      <c r="G61" s="620" t="str">
        <f t="shared" ca="1" si="6"/>
        <v/>
      </c>
      <c r="H61" s="619" cm="1">
        <f t="array" aca="1" ref="H61" ca="1">IF(AUTOEVENTO="Manual",ROUND(SUMPRODUCT((CÁLCULO!$M$15:$M$33=EVENTOS!$C61)*(OFFSET(CÁLCULO!$AA$15:$AA$33,0,H$13))),2),0)</f>
        <v>0</v>
      </c>
      <c r="I61" s="619" cm="1">
        <f t="array" aca="1" ref="I61" ca="1">IF(AUTOEVENTO="Manual",ROUND(SUMPRODUCT((CÁLCULO!$M$15:$M$33=EVENTOS!$C61)*(OFFSET(CÁLCULO!$AA$15:$AA$33,0,I$13))),2),0)</f>
        <v>0</v>
      </c>
      <c r="J61" s="619" cm="1">
        <f t="array" aca="1" ref="J61" ca="1">IF(AUTOEVENTO="Manual",ROUND(SUMPRODUCT((CÁLCULO!$M$15:$M$33=EVENTOS!$C61)*(OFFSET(CÁLCULO!$AA$15:$AA$33,0,J$13))),2),0)</f>
        <v>0</v>
      </c>
      <c r="K61" s="619" cm="1">
        <f t="array" aca="1" ref="K61" ca="1">IF(AUTOEVENTO="Manual",ROUND(SUMPRODUCT((CÁLCULO!$M$15:$M$33=EVENTOS!$C61)*(OFFSET(CÁLCULO!$AA$15:$AA$33,0,K$13))),2),0)</f>
        <v>0</v>
      </c>
      <c r="L61" s="619" cm="1">
        <f t="array" aca="1" ref="L61" ca="1">IF(AUTOEVENTO="Manual",ROUND(SUMPRODUCT((CÁLCULO!$M$15:$M$33=EVENTOS!$C61)*(OFFSET(CÁLCULO!$AA$15:$AA$33,0,L$13))),2),0)</f>
        <v>0</v>
      </c>
      <c r="M61" s="619" cm="1">
        <f t="array" aca="1" ref="M61" ca="1">IF(AUTOEVENTO="Manual",ROUND(SUMPRODUCT((CÁLCULO!$M$15:$M$33=EVENTOS!$C61)*(OFFSET(CÁLCULO!$AA$15:$AA$33,0,M$13))),2),0)</f>
        <v>0</v>
      </c>
      <c r="N61" s="619" cm="1">
        <f t="array" aca="1" ref="N61" ca="1">IF(AUTOEVENTO="Manual",ROUND(SUMPRODUCT((CÁLCULO!$M$15:$M$33=EVENTOS!$C61)*(OFFSET(CÁLCULO!$AA$15:$AA$33,0,N$13))),2),0)</f>
        <v>0</v>
      </c>
      <c r="O61" s="619" cm="1">
        <f t="array" aca="1" ref="O61" ca="1">IF(AUTOEVENTO="Manual",ROUND(SUMPRODUCT((CÁLCULO!$M$15:$M$33=EVENTOS!$C61)*(OFFSET(CÁLCULO!$AA$15:$AA$33,0,O$13))),2),0)</f>
        <v>0</v>
      </c>
      <c r="P61" s="619" cm="1">
        <f t="array" aca="1" ref="P61" ca="1">IF(AUTOEVENTO="Manual",ROUND(SUMPRODUCT((CÁLCULO!$M$15:$M$33=EVENTOS!$C61)*(OFFSET(CÁLCULO!$AA$15:$AA$33,0,P$13))),2),0)</f>
        <v>0</v>
      </c>
      <c r="Q61" s="619" cm="1">
        <f t="array" aca="1" ref="Q61" ca="1">IF(AUTOEVENTO="Manual",ROUND(SUMPRODUCT((CÁLCULO!$M$15:$M$33=EVENTOS!$C61)*(OFFSET(CÁLCULO!$AA$15:$AA$33,0,Q$13))),2),0)</f>
        <v>0</v>
      </c>
      <c r="R61" s="619" cm="1">
        <f t="array" aca="1" ref="R61" ca="1">IF(AUTOEVENTO="Manual",ROUND(SUMPRODUCT((CÁLCULO!$M$15:$M$33=EVENTOS!$C61)*(OFFSET(CÁLCULO!$AA$15:$AA$33,0,R$13))),2),0)</f>
        <v>0</v>
      </c>
      <c r="S61" s="619" cm="1">
        <f t="array" aca="1" ref="S61" ca="1">IF(AUTOEVENTO="Manual",ROUND(SUMPRODUCT((CÁLCULO!$M$15:$M$33=EVENTOS!$C61)*(OFFSET(CÁLCULO!$AA$15:$AA$33,0,S$13))),2),0)</f>
        <v>0</v>
      </c>
      <c r="T61" s="619" cm="1">
        <f t="array" aca="1" ref="T61" ca="1">IF(AUTOEVENTO="Manual",ROUND(SUMPRODUCT((CÁLCULO!$M$15:$M$33=EVENTOS!$C61)*(OFFSET(CÁLCULO!$AA$15:$AA$33,0,T$13))),2),0)</f>
        <v>0</v>
      </c>
      <c r="U61" s="619" cm="1">
        <f t="array" aca="1" ref="U61" ca="1">IF(AUTOEVENTO="Manual",ROUND(SUMPRODUCT((CÁLCULO!$M$15:$M$33=EVENTOS!$C61)*(OFFSET(CÁLCULO!$AA$15:$AA$33,0,U$13))),2),0)</f>
        <v>0</v>
      </c>
      <c r="V61" s="619" cm="1">
        <f t="array" aca="1" ref="V61" ca="1">IF(AUTOEVENTO="Manual",ROUND(SUMPRODUCT((CÁLCULO!$M$15:$M$33=EVENTOS!$C61)*(OFFSET(CÁLCULO!$AA$15:$AA$33,0,V$13))),2),0)</f>
        <v>0</v>
      </c>
      <c r="W61" s="619" cm="1">
        <f t="array" aca="1" ref="W61" ca="1">IF(AUTOEVENTO="Manual",ROUND(SUMPRODUCT((CÁLCULO!$M$15:$M$33=EVENTOS!$C61)*(OFFSET(CÁLCULO!$AA$15:$AA$33,0,W$13))),2),0)</f>
        <v>0</v>
      </c>
      <c r="X61" s="619" cm="1">
        <f t="array" aca="1" ref="X61" ca="1">IF(AUTOEVENTO="Manual",ROUND(SUMPRODUCT((CÁLCULO!$M$15:$M$33=EVENTOS!$C61)*(OFFSET(CÁLCULO!$AA$15:$AA$33,0,X$13))),2),0)</f>
        <v>0</v>
      </c>
      <c r="Y61" s="619" cm="1">
        <f t="array" aca="1" ref="Y61" ca="1">IF(AUTOEVENTO="Manual",ROUND(SUMPRODUCT((CÁLCULO!$M$15:$M$33=EVENTOS!$C61)*(OFFSET(CÁLCULO!$AA$15:$AA$33,0,Y$13))),2),0)</f>
        <v>0</v>
      </c>
    </row>
    <row r="62" spans="1:25" x14ac:dyDescent="0.2">
      <c r="A62" s="505" t="str">
        <f t="shared" si="3"/>
        <v/>
      </c>
      <c r="B62" t="str">
        <f t="shared" ca="1" si="4"/>
        <v/>
      </c>
      <c r="C62" s="181" t="str" cm="1">
        <f t="array" aca="1" ref="C62" ca="1">IF(OR(ROW(C62)=ROW(EVENTOS.firstrow)+1,AND(OFFSET(C62,-1,0)&lt;&gt;" ",OFFSET(C62,-1,1)&lt;&gt;"")),OFFSET(C62,-1,0)+1," ")</f>
        <v xml:space="preserve"> </v>
      </c>
      <c r="D62" s="495"/>
      <c r="E62" s="619" cm="1">
        <f t="array" aca="1" ref="E62" ca="1">IF(AUTOEVENTO="Manual",ROUND(SUMPRODUCT((CÁLCULO!$M$15:$M$33=EVENTOS!$C62)*(OFFSET(CÁLCULO!$AA$15:$AA$33,0,E$13))),2),0)</f>
        <v>0</v>
      </c>
      <c r="F62" s="182">
        <f ca="1">IF(AUTOEVENTO="Manual",ROUND(SUMPRODUCT((CÁLCULO!$M$15:$M$33=EVENTOS!$C62)*(OFFSET(CÁLCULO!$AA$15,0,1):OFFSET(CÁLCULO!$AL$33,0,-1))),2),0)</f>
        <v>0</v>
      </c>
      <c r="G62" s="620" t="str">
        <f t="shared" ca="1" si="6"/>
        <v/>
      </c>
      <c r="H62" s="619" cm="1">
        <f t="array" aca="1" ref="H62" ca="1">IF(AUTOEVENTO="Manual",ROUND(SUMPRODUCT((CÁLCULO!$M$15:$M$33=EVENTOS!$C62)*(OFFSET(CÁLCULO!$AA$15:$AA$33,0,H$13))),2),0)</f>
        <v>0</v>
      </c>
      <c r="I62" s="619" cm="1">
        <f t="array" aca="1" ref="I62" ca="1">IF(AUTOEVENTO="Manual",ROUND(SUMPRODUCT((CÁLCULO!$M$15:$M$33=EVENTOS!$C62)*(OFFSET(CÁLCULO!$AA$15:$AA$33,0,I$13))),2),0)</f>
        <v>0</v>
      </c>
      <c r="J62" s="619" cm="1">
        <f t="array" aca="1" ref="J62" ca="1">IF(AUTOEVENTO="Manual",ROUND(SUMPRODUCT((CÁLCULO!$M$15:$M$33=EVENTOS!$C62)*(OFFSET(CÁLCULO!$AA$15:$AA$33,0,J$13))),2),0)</f>
        <v>0</v>
      </c>
      <c r="K62" s="619" cm="1">
        <f t="array" aca="1" ref="K62" ca="1">IF(AUTOEVENTO="Manual",ROUND(SUMPRODUCT((CÁLCULO!$M$15:$M$33=EVENTOS!$C62)*(OFFSET(CÁLCULO!$AA$15:$AA$33,0,K$13))),2),0)</f>
        <v>0</v>
      </c>
      <c r="L62" s="619" cm="1">
        <f t="array" aca="1" ref="L62" ca="1">IF(AUTOEVENTO="Manual",ROUND(SUMPRODUCT((CÁLCULO!$M$15:$M$33=EVENTOS!$C62)*(OFFSET(CÁLCULO!$AA$15:$AA$33,0,L$13))),2),0)</f>
        <v>0</v>
      </c>
      <c r="M62" s="619" cm="1">
        <f t="array" aca="1" ref="M62" ca="1">IF(AUTOEVENTO="Manual",ROUND(SUMPRODUCT((CÁLCULO!$M$15:$M$33=EVENTOS!$C62)*(OFFSET(CÁLCULO!$AA$15:$AA$33,0,M$13))),2),0)</f>
        <v>0</v>
      </c>
      <c r="N62" s="619" cm="1">
        <f t="array" aca="1" ref="N62" ca="1">IF(AUTOEVENTO="Manual",ROUND(SUMPRODUCT((CÁLCULO!$M$15:$M$33=EVENTOS!$C62)*(OFFSET(CÁLCULO!$AA$15:$AA$33,0,N$13))),2),0)</f>
        <v>0</v>
      </c>
      <c r="O62" s="619" cm="1">
        <f t="array" aca="1" ref="O62" ca="1">IF(AUTOEVENTO="Manual",ROUND(SUMPRODUCT((CÁLCULO!$M$15:$M$33=EVENTOS!$C62)*(OFFSET(CÁLCULO!$AA$15:$AA$33,0,O$13))),2),0)</f>
        <v>0</v>
      </c>
      <c r="P62" s="619" cm="1">
        <f t="array" aca="1" ref="P62" ca="1">IF(AUTOEVENTO="Manual",ROUND(SUMPRODUCT((CÁLCULO!$M$15:$M$33=EVENTOS!$C62)*(OFFSET(CÁLCULO!$AA$15:$AA$33,0,P$13))),2),0)</f>
        <v>0</v>
      </c>
      <c r="Q62" s="619" cm="1">
        <f t="array" aca="1" ref="Q62" ca="1">IF(AUTOEVENTO="Manual",ROUND(SUMPRODUCT((CÁLCULO!$M$15:$M$33=EVENTOS!$C62)*(OFFSET(CÁLCULO!$AA$15:$AA$33,0,Q$13))),2),0)</f>
        <v>0</v>
      </c>
      <c r="R62" s="619" cm="1">
        <f t="array" aca="1" ref="R62" ca="1">IF(AUTOEVENTO="Manual",ROUND(SUMPRODUCT((CÁLCULO!$M$15:$M$33=EVENTOS!$C62)*(OFFSET(CÁLCULO!$AA$15:$AA$33,0,R$13))),2),0)</f>
        <v>0</v>
      </c>
      <c r="S62" s="619" cm="1">
        <f t="array" aca="1" ref="S62" ca="1">IF(AUTOEVENTO="Manual",ROUND(SUMPRODUCT((CÁLCULO!$M$15:$M$33=EVENTOS!$C62)*(OFFSET(CÁLCULO!$AA$15:$AA$33,0,S$13))),2),0)</f>
        <v>0</v>
      </c>
      <c r="T62" s="619" cm="1">
        <f t="array" aca="1" ref="T62" ca="1">IF(AUTOEVENTO="Manual",ROUND(SUMPRODUCT((CÁLCULO!$M$15:$M$33=EVENTOS!$C62)*(OFFSET(CÁLCULO!$AA$15:$AA$33,0,T$13))),2),0)</f>
        <v>0</v>
      </c>
      <c r="U62" s="619" cm="1">
        <f t="array" aca="1" ref="U62" ca="1">IF(AUTOEVENTO="Manual",ROUND(SUMPRODUCT((CÁLCULO!$M$15:$M$33=EVENTOS!$C62)*(OFFSET(CÁLCULO!$AA$15:$AA$33,0,U$13))),2),0)</f>
        <v>0</v>
      </c>
      <c r="V62" s="619" cm="1">
        <f t="array" aca="1" ref="V62" ca="1">IF(AUTOEVENTO="Manual",ROUND(SUMPRODUCT((CÁLCULO!$M$15:$M$33=EVENTOS!$C62)*(OFFSET(CÁLCULO!$AA$15:$AA$33,0,V$13))),2),0)</f>
        <v>0</v>
      </c>
      <c r="W62" s="619" cm="1">
        <f t="array" aca="1" ref="W62" ca="1">IF(AUTOEVENTO="Manual",ROUND(SUMPRODUCT((CÁLCULO!$M$15:$M$33=EVENTOS!$C62)*(OFFSET(CÁLCULO!$AA$15:$AA$33,0,W$13))),2),0)</f>
        <v>0</v>
      </c>
      <c r="X62" s="619" cm="1">
        <f t="array" aca="1" ref="X62" ca="1">IF(AUTOEVENTO="Manual",ROUND(SUMPRODUCT((CÁLCULO!$M$15:$M$33=EVENTOS!$C62)*(OFFSET(CÁLCULO!$AA$15:$AA$33,0,X$13))),2),0)</f>
        <v>0</v>
      </c>
      <c r="Y62" s="619" cm="1">
        <f t="array" aca="1" ref="Y62" ca="1">IF(AUTOEVENTO="Manual",ROUND(SUMPRODUCT((CÁLCULO!$M$15:$M$33=EVENTOS!$C62)*(OFFSET(CÁLCULO!$AA$15:$AA$33,0,Y$13))),2),0)</f>
        <v>0</v>
      </c>
    </row>
    <row r="63" spans="1:25" x14ac:dyDescent="0.2">
      <c r="A63" s="505" t="str">
        <f t="shared" si="3"/>
        <v/>
      </c>
      <c r="B63" t="str">
        <f t="shared" ca="1" si="4"/>
        <v/>
      </c>
      <c r="C63" s="181" t="str" cm="1">
        <f t="array" aca="1" ref="C63" ca="1">IF(OR(ROW(C63)=ROW(EVENTOS.firstrow)+1,AND(OFFSET(C63,-1,0)&lt;&gt;" ",OFFSET(C63,-1,1)&lt;&gt;"")),OFFSET(C63,-1,0)+1," ")</f>
        <v xml:space="preserve"> </v>
      </c>
      <c r="D63" s="495"/>
      <c r="E63" s="619" cm="1">
        <f t="array" aca="1" ref="E63" ca="1">IF(AUTOEVENTO="Manual",ROUND(SUMPRODUCT((CÁLCULO!$M$15:$M$33=EVENTOS!$C63)*(OFFSET(CÁLCULO!$AA$15:$AA$33,0,E$13))),2),0)</f>
        <v>0</v>
      </c>
      <c r="F63" s="182">
        <f ca="1">IF(AUTOEVENTO="Manual",ROUND(SUMPRODUCT((CÁLCULO!$M$15:$M$33=EVENTOS!$C63)*(OFFSET(CÁLCULO!$AA$15,0,1):OFFSET(CÁLCULO!$AL$33,0,-1))),2),0)</f>
        <v>0</v>
      </c>
      <c r="G63" s="620" t="str">
        <f t="shared" ca="1" si="6"/>
        <v/>
      </c>
      <c r="H63" s="619" cm="1">
        <f t="array" aca="1" ref="H63" ca="1">IF(AUTOEVENTO="Manual",ROUND(SUMPRODUCT((CÁLCULO!$M$15:$M$33=EVENTOS!$C63)*(OFFSET(CÁLCULO!$AA$15:$AA$33,0,H$13))),2),0)</f>
        <v>0</v>
      </c>
      <c r="I63" s="619" cm="1">
        <f t="array" aca="1" ref="I63" ca="1">IF(AUTOEVENTO="Manual",ROUND(SUMPRODUCT((CÁLCULO!$M$15:$M$33=EVENTOS!$C63)*(OFFSET(CÁLCULO!$AA$15:$AA$33,0,I$13))),2),0)</f>
        <v>0</v>
      </c>
      <c r="J63" s="619" cm="1">
        <f t="array" aca="1" ref="J63" ca="1">IF(AUTOEVENTO="Manual",ROUND(SUMPRODUCT((CÁLCULO!$M$15:$M$33=EVENTOS!$C63)*(OFFSET(CÁLCULO!$AA$15:$AA$33,0,J$13))),2),0)</f>
        <v>0</v>
      </c>
      <c r="K63" s="619" cm="1">
        <f t="array" aca="1" ref="K63" ca="1">IF(AUTOEVENTO="Manual",ROUND(SUMPRODUCT((CÁLCULO!$M$15:$M$33=EVENTOS!$C63)*(OFFSET(CÁLCULO!$AA$15:$AA$33,0,K$13))),2),0)</f>
        <v>0</v>
      </c>
      <c r="L63" s="619" cm="1">
        <f t="array" aca="1" ref="L63" ca="1">IF(AUTOEVENTO="Manual",ROUND(SUMPRODUCT((CÁLCULO!$M$15:$M$33=EVENTOS!$C63)*(OFFSET(CÁLCULO!$AA$15:$AA$33,0,L$13))),2),0)</f>
        <v>0</v>
      </c>
      <c r="M63" s="619" cm="1">
        <f t="array" aca="1" ref="M63" ca="1">IF(AUTOEVENTO="Manual",ROUND(SUMPRODUCT((CÁLCULO!$M$15:$M$33=EVENTOS!$C63)*(OFFSET(CÁLCULO!$AA$15:$AA$33,0,M$13))),2),0)</f>
        <v>0</v>
      </c>
      <c r="N63" s="619" cm="1">
        <f t="array" aca="1" ref="N63" ca="1">IF(AUTOEVENTO="Manual",ROUND(SUMPRODUCT((CÁLCULO!$M$15:$M$33=EVENTOS!$C63)*(OFFSET(CÁLCULO!$AA$15:$AA$33,0,N$13))),2),0)</f>
        <v>0</v>
      </c>
      <c r="O63" s="619" cm="1">
        <f t="array" aca="1" ref="O63" ca="1">IF(AUTOEVENTO="Manual",ROUND(SUMPRODUCT((CÁLCULO!$M$15:$M$33=EVENTOS!$C63)*(OFFSET(CÁLCULO!$AA$15:$AA$33,0,O$13))),2),0)</f>
        <v>0</v>
      </c>
      <c r="P63" s="619" cm="1">
        <f t="array" aca="1" ref="P63" ca="1">IF(AUTOEVENTO="Manual",ROUND(SUMPRODUCT((CÁLCULO!$M$15:$M$33=EVENTOS!$C63)*(OFFSET(CÁLCULO!$AA$15:$AA$33,0,P$13))),2),0)</f>
        <v>0</v>
      </c>
      <c r="Q63" s="619" cm="1">
        <f t="array" aca="1" ref="Q63" ca="1">IF(AUTOEVENTO="Manual",ROUND(SUMPRODUCT((CÁLCULO!$M$15:$M$33=EVENTOS!$C63)*(OFFSET(CÁLCULO!$AA$15:$AA$33,0,Q$13))),2),0)</f>
        <v>0</v>
      </c>
      <c r="R63" s="619" cm="1">
        <f t="array" aca="1" ref="R63" ca="1">IF(AUTOEVENTO="Manual",ROUND(SUMPRODUCT((CÁLCULO!$M$15:$M$33=EVENTOS!$C63)*(OFFSET(CÁLCULO!$AA$15:$AA$33,0,R$13))),2),0)</f>
        <v>0</v>
      </c>
      <c r="S63" s="619" cm="1">
        <f t="array" aca="1" ref="S63" ca="1">IF(AUTOEVENTO="Manual",ROUND(SUMPRODUCT((CÁLCULO!$M$15:$M$33=EVENTOS!$C63)*(OFFSET(CÁLCULO!$AA$15:$AA$33,0,S$13))),2),0)</f>
        <v>0</v>
      </c>
      <c r="T63" s="619" cm="1">
        <f t="array" aca="1" ref="T63" ca="1">IF(AUTOEVENTO="Manual",ROUND(SUMPRODUCT((CÁLCULO!$M$15:$M$33=EVENTOS!$C63)*(OFFSET(CÁLCULO!$AA$15:$AA$33,0,T$13))),2),0)</f>
        <v>0</v>
      </c>
      <c r="U63" s="619" cm="1">
        <f t="array" aca="1" ref="U63" ca="1">IF(AUTOEVENTO="Manual",ROUND(SUMPRODUCT((CÁLCULO!$M$15:$M$33=EVENTOS!$C63)*(OFFSET(CÁLCULO!$AA$15:$AA$33,0,U$13))),2),0)</f>
        <v>0</v>
      </c>
      <c r="V63" s="619" cm="1">
        <f t="array" aca="1" ref="V63" ca="1">IF(AUTOEVENTO="Manual",ROUND(SUMPRODUCT((CÁLCULO!$M$15:$M$33=EVENTOS!$C63)*(OFFSET(CÁLCULO!$AA$15:$AA$33,0,V$13))),2),0)</f>
        <v>0</v>
      </c>
      <c r="W63" s="619" cm="1">
        <f t="array" aca="1" ref="W63" ca="1">IF(AUTOEVENTO="Manual",ROUND(SUMPRODUCT((CÁLCULO!$M$15:$M$33=EVENTOS!$C63)*(OFFSET(CÁLCULO!$AA$15:$AA$33,0,W$13))),2),0)</f>
        <v>0</v>
      </c>
      <c r="X63" s="619" cm="1">
        <f t="array" aca="1" ref="X63" ca="1">IF(AUTOEVENTO="Manual",ROUND(SUMPRODUCT((CÁLCULO!$M$15:$M$33=EVENTOS!$C63)*(OFFSET(CÁLCULO!$AA$15:$AA$33,0,X$13))),2),0)</f>
        <v>0</v>
      </c>
      <c r="Y63" s="619" cm="1">
        <f t="array" aca="1" ref="Y63" ca="1">IF(AUTOEVENTO="Manual",ROUND(SUMPRODUCT((CÁLCULO!$M$15:$M$33=EVENTOS!$C63)*(OFFSET(CÁLCULO!$AA$15:$AA$33,0,Y$13))),2),0)</f>
        <v>0</v>
      </c>
    </row>
    <row r="64" spans="1:25" x14ac:dyDescent="0.2">
      <c r="A64" s="505" t="str">
        <f t="shared" si="3"/>
        <v/>
      </c>
      <c r="B64" t="str">
        <f t="shared" ca="1" si="4"/>
        <v/>
      </c>
      <c r="C64" s="181" t="str" cm="1">
        <f t="array" aca="1" ref="C64" ca="1">IF(OR(ROW(C64)=ROW(EVENTOS.firstrow)+1,AND(OFFSET(C64,-1,0)&lt;&gt;" ",OFFSET(C64,-1,1)&lt;&gt;"")),OFFSET(C64,-1,0)+1," ")</f>
        <v xml:space="preserve"> </v>
      </c>
      <c r="D64" s="495"/>
      <c r="E64" s="619" cm="1">
        <f t="array" aca="1" ref="E64" ca="1">IF(AUTOEVENTO="Manual",ROUND(SUMPRODUCT((CÁLCULO!$M$15:$M$33=EVENTOS!$C64)*(OFFSET(CÁLCULO!$AA$15:$AA$33,0,E$13))),2),0)</f>
        <v>0</v>
      </c>
      <c r="F64" s="182">
        <f ca="1">IF(AUTOEVENTO="Manual",ROUND(SUMPRODUCT((CÁLCULO!$M$15:$M$33=EVENTOS!$C64)*(OFFSET(CÁLCULO!$AA$15,0,1):OFFSET(CÁLCULO!$AL$33,0,-1))),2),0)</f>
        <v>0</v>
      </c>
      <c r="G64" s="620" t="str">
        <f t="shared" ca="1" si="6"/>
        <v/>
      </c>
      <c r="H64" s="619" cm="1">
        <f t="array" aca="1" ref="H64" ca="1">IF(AUTOEVENTO="Manual",ROUND(SUMPRODUCT((CÁLCULO!$M$15:$M$33=EVENTOS!$C64)*(OFFSET(CÁLCULO!$AA$15:$AA$33,0,H$13))),2),0)</f>
        <v>0</v>
      </c>
      <c r="I64" s="619" cm="1">
        <f t="array" aca="1" ref="I64" ca="1">IF(AUTOEVENTO="Manual",ROUND(SUMPRODUCT((CÁLCULO!$M$15:$M$33=EVENTOS!$C64)*(OFFSET(CÁLCULO!$AA$15:$AA$33,0,I$13))),2),0)</f>
        <v>0</v>
      </c>
      <c r="J64" s="619" cm="1">
        <f t="array" aca="1" ref="J64" ca="1">IF(AUTOEVENTO="Manual",ROUND(SUMPRODUCT((CÁLCULO!$M$15:$M$33=EVENTOS!$C64)*(OFFSET(CÁLCULO!$AA$15:$AA$33,0,J$13))),2),0)</f>
        <v>0</v>
      </c>
      <c r="K64" s="619" cm="1">
        <f t="array" aca="1" ref="K64" ca="1">IF(AUTOEVENTO="Manual",ROUND(SUMPRODUCT((CÁLCULO!$M$15:$M$33=EVENTOS!$C64)*(OFFSET(CÁLCULO!$AA$15:$AA$33,0,K$13))),2),0)</f>
        <v>0</v>
      </c>
      <c r="L64" s="619" cm="1">
        <f t="array" aca="1" ref="L64" ca="1">IF(AUTOEVENTO="Manual",ROUND(SUMPRODUCT((CÁLCULO!$M$15:$M$33=EVENTOS!$C64)*(OFFSET(CÁLCULO!$AA$15:$AA$33,0,L$13))),2),0)</f>
        <v>0</v>
      </c>
      <c r="M64" s="619" cm="1">
        <f t="array" aca="1" ref="M64" ca="1">IF(AUTOEVENTO="Manual",ROUND(SUMPRODUCT((CÁLCULO!$M$15:$M$33=EVENTOS!$C64)*(OFFSET(CÁLCULO!$AA$15:$AA$33,0,M$13))),2),0)</f>
        <v>0</v>
      </c>
      <c r="N64" s="619" cm="1">
        <f t="array" aca="1" ref="N64" ca="1">IF(AUTOEVENTO="Manual",ROUND(SUMPRODUCT((CÁLCULO!$M$15:$M$33=EVENTOS!$C64)*(OFFSET(CÁLCULO!$AA$15:$AA$33,0,N$13))),2),0)</f>
        <v>0</v>
      </c>
      <c r="O64" s="619" cm="1">
        <f t="array" aca="1" ref="O64" ca="1">IF(AUTOEVENTO="Manual",ROUND(SUMPRODUCT((CÁLCULO!$M$15:$M$33=EVENTOS!$C64)*(OFFSET(CÁLCULO!$AA$15:$AA$33,0,O$13))),2),0)</f>
        <v>0</v>
      </c>
      <c r="P64" s="619" cm="1">
        <f t="array" aca="1" ref="P64" ca="1">IF(AUTOEVENTO="Manual",ROUND(SUMPRODUCT((CÁLCULO!$M$15:$M$33=EVENTOS!$C64)*(OFFSET(CÁLCULO!$AA$15:$AA$33,0,P$13))),2),0)</f>
        <v>0</v>
      </c>
      <c r="Q64" s="619" cm="1">
        <f t="array" aca="1" ref="Q64" ca="1">IF(AUTOEVENTO="Manual",ROUND(SUMPRODUCT((CÁLCULO!$M$15:$M$33=EVENTOS!$C64)*(OFFSET(CÁLCULO!$AA$15:$AA$33,0,Q$13))),2),0)</f>
        <v>0</v>
      </c>
      <c r="R64" s="619" cm="1">
        <f t="array" aca="1" ref="R64" ca="1">IF(AUTOEVENTO="Manual",ROUND(SUMPRODUCT((CÁLCULO!$M$15:$M$33=EVENTOS!$C64)*(OFFSET(CÁLCULO!$AA$15:$AA$33,0,R$13))),2),0)</f>
        <v>0</v>
      </c>
      <c r="S64" s="619" cm="1">
        <f t="array" aca="1" ref="S64" ca="1">IF(AUTOEVENTO="Manual",ROUND(SUMPRODUCT((CÁLCULO!$M$15:$M$33=EVENTOS!$C64)*(OFFSET(CÁLCULO!$AA$15:$AA$33,0,S$13))),2),0)</f>
        <v>0</v>
      </c>
      <c r="T64" s="619" cm="1">
        <f t="array" aca="1" ref="T64" ca="1">IF(AUTOEVENTO="Manual",ROUND(SUMPRODUCT((CÁLCULO!$M$15:$M$33=EVENTOS!$C64)*(OFFSET(CÁLCULO!$AA$15:$AA$33,0,T$13))),2),0)</f>
        <v>0</v>
      </c>
      <c r="U64" s="619" cm="1">
        <f t="array" aca="1" ref="U64" ca="1">IF(AUTOEVENTO="Manual",ROUND(SUMPRODUCT((CÁLCULO!$M$15:$M$33=EVENTOS!$C64)*(OFFSET(CÁLCULO!$AA$15:$AA$33,0,U$13))),2),0)</f>
        <v>0</v>
      </c>
      <c r="V64" s="619" cm="1">
        <f t="array" aca="1" ref="V64" ca="1">IF(AUTOEVENTO="Manual",ROUND(SUMPRODUCT((CÁLCULO!$M$15:$M$33=EVENTOS!$C64)*(OFFSET(CÁLCULO!$AA$15:$AA$33,0,V$13))),2),0)</f>
        <v>0</v>
      </c>
      <c r="W64" s="619" cm="1">
        <f t="array" aca="1" ref="W64" ca="1">IF(AUTOEVENTO="Manual",ROUND(SUMPRODUCT((CÁLCULO!$M$15:$M$33=EVENTOS!$C64)*(OFFSET(CÁLCULO!$AA$15:$AA$33,0,W$13))),2),0)</f>
        <v>0</v>
      </c>
      <c r="X64" s="619" cm="1">
        <f t="array" aca="1" ref="X64" ca="1">IF(AUTOEVENTO="Manual",ROUND(SUMPRODUCT((CÁLCULO!$M$15:$M$33=EVENTOS!$C64)*(OFFSET(CÁLCULO!$AA$15:$AA$33,0,X$13))),2),0)</f>
        <v>0</v>
      </c>
      <c r="Y64" s="619" cm="1">
        <f t="array" aca="1" ref="Y64" ca="1">IF(AUTOEVENTO="Manual",ROUND(SUMPRODUCT((CÁLCULO!$M$15:$M$33=EVENTOS!$C64)*(OFFSET(CÁLCULO!$AA$15:$AA$33,0,Y$13))),2),0)</f>
        <v>0</v>
      </c>
    </row>
    <row r="65" spans="1:25" ht="5.0999999999999996" customHeight="1" x14ac:dyDescent="0.2">
      <c r="A65" s="505" t="s">
        <v>536</v>
      </c>
      <c r="C65" s="628"/>
      <c r="D65" s="629"/>
      <c r="E65" s="630"/>
      <c r="F65" s="183"/>
      <c r="G65" s="630"/>
      <c r="H65" s="630"/>
      <c r="I65" s="630"/>
      <c r="J65" s="630"/>
      <c r="K65" s="630"/>
      <c r="L65" s="630"/>
      <c r="M65" s="630"/>
      <c r="N65" s="630"/>
      <c r="O65" s="630"/>
      <c r="P65" s="630"/>
      <c r="Q65" s="630"/>
      <c r="R65" s="630"/>
      <c r="S65" s="630"/>
      <c r="T65" s="630"/>
      <c r="U65" s="630"/>
      <c r="V65" s="630"/>
      <c r="W65" s="630"/>
      <c r="X65" s="630"/>
      <c r="Y65" s="630"/>
    </row>
    <row r="66" spans="1:25" x14ac:dyDescent="0.2">
      <c r="A66" s="505" t="s">
        <v>536</v>
      </c>
    </row>
    <row r="67" spans="1:25" x14ac:dyDescent="0.2">
      <c r="A67" s="505" t="s">
        <v>536</v>
      </c>
    </row>
    <row r="68" spans="1:25" ht="15" x14ac:dyDescent="0.2">
      <c r="A68" s="505" t="s">
        <v>536</v>
      </c>
      <c r="D68" s="492" t="str">
        <f>Import.Município</f>
        <v>RS</v>
      </c>
      <c r="L68" s="459"/>
      <c r="M68" s="416"/>
      <c r="N68" s="416"/>
      <c r="O68" s="416"/>
      <c r="V68" s="459"/>
      <c r="W68" s="416"/>
      <c r="X68" s="416"/>
      <c r="Y68" s="416"/>
    </row>
    <row r="69" spans="1:25" x14ac:dyDescent="0.2">
      <c r="A69" s="505" t="s">
        <v>536</v>
      </c>
      <c r="D69" s="9" t="s">
        <v>693</v>
      </c>
      <c r="H69" s="543"/>
      <c r="I69" s="543"/>
      <c r="J69" s="543"/>
      <c r="L69" s="180" t="s">
        <v>696</v>
      </c>
      <c r="V69" s="180" t="s">
        <v>696</v>
      </c>
    </row>
    <row r="70" spans="1:25" x14ac:dyDescent="0.2">
      <c r="A70" s="505" t="s">
        <v>536</v>
      </c>
      <c r="H70" s="543"/>
      <c r="I70" s="543"/>
      <c r="J70" s="543"/>
      <c r="L70" s="397" t="str">
        <f t="array" aca="1" ref="L70:L72" ca="1">OFFSET(Import.RespOrçamento,0,-1) &amp; " " &amp; Import.RespOrçamento</f>
        <v>Nome: GABRIEL ADAMS DOMINGUES</v>
      </c>
      <c r="V70" s="397" t="str">
        <f t="array" aca="1" ref="V70:V72" ca="1">OFFSET(Import.RespOrçamento,0,-1) &amp; " " &amp; Import.RespOrçamento</f>
        <v>Nome: GABRIEL ADAMS DOMINGUES</v>
      </c>
    </row>
    <row r="71" spans="1:25" x14ac:dyDescent="0.2">
      <c r="A71" s="505" t="s">
        <v>536</v>
      </c>
      <c r="D71" s="493">
        <f>DADOS!$C$25</f>
        <v>46252</v>
      </c>
      <c r="L71" s="397" t="str">
        <f ca="1"/>
        <v>CREA/CAU: CREA RS 247738</v>
      </c>
      <c r="V71" s="397" t="str">
        <f ca="1"/>
        <v>CREA/CAU: CREA RS 247738</v>
      </c>
    </row>
    <row r="72" spans="1:25" x14ac:dyDescent="0.2">
      <c r="A72" s="505" t="s">
        <v>536</v>
      </c>
      <c r="D72" s="9" t="s">
        <v>694</v>
      </c>
      <c r="L72" s="397" t="str">
        <f ca="1"/>
        <v>ART/RRT: 14574615</v>
      </c>
      <c r="V72" s="397" t="str">
        <f ca="1"/>
        <v>ART/RRT: 14574615</v>
      </c>
    </row>
  </sheetData>
  <sheetProtection algorithmName="SHA-512" hashValue="Z65ogVWq8mi1+RCFSnQCv0lqdvYoysuojw6T0i5SgnLMNGjnPoCIQemhaHecALsKlc/bxwtzYvhk9H0KmSy5Mw==" saltValue="5kEfmzw0/Mn1VHk6lP6KhQ==" spinCount="100000" sheet="1" objects="1" scenarios="1" autoFilter="0"/>
  <autoFilter ref="A13:A72"/>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266" priority="1" stopIfTrue="1">
      <formula>OR(AUTOEVENTO&lt;&gt;"Manual",ACOMPANHAMENTO="BM",C$10=0,C$13=0,$C1=" ")</formula>
    </cfRule>
  </conditionalFormatting>
  <conditionalFormatting sqref="A15 C15:XFD15">
    <cfRule type="expression" dxfId="265"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A1:BH65301"/>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1" cm="1">
        <f t="array" ref="O1">IF(OR(ACOMPANHAMENTO="BM",N1=0,O12=""),0,1)</f>
        <v>0</v>
      </c>
      <c r="P1" t="s">
        <v>764</v>
      </c>
      <c r="Q1" s="631" cm="1">
        <f t="array" ref="Q1">IF(OR(ACOMPANHAMENTO="BM",P1=0,Q12=""),0,1)</f>
        <v>0</v>
      </c>
      <c r="R1" s="631" cm="1">
        <f t="array" ref="R1">IF(OR(ACOMPANHAMENTO="BM",Q1=0,R12=""),0,1)</f>
        <v>0</v>
      </c>
      <c r="S1" s="631" cm="1">
        <f t="array" ref="S1">IF(OR(ACOMPANHAMENTO="BM",R1=0,S12=""),0,1)</f>
        <v>0</v>
      </c>
      <c r="T1" s="631" cm="1">
        <f t="array" ref="T1">IF(OR(ACOMPANHAMENTO="BM",S1=0,T12=""),0,1)</f>
        <v>0</v>
      </c>
      <c r="U1" s="631" cm="1">
        <f t="array" ref="U1">IF(OR(ACOMPANHAMENTO="BM",T1=0,U12=""),0,1)</f>
        <v>0</v>
      </c>
      <c r="V1" s="631" cm="1">
        <f t="array" ref="V1">IF(OR(ACOMPANHAMENTO="BM",U1=0,V12=""),0,1)</f>
        <v>0</v>
      </c>
      <c r="W1" s="631" cm="1">
        <f t="array" ref="W1">IF(OR(ACOMPANHAMENTO="BM",V1=0,W12=""),0,1)</f>
        <v>0</v>
      </c>
      <c r="X1" s="631" cm="1">
        <f t="array" ref="X1">IF(OR(ACOMPANHAMENTO="BM",W1=0,X12=""),0,1)</f>
        <v>0</v>
      </c>
      <c r="Y1" s="631" cm="1">
        <f t="array" ref="Y1">IF(OR(ACOMPANHAMENTO="BM",X1=0,Y12=""),0,1)</f>
        <v>0</v>
      </c>
      <c r="Z1" s="631"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5" t="str" cm="1">
        <f t="array" ref="F6">IF(ACOMPANHAMENTO="BM","MEMÓRIA DE CÁLCULO","PLQ - PLANILHA DE LEVANTAMENTO DE QUANTIDADES")</f>
        <v>MEMÓRIA DE CÁLCULO</v>
      </c>
      <c r="G6" s="735"/>
      <c r="H6" s="735"/>
      <c r="I6" s="140"/>
      <c r="K6" s="140"/>
      <c r="L6" s="140"/>
      <c r="M6" s="141"/>
      <c r="N6" s="140"/>
      <c r="P6" s="140"/>
      <c r="Q6" s="736" t="s">
        <v>644</v>
      </c>
      <c r="R6" s="737"/>
      <c r="Y6" s="703" t="s">
        <v>644</v>
      </c>
      <c r="Z6" s="703"/>
    </row>
    <row r="7" spans="1:59" ht="15" customHeight="1" x14ac:dyDescent="0.2">
      <c r="F7" s="738" t="str" cm="1">
        <f t="array" ref="F7">IF(ACOMPANHAMENTO="BM","","Memória de Cálculo")&amp;" - "&amp;import.recurso</f>
        <v xml:space="preserve"> - OGU</v>
      </c>
      <c r="G7" s="738"/>
      <c r="H7" s="738"/>
      <c r="I7" s="142"/>
      <c r="K7" s="142"/>
      <c r="L7" s="142"/>
      <c r="M7" s="143"/>
      <c r="N7" s="142"/>
      <c r="P7" s="142"/>
      <c r="Q7" s="739" t="s">
        <v>647</v>
      </c>
      <c r="R7" s="740"/>
      <c r="Y7" s="704" t="s">
        <v>647</v>
      </c>
      <c r="Z7" s="704"/>
    </row>
    <row r="8" spans="1:59" ht="12.75" customHeight="1" x14ac:dyDescent="0.2">
      <c r="AE8" s="475"/>
    </row>
    <row r="9" spans="1:59" ht="12.75" customHeight="1" x14ac:dyDescent="0.2">
      <c r="E9" s="699" t="s">
        <v>708</v>
      </c>
      <c r="F9" s="699"/>
      <c r="G9" s="699" t="s">
        <v>707</v>
      </c>
      <c r="H9" s="699"/>
      <c r="I9" s="86" t="s">
        <v>650</v>
      </c>
      <c r="K9" s="144" t="s">
        <v>652</v>
      </c>
      <c r="L9" s="145"/>
      <c r="M9" s="145"/>
      <c r="N9" s="145"/>
      <c r="O9" s="145"/>
      <c r="P9" s="145"/>
      <c r="Q9" s="145"/>
      <c r="R9" s="146"/>
      <c r="S9" s="699" t="s">
        <v>650</v>
      </c>
      <c r="T9" s="699"/>
      <c r="U9" s="699" t="s">
        <v>652</v>
      </c>
      <c r="V9" s="699"/>
      <c r="W9" s="699"/>
      <c r="X9" s="699"/>
      <c r="Y9" s="699"/>
      <c r="Z9" s="699"/>
    </row>
    <row r="10" spans="1:59" ht="12.75" customHeight="1" x14ac:dyDescent="0.2">
      <c r="A10" s="600" t="s">
        <v>768</v>
      </c>
      <c r="E10" s="702" t="str">
        <f>Import.Apelido</f>
        <v>CALÇAMENTO PEDRA IRREGULAR</v>
      </c>
      <c r="F10" s="702"/>
      <c r="G10" s="702" t="str" cm="1">
        <f t="array" ref="G10">Import.TransfereGOV</f>
        <v>SLG</v>
      </c>
      <c r="H10" s="702"/>
      <c r="I10" s="89" t="str">
        <f>Import.CR</f>
        <v>SLG</v>
      </c>
      <c r="K10" s="147" t="str">
        <f>Import.Proponente</f>
        <v>MUNICÍPIO DE SÃO LUIZ GONZAGA</v>
      </c>
      <c r="L10" s="148"/>
      <c r="M10" s="99"/>
      <c r="N10" s="148"/>
      <c r="O10" s="148"/>
      <c r="P10" s="148"/>
      <c r="Q10" s="148"/>
      <c r="R10" s="90"/>
      <c r="S10" s="702" t="str">
        <f>Import.CR</f>
        <v>SLG</v>
      </c>
      <c r="T10" s="702"/>
      <c r="U10" s="702" t="str">
        <f>Import.Proponente</f>
        <v>MUNICÍPIO DE SÃO LUIZ GONZAGA</v>
      </c>
      <c r="V10" s="702"/>
      <c r="W10" s="702"/>
      <c r="X10" s="702"/>
      <c r="Y10" s="702"/>
      <c r="Z10" s="702"/>
    </row>
    <row r="11" spans="1:59" ht="15" customHeight="1" x14ac:dyDescent="0.2">
      <c r="A11" s="449" t="str">
        <f>IF(AND(Import.TipoArredondamento="Tradicional",AUTOEVENTO="Manual"),"Automática",IF(CRONOPLE!$B$8="","Sem Adm","Manual"))</f>
        <v>Sem Adm</v>
      </c>
      <c r="F11" s="566" t="str">
        <f ca="1">IF(AND(ACOMPANHAMENTO="PLE",ISERROR(AUTOEVENTO)),"Selecione a forma de definição dos agrupadores de eventos na aba EVENTOS",
  IF(AND(ACOMPANHAMENTO="PLE",CÁLCULO.FrentesPreenchidas=0),"Preencher os nomes das Frentes de Obra",
  IF(COUNTIF($J$15:$J$33,"►E")&gt;0,"Não pode haver serviços sem agrupador de eventos",
  IF(COUNTIF($P$11:$AA$11,"▼")&gt;0,"Não pode haver frentes de obra sem quantidades",
  IF(COUNTIF($P$11:$AA$11,"Nome &gt;100")&gt;0,"Nome da frente de obra com mais de 100 caracteres","")))))</f>
        <v/>
      </c>
      <c r="N11" s="572" t="str">
        <f ca="1">IF(OR(COUNTIF($J$15:$J$33,"►E")&gt;0,COUNTIF($J$15:$J$33,"►Q")&gt;0),"",
IF(COUNTIF($J$15:$J$33,"►S")&gt;0,"Preencha as quantidades com no máximo duas casas decimais",
IF(COUNTIF($P$11:$AA$11,"▼")&gt;0,"Falta preencher a frente de obra nº " &amp; HLOOKUP("▼",$P$11:$AA$13,3,FALSE),
IF(COUNTIF($P$11:$AA$11,"Nome &gt;100")&gt;0,"Resuma o nome da frente de obra nº " &amp; HLOOKUP("Nome &gt;100",$P$11:$AA$13,3,FALSE),""))))</f>
        <v/>
      </c>
      <c r="O11" s="565" t="e">
        <f ca="1">IF(AND(O1=1,O15=0),"▼",IF(AND(O1=1,LEN(O12)&gt;100),"Nome &gt;100",""))</f>
        <v>#VALUE!</v>
      </c>
      <c r="P11" s="7"/>
      <c r="Q11" s="565" t="str">
        <f t="shared" ref="Q11:Z11" ca="1" si="0">IF(AND(Q1=1,Q15=0),"▼",IF(AND(Q1=1,LEN(Q12)&gt;100),"Nome &gt;100",""))</f>
        <v/>
      </c>
      <c r="R11" s="565" t="str">
        <f t="shared" ca="1" si="0"/>
        <v/>
      </c>
      <c r="S11" s="565" t="str">
        <f t="shared" ca="1" si="0"/>
        <v/>
      </c>
      <c r="T11" s="565" t="str">
        <f t="shared" ca="1" si="0"/>
        <v/>
      </c>
      <c r="U11" s="565" t="str">
        <f t="shared" ca="1" si="0"/>
        <v/>
      </c>
      <c r="V11" s="565" t="str">
        <f t="shared" ca="1" si="0"/>
        <v/>
      </c>
      <c r="W11" s="565" t="str">
        <f t="shared" ca="1" si="0"/>
        <v/>
      </c>
      <c r="X11" s="565" t="str">
        <f t="shared" ca="1" si="0"/>
        <v/>
      </c>
      <c r="Y11" s="565" t="str">
        <f t="shared" ca="1" si="0"/>
        <v/>
      </c>
      <c r="Z11" s="565" t="str">
        <f t="shared" ca="1" si="0"/>
        <v/>
      </c>
    </row>
    <row r="12" spans="1:59" ht="69.95" customHeight="1" x14ac:dyDescent="0.2">
      <c r="A12" s="598">
        <f>IF(Import.Eventos.Nível="Definir Manualmente","Manual",MATCH(Import.Eventos.Nível,EVENTOS!$B$6:$B$9,0)+1)</f>
        <v>2</v>
      </c>
      <c r="B12" s="7" t="s">
        <v>769</v>
      </c>
      <c r="C12" s="488" t="s">
        <v>655</v>
      </c>
      <c r="H12" s="149"/>
      <c r="I12" s="574" t="str">
        <f ca="1">IF(AND(ACOMPANHAMENTO="PLE",CÁLCULO.FrentesPreenchidas=0),"",
  IF(COUNTIF($J$15:$J$33,"►E")&gt;0,"Falta Definir o Agrupador de Evento na linha "&amp;MATCH("►E",$J$15:$J$33,0)+ROW($J$14),
  IF(COUNTIF($J$15:$J$33,"►Q")&gt;0,"Falta preencher a quantidade do serviço na linha "&amp;MATCH("►Q",$J$15:$J$33,0)+ROW($J$14),
  IF(COUNTIF($J$15:$J$33,"►S")&gt;0,"Verifique as quantidades preenchidas na linha "&amp;MATCH("►S",$J$15:$J$33,0)+ROW($J$14),
  IF(AND(COUNTIF($P$11:$AA$11,"▼")=0,COUNTIF($J$15:$J$33,"◄")&gt;0),"Falta Preencher o Memorial de Cálculo na linha "&amp;MATCH("◄",$J$15:$J$33,0)+ROW($J$14),"")))))</f>
        <v/>
      </c>
      <c r="J12" s="150" t="s">
        <v>764</v>
      </c>
      <c r="K12" s="151" t="s">
        <v>770</v>
      </c>
      <c r="L12" s="150" t="s">
        <v>764</v>
      </c>
      <c r="M12" s="569" cm="1">
        <f t="array" ref="M12">IF(ACOMPANHAMENTO="BM",0,MAX($M$15:$M$33))</f>
        <v>0</v>
      </c>
      <c r="N12" s="573" t="str">
        <f ca="1">IF(AND(ACOMPANHAMENTO="PLE",CÁLCULO.FrentesPreenchidas=0),"Preencher os nomes das Frentes de Obra ►","FRENTES DE OBRA:")</f>
        <v>FRENTES DE OBRA:</v>
      </c>
      <c r="O12" s="152"/>
      <c r="P12" s="150" t="s">
        <v>764</v>
      </c>
      <c r="Q12" s="451"/>
      <c r="R12" s="152"/>
      <c r="S12" s="152"/>
      <c r="T12" s="519"/>
      <c r="U12" s="152"/>
      <c r="V12" s="152"/>
      <c r="W12" s="152"/>
      <c r="X12" s="152"/>
      <c r="Y12" s="152"/>
      <c r="Z12" s="153"/>
      <c r="AA12" s="150" t="s">
        <v>764</v>
      </c>
      <c r="AB12" s="154">
        <f ca="1">IF(OFFSET($P$1,0,AB$13)=0,0,OFFSET($P$12,0,AB$13))</f>
        <v>0</v>
      </c>
      <c r="AC12" s="154">
        <f t="shared" ref="AC12:AK12" ca="1" si="1">IF(OFFSET($P$1,0,AC$13)=0,0,OFFSET($P$12,0,AC$13))</f>
        <v>0</v>
      </c>
      <c r="AD12" s="154">
        <f t="shared" ca="1" si="1"/>
        <v>0</v>
      </c>
      <c r="AE12" s="154">
        <f t="shared" ca="1" si="1"/>
        <v>0</v>
      </c>
      <c r="AF12" s="154">
        <f t="shared" ca="1" si="1"/>
        <v>0</v>
      </c>
      <c r="AG12" s="154">
        <f t="shared" ca="1" si="1"/>
        <v>0</v>
      </c>
      <c r="AH12" s="154">
        <f t="shared" ca="1" si="1"/>
        <v>0</v>
      </c>
      <c r="AI12" s="154">
        <f t="shared" ca="1" si="1"/>
        <v>0</v>
      </c>
      <c r="AJ12" s="154">
        <f t="shared" ca="1" si="1"/>
        <v>0</v>
      </c>
      <c r="AK12" s="154">
        <f t="shared" ca="1" si="1"/>
        <v>0</v>
      </c>
      <c r="AM12" s="154">
        <f t="shared" ref="AM12:BG12" ca="1" si="2">IF(OFFSET($P$1,0,AM$13)=0,0,OFFSET($P$12,0,AM$13))</f>
        <v>0</v>
      </c>
      <c r="AN12" s="155">
        <f t="shared" ca="1" si="2"/>
        <v>0</v>
      </c>
      <c r="AO12" s="155">
        <f t="shared" ca="1" si="2"/>
        <v>0</v>
      </c>
      <c r="AP12" s="155">
        <f t="shared" ca="1" si="2"/>
        <v>0</v>
      </c>
      <c r="AQ12" s="155">
        <f t="shared" ca="1" si="2"/>
        <v>0</v>
      </c>
      <c r="AR12" s="155">
        <f t="shared" ca="1" si="2"/>
        <v>0</v>
      </c>
      <c r="AS12" s="155">
        <f t="shared" ca="1" si="2"/>
        <v>0</v>
      </c>
      <c r="AT12" s="155">
        <f t="shared" ca="1" si="2"/>
        <v>0</v>
      </c>
      <c r="AU12" s="155">
        <f t="shared" ca="1" si="2"/>
        <v>0</v>
      </c>
      <c r="AV12" s="156">
        <f t="shared" ca="1" si="2"/>
        <v>0</v>
      </c>
      <c r="AX12" s="154">
        <f t="shared" ca="1" si="2"/>
        <v>0</v>
      </c>
      <c r="AY12" s="155">
        <f t="shared" ca="1" si="2"/>
        <v>0</v>
      </c>
      <c r="AZ12" s="155">
        <f t="shared" ca="1" si="2"/>
        <v>0</v>
      </c>
      <c r="BA12" s="155">
        <f t="shared" ca="1" si="2"/>
        <v>0</v>
      </c>
      <c r="BB12" s="155">
        <f t="shared" ca="1" si="2"/>
        <v>0</v>
      </c>
      <c r="BC12" s="155">
        <f t="shared" ca="1" si="2"/>
        <v>0</v>
      </c>
      <c r="BD12" s="155">
        <f t="shared" ca="1" si="2"/>
        <v>0</v>
      </c>
      <c r="BE12" s="155">
        <f t="shared" ca="1" si="2"/>
        <v>0</v>
      </c>
      <c r="BF12" s="155">
        <f t="shared" ca="1" si="2"/>
        <v>0</v>
      </c>
      <c r="BG12" s="156">
        <f t="shared" ca="1" si="2"/>
        <v>0</v>
      </c>
    </row>
    <row r="13" spans="1:59" ht="12.75" customHeight="1" x14ac:dyDescent="0.2">
      <c r="A13" s="599" t="s">
        <v>771</v>
      </c>
      <c r="B13" s="7" t="s">
        <v>769</v>
      </c>
      <c r="C13" s="489" t="s">
        <v>660</v>
      </c>
      <c r="D13" s="106" t="s">
        <v>733</v>
      </c>
      <c r="E13" s="106" t="s">
        <v>735</v>
      </c>
      <c r="F13" s="106" t="s">
        <v>118</v>
      </c>
      <c r="G13" s="108" t="s">
        <v>738</v>
      </c>
      <c r="H13" s="106" t="s">
        <v>712</v>
      </c>
      <c r="I13" s="106" t="s">
        <v>772</v>
      </c>
      <c r="J13" s="521"/>
      <c r="K13" s="291" t="s">
        <v>773</v>
      </c>
      <c r="L13" s="150"/>
      <c r="M13" s="106" t="s">
        <v>774</v>
      </c>
      <c r="N13" s="106" t="s">
        <v>775</v>
      </c>
      <c r="O13" s="157" t="e">
        <f ca="1">OFFSET(O13,0,-1)+1</f>
        <v>#VALUE!</v>
      </c>
      <c r="Q13" s="158">
        <f t="shared" ref="Q13:Z13" ca="1" si="3">OFFSET(Q13,0,-1)+1</f>
        <v>1</v>
      </c>
      <c r="R13" s="157">
        <f t="shared" ca="1" si="3"/>
        <v>2</v>
      </c>
      <c r="S13" s="157">
        <f t="shared" ca="1" si="3"/>
        <v>3</v>
      </c>
      <c r="T13" s="157">
        <f t="shared" ca="1" si="3"/>
        <v>4</v>
      </c>
      <c r="U13" s="157">
        <f t="shared" ca="1" si="3"/>
        <v>5</v>
      </c>
      <c r="V13" s="157">
        <f t="shared" ca="1" si="3"/>
        <v>6</v>
      </c>
      <c r="W13" s="157">
        <f t="shared" ca="1" si="3"/>
        <v>7</v>
      </c>
      <c r="X13" s="157">
        <f t="shared" ca="1" si="3"/>
        <v>8</v>
      </c>
      <c r="Y13" s="157">
        <f t="shared" ca="1" si="3"/>
        <v>9</v>
      </c>
      <c r="Z13" s="159">
        <f t="shared" ca="1" si="3"/>
        <v>10</v>
      </c>
      <c r="AB13" s="112">
        <f t="shared" ref="AB13:BG13" ca="1" si="4">OFFSET(AB13,0,-1)+1</f>
        <v>1</v>
      </c>
      <c r="AC13" s="160">
        <f t="shared" ca="1" si="4"/>
        <v>2</v>
      </c>
      <c r="AD13" s="160">
        <f t="shared" ca="1" si="4"/>
        <v>3</v>
      </c>
      <c r="AE13" s="160">
        <f t="shared" ca="1" si="4"/>
        <v>4</v>
      </c>
      <c r="AF13" s="160">
        <f t="shared" ca="1" si="4"/>
        <v>5</v>
      </c>
      <c r="AG13" s="160">
        <f t="shared" ca="1" si="4"/>
        <v>6</v>
      </c>
      <c r="AH13" s="160">
        <f t="shared" ca="1" si="4"/>
        <v>7</v>
      </c>
      <c r="AI13" s="160">
        <f t="shared" ca="1" si="4"/>
        <v>8</v>
      </c>
      <c r="AJ13" s="160">
        <f t="shared" ca="1" si="4"/>
        <v>9</v>
      </c>
      <c r="AK13" s="161">
        <f t="shared" ca="1" si="4"/>
        <v>10</v>
      </c>
      <c r="AM13" s="112">
        <f t="shared" ca="1" si="4"/>
        <v>1</v>
      </c>
      <c r="AN13" s="160">
        <f t="shared" ca="1" si="4"/>
        <v>2</v>
      </c>
      <c r="AO13" s="160">
        <f t="shared" ca="1" si="4"/>
        <v>3</v>
      </c>
      <c r="AP13" s="160">
        <f t="shared" ca="1" si="4"/>
        <v>4</v>
      </c>
      <c r="AQ13" s="160">
        <f t="shared" ca="1" si="4"/>
        <v>5</v>
      </c>
      <c r="AR13" s="160">
        <f t="shared" ca="1" si="4"/>
        <v>6</v>
      </c>
      <c r="AS13" s="160">
        <f t="shared" ca="1" si="4"/>
        <v>7</v>
      </c>
      <c r="AT13" s="160">
        <f t="shared" ca="1" si="4"/>
        <v>8</v>
      </c>
      <c r="AU13" s="160">
        <f t="shared" ca="1" si="4"/>
        <v>9</v>
      </c>
      <c r="AV13" s="161">
        <f t="shared" ca="1" si="4"/>
        <v>10</v>
      </c>
      <c r="AX13" s="112">
        <f t="shared" ca="1" si="4"/>
        <v>1</v>
      </c>
      <c r="AY13" s="160">
        <f t="shared" ca="1" si="4"/>
        <v>2</v>
      </c>
      <c r="AZ13" s="160">
        <f t="shared" ca="1" si="4"/>
        <v>3</v>
      </c>
      <c r="BA13" s="160">
        <f t="shared" ca="1" si="4"/>
        <v>4</v>
      </c>
      <c r="BB13" s="160">
        <f t="shared" ca="1" si="4"/>
        <v>5</v>
      </c>
      <c r="BC13" s="160">
        <f t="shared" ca="1" si="4"/>
        <v>6</v>
      </c>
      <c r="BD13" s="160">
        <f t="shared" ca="1" si="4"/>
        <v>7</v>
      </c>
      <c r="BE13" s="160">
        <f t="shared" ca="1" si="4"/>
        <v>8</v>
      </c>
      <c r="BF13" s="160">
        <f t="shared" ca="1" si="4"/>
        <v>9</v>
      </c>
      <c r="BG13" s="161">
        <f t="shared" ca="1" si="4"/>
        <v>10</v>
      </c>
    </row>
    <row r="14" spans="1:59" ht="25.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5" t="str">
        <f ca="1">OFFSET(ORÇAMENTO!N$15,$L14,0)</f>
        <v>Meta</v>
      </c>
      <c r="E14" s="116" t="str">
        <f ca="1">OFFSET(ORÇAMENTO!O$15,$L14,0)</f>
        <v>1.</v>
      </c>
      <c r="F14" s="162" t="str">
        <f ca="1">OFFSET(ORÇAMENTO!R$15,$L14,0)</f>
        <v xml:space="preserve">CALÇAMENTO DE PEDRAS IRREGULARES - RINCÃO DE SANTANA EM FRENTE ESCOLA JOÃO XXIII E SALÃO PAROQUIAL </v>
      </c>
      <c r="G14" s="163" t="str">
        <f ca="1">IF($D14&lt;&gt;"Serviço","",OFFSET(ORÇAMENTO!S$15,$L14,0))</f>
        <v/>
      </c>
      <c r="H14" s="121" cm="1">
        <f t="array" aca="1" ref="H14" ca="1">IF($D14&lt;&gt;"Serviço",0,IF(ACOMPANHAMENTO="BM",ROUND(OFFSET(ORÇAMENTO!AJ$15,$L14,0),15-13*ORÇAMENTO!$AF$7),IF(IFERROR(CÁLCULO.FrentesPreenchidas,0)=0,0,SUM(ROUND(OFFSET($P14,0,1,1,CÁLCULO.FrentesPreenchidas),15-13*ORÇAMENTO!$AF$7)))))</f>
        <v>0</v>
      </c>
      <c r="I14" s="467"/>
      <c r="J14" s="650"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1"/>
      <c r="L14" s="164">
        <f ca="1">OFFSET(L14,-1,0)+1</f>
        <v>1</v>
      </c>
      <c r="M14" s="165" t="str">
        <f ca="1">IF($D14&lt;&gt;"Serviço","",
          IF(AUTOEVENTO="manual",$A14,
                IF(ISERROR(MATCH($A14,$A$15:OFFSET($A14,-1,0),0)),MAX($M$15:OFFSET(M14,-1,0))+1,
                      INDEX($M$15:OFFSET(M14,-1,0),MATCH($A14,$A$15:OFFSET($A14,-1,0),0)))))</f>
        <v/>
      </c>
      <c r="N14" s="166" t="str">
        <f ca="1">IF($D14&lt;&gt;"Serviço","",
         IF(AUTOEVENTO="Manual",
                IF($A14=0,"&lt;-- defina o número do agrupador",
                       OFFSET(EVENTOS!$D$15,$A14-$A$15,0)),
                OFFSET($F$15,$A14,0)))</f>
        <v/>
      </c>
      <c r="O14" s="167"/>
      <c r="Q14" s="167"/>
      <c r="R14" s="168"/>
      <c r="S14" s="168"/>
      <c r="T14" s="168"/>
      <c r="U14" s="168"/>
      <c r="V14" s="168"/>
      <c r="W14" s="168"/>
      <c r="X14" s="168"/>
      <c r="Y14" s="168"/>
      <c r="Z14" s="169"/>
      <c r="AB14" s="452">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2">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2">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2">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2">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2">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2">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2">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2">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2">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0">
        <f ca="1">IF(OR($D14&lt;&gt;"Serviço",AND(AUTOEVENTO="Manual",$M14=$A$15)),0,
         IF(OFFSET(CRONOPLE!$F$15,$M14-$A$15,AM$13)=0,10^12,OFFSET(CRONOPLE!$F$15,$M14-$A$15,AM$13)))</f>
        <v>0</v>
      </c>
      <c r="AN14" s="170">
        <f ca="1">IF(OR($D14&lt;&gt;"Serviço",AND(AUTOEVENTO="Manual",$M14=$A$15)),0,
         IF(OFFSET(CRONOPLE!$F$15,$M14-$A$15,AN$13)=0,10^12,OFFSET(CRONOPLE!$F$15,$M14-$A$15,AN$13)))</f>
        <v>0</v>
      </c>
      <c r="AO14" s="170">
        <f ca="1">IF(OR($D14&lt;&gt;"Serviço",AND(AUTOEVENTO="Manual",$M14=$A$15)),0,
         IF(OFFSET(CRONOPLE!$F$15,$M14-$A$15,AO$13)=0,10^12,OFFSET(CRONOPLE!$F$15,$M14-$A$15,AO$13)))</f>
        <v>0</v>
      </c>
      <c r="AP14" s="170">
        <f ca="1">IF(OR($D14&lt;&gt;"Serviço",AND(AUTOEVENTO="Manual",$M14=$A$15)),0,
         IF(OFFSET(CRONOPLE!$F$15,$M14-$A$15,AP$13)=0,10^12,OFFSET(CRONOPLE!$F$15,$M14-$A$15,AP$13)))</f>
        <v>0</v>
      </c>
      <c r="AQ14" s="170">
        <f ca="1">IF(OR($D14&lt;&gt;"Serviço",AND(AUTOEVENTO="Manual",$M14=$A$15)),0,
         IF(OFFSET(CRONOPLE!$F$15,$M14-$A$15,AQ$13)=0,10^12,OFFSET(CRONOPLE!$F$15,$M14-$A$15,AQ$13)))</f>
        <v>0</v>
      </c>
      <c r="AR14" s="170">
        <f ca="1">IF(OR($D14&lt;&gt;"Serviço",AND(AUTOEVENTO="Manual",$M14=$A$15)),0,
         IF(OFFSET(CRONOPLE!$F$15,$M14-$A$15,AR$13)=0,10^12,OFFSET(CRONOPLE!$F$15,$M14-$A$15,AR$13)))</f>
        <v>0</v>
      </c>
      <c r="AS14" s="170">
        <f ca="1">IF(OR($D14&lt;&gt;"Serviço",AND(AUTOEVENTO="Manual",$M14=$A$15)),0,
         IF(OFFSET(CRONOPLE!$F$15,$M14-$A$15,AS$13)=0,10^12,OFFSET(CRONOPLE!$F$15,$M14-$A$15,AS$13)))</f>
        <v>0</v>
      </c>
      <c r="AT14" s="170">
        <f ca="1">IF(OR($D14&lt;&gt;"Serviço",AND(AUTOEVENTO="Manual",$M14=$A$15)),0,
         IF(OFFSET(CRONOPLE!$F$15,$M14-$A$15,AT$13)=0,10^12,OFFSET(CRONOPLE!$F$15,$M14-$A$15,AT$13)))</f>
        <v>0</v>
      </c>
      <c r="AU14" s="170">
        <f ca="1">IF(OR($D14&lt;&gt;"Serviço",AND(AUTOEVENTO="Manual",$M14=$A$15)),0,
         IF(OFFSET(CRONOPLE!$F$15,$M14-$A$15,AU$13)=0,10^12,OFFSET(CRONOPLE!$F$15,$M14-$A$15,AU$13)))</f>
        <v>0</v>
      </c>
      <c r="AV14" s="170">
        <f ca="1">IF(OR($D14&lt;&gt;"Serviço",AND(AUTOEVENTO="Manual",$M14=$A$15)),0,
         IF(OFFSET(CRONOPLE!$F$15,$M14-$A$15,AV$13)=0,10^12,OFFSET(CRONOPLE!$F$15,$M14-$A$15,AV$13)))</f>
        <v>0</v>
      </c>
      <c r="AX14" s="171" cm="1">
        <f t="array" aca="1" ref="AX14" ca="1">IF(OR($D14&lt;&gt;"Serviço",AND(AUTOEVENTO="Manual",$M14=$A$15),$M14&gt;(ROW(PLE.lastrow)-ROW(PLE.firstrow))),0,
           IF(OFFSET(PLE!$G$15,$M14-$A$15,AX$13)="",10^12,OFFSET(PLE!$G$15,$M14-$A$15,AX$13)))</f>
        <v>0</v>
      </c>
      <c r="AY14" s="171" cm="1">
        <f t="array" aca="1" ref="AY14" ca="1">IF(OR($D14&lt;&gt;"Serviço",AND(AUTOEVENTO="Manual",$M14=$A$15),$M14&gt;(ROW(PLE.lastrow)-ROW(PLE.firstrow))),0,
           IF(OFFSET(PLE!$G$15,$M14-$A$15,AY$13)="",10^12,OFFSET(PLE!$G$15,$M14-$A$15,AY$13)))</f>
        <v>0</v>
      </c>
      <c r="AZ14" s="171" cm="1">
        <f t="array" aca="1" ref="AZ14" ca="1">IF(OR($D14&lt;&gt;"Serviço",AND(AUTOEVENTO="Manual",$M14=$A$15),$M14&gt;(ROW(PLE.lastrow)-ROW(PLE.firstrow))),0,
           IF(OFFSET(PLE!$G$15,$M14-$A$15,AZ$13)="",10^12,OFFSET(PLE!$G$15,$M14-$A$15,AZ$13)))</f>
        <v>0</v>
      </c>
      <c r="BA14" s="171" cm="1">
        <f t="array" aca="1" ref="BA14" ca="1">IF(OR($D14&lt;&gt;"Serviço",AND(AUTOEVENTO="Manual",$M14=$A$15),$M14&gt;(ROW(PLE.lastrow)-ROW(PLE.firstrow))),0,
           IF(OFFSET(PLE!$G$15,$M14-$A$15,BA$13)="",10^12,OFFSET(PLE!$G$15,$M14-$A$15,BA$13)))</f>
        <v>0</v>
      </c>
      <c r="BB14" s="171" cm="1">
        <f t="array" aca="1" ref="BB14" ca="1">IF(OR($D14&lt;&gt;"Serviço",AND(AUTOEVENTO="Manual",$M14=$A$15),$M14&gt;(ROW(PLE.lastrow)-ROW(PLE.firstrow))),0,
           IF(OFFSET(PLE!$G$15,$M14-$A$15,BB$13)="",10^12,OFFSET(PLE!$G$15,$M14-$A$15,BB$13)))</f>
        <v>0</v>
      </c>
      <c r="BC14" s="171" cm="1">
        <f t="array" aca="1" ref="BC14" ca="1">IF(OR($D14&lt;&gt;"Serviço",AND(AUTOEVENTO="Manual",$M14=$A$15),$M14&gt;(ROW(PLE.lastrow)-ROW(PLE.firstrow))),0,
           IF(OFFSET(PLE!$G$15,$M14-$A$15,BC$13)="",10^12,OFFSET(PLE!$G$15,$M14-$A$15,BC$13)))</f>
        <v>0</v>
      </c>
      <c r="BD14" s="171" cm="1">
        <f t="array" aca="1" ref="BD14" ca="1">IF(OR($D14&lt;&gt;"Serviço",AND(AUTOEVENTO="Manual",$M14=$A$15),$M14&gt;(ROW(PLE.lastrow)-ROW(PLE.firstrow))),0,
           IF(OFFSET(PLE!$G$15,$M14-$A$15,BD$13)="",10^12,OFFSET(PLE!$G$15,$M14-$A$15,BD$13)))</f>
        <v>0</v>
      </c>
      <c r="BE14" s="171" cm="1">
        <f t="array" aca="1" ref="BE14" ca="1">IF(OR($D14&lt;&gt;"Serviço",AND(AUTOEVENTO="Manual",$M14=$A$15),$M14&gt;(ROW(PLE.lastrow)-ROW(PLE.firstrow))),0,
           IF(OFFSET(PLE!$G$15,$M14-$A$15,BE$13)="",10^12,OFFSET(PLE!$G$15,$M14-$A$15,BE$13)))</f>
        <v>0</v>
      </c>
      <c r="BF14" s="171" cm="1">
        <f t="array" aca="1" ref="BF14" ca="1">IF(OR($D14&lt;&gt;"Serviço",AND(AUTOEVENTO="Manual",$M14=$A$15),$M14&gt;(ROW(PLE.lastrow)-ROW(PLE.firstrow))),0,
           IF(OFFSET(PLE!$G$15,$M14-$A$15,BF$13)="",10^12,OFFSET(PLE!$G$15,$M14-$A$15,BF$13)))</f>
        <v>0</v>
      </c>
      <c r="BG14" s="171" cm="1">
        <f t="array" aca="1" ref="BG14" ca="1">IF(OR($D14&lt;&gt;"Serviço",AND(AUTOEVENTO="Manual",$M14=$A$15),$M14&gt;(ROW(PLE.lastrow)-ROW(PLE.firstrow))),0,
           IF(OFFSET(PLE!$G$15,$M14-$A$15,BG$13)="",10^12,OFFSET(PLE!$G$15,$M14-$A$15,BG$13)))</f>
        <v>0</v>
      </c>
    </row>
    <row r="15" spans="1:59" ht="12.75" customHeight="1" x14ac:dyDescent="0.2">
      <c r="A15" s="652" cm="1">
        <f t="array" ref="A15">IF(AdmLocal="Automática",1,0)</f>
        <v>0</v>
      </c>
      <c r="B15" s="7" t="str">
        <f ca="1">OFFSET(ORÇAMENTO!C$15,ROW(B15)-ROW(B$15),0)</f>
        <v>L</v>
      </c>
      <c r="C15" s="7" t="str">
        <f ca="1">OFFSET(ORÇAMENTO!L$15,ROW(C15)-ROW(C$15),0)</f>
        <v>F</v>
      </c>
      <c r="D15" s="129" t="str" cm="1">
        <f t="array" ref="D15">IF(TIPOORCAMENTO="LICITADO","CTEF","LOTE")</f>
        <v>LOTE</v>
      </c>
      <c r="E15" s="734" t="str">
        <f>Import.DescLote</f>
        <v>CALÇAMENTO - PAVIMENTAÇÃO</v>
      </c>
      <c r="F15" s="734"/>
      <c r="G15" s="734"/>
      <c r="H15" s="734"/>
      <c r="I15" s="468"/>
      <c r="J15" s="521"/>
      <c r="K15" s="632"/>
      <c r="L15" s="164">
        <v>0</v>
      </c>
      <c r="M15" s="567">
        <v>0</v>
      </c>
      <c r="N15" s="172" t="s">
        <v>776</v>
      </c>
      <c r="O15" s="173" t="e">
        <f ca="1">OFFSET($AA$15,0,O$13)</f>
        <v>#VALUE!</v>
      </c>
      <c r="Q15" s="174">
        <f t="shared" ref="Q15:Z15" ca="1" si="5">OFFSET($AA$15,0,Q$13)</f>
        <v>0</v>
      </c>
      <c r="R15" s="173">
        <f t="shared" ca="1" si="5"/>
        <v>0</v>
      </c>
      <c r="S15" s="173">
        <f t="shared" ca="1" si="5"/>
        <v>0</v>
      </c>
      <c r="T15" s="173">
        <f t="shared" ca="1" si="5"/>
        <v>0</v>
      </c>
      <c r="U15" s="173">
        <f t="shared" ca="1" si="5"/>
        <v>0</v>
      </c>
      <c r="V15" s="173">
        <f t="shared" ca="1" si="5"/>
        <v>0</v>
      </c>
      <c r="W15" s="173">
        <f t="shared" ca="1" si="5"/>
        <v>0</v>
      </c>
      <c r="X15" s="173">
        <f t="shared" ca="1" si="5"/>
        <v>0</v>
      </c>
      <c r="Y15" s="173">
        <f t="shared" ca="1" si="5"/>
        <v>0</v>
      </c>
      <c r="Z15" s="175">
        <f t="shared" ca="1" si="5"/>
        <v>0</v>
      </c>
      <c r="AB15" s="176">
        <f ca="1">ROUND(SUM(OFFSET(AB$15,1,0):AB$33),2)</f>
        <v>0</v>
      </c>
      <c r="AC15" s="176">
        <f ca="1">SUM(OFFSET(AC$15,1,0):AC$33)</f>
        <v>0</v>
      </c>
      <c r="AD15" s="176">
        <f ca="1">SUM(OFFSET(AD$15,1,0):AD$33)</f>
        <v>0</v>
      </c>
      <c r="AE15" s="176">
        <f ca="1">SUM(OFFSET(AE$15,1,0):AE$33)</f>
        <v>0</v>
      </c>
      <c r="AF15" s="176">
        <f ca="1">SUM(OFFSET(AF$15,1,0):AF$33)</f>
        <v>0</v>
      </c>
      <c r="AG15" s="176">
        <f ca="1">SUM(OFFSET(AG$15,1,0):AG$33)</f>
        <v>0</v>
      </c>
      <c r="AH15" s="176">
        <f ca="1">SUM(OFFSET(AH$15,1,0):AH$33)</f>
        <v>0</v>
      </c>
      <c r="AI15" s="176">
        <f ca="1">SUM(OFFSET(AI$15,1,0):AI$33)</f>
        <v>0</v>
      </c>
      <c r="AJ15" s="176">
        <f ca="1">SUM(OFFSET(AJ$15,1,0):AJ$33)</f>
        <v>0</v>
      </c>
      <c r="AK15" s="176">
        <f ca="1">SUM(OFFSET(AK$15,1,0):AK$33)</f>
        <v>0</v>
      </c>
      <c r="AM15" s="177">
        <f>10^12</f>
        <v>1000000000000</v>
      </c>
      <c r="AN15" s="177">
        <f t="shared" ref="AN15:AV15" si="6">10^12</f>
        <v>1000000000000</v>
      </c>
      <c r="AO15" s="177">
        <f t="shared" si="6"/>
        <v>1000000000000</v>
      </c>
      <c r="AP15" s="177">
        <f t="shared" si="6"/>
        <v>1000000000000</v>
      </c>
      <c r="AQ15" s="177">
        <f t="shared" si="6"/>
        <v>1000000000000</v>
      </c>
      <c r="AR15" s="177">
        <f t="shared" si="6"/>
        <v>1000000000000</v>
      </c>
      <c r="AS15" s="177">
        <f t="shared" si="6"/>
        <v>1000000000000</v>
      </c>
      <c r="AT15" s="177">
        <f t="shared" si="6"/>
        <v>1000000000000</v>
      </c>
      <c r="AU15" s="177">
        <f t="shared" si="6"/>
        <v>1000000000000</v>
      </c>
      <c r="AV15" s="177">
        <f t="shared" si="6"/>
        <v>1000000000000</v>
      </c>
      <c r="AX15" s="177">
        <f t="shared" ref="AX15:BG15" si="7">10^12</f>
        <v>1000000000000</v>
      </c>
      <c r="AY15" s="177">
        <f t="shared" si="7"/>
        <v>1000000000000</v>
      </c>
      <c r="AZ15" s="177">
        <f t="shared" si="7"/>
        <v>1000000000000</v>
      </c>
      <c r="BA15" s="177">
        <f t="shared" si="7"/>
        <v>1000000000000</v>
      </c>
      <c r="BB15" s="177">
        <f t="shared" si="7"/>
        <v>1000000000000</v>
      </c>
      <c r="BC15" s="177">
        <f t="shared" si="7"/>
        <v>1000000000000</v>
      </c>
      <c r="BD15" s="177">
        <f t="shared" si="7"/>
        <v>1000000000000</v>
      </c>
      <c r="BE15" s="177">
        <f t="shared" si="7"/>
        <v>1000000000000</v>
      </c>
      <c r="BF15" s="177">
        <f t="shared" si="7"/>
        <v>1000000000000</v>
      </c>
      <c r="BG15" s="177">
        <f t="shared" si="7"/>
        <v>1000000000000</v>
      </c>
    </row>
    <row r="16" spans="1:59" ht="25.5" x14ac:dyDescent="0.2">
      <c r="A16" s="7" t="str">
        <f t="shared" ref="A16:A31" ca="1" si="8">IFERROR(IF(AUTOEVENTO="Manual",IF(K16&lt;&gt;"",MIN(VALUE(LEFT(K16,FIND(".",K16)-1)),COUNTA(EVENTOS.Lista)),0),IF(OR($B16&gt;AUTOEVENTO,$B16="S",$B16=0),SUBSTITUTE(OFFSET($A16,-1,0),IF($D16="Serviço",".",""),""),$L16&amp;".")),0)</f>
        <v>1.</v>
      </c>
      <c r="B16" s="7">
        <f ca="1">OFFSET(ORÇAMENTO!C$15,$L16,0)</f>
        <v>1</v>
      </c>
      <c r="C16" s="7" t="str">
        <f ca="1">OFFSET(ORÇAMENTO!L$15,$L16,0)</f>
        <v>F</v>
      </c>
      <c r="D16" s="115" t="str">
        <f ca="1">OFFSET(ORÇAMENTO!N$15,$L16,0)</f>
        <v>Meta</v>
      </c>
      <c r="E16" s="116" t="str">
        <f ca="1">OFFSET(ORÇAMENTO!O$15,$L16,0)</f>
        <v>1.</v>
      </c>
      <c r="F16" s="162" t="str">
        <f ca="1">OFFSET(ORÇAMENTO!R$15,$L16,0)</f>
        <v xml:space="preserve">CALÇAMENTO DE PEDRAS IRREGULARES - RINCÃO DE SANTANA EM FRENTE ESCOLA JOÃO XXIII E SALÃO PAROQUIAL </v>
      </c>
      <c r="G16" s="163" t="str">
        <f ca="1">IF($D16&lt;&gt;"Serviço","",OFFSET(ORÇAMENTO!S$15,$L16,0))</f>
        <v/>
      </c>
      <c r="H16" s="121" cm="1">
        <f t="array" aca="1" ref="H16" ca="1">IF($D16&lt;&gt;"Serviço",0,IF(ACOMPANHAMENTO="BM",ROUND(OFFSET(ORÇAMENTO!AJ$15,$L16,0),15-13*ORÇAMENTO!$AF$7),IF(IFERROR(CÁLCULO.FrentesPreenchidas,0)=0,0,SUM(ROUND(OFFSET($P16,0,1,1,CÁLCULO.FrentesPreenchidas),15-13*ORÇAMENTO!$AF$7)))))</f>
        <v>0</v>
      </c>
      <c r="I16" s="467"/>
      <c r="J16" s="650"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1"/>
      <c r="L16" s="164">
        <f t="shared" ref="L16:L31" ca="1" si="9">OFFSET(L16,-1,0)+1</f>
        <v>1</v>
      </c>
      <c r="M16" s="165" t="str">
        <f ca="1">IF($D16&lt;&gt;"Serviço","",
          IF(AUTOEVENTO="manual",$A16,
                IF(ISERROR(MATCH($A16,$A$15:OFFSET($A16,-1,0),0)),MAX($M$15:OFFSET(M16,-1,0))+1,
                      INDEX($M$15:OFFSET(M16,-1,0),MATCH($A16,$A$15:OFFSET($A16,-1,0),0)))))</f>
        <v/>
      </c>
      <c r="N16" s="166" t="str">
        <f ca="1">IF($D16&lt;&gt;"Serviço","",
         IF(AUTOEVENTO="Manual",
                IF($A16=0,"&lt;-- defina o número do agrupador",
                       OFFSET(EVENTOS!$D$15,$A16-$A$15,0)),
                OFFSET($F$15,$A16,0)))</f>
        <v/>
      </c>
      <c r="O16" s="167"/>
      <c r="Q16" s="167"/>
      <c r="R16" s="168"/>
      <c r="S16" s="168"/>
      <c r="T16" s="168"/>
      <c r="U16" s="168"/>
      <c r="V16" s="168"/>
      <c r="W16" s="168"/>
      <c r="X16" s="168"/>
      <c r="Y16" s="168"/>
      <c r="Z16" s="169"/>
      <c r="AB16" s="452">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2">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2">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2">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2">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2">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2">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2">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2">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2">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0">
        <f ca="1">IF(OR($D16&lt;&gt;"Serviço",AND(AUTOEVENTO="Manual",$M16=$A$15)),0,
         IF(OFFSET(CRONOPLE!$F$15,$M16-$A$15,AM$13)=0,10^12,OFFSET(CRONOPLE!$F$15,$M16-$A$15,AM$13)))</f>
        <v>0</v>
      </c>
      <c r="AN16" s="170">
        <f ca="1">IF(OR($D16&lt;&gt;"Serviço",AND(AUTOEVENTO="Manual",$M16=$A$15)),0,
         IF(OFFSET(CRONOPLE!$F$15,$M16-$A$15,AN$13)=0,10^12,OFFSET(CRONOPLE!$F$15,$M16-$A$15,AN$13)))</f>
        <v>0</v>
      </c>
      <c r="AO16" s="170">
        <f ca="1">IF(OR($D16&lt;&gt;"Serviço",AND(AUTOEVENTO="Manual",$M16=$A$15)),0,
         IF(OFFSET(CRONOPLE!$F$15,$M16-$A$15,AO$13)=0,10^12,OFFSET(CRONOPLE!$F$15,$M16-$A$15,AO$13)))</f>
        <v>0</v>
      </c>
      <c r="AP16" s="170">
        <f ca="1">IF(OR($D16&lt;&gt;"Serviço",AND(AUTOEVENTO="Manual",$M16=$A$15)),0,
         IF(OFFSET(CRONOPLE!$F$15,$M16-$A$15,AP$13)=0,10^12,OFFSET(CRONOPLE!$F$15,$M16-$A$15,AP$13)))</f>
        <v>0</v>
      </c>
      <c r="AQ16" s="170">
        <f ca="1">IF(OR($D16&lt;&gt;"Serviço",AND(AUTOEVENTO="Manual",$M16=$A$15)),0,
         IF(OFFSET(CRONOPLE!$F$15,$M16-$A$15,AQ$13)=0,10^12,OFFSET(CRONOPLE!$F$15,$M16-$A$15,AQ$13)))</f>
        <v>0</v>
      </c>
      <c r="AR16" s="170">
        <f ca="1">IF(OR($D16&lt;&gt;"Serviço",AND(AUTOEVENTO="Manual",$M16=$A$15)),0,
         IF(OFFSET(CRONOPLE!$F$15,$M16-$A$15,AR$13)=0,10^12,OFFSET(CRONOPLE!$F$15,$M16-$A$15,AR$13)))</f>
        <v>0</v>
      </c>
      <c r="AS16" s="170">
        <f ca="1">IF(OR($D16&lt;&gt;"Serviço",AND(AUTOEVENTO="Manual",$M16=$A$15)),0,
         IF(OFFSET(CRONOPLE!$F$15,$M16-$A$15,AS$13)=0,10^12,OFFSET(CRONOPLE!$F$15,$M16-$A$15,AS$13)))</f>
        <v>0</v>
      </c>
      <c r="AT16" s="170">
        <f ca="1">IF(OR($D16&lt;&gt;"Serviço",AND(AUTOEVENTO="Manual",$M16=$A$15)),0,
         IF(OFFSET(CRONOPLE!$F$15,$M16-$A$15,AT$13)=0,10^12,OFFSET(CRONOPLE!$F$15,$M16-$A$15,AT$13)))</f>
        <v>0</v>
      </c>
      <c r="AU16" s="170">
        <f ca="1">IF(OR($D16&lt;&gt;"Serviço",AND(AUTOEVENTO="Manual",$M16=$A$15)),0,
         IF(OFFSET(CRONOPLE!$F$15,$M16-$A$15,AU$13)=0,10^12,OFFSET(CRONOPLE!$F$15,$M16-$A$15,AU$13)))</f>
        <v>0</v>
      </c>
      <c r="AV16" s="170">
        <f ca="1">IF(OR($D16&lt;&gt;"Serviço",AND(AUTOEVENTO="Manual",$M16=$A$15)),0,
         IF(OFFSET(CRONOPLE!$F$15,$M16-$A$15,AV$13)=0,10^12,OFFSET(CRONOPLE!$F$15,$M16-$A$15,AV$13)))</f>
        <v>0</v>
      </c>
      <c r="AX16" s="171" cm="1">
        <f t="array" aca="1" ref="AX16" ca="1">IF(OR($D16&lt;&gt;"Serviço",AND(AUTOEVENTO="Manual",$M16=$A$15),$M16&gt;(ROW(PLE.lastrow)-ROW(PLE.firstrow))),0,
           IF(OFFSET(PLE!$G$15,$M16-$A$15,AX$13)="",10^12,OFFSET(PLE!$G$15,$M16-$A$15,AX$13)))</f>
        <v>0</v>
      </c>
      <c r="AY16" s="171" cm="1">
        <f t="array" aca="1" ref="AY16" ca="1">IF(OR($D16&lt;&gt;"Serviço",AND(AUTOEVENTO="Manual",$M16=$A$15),$M16&gt;(ROW(PLE.lastrow)-ROW(PLE.firstrow))),0,
           IF(OFFSET(PLE!$G$15,$M16-$A$15,AY$13)="",10^12,OFFSET(PLE!$G$15,$M16-$A$15,AY$13)))</f>
        <v>0</v>
      </c>
      <c r="AZ16" s="171" cm="1">
        <f t="array" aca="1" ref="AZ16" ca="1">IF(OR($D16&lt;&gt;"Serviço",AND(AUTOEVENTO="Manual",$M16=$A$15),$M16&gt;(ROW(PLE.lastrow)-ROW(PLE.firstrow))),0,
           IF(OFFSET(PLE!$G$15,$M16-$A$15,AZ$13)="",10^12,OFFSET(PLE!$G$15,$M16-$A$15,AZ$13)))</f>
        <v>0</v>
      </c>
      <c r="BA16" s="171" cm="1">
        <f t="array" aca="1" ref="BA16" ca="1">IF(OR($D16&lt;&gt;"Serviço",AND(AUTOEVENTO="Manual",$M16=$A$15),$M16&gt;(ROW(PLE.lastrow)-ROW(PLE.firstrow))),0,
           IF(OFFSET(PLE!$G$15,$M16-$A$15,BA$13)="",10^12,OFFSET(PLE!$G$15,$M16-$A$15,BA$13)))</f>
        <v>0</v>
      </c>
      <c r="BB16" s="171" cm="1">
        <f t="array" aca="1" ref="BB16" ca="1">IF(OR($D16&lt;&gt;"Serviço",AND(AUTOEVENTO="Manual",$M16=$A$15),$M16&gt;(ROW(PLE.lastrow)-ROW(PLE.firstrow))),0,
           IF(OFFSET(PLE!$G$15,$M16-$A$15,BB$13)="",10^12,OFFSET(PLE!$G$15,$M16-$A$15,BB$13)))</f>
        <v>0</v>
      </c>
      <c r="BC16" s="171" cm="1">
        <f t="array" aca="1" ref="BC16" ca="1">IF(OR($D16&lt;&gt;"Serviço",AND(AUTOEVENTO="Manual",$M16=$A$15),$M16&gt;(ROW(PLE.lastrow)-ROW(PLE.firstrow))),0,
           IF(OFFSET(PLE!$G$15,$M16-$A$15,BC$13)="",10^12,OFFSET(PLE!$G$15,$M16-$A$15,BC$13)))</f>
        <v>0</v>
      </c>
      <c r="BD16" s="171" cm="1">
        <f t="array" aca="1" ref="BD16" ca="1">IF(OR($D16&lt;&gt;"Serviço",AND(AUTOEVENTO="Manual",$M16=$A$15),$M16&gt;(ROW(PLE.lastrow)-ROW(PLE.firstrow))),0,
           IF(OFFSET(PLE!$G$15,$M16-$A$15,BD$13)="",10^12,OFFSET(PLE!$G$15,$M16-$A$15,BD$13)))</f>
        <v>0</v>
      </c>
      <c r="BE16" s="171" cm="1">
        <f t="array" aca="1" ref="BE16" ca="1">IF(OR($D16&lt;&gt;"Serviço",AND(AUTOEVENTO="Manual",$M16=$A$15),$M16&gt;(ROW(PLE.lastrow)-ROW(PLE.firstrow))),0,
           IF(OFFSET(PLE!$G$15,$M16-$A$15,BE$13)="",10^12,OFFSET(PLE!$G$15,$M16-$A$15,BE$13)))</f>
        <v>0</v>
      </c>
      <c r="BF16" s="171" cm="1">
        <f t="array" aca="1" ref="BF16" ca="1">IF(OR($D16&lt;&gt;"Serviço",AND(AUTOEVENTO="Manual",$M16=$A$15),$M16&gt;(ROW(PLE.lastrow)-ROW(PLE.firstrow))),0,
           IF(OFFSET(PLE!$G$15,$M16-$A$15,BF$13)="",10^12,OFFSET(PLE!$G$15,$M16-$A$15,BF$13)))</f>
        <v>0</v>
      </c>
      <c r="BG16" s="171"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5" t="str">
        <f ca="1">OFFSET(ORÇAMENTO!N$15,$L17,0)</f>
        <v>Nível 2</v>
      </c>
      <c r="E17" s="116" t="str">
        <f ca="1">OFFSET(ORÇAMENTO!O$15,$L17,0)</f>
        <v>1.1.</v>
      </c>
      <c r="F17" s="162" t="str">
        <f ca="1">OFFSET(ORÇAMENTO!R$15,$L17,0)</f>
        <v>PLACA DE OBRA</v>
      </c>
      <c r="G17" s="163" t="str">
        <f ca="1">IF($D17&lt;&gt;"Serviço","",OFFSET(ORÇAMENTO!S$15,$L17,0))</f>
        <v/>
      </c>
      <c r="H17" s="121" cm="1">
        <f t="array" aca="1" ref="H17" ca="1">IF($D17&lt;&gt;"Serviço",0,IF(ACOMPANHAMENTO="BM",ROUND(OFFSET(ORÇAMENTO!AJ$15,$L17,0),15-13*ORÇAMENTO!$AF$7),IF(IFERROR(CÁLCULO.FrentesPreenchidas,0)=0,0,SUM(ROUND(OFFSET($P17,0,1,1,CÁLCULO.FrentesPreenchidas),15-13*ORÇAMENTO!$AF$7)))))</f>
        <v>0</v>
      </c>
      <c r="I17" s="467"/>
      <c r="J17" s="650"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1"/>
      <c r="L17" s="164">
        <f t="shared" ca="1" si="9"/>
        <v>2</v>
      </c>
      <c r="M17" s="165" t="str">
        <f ca="1">IF($D17&lt;&gt;"Serviço","",
          IF(AUTOEVENTO="manual",$A17,
                IF(ISERROR(MATCH($A17,$A$15:OFFSET($A17,-1,0),0)),MAX($M$15:OFFSET(M17,-1,0))+1,
                      INDEX($M$15:OFFSET(M17,-1,0),MATCH($A17,$A$15:OFFSET($A17,-1,0),0)))))</f>
        <v/>
      </c>
      <c r="N17" s="166" t="str">
        <f ca="1">IF($D17&lt;&gt;"Serviço","",
         IF(AUTOEVENTO="Manual",
                IF($A17=0,"&lt;-- defina o número do agrupador",
                       OFFSET(EVENTOS!$D$15,$A17-$A$15,0)),
                OFFSET($F$15,$A17,0)))</f>
        <v/>
      </c>
      <c r="O17" s="167"/>
      <c r="Q17" s="167"/>
      <c r="R17" s="168"/>
      <c r="S17" s="168"/>
      <c r="T17" s="168"/>
      <c r="U17" s="168"/>
      <c r="V17" s="168"/>
      <c r="W17" s="168"/>
      <c r="X17" s="168"/>
      <c r="Y17" s="168"/>
      <c r="Z17" s="169"/>
      <c r="AB17" s="452">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2">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2">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2">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2">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2">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2">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2">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2">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2">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0">
        <f ca="1">IF(OR($D17&lt;&gt;"Serviço",AND(AUTOEVENTO="Manual",$M17=$A$15)),0,
         IF(OFFSET(CRONOPLE!$F$15,$M17-$A$15,AM$13)=0,10^12,OFFSET(CRONOPLE!$F$15,$M17-$A$15,AM$13)))</f>
        <v>0</v>
      </c>
      <c r="AN17" s="170">
        <f ca="1">IF(OR($D17&lt;&gt;"Serviço",AND(AUTOEVENTO="Manual",$M17=$A$15)),0,
         IF(OFFSET(CRONOPLE!$F$15,$M17-$A$15,AN$13)=0,10^12,OFFSET(CRONOPLE!$F$15,$M17-$A$15,AN$13)))</f>
        <v>0</v>
      </c>
      <c r="AO17" s="170">
        <f ca="1">IF(OR($D17&lt;&gt;"Serviço",AND(AUTOEVENTO="Manual",$M17=$A$15)),0,
         IF(OFFSET(CRONOPLE!$F$15,$M17-$A$15,AO$13)=0,10^12,OFFSET(CRONOPLE!$F$15,$M17-$A$15,AO$13)))</f>
        <v>0</v>
      </c>
      <c r="AP17" s="170">
        <f ca="1">IF(OR($D17&lt;&gt;"Serviço",AND(AUTOEVENTO="Manual",$M17=$A$15)),0,
         IF(OFFSET(CRONOPLE!$F$15,$M17-$A$15,AP$13)=0,10^12,OFFSET(CRONOPLE!$F$15,$M17-$A$15,AP$13)))</f>
        <v>0</v>
      </c>
      <c r="AQ17" s="170">
        <f ca="1">IF(OR($D17&lt;&gt;"Serviço",AND(AUTOEVENTO="Manual",$M17=$A$15)),0,
         IF(OFFSET(CRONOPLE!$F$15,$M17-$A$15,AQ$13)=0,10^12,OFFSET(CRONOPLE!$F$15,$M17-$A$15,AQ$13)))</f>
        <v>0</v>
      </c>
      <c r="AR17" s="170">
        <f ca="1">IF(OR($D17&lt;&gt;"Serviço",AND(AUTOEVENTO="Manual",$M17=$A$15)),0,
         IF(OFFSET(CRONOPLE!$F$15,$M17-$A$15,AR$13)=0,10^12,OFFSET(CRONOPLE!$F$15,$M17-$A$15,AR$13)))</f>
        <v>0</v>
      </c>
      <c r="AS17" s="170">
        <f ca="1">IF(OR($D17&lt;&gt;"Serviço",AND(AUTOEVENTO="Manual",$M17=$A$15)),0,
         IF(OFFSET(CRONOPLE!$F$15,$M17-$A$15,AS$13)=0,10^12,OFFSET(CRONOPLE!$F$15,$M17-$A$15,AS$13)))</f>
        <v>0</v>
      </c>
      <c r="AT17" s="170">
        <f ca="1">IF(OR($D17&lt;&gt;"Serviço",AND(AUTOEVENTO="Manual",$M17=$A$15)),0,
         IF(OFFSET(CRONOPLE!$F$15,$M17-$A$15,AT$13)=0,10^12,OFFSET(CRONOPLE!$F$15,$M17-$A$15,AT$13)))</f>
        <v>0</v>
      </c>
      <c r="AU17" s="170">
        <f ca="1">IF(OR($D17&lt;&gt;"Serviço",AND(AUTOEVENTO="Manual",$M17=$A$15)),0,
         IF(OFFSET(CRONOPLE!$F$15,$M17-$A$15,AU$13)=0,10^12,OFFSET(CRONOPLE!$F$15,$M17-$A$15,AU$13)))</f>
        <v>0</v>
      </c>
      <c r="AV17" s="170">
        <f ca="1">IF(OR($D17&lt;&gt;"Serviço",AND(AUTOEVENTO="Manual",$M17=$A$15)),0,
         IF(OFFSET(CRONOPLE!$F$15,$M17-$A$15,AV$13)=0,10^12,OFFSET(CRONOPLE!$F$15,$M17-$A$15,AV$13)))</f>
        <v>0</v>
      </c>
      <c r="AX17" s="171" cm="1">
        <f t="array" aca="1" ref="AX17" ca="1">IF(OR($D17&lt;&gt;"Serviço",AND(AUTOEVENTO="Manual",$M17=$A$15),$M17&gt;(ROW(PLE.lastrow)-ROW(PLE.firstrow))),0,
           IF(OFFSET(PLE!$G$15,$M17-$A$15,AX$13)="",10^12,OFFSET(PLE!$G$15,$M17-$A$15,AX$13)))</f>
        <v>0</v>
      </c>
      <c r="AY17" s="171" cm="1">
        <f t="array" aca="1" ref="AY17" ca="1">IF(OR($D17&lt;&gt;"Serviço",AND(AUTOEVENTO="Manual",$M17=$A$15),$M17&gt;(ROW(PLE.lastrow)-ROW(PLE.firstrow))),0,
           IF(OFFSET(PLE!$G$15,$M17-$A$15,AY$13)="",10^12,OFFSET(PLE!$G$15,$M17-$A$15,AY$13)))</f>
        <v>0</v>
      </c>
      <c r="AZ17" s="171" cm="1">
        <f t="array" aca="1" ref="AZ17" ca="1">IF(OR($D17&lt;&gt;"Serviço",AND(AUTOEVENTO="Manual",$M17=$A$15),$M17&gt;(ROW(PLE.lastrow)-ROW(PLE.firstrow))),0,
           IF(OFFSET(PLE!$G$15,$M17-$A$15,AZ$13)="",10^12,OFFSET(PLE!$G$15,$M17-$A$15,AZ$13)))</f>
        <v>0</v>
      </c>
      <c r="BA17" s="171" cm="1">
        <f t="array" aca="1" ref="BA17" ca="1">IF(OR($D17&lt;&gt;"Serviço",AND(AUTOEVENTO="Manual",$M17=$A$15),$M17&gt;(ROW(PLE.lastrow)-ROW(PLE.firstrow))),0,
           IF(OFFSET(PLE!$G$15,$M17-$A$15,BA$13)="",10^12,OFFSET(PLE!$G$15,$M17-$A$15,BA$13)))</f>
        <v>0</v>
      </c>
      <c r="BB17" s="171" cm="1">
        <f t="array" aca="1" ref="BB17" ca="1">IF(OR($D17&lt;&gt;"Serviço",AND(AUTOEVENTO="Manual",$M17=$A$15),$M17&gt;(ROW(PLE.lastrow)-ROW(PLE.firstrow))),0,
           IF(OFFSET(PLE!$G$15,$M17-$A$15,BB$13)="",10^12,OFFSET(PLE!$G$15,$M17-$A$15,BB$13)))</f>
        <v>0</v>
      </c>
      <c r="BC17" s="171" cm="1">
        <f t="array" aca="1" ref="BC17" ca="1">IF(OR($D17&lt;&gt;"Serviço",AND(AUTOEVENTO="Manual",$M17=$A$15),$M17&gt;(ROW(PLE.lastrow)-ROW(PLE.firstrow))),0,
           IF(OFFSET(PLE!$G$15,$M17-$A$15,BC$13)="",10^12,OFFSET(PLE!$G$15,$M17-$A$15,BC$13)))</f>
        <v>0</v>
      </c>
      <c r="BD17" s="171" cm="1">
        <f t="array" aca="1" ref="BD17" ca="1">IF(OR($D17&lt;&gt;"Serviço",AND(AUTOEVENTO="Manual",$M17=$A$15),$M17&gt;(ROW(PLE.lastrow)-ROW(PLE.firstrow))),0,
           IF(OFFSET(PLE!$G$15,$M17-$A$15,BD$13)="",10^12,OFFSET(PLE!$G$15,$M17-$A$15,BD$13)))</f>
        <v>0</v>
      </c>
      <c r="BE17" s="171" cm="1">
        <f t="array" aca="1" ref="BE17" ca="1">IF(OR($D17&lt;&gt;"Serviço",AND(AUTOEVENTO="Manual",$M17=$A$15),$M17&gt;(ROW(PLE.lastrow)-ROW(PLE.firstrow))),0,
           IF(OFFSET(PLE!$G$15,$M17-$A$15,BE$13)="",10^12,OFFSET(PLE!$G$15,$M17-$A$15,BE$13)))</f>
        <v>0</v>
      </c>
      <c r="BF17" s="171" cm="1">
        <f t="array" aca="1" ref="BF17" ca="1">IF(OR($D17&lt;&gt;"Serviço",AND(AUTOEVENTO="Manual",$M17=$A$15),$M17&gt;(ROW(PLE.lastrow)-ROW(PLE.firstrow))),0,
           IF(OFFSET(PLE!$G$15,$M17-$A$15,BF$13)="",10^12,OFFSET(PLE!$G$15,$M17-$A$15,BF$13)))</f>
        <v>0</v>
      </c>
      <c r="BG17" s="171" cm="1">
        <f t="array" aca="1" ref="BG17" ca="1">IF(OR($D17&lt;&gt;"Serviço",AND(AUTOEVENTO="Manual",$M17=$A$15),$M17&gt;(ROW(PLE.lastrow)-ROW(PLE.firstrow))),0,
           IF(OFFSET(PLE!$G$15,$M17-$A$15,BG$13)="",10^12,OFFSET(PLE!$G$15,$M17-$A$15,BG$13)))</f>
        <v>0</v>
      </c>
    </row>
    <row r="18" spans="1:59" ht="12.75" x14ac:dyDescent="0.2">
      <c r="A18" s="7" t="str">
        <f t="shared" ca="1" si="8"/>
        <v>2</v>
      </c>
      <c r="B18" s="7" t="str">
        <f ca="1">OFFSET(ORÇAMENTO!C$15,$L18,0)</f>
        <v>S</v>
      </c>
      <c r="C18" s="7" t="str">
        <f ca="1">OFFSET(ORÇAMENTO!L$15,$L18,0)</f>
        <v/>
      </c>
      <c r="D18" s="115" t="str">
        <f ca="1">OFFSET(ORÇAMENTO!N$15,$L18,0)</f>
        <v>Serviço</v>
      </c>
      <c r="E18" s="116" t="str">
        <f ca="1">OFFSET(ORÇAMENTO!O$15,$L18,0)</f>
        <v>-</v>
      </c>
      <c r="F18" s="162" t="str">
        <f ca="1">OFFSET(ORÇAMENTO!R$15,$L18,0)</f>
        <v>(Código não identificado nas referências)</v>
      </c>
      <c r="G18" s="163" t="str">
        <f ca="1">IF($D18&lt;&gt;"Serviço","",OFFSET(ORÇAMENTO!S$15,$L18,0))</f>
        <v>-</v>
      </c>
      <c r="H18" s="121" cm="1">
        <f t="array" aca="1" ref="H18" ca="1">IF($D18&lt;&gt;"Serviço",0,IF(ACOMPANHAMENTO="BM",ROUND(OFFSET(ORÇAMENTO!AJ$15,$L18,0),15-13*ORÇAMENTO!$AF$7),IF(IFERROR(CÁLCULO.FrentesPreenchidas,0)=0,0,SUM(ROUND(OFFSET($P18,0,1,1,CÁLCULO.FrentesPreenchidas),15-13*ORÇAMENTO!$AF$7)))))</f>
        <v>2</v>
      </c>
      <c r="I18" s="467"/>
      <c r="J18" s="650"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1"/>
      <c r="L18" s="164">
        <f t="shared" ca="1" si="9"/>
        <v>3</v>
      </c>
      <c r="M18" s="165">
        <f ca="1">IF($D18&lt;&gt;"Serviço","",
          IF(AUTOEVENTO="manual",$A18,
                IF(ISERROR(MATCH($A18,$A$15:OFFSET($A18,-1,0),0)),MAX($M$15:OFFSET(M18,-1,0))+1,
                      INDEX($M$15:OFFSET(M18,-1,0),MATCH($A18,$A$15:OFFSET($A18,-1,0),0)))))</f>
        <v>1</v>
      </c>
      <c r="N18" s="166" t="str">
        <f ca="1">IF($D18&lt;&gt;"Serviço","",
         IF(AUTOEVENTO="Manual",
                IF($A18=0,"&lt;-- defina o número do agrupador",
                       OFFSET(EVENTOS!$D$15,$A18-$A$15,0)),
                OFFSET($F$15,$A18,0)))</f>
        <v>PLACA DE OBRA</v>
      </c>
      <c r="O18" s="167"/>
      <c r="Q18" s="167"/>
      <c r="R18" s="168"/>
      <c r="S18" s="168"/>
      <c r="T18" s="168"/>
      <c r="U18" s="168"/>
      <c r="V18" s="168"/>
      <c r="W18" s="168"/>
      <c r="X18" s="168"/>
      <c r="Y18" s="168"/>
      <c r="Z18" s="169"/>
      <c r="AB18" s="452">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2">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2">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2">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2">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2">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2">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2">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2">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2">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0">
        <f ca="1">IF(OR($D18&lt;&gt;"Serviço",AND(AUTOEVENTO="Manual",$M18=$A$15)),0,
         IF(OFFSET(CRONOPLE!$F$15,$M18-$A$15,AM$13)=0,10^12,OFFSET(CRONOPLE!$F$15,$M18-$A$15,AM$13)))</f>
        <v>1000000000000</v>
      </c>
      <c r="AN18" s="170">
        <f ca="1">IF(OR($D18&lt;&gt;"Serviço",AND(AUTOEVENTO="Manual",$M18=$A$15)),0,
         IF(OFFSET(CRONOPLE!$F$15,$M18-$A$15,AN$13)=0,10^12,OFFSET(CRONOPLE!$F$15,$M18-$A$15,AN$13)))</f>
        <v>1000000000000</v>
      </c>
      <c r="AO18" s="170">
        <f ca="1">IF(OR($D18&lt;&gt;"Serviço",AND(AUTOEVENTO="Manual",$M18=$A$15)),0,
         IF(OFFSET(CRONOPLE!$F$15,$M18-$A$15,AO$13)=0,10^12,OFFSET(CRONOPLE!$F$15,$M18-$A$15,AO$13)))</f>
        <v>1000000000000</v>
      </c>
      <c r="AP18" s="170">
        <f ca="1">IF(OR($D18&lt;&gt;"Serviço",AND(AUTOEVENTO="Manual",$M18=$A$15)),0,
         IF(OFFSET(CRONOPLE!$F$15,$M18-$A$15,AP$13)=0,10^12,OFFSET(CRONOPLE!$F$15,$M18-$A$15,AP$13)))</f>
        <v>1000000000000</v>
      </c>
      <c r="AQ18" s="170">
        <f ca="1">IF(OR($D18&lt;&gt;"Serviço",AND(AUTOEVENTO="Manual",$M18=$A$15)),0,
         IF(OFFSET(CRONOPLE!$F$15,$M18-$A$15,AQ$13)=0,10^12,OFFSET(CRONOPLE!$F$15,$M18-$A$15,AQ$13)))</f>
        <v>1000000000000</v>
      </c>
      <c r="AR18" s="170">
        <f ca="1">IF(OR($D18&lt;&gt;"Serviço",AND(AUTOEVENTO="Manual",$M18=$A$15)),0,
         IF(OFFSET(CRONOPLE!$F$15,$M18-$A$15,AR$13)=0,10^12,OFFSET(CRONOPLE!$F$15,$M18-$A$15,AR$13)))</f>
        <v>1000000000000</v>
      </c>
      <c r="AS18" s="170">
        <f ca="1">IF(OR($D18&lt;&gt;"Serviço",AND(AUTOEVENTO="Manual",$M18=$A$15)),0,
         IF(OFFSET(CRONOPLE!$F$15,$M18-$A$15,AS$13)=0,10^12,OFFSET(CRONOPLE!$F$15,$M18-$A$15,AS$13)))</f>
        <v>1000000000000</v>
      </c>
      <c r="AT18" s="170">
        <f ca="1">IF(OR($D18&lt;&gt;"Serviço",AND(AUTOEVENTO="Manual",$M18=$A$15)),0,
         IF(OFFSET(CRONOPLE!$F$15,$M18-$A$15,AT$13)=0,10^12,OFFSET(CRONOPLE!$F$15,$M18-$A$15,AT$13)))</f>
        <v>1000000000000</v>
      </c>
      <c r="AU18" s="170">
        <f ca="1">IF(OR($D18&lt;&gt;"Serviço",AND(AUTOEVENTO="Manual",$M18=$A$15)),0,
         IF(OFFSET(CRONOPLE!$F$15,$M18-$A$15,AU$13)=0,10^12,OFFSET(CRONOPLE!$F$15,$M18-$A$15,AU$13)))</f>
        <v>1000000000000</v>
      </c>
      <c r="AV18" s="170">
        <f ca="1">IF(OR($D18&lt;&gt;"Serviço",AND(AUTOEVENTO="Manual",$M18=$A$15)),0,
         IF(OFFSET(CRONOPLE!$F$15,$M18-$A$15,AV$13)=0,10^12,OFFSET(CRONOPLE!$F$15,$M18-$A$15,AV$13)))</f>
        <v>1000000000000</v>
      </c>
      <c r="AX18" s="171" cm="1">
        <f t="array" aca="1" ref="AX18" ca="1">IF(OR($D18&lt;&gt;"Serviço",AND(AUTOEVENTO="Manual",$M18=$A$15),$M18&gt;(ROW(PLE.lastrow)-ROW(PLE.firstrow))),0,
           IF(OFFSET(PLE!$G$15,$M18-$A$15,AX$13)="",10^12,OFFSET(PLE!$G$15,$M18-$A$15,AX$13)))</f>
        <v>1000000000000</v>
      </c>
      <c r="AY18" s="171" cm="1">
        <f t="array" aca="1" ref="AY18" ca="1">IF(OR($D18&lt;&gt;"Serviço",AND(AUTOEVENTO="Manual",$M18=$A$15),$M18&gt;(ROW(PLE.lastrow)-ROW(PLE.firstrow))),0,
           IF(OFFSET(PLE!$G$15,$M18-$A$15,AY$13)="",10^12,OFFSET(PLE!$G$15,$M18-$A$15,AY$13)))</f>
        <v>1000000000000</v>
      </c>
      <c r="AZ18" s="171" cm="1">
        <f t="array" aca="1" ref="AZ18" ca="1">IF(OR($D18&lt;&gt;"Serviço",AND(AUTOEVENTO="Manual",$M18=$A$15),$M18&gt;(ROW(PLE.lastrow)-ROW(PLE.firstrow))),0,
           IF(OFFSET(PLE!$G$15,$M18-$A$15,AZ$13)="",10^12,OFFSET(PLE!$G$15,$M18-$A$15,AZ$13)))</f>
        <v>1000000000000</v>
      </c>
      <c r="BA18" s="171" cm="1">
        <f t="array" aca="1" ref="BA18" ca="1">IF(OR($D18&lt;&gt;"Serviço",AND(AUTOEVENTO="Manual",$M18=$A$15),$M18&gt;(ROW(PLE.lastrow)-ROW(PLE.firstrow))),0,
           IF(OFFSET(PLE!$G$15,$M18-$A$15,BA$13)="",10^12,OFFSET(PLE!$G$15,$M18-$A$15,BA$13)))</f>
        <v>1000000000000</v>
      </c>
      <c r="BB18" s="171" cm="1">
        <f t="array" aca="1" ref="BB18" ca="1">IF(OR($D18&lt;&gt;"Serviço",AND(AUTOEVENTO="Manual",$M18=$A$15),$M18&gt;(ROW(PLE.lastrow)-ROW(PLE.firstrow))),0,
           IF(OFFSET(PLE!$G$15,$M18-$A$15,BB$13)="",10^12,OFFSET(PLE!$G$15,$M18-$A$15,BB$13)))</f>
        <v>1000000000000</v>
      </c>
      <c r="BC18" s="171" cm="1">
        <f t="array" aca="1" ref="BC18" ca="1">IF(OR($D18&lt;&gt;"Serviço",AND(AUTOEVENTO="Manual",$M18=$A$15),$M18&gt;(ROW(PLE.lastrow)-ROW(PLE.firstrow))),0,
           IF(OFFSET(PLE!$G$15,$M18-$A$15,BC$13)="",10^12,OFFSET(PLE!$G$15,$M18-$A$15,BC$13)))</f>
        <v>1000000000000</v>
      </c>
      <c r="BD18" s="171" cm="1">
        <f t="array" aca="1" ref="BD18" ca="1">IF(OR($D18&lt;&gt;"Serviço",AND(AUTOEVENTO="Manual",$M18=$A$15),$M18&gt;(ROW(PLE.lastrow)-ROW(PLE.firstrow))),0,
           IF(OFFSET(PLE!$G$15,$M18-$A$15,BD$13)="",10^12,OFFSET(PLE!$G$15,$M18-$A$15,BD$13)))</f>
        <v>1000000000000</v>
      </c>
      <c r="BE18" s="171" cm="1">
        <f t="array" aca="1" ref="BE18" ca="1">IF(OR($D18&lt;&gt;"Serviço",AND(AUTOEVENTO="Manual",$M18=$A$15),$M18&gt;(ROW(PLE.lastrow)-ROW(PLE.firstrow))),0,
           IF(OFFSET(PLE!$G$15,$M18-$A$15,BE$13)="",10^12,OFFSET(PLE!$G$15,$M18-$A$15,BE$13)))</f>
        <v>1000000000000</v>
      </c>
      <c r="BF18" s="171" cm="1">
        <f t="array" aca="1" ref="BF18" ca="1">IF(OR($D18&lt;&gt;"Serviço",AND(AUTOEVENTO="Manual",$M18=$A$15),$M18&gt;(ROW(PLE.lastrow)-ROW(PLE.firstrow))),0,
           IF(OFFSET(PLE!$G$15,$M18-$A$15,BF$13)="",10^12,OFFSET(PLE!$G$15,$M18-$A$15,BF$13)))</f>
        <v>1000000000000</v>
      </c>
      <c r="BG18" s="171" cm="1">
        <f t="array" aca="1" ref="BG18" ca="1">IF(OR($D18&lt;&gt;"Serviço",AND(AUTOEVENTO="Manual",$M18=$A$15),$M18&gt;(ROW(PLE.lastrow)-ROW(PLE.firstrow))),0,
           IF(OFFSET(PLE!$G$15,$M18-$A$15,BG$13)="",10^12,OFFSET(PLE!$G$15,$M18-$A$15,BG$13)))</f>
        <v>1000000000000</v>
      </c>
    </row>
    <row r="19" spans="1:59" ht="12.75" x14ac:dyDescent="0.2">
      <c r="A19" s="7" t="str">
        <f t="shared" ca="1" si="8"/>
        <v>4.</v>
      </c>
      <c r="B19" s="7">
        <f ca="1">OFFSET(ORÇAMENTO!C$15,$L19,0)</f>
        <v>2</v>
      </c>
      <c r="C19" s="7" t="str">
        <f ca="1">OFFSET(ORÇAMENTO!L$15,$L19,0)</f>
        <v>F</v>
      </c>
      <c r="D19" s="115" t="str">
        <f ca="1">OFFSET(ORÇAMENTO!N$15,$L19,0)</f>
        <v>Nível 2</v>
      </c>
      <c r="E19" s="116" t="str">
        <f ca="1">OFFSET(ORÇAMENTO!O$15,$L19,0)</f>
        <v>1.2.</v>
      </c>
      <c r="F19" s="162" t="str">
        <f ca="1">OFFSET(ORÇAMENTO!R$15,$L19,0)</f>
        <v>SERVIÇOS PRELIMINARES</v>
      </c>
      <c r="G19" s="163" t="str">
        <f ca="1">IF($D19&lt;&gt;"Serviço","",OFFSET(ORÇAMENTO!S$15,$L19,0))</f>
        <v/>
      </c>
      <c r="H19" s="121" cm="1">
        <f t="array" aca="1" ref="H19" ca="1">IF($D19&lt;&gt;"Serviço",0,IF(ACOMPANHAMENTO="BM",ROUND(OFFSET(ORÇAMENTO!AJ$15,$L19,0),15-13*ORÇAMENTO!$AF$7),IF(IFERROR(CÁLCULO.FrentesPreenchidas,0)=0,0,SUM(ROUND(OFFSET($P19,0,1,1,CÁLCULO.FrentesPreenchidas),15-13*ORÇAMENTO!$AF$7)))))</f>
        <v>0</v>
      </c>
      <c r="I19" s="467"/>
      <c r="J19" s="650"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1"/>
      <c r="L19" s="164">
        <f t="shared" ca="1" si="9"/>
        <v>4</v>
      </c>
      <c r="M19" s="165" t="str">
        <f ca="1">IF($D19&lt;&gt;"Serviço","",
          IF(AUTOEVENTO="manual",$A19,
                IF(ISERROR(MATCH($A19,$A$15:OFFSET($A19,-1,0),0)),MAX($M$15:OFFSET(M19,-1,0))+1,
                      INDEX($M$15:OFFSET(M19,-1,0),MATCH($A19,$A$15:OFFSET($A19,-1,0),0)))))</f>
        <v/>
      </c>
      <c r="N19" s="166" t="str">
        <f ca="1">IF($D19&lt;&gt;"Serviço","",
         IF(AUTOEVENTO="Manual",
                IF($A19=0,"&lt;-- defina o número do agrupador",
                       OFFSET(EVENTOS!$D$15,$A19-$A$15,0)),
                OFFSET($F$15,$A19,0)))</f>
        <v/>
      </c>
      <c r="O19" s="167"/>
      <c r="Q19" s="167"/>
      <c r="R19" s="168"/>
      <c r="S19" s="168"/>
      <c r="T19" s="168"/>
      <c r="U19" s="168"/>
      <c r="V19" s="168"/>
      <c r="W19" s="168"/>
      <c r="X19" s="168"/>
      <c r="Y19" s="168"/>
      <c r="Z19" s="169"/>
      <c r="AB19" s="452">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2">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2">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2">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2">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2">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2">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2">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2">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2">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0">
        <f ca="1">IF(OR($D19&lt;&gt;"Serviço",AND(AUTOEVENTO="Manual",$M19=$A$15)),0,
         IF(OFFSET(CRONOPLE!$F$15,$M19-$A$15,AM$13)=0,10^12,OFFSET(CRONOPLE!$F$15,$M19-$A$15,AM$13)))</f>
        <v>0</v>
      </c>
      <c r="AN19" s="170">
        <f ca="1">IF(OR($D19&lt;&gt;"Serviço",AND(AUTOEVENTO="Manual",$M19=$A$15)),0,
         IF(OFFSET(CRONOPLE!$F$15,$M19-$A$15,AN$13)=0,10^12,OFFSET(CRONOPLE!$F$15,$M19-$A$15,AN$13)))</f>
        <v>0</v>
      </c>
      <c r="AO19" s="170">
        <f ca="1">IF(OR($D19&lt;&gt;"Serviço",AND(AUTOEVENTO="Manual",$M19=$A$15)),0,
         IF(OFFSET(CRONOPLE!$F$15,$M19-$A$15,AO$13)=0,10^12,OFFSET(CRONOPLE!$F$15,$M19-$A$15,AO$13)))</f>
        <v>0</v>
      </c>
      <c r="AP19" s="170">
        <f ca="1">IF(OR($D19&lt;&gt;"Serviço",AND(AUTOEVENTO="Manual",$M19=$A$15)),0,
         IF(OFFSET(CRONOPLE!$F$15,$M19-$A$15,AP$13)=0,10^12,OFFSET(CRONOPLE!$F$15,$M19-$A$15,AP$13)))</f>
        <v>0</v>
      </c>
      <c r="AQ19" s="170">
        <f ca="1">IF(OR($D19&lt;&gt;"Serviço",AND(AUTOEVENTO="Manual",$M19=$A$15)),0,
         IF(OFFSET(CRONOPLE!$F$15,$M19-$A$15,AQ$13)=0,10^12,OFFSET(CRONOPLE!$F$15,$M19-$A$15,AQ$13)))</f>
        <v>0</v>
      </c>
      <c r="AR19" s="170">
        <f ca="1">IF(OR($D19&lt;&gt;"Serviço",AND(AUTOEVENTO="Manual",$M19=$A$15)),0,
         IF(OFFSET(CRONOPLE!$F$15,$M19-$A$15,AR$13)=0,10^12,OFFSET(CRONOPLE!$F$15,$M19-$A$15,AR$13)))</f>
        <v>0</v>
      </c>
      <c r="AS19" s="170">
        <f ca="1">IF(OR($D19&lt;&gt;"Serviço",AND(AUTOEVENTO="Manual",$M19=$A$15)),0,
         IF(OFFSET(CRONOPLE!$F$15,$M19-$A$15,AS$13)=0,10^12,OFFSET(CRONOPLE!$F$15,$M19-$A$15,AS$13)))</f>
        <v>0</v>
      </c>
      <c r="AT19" s="170">
        <f ca="1">IF(OR($D19&lt;&gt;"Serviço",AND(AUTOEVENTO="Manual",$M19=$A$15)),0,
         IF(OFFSET(CRONOPLE!$F$15,$M19-$A$15,AT$13)=0,10^12,OFFSET(CRONOPLE!$F$15,$M19-$A$15,AT$13)))</f>
        <v>0</v>
      </c>
      <c r="AU19" s="170">
        <f ca="1">IF(OR($D19&lt;&gt;"Serviço",AND(AUTOEVENTO="Manual",$M19=$A$15)),0,
         IF(OFFSET(CRONOPLE!$F$15,$M19-$A$15,AU$13)=0,10^12,OFFSET(CRONOPLE!$F$15,$M19-$A$15,AU$13)))</f>
        <v>0</v>
      </c>
      <c r="AV19" s="170">
        <f ca="1">IF(OR($D19&lt;&gt;"Serviço",AND(AUTOEVENTO="Manual",$M19=$A$15)),0,
         IF(OFFSET(CRONOPLE!$F$15,$M19-$A$15,AV$13)=0,10^12,OFFSET(CRONOPLE!$F$15,$M19-$A$15,AV$13)))</f>
        <v>0</v>
      </c>
      <c r="AX19" s="171" cm="1">
        <f t="array" aca="1" ref="AX19" ca="1">IF(OR($D19&lt;&gt;"Serviço",AND(AUTOEVENTO="Manual",$M19=$A$15),$M19&gt;(ROW(PLE.lastrow)-ROW(PLE.firstrow))),0,
           IF(OFFSET(PLE!$G$15,$M19-$A$15,AX$13)="",10^12,OFFSET(PLE!$G$15,$M19-$A$15,AX$13)))</f>
        <v>0</v>
      </c>
      <c r="AY19" s="171" cm="1">
        <f t="array" aca="1" ref="AY19" ca="1">IF(OR($D19&lt;&gt;"Serviço",AND(AUTOEVENTO="Manual",$M19=$A$15),$M19&gt;(ROW(PLE.lastrow)-ROW(PLE.firstrow))),0,
           IF(OFFSET(PLE!$G$15,$M19-$A$15,AY$13)="",10^12,OFFSET(PLE!$G$15,$M19-$A$15,AY$13)))</f>
        <v>0</v>
      </c>
      <c r="AZ19" s="171" cm="1">
        <f t="array" aca="1" ref="AZ19" ca="1">IF(OR($D19&lt;&gt;"Serviço",AND(AUTOEVENTO="Manual",$M19=$A$15),$M19&gt;(ROW(PLE.lastrow)-ROW(PLE.firstrow))),0,
           IF(OFFSET(PLE!$G$15,$M19-$A$15,AZ$13)="",10^12,OFFSET(PLE!$G$15,$M19-$A$15,AZ$13)))</f>
        <v>0</v>
      </c>
      <c r="BA19" s="171" cm="1">
        <f t="array" aca="1" ref="BA19" ca="1">IF(OR($D19&lt;&gt;"Serviço",AND(AUTOEVENTO="Manual",$M19=$A$15),$M19&gt;(ROW(PLE.lastrow)-ROW(PLE.firstrow))),0,
           IF(OFFSET(PLE!$G$15,$M19-$A$15,BA$13)="",10^12,OFFSET(PLE!$G$15,$M19-$A$15,BA$13)))</f>
        <v>0</v>
      </c>
      <c r="BB19" s="171" cm="1">
        <f t="array" aca="1" ref="BB19" ca="1">IF(OR($D19&lt;&gt;"Serviço",AND(AUTOEVENTO="Manual",$M19=$A$15),$M19&gt;(ROW(PLE.lastrow)-ROW(PLE.firstrow))),0,
           IF(OFFSET(PLE!$G$15,$M19-$A$15,BB$13)="",10^12,OFFSET(PLE!$G$15,$M19-$A$15,BB$13)))</f>
        <v>0</v>
      </c>
      <c r="BC19" s="171" cm="1">
        <f t="array" aca="1" ref="BC19" ca="1">IF(OR($D19&lt;&gt;"Serviço",AND(AUTOEVENTO="Manual",$M19=$A$15),$M19&gt;(ROW(PLE.lastrow)-ROW(PLE.firstrow))),0,
           IF(OFFSET(PLE!$G$15,$M19-$A$15,BC$13)="",10^12,OFFSET(PLE!$G$15,$M19-$A$15,BC$13)))</f>
        <v>0</v>
      </c>
      <c r="BD19" s="171" cm="1">
        <f t="array" aca="1" ref="BD19" ca="1">IF(OR($D19&lt;&gt;"Serviço",AND(AUTOEVENTO="Manual",$M19=$A$15),$M19&gt;(ROW(PLE.lastrow)-ROW(PLE.firstrow))),0,
           IF(OFFSET(PLE!$G$15,$M19-$A$15,BD$13)="",10^12,OFFSET(PLE!$G$15,$M19-$A$15,BD$13)))</f>
        <v>0</v>
      </c>
      <c r="BE19" s="171" cm="1">
        <f t="array" aca="1" ref="BE19" ca="1">IF(OR($D19&lt;&gt;"Serviço",AND(AUTOEVENTO="Manual",$M19=$A$15),$M19&gt;(ROW(PLE.lastrow)-ROW(PLE.firstrow))),0,
           IF(OFFSET(PLE!$G$15,$M19-$A$15,BE$13)="",10^12,OFFSET(PLE!$G$15,$M19-$A$15,BE$13)))</f>
        <v>0</v>
      </c>
      <c r="BF19" s="171" cm="1">
        <f t="array" aca="1" ref="BF19" ca="1">IF(OR($D19&lt;&gt;"Serviço",AND(AUTOEVENTO="Manual",$M19=$A$15),$M19&gt;(ROW(PLE.lastrow)-ROW(PLE.firstrow))),0,
           IF(OFFSET(PLE!$G$15,$M19-$A$15,BF$13)="",10^12,OFFSET(PLE!$G$15,$M19-$A$15,BF$13)))</f>
        <v>0</v>
      </c>
      <c r="BG19" s="171" cm="1">
        <f t="array" aca="1" ref="BG19" ca="1">IF(OR($D19&lt;&gt;"Serviço",AND(AUTOEVENTO="Manual",$M19=$A$15),$M19&gt;(ROW(PLE.lastrow)-ROW(PLE.firstrow))),0,
           IF(OFFSET(PLE!$G$15,$M19-$A$15,BG$13)="",10^12,OFFSET(PLE!$G$15,$M19-$A$15,BG$13)))</f>
        <v>0</v>
      </c>
    </row>
    <row r="20" spans="1:59" ht="12.75" x14ac:dyDescent="0.2">
      <c r="A20" s="7" t="str">
        <f t="shared" ca="1" si="8"/>
        <v>4</v>
      </c>
      <c r="B20" s="7" t="str">
        <f ca="1">OFFSET(ORÇAMENTO!C$15,$L20,0)</f>
        <v>S</v>
      </c>
      <c r="C20" s="7" t="str">
        <f ca="1">OFFSET(ORÇAMENTO!L$15,$L20,0)</f>
        <v/>
      </c>
      <c r="D20" s="115" t="str">
        <f ca="1">OFFSET(ORÇAMENTO!N$15,$L20,0)</f>
        <v>Serviço</v>
      </c>
      <c r="E20" s="116" t="str">
        <f ca="1">OFFSET(ORÇAMENTO!O$15,$L20,0)</f>
        <v>-</v>
      </c>
      <c r="F20" s="162" t="str">
        <f ca="1">OFFSET(ORÇAMENTO!R$15,$L20,0)</f>
        <v>(Código não identificado nas referências)</v>
      </c>
      <c r="G20" s="163" t="str">
        <f ca="1">IF($D20&lt;&gt;"Serviço","",OFFSET(ORÇAMENTO!S$15,$L20,0))</f>
        <v>M2</v>
      </c>
      <c r="H20" s="121" cm="1">
        <f t="array" aca="1" ref="H20" ca="1">IF($D20&lt;&gt;"Serviço",0,IF(ACOMPANHAMENTO="BM",ROUND(OFFSET(ORÇAMENTO!AJ$15,$L20,0),15-13*ORÇAMENTO!$AF$7),IF(IFERROR(CÁLCULO.FrentesPreenchidas,0)=0,0,SUM(ROUND(OFFSET($P20,0,1,1,CÁLCULO.FrentesPreenchidas),15-13*ORÇAMENTO!$AF$7)))))</f>
        <v>2100</v>
      </c>
      <c r="I20" s="467"/>
      <c r="J20" s="650"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1"/>
      <c r="L20" s="164">
        <f t="shared" ca="1" si="9"/>
        <v>5</v>
      </c>
      <c r="M20" s="165">
        <f ca="1">IF($D20&lt;&gt;"Serviço","",
          IF(AUTOEVENTO="manual",$A20,
                IF(ISERROR(MATCH($A20,$A$15:OFFSET($A20,-1,0),0)),MAX($M$15:OFFSET(M20,-1,0))+1,
                      INDEX($M$15:OFFSET(M20,-1,0),MATCH($A20,$A$15:OFFSET($A20,-1,0),0)))))</f>
        <v>2</v>
      </c>
      <c r="N20" s="166" t="str">
        <f ca="1">IF($D20&lt;&gt;"Serviço","",
         IF(AUTOEVENTO="Manual",
                IF($A20=0,"&lt;-- defina o número do agrupador",
                       OFFSET(EVENTOS!$D$15,$A20-$A$15,0)),
                OFFSET($F$15,$A20,0)))</f>
        <v>SERVIÇOS PRELIMINARES</v>
      </c>
      <c r="O20" s="167"/>
      <c r="Q20" s="167"/>
      <c r="R20" s="168"/>
      <c r="S20" s="168"/>
      <c r="T20" s="168"/>
      <c r="U20" s="168"/>
      <c r="V20" s="168"/>
      <c r="W20" s="168"/>
      <c r="X20" s="168"/>
      <c r="Y20" s="168"/>
      <c r="Z20" s="169"/>
      <c r="AB20" s="452">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2">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2">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2">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2">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2">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2">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2">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2">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2">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0">
        <f ca="1">IF(OR($D20&lt;&gt;"Serviço",AND(AUTOEVENTO="Manual",$M20=$A$15)),0,
         IF(OFFSET(CRONOPLE!$F$15,$M20-$A$15,AM$13)=0,10^12,OFFSET(CRONOPLE!$F$15,$M20-$A$15,AM$13)))</f>
        <v>1000000000000</v>
      </c>
      <c r="AN20" s="170">
        <f ca="1">IF(OR($D20&lt;&gt;"Serviço",AND(AUTOEVENTO="Manual",$M20=$A$15)),0,
         IF(OFFSET(CRONOPLE!$F$15,$M20-$A$15,AN$13)=0,10^12,OFFSET(CRONOPLE!$F$15,$M20-$A$15,AN$13)))</f>
        <v>1000000000000</v>
      </c>
      <c r="AO20" s="170">
        <f ca="1">IF(OR($D20&lt;&gt;"Serviço",AND(AUTOEVENTO="Manual",$M20=$A$15)),0,
         IF(OFFSET(CRONOPLE!$F$15,$M20-$A$15,AO$13)=0,10^12,OFFSET(CRONOPLE!$F$15,$M20-$A$15,AO$13)))</f>
        <v>1000000000000</v>
      </c>
      <c r="AP20" s="170">
        <f ca="1">IF(OR($D20&lt;&gt;"Serviço",AND(AUTOEVENTO="Manual",$M20=$A$15)),0,
         IF(OFFSET(CRONOPLE!$F$15,$M20-$A$15,AP$13)=0,10^12,OFFSET(CRONOPLE!$F$15,$M20-$A$15,AP$13)))</f>
        <v>1000000000000</v>
      </c>
      <c r="AQ20" s="170">
        <f ca="1">IF(OR($D20&lt;&gt;"Serviço",AND(AUTOEVENTO="Manual",$M20=$A$15)),0,
         IF(OFFSET(CRONOPLE!$F$15,$M20-$A$15,AQ$13)=0,10^12,OFFSET(CRONOPLE!$F$15,$M20-$A$15,AQ$13)))</f>
        <v>1000000000000</v>
      </c>
      <c r="AR20" s="170">
        <f ca="1">IF(OR($D20&lt;&gt;"Serviço",AND(AUTOEVENTO="Manual",$M20=$A$15)),0,
         IF(OFFSET(CRONOPLE!$F$15,$M20-$A$15,AR$13)=0,10^12,OFFSET(CRONOPLE!$F$15,$M20-$A$15,AR$13)))</f>
        <v>1000000000000</v>
      </c>
      <c r="AS20" s="170">
        <f ca="1">IF(OR($D20&lt;&gt;"Serviço",AND(AUTOEVENTO="Manual",$M20=$A$15)),0,
         IF(OFFSET(CRONOPLE!$F$15,$M20-$A$15,AS$13)=0,10^12,OFFSET(CRONOPLE!$F$15,$M20-$A$15,AS$13)))</f>
        <v>1000000000000</v>
      </c>
      <c r="AT20" s="170">
        <f ca="1">IF(OR($D20&lt;&gt;"Serviço",AND(AUTOEVENTO="Manual",$M20=$A$15)),0,
         IF(OFFSET(CRONOPLE!$F$15,$M20-$A$15,AT$13)=0,10^12,OFFSET(CRONOPLE!$F$15,$M20-$A$15,AT$13)))</f>
        <v>1000000000000</v>
      </c>
      <c r="AU20" s="170">
        <f ca="1">IF(OR($D20&lt;&gt;"Serviço",AND(AUTOEVENTO="Manual",$M20=$A$15)),0,
         IF(OFFSET(CRONOPLE!$F$15,$M20-$A$15,AU$13)=0,10^12,OFFSET(CRONOPLE!$F$15,$M20-$A$15,AU$13)))</f>
        <v>1000000000000</v>
      </c>
      <c r="AV20" s="170">
        <f ca="1">IF(OR($D20&lt;&gt;"Serviço",AND(AUTOEVENTO="Manual",$M20=$A$15)),0,
         IF(OFFSET(CRONOPLE!$F$15,$M20-$A$15,AV$13)=0,10^12,OFFSET(CRONOPLE!$F$15,$M20-$A$15,AV$13)))</f>
        <v>1000000000000</v>
      </c>
      <c r="AX20" s="171" cm="1">
        <f t="array" aca="1" ref="AX20" ca="1">IF(OR($D20&lt;&gt;"Serviço",AND(AUTOEVENTO="Manual",$M20=$A$15),$M20&gt;(ROW(PLE.lastrow)-ROW(PLE.firstrow))),0,
           IF(OFFSET(PLE!$G$15,$M20-$A$15,AX$13)="",10^12,OFFSET(PLE!$G$15,$M20-$A$15,AX$13)))</f>
        <v>1000000000000</v>
      </c>
      <c r="AY20" s="171" cm="1">
        <f t="array" aca="1" ref="AY20" ca="1">IF(OR($D20&lt;&gt;"Serviço",AND(AUTOEVENTO="Manual",$M20=$A$15),$M20&gt;(ROW(PLE.lastrow)-ROW(PLE.firstrow))),0,
           IF(OFFSET(PLE!$G$15,$M20-$A$15,AY$13)="",10^12,OFFSET(PLE!$G$15,$M20-$A$15,AY$13)))</f>
        <v>1000000000000</v>
      </c>
      <c r="AZ20" s="171" cm="1">
        <f t="array" aca="1" ref="AZ20" ca="1">IF(OR($D20&lt;&gt;"Serviço",AND(AUTOEVENTO="Manual",$M20=$A$15),$M20&gt;(ROW(PLE.lastrow)-ROW(PLE.firstrow))),0,
           IF(OFFSET(PLE!$G$15,$M20-$A$15,AZ$13)="",10^12,OFFSET(PLE!$G$15,$M20-$A$15,AZ$13)))</f>
        <v>1000000000000</v>
      </c>
      <c r="BA20" s="171" cm="1">
        <f t="array" aca="1" ref="BA20" ca="1">IF(OR($D20&lt;&gt;"Serviço",AND(AUTOEVENTO="Manual",$M20=$A$15),$M20&gt;(ROW(PLE.lastrow)-ROW(PLE.firstrow))),0,
           IF(OFFSET(PLE!$G$15,$M20-$A$15,BA$13)="",10^12,OFFSET(PLE!$G$15,$M20-$A$15,BA$13)))</f>
        <v>1000000000000</v>
      </c>
      <c r="BB20" s="171" cm="1">
        <f t="array" aca="1" ref="BB20" ca="1">IF(OR($D20&lt;&gt;"Serviço",AND(AUTOEVENTO="Manual",$M20=$A$15),$M20&gt;(ROW(PLE.lastrow)-ROW(PLE.firstrow))),0,
           IF(OFFSET(PLE!$G$15,$M20-$A$15,BB$13)="",10^12,OFFSET(PLE!$G$15,$M20-$A$15,BB$13)))</f>
        <v>1000000000000</v>
      </c>
      <c r="BC20" s="171" cm="1">
        <f t="array" aca="1" ref="BC20" ca="1">IF(OR($D20&lt;&gt;"Serviço",AND(AUTOEVENTO="Manual",$M20=$A$15),$M20&gt;(ROW(PLE.lastrow)-ROW(PLE.firstrow))),0,
           IF(OFFSET(PLE!$G$15,$M20-$A$15,BC$13)="",10^12,OFFSET(PLE!$G$15,$M20-$A$15,BC$13)))</f>
        <v>1000000000000</v>
      </c>
      <c r="BD20" s="171" cm="1">
        <f t="array" aca="1" ref="BD20" ca="1">IF(OR($D20&lt;&gt;"Serviço",AND(AUTOEVENTO="Manual",$M20=$A$15),$M20&gt;(ROW(PLE.lastrow)-ROW(PLE.firstrow))),0,
           IF(OFFSET(PLE!$G$15,$M20-$A$15,BD$13)="",10^12,OFFSET(PLE!$G$15,$M20-$A$15,BD$13)))</f>
        <v>1000000000000</v>
      </c>
      <c r="BE20" s="171" cm="1">
        <f t="array" aca="1" ref="BE20" ca="1">IF(OR($D20&lt;&gt;"Serviço",AND(AUTOEVENTO="Manual",$M20=$A$15),$M20&gt;(ROW(PLE.lastrow)-ROW(PLE.firstrow))),0,
           IF(OFFSET(PLE!$G$15,$M20-$A$15,BE$13)="",10^12,OFFSET(PLE!$G$15,$M20-$A$15,BE$13)))</f>
        <v>1000000000000</v>
      </c>
      <c r="BF20" s="171" cm="1">
        <f t="array" aca="1" ref="BF20" ca="1">IF(OR($D20&lt;&gt;"Serviço",AND(AUTOEVENTO="Manual",$M20=$A$15),$M20&gt;(ROW(PLE.lastrow)-ROW(PLE.firstrow))),0,
           IF(OFFSET(PLE!$G$15,$M20-$A$15,BF$13)="",10^12,OFFSET(PLE!$G$15,$M20-$A$15,BF$13)))</f>
        <v>1000000000000</v>
      </c>
      <c r="BG20" s="171" cm="1">
        <f t="array" aca="1" ref="BG20" ca="1">IF(OR($D20&lt;&gt;"Serviço",AND(AUTOEVENTO="Manual",$M20=$A$15),$M20&gt;(ROW(PLE.lastrow)-ROW(PLE.firstrow))),0,
           IF(OFFSET(PLE!$G$15,$M20-$A$15,BG$13)="",10^12,OFFSET(PLE!$G$15,$M20-$A$15,BG$13)))</f>
        <v>1000000000000</v>
      </c>
    </row>
    <row r="21" spans="1:59" ht="12.75" x14ac:dyDescent="0.2">
      <c r="A21" s="7" t="str">
        <f t="shared" ca="1" si="8"/>
        <v>6.</v>
      </c>
      <c r="B21" s="7">
        <f ca="1">OFFSET(ORÇAMENTO!C$15,$L21,0)</f>
        <v>2</v>
      </c>
      <c r="C21" s="7" t="str">
        <f ca="1">OFFSET(ORÇAMENTO!L$15,$L21,0)</f>
        <v>F</v>
      </c>
      <c r="D21" s="115" t="str">
        <f ca="1">OFFSET(ORÇAMENTO!N$15,$L21,0)</f>
        <v>Nível 2</v>
      </c>
      <c r="E21" s="116" t="str">
        <f ca="1">OFFSET(ORÇAMENTO!O$15,$L21,0)</f>
        <v>1.3.</v>
      </c>
      <c r="F21" s="162" t="str">
        <f ca="1">OFFSET(ORÇAMENTO!R$15,$L21,0)</f>
        <v>BASE EM BRITA GRADUADA H=5CM</v>
      </c>
      <c r="G21" s="163" t="str">
        <f ca="1">IF($D21&lt;&gt;"Serviço","",OFFSET(ORÇAMENTO!S$15,$L21,0))</f>
        <v/>
      </c>
      <c r="H21" s="121" cm="1">
        <f t="array" aca="1" ref="H21" ca="1">IF($D21&lt;&gt;"Serviço",0,IF(ACOMPANHAMENTO="BM",ROUND(OFFSET(ORÇAMENTO!AJ$15,$L21,0),15-13*ORÇAMENTO!$AF$7),IF(IFERROR(CÁLCULO.FrentesPreenchidas,0)=0,0,SUM(ROUND(OFFSET($P21,0,1,1,CÁLCULO.FrentesPreenchidas),15-13*ORÇAMENTO!$AF$7)))))</f>
        <v>0</v>
      </c>
      <c r="I21" s="467"/>
      <c r="J21" s="650"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1"/>
      <c r="L21" s="164">
        <f t="shared" ca="1" si="9"/>
        <v>6</v>
      </c>
      <c r="M21" s="165" t="str">
        <f ca="1">IF($D21&lt;&gt;"Serviço","",
          IF(AUTOEVENTO="manual",$A21,
                IF(ISERROR(MATCH($A21,$A$15:OFFSET($A21,-1,0),0)),MAX($M$15:OFFSET(M21,-1,0))+1,
                      INDEX($M$15:OFFSET(M21,-1,0),MATCH($A21,$A$15:OFFSET($A21,-1,0),0)))))</f>
        <v/>
      </c>
      <c r="N21" s="166" t="str">
        <f ca="1">IF($D21&lt;&gt;"Serviço","",
         IF(AUTOEVENTO="Manual",
                IF($A21=0,"&lt;-- defina o número do agrupador",
                       OFFSET(EVENTOS!$D$15,$A21-$A$15,0)),
                OFFSET($F$15,$A21,0)))</f>
        <v/>
      </c>
      <c r="O21" s="167"/>
      <c r="Q21" s="167"/>
      <c r="R21" s="168"/>
      <c r="S21" s="168"/>
      <c r="T21" s="168"/>
      <c r="U21" s="168"/>
      <c r="V21" s="168"/>
      <c r="W21" s="168"/>
      <c r="X21" s="168"/>
      <c r="Y21" s="168"/>
      <c r="Z21" s="169"/>
      <c r="AB21" s="452">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2">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2">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2">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2">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2">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2">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2">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2">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2">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0">
        <f ca="1">IF(OR($D21&lt;&gt;"Serviço",AND(AUTOEVENTO="Manual",$M21=$A$15)),0,
         IF(OFFSET(CRONOPLE!$F$15,$M21-$A$15,AM$13)=0,10^12,OFFSET(CRONOPLE!$F$15,$M21-$A$15,AM$13)))</f>
        <v>0</v>
      </c>
      <c r="AN21" s="170">
        <f ca="1">IF(OR($D21&lt;&gt;"Serviço",AND(AUTOEVENTO="Manual",$M21=$A$15)),0,
         IF(OFFSET(CRONOPLE!$F$15,$M21-$A$15,AN$13)=0,10^12,OFFSET(CRONOPLE!$F$15,$M21-$A$15,AN$13)))</f>
        <v>0</v>
      </c>
      <c r="AO21" s="170">
        <f ca="1">IF(OR($D21&lt;&gt;"Serviço",AND(AUTOEVENTO="Manual",$M21=$A$15)),0,
         IF(OFFSET(CRONOPLE!$F$15,$M21-$A$15,AO$13)=0,10^12,OFFSET(CRONOPLE!$F$15,$M21-$A$15,AO$13)))</f>
        <v>0</v>
      </c>
      <c r="AP21" s="170">
        <f ca="1">IF(OR($D21&lt;&gt;"Serviço",AND(AUTOEVENTO="Manual",$M21=$A$15)),0,
         IF(OFFSET(CRONOPLE!$F$15,$M21-$A$15,AP$13)=0,10^12,OFFSET(CRONOPLE!$F$15,$M21-$A$15,AP$13)))</f>
        <v>0</v>
      </c>
      <c r="AQ21" s="170">
        <f ca="1">IF(OR($D21&lt;&gt;"Serviço",AND(AUTOEVENTO="Manual",$M21=$A$15)),0,
         IF(OFFSET(CRONOPLE!$F$15,$M21-$A$15,AQ$13)=0,10^12,OFFSET(CRONOPLE!$F$15,$M21-$A$15,AQ$13)))</f>
        <v>0</v>
      </c>
      <c r="AR21" s="170">
        <f ca="1">IF(OR($D21&lt;&gt;"Serviço",AND(AUTOEVENTO="Manual",$M21=$A$15)),0,
         IF(OFFSET(CRONOPLE!$F$15,$M21-$A$15,AR$13)=0,10^12,OFFSET(CRONOPLE!$F$15,$M21-$A$15,AR$13)))</f>
        <v>0</v>
      </c>
      <c r="AS21" s="170">
        <f ca="1">IF(OR($D21&lt;&gt;"Serviço",AND(AUTOEVENTO="Manual",$M21=$A$15)),0,
         IF(OFFSET(CRONOPLE!$F$15,$M21-$A$15,AS$13)=0,10^12,OFFSET(CRONOPLE!$F$15,$M21-$A$15,AS$13)))</f>
        <v>0</v>
      </c>
      <c r="AT21" s="170">
        <f ca="1">IF(OR($D21&lt;&gt;"Serviço",AND(AUTOEVENTO="Manual",$M21=$A$15)),0,
         IF(OFFSET(CRONOPLE!$F$15,$M21-$A$15,AT$13)=0,10^12,OFFSET(CRONOPLE!$F$15,$M21-$A$15,AT$13)))</f>
        <v>0</v>
      </c>
      <c r="AU21" s="170">
        <f ca="1">IF(OR($D21&lt;&gt;"Serviço",AND(AUTOEVENTO="Manual",$M21=$A$15)),0,
         IF(OFFSET(CRONOPLE!$F$15,$M21-$A$15,AU$13)=0,10^12,OFFSET(CRONOPLE!$F$15,$M21-$A$15,AU$13)))</f>
        <v>0</v>
      </c>
      <c r="AV21" s="170">
        <f ca="1">IF(OR($D21&lt;&gt;"Serviço",AND(AUTOEVENTO="Manual",$M21=$A$15)),0,
         IF(OFFSET(CRONOPLE!$F$15,$M21-$A$15,AV$13)=0,10^12,OFFSET(CRONOPLE!$F$15,$M21-$A$15,AV$13)))</f>
        <v>0</v>
      </c>
      <c r="AX21" s="171" cm="1">
        <f t="array" aca="1" ref="AX21" ca="1">IF(OR($D21&lt;&gt;"Serviço",AND(AUTOEVENTO="Manual",$M21=$A$15),$M21&gt;(ROW(PLE.lastrow)-ROW(PLE.firstrow))),0,
           IF(OFFSET(PLE!$G$15,$M21-$A$15,AX$13)="",10^12,OFFSET(PLE!$G$15,$M21-$A$15,AX$13)))</f>
        <v>0</v>
      </c>
      <c r="AY21" s="171" cm="1">
        <f t="array" aca="1" ref="AY21" ca="1">IF(OR($D21&lt;&gt;"Serviço",AND(AUTOEVENTO="Manual",$M21=$A$15),$M21&gt;(ROW(PLE.lastrow)-ROW(PLE.firstrow))),0,
           IF(OFFSET(PLE!$G$15,$M21-$A$15,AY$13)="",10^12,OFFSET(PLE!$G$15,$M21-$A$15,AY$13)))</f>
        <v>0</v>
      </c>
      <c r="AZ21" s="171" cm="1">
        <f t="array" aca="1" ref="AZ21" ca="1">IF(OR($D21&lt;&gt;"Serviço",AND(AUTOEVENTO="Manual",$M21=$A$15),$M21&gt;(ROW(PLE.lastrow)-ROW(PLE.firstrow))),0,
           IF(OFFSET(PLE!$G$15,$M21-$A$15,AZ$13)="",10^12,OFFSET(PLE!$G$15,$M21-$A$15,AZ$13)))</f>
        <v>0</v>
      </c>
      <c r="BA21" s="171" cm="1">
        <f t="array" aca="1" ref="BA21" ca="1">IF(OR($D21&lt;&gt;"Serviço",AND(AUTOEVENTO="Manual",$M21=$A$15),$M21&gt;(ROW(PLE.lastrow)-ROW(PLE.firstrow))),0,
           IF(OFFSET(PLE!$G$15,$M21-$A$15,BA$13)="",10^12,OFFSET(PLE!$G$15,$M21-$A$15,BA$13)))</f>
        <v>0</v>
      </c>
      <c r="BB21" s="171" cm="1">
        <f t="array" aca="1" ref="BB21" ca="1">IF(OR($D21&lt;&gt;"Serviço",AND(AUTOEVENTO="Manual",$M21=$A$15),$M21&gt;(ROW(PLE.lastrow)-ROW(PLE.firstrow))),0,
           IF(OFFSET(PLE!$G$15,$M21-$A$15,BB$13)="",10^12,OFFSET(PLE!$G$15,$M21-$A$15,BB$13)))</f>
        <v>0</v>
      </c>
      <c r="BC21" s="171" cm="1">
        <f t="array" aca="1" ref="BC21" ca="1">IF(OR($D21&lt;&gt;"Serviço",AND(AUTOEVENTO="Manual",$M21=$A$15),$M21&gt;(ROW(PLE.lastrow)-ROW(PLE.firstrow))),0,
           IF(OFFSET(PLE!$G$15,$M21-$A$15,BC$13)="",10^12,OFFSET(PLE!$G$15,$M21-$A$15,BC$13)))</f>
        <v>0</v>
      </c>
      <c r="BD21" s="171" cm="1">
        <f t="array" aca="1" ref="BD21" ca="1">IF(OR($D21&lt;&gt;"Serviço",AND(AUTOEVENTO="Manual",$M21=$A$15),$M21&gt;(ROW(PLE.lastrow)-ROW(PLE.firstrow))),0,
           IF(OFFSET(PLE!$G$15,$M21-$A$15,BD$13)="",10^12,OFFSET(PLE!$G$15,$M21-$A$15,BD$13)))</f>
        <v>0</v>
      </c>
      <c r="BE21" s="171" cm="1">
        <f t="array" aca="1" ref="BE21" ca="1">IF(OR($D21&lt;&gt;"Serviço",AND(AUTOEVENTO="Manual",$M21=$A$15),$M21&gt;(ROW(PLE.lastrow)-ROW(PLE.firstrow))),0,
           IF(OFFSET(PLE!$G$15,$M21-$A$15,BE$13)="",10^12,OFFSET(PLE!$G$15,$M21-$A$15,BE$13)))</f>
        <v>0</v>
      </c>
      <c r="BF21" s="171" cm="1">
        <f t="array" aca="1" ref="BF21" ca="1">IF(OR($D21&lt;&gt;"Serviço",AND(AUTOEVENTO="Manual",$M21=$A$15),$M21&gt;(ROW(PLE.lastrow)-ROW(PLE.firstrow))),0,
           IF(OFFSET(PLE!$G$15,$M21-$A$15,BF$13)="",10^12,OFFSET(PLE!$G$15,$M21-$A$15,BF$13)))</f>
        <v>0</v>
      </c>
      <c r="BG21" s="171" cm="1">
        <f t="array" aca="1" ref="BG21" ca="1">IF(OR($D21&lt;&gt;"Serviço",AND(AUTOEVENTO="Manual",$M21=$A$15),$M21&gt;(ROW(PLE.lastrow)-ROW(PLE.firstrow))),0,
           IF(OFFSET(PLE!$G$15,$M21-$A$15,BG$13)="",10^12,OFFSET(PLE!$G$15,$M21-$A$15,BG$13)))</f>
        <v>0</v>
      </c>
    </row>
    <row r="22" spans="1:59" ht="25.5" x14ac:dyDescent="0.2">
      <c r="A22" s="7" t="str">
        <f t="shared" ca="1" si="8"/>
        <v>6</v>
      </c>
      <c r="B22" s="7" t="str">
        <f ca="1">OFFSET(ORÇAMENTO!C$15,$L22,0)</f>
        <v>S</v>
      </c>
      <c r="C22" s="7" t="str">
        <f ca="1">OFFSET(ORÇAMENTO!L$15,$L22,0)</f>
        <v/>
      </c>
      <c r="D22" s="115" t="str">
        <f ca="1">OFFSET(ORÇAMENTO!N$15,$L22,0)</f>
        <v>Serviço</v>
      </c>
      <c r="E22" s="116" t="str">
        <f ca="1">OFFSET(ORÇAMENTO!O$15,$L22,0)</f>
        <v>-</v>
      </c>
      <c r="F22" s="162" t="str">
        <f ca="1">OFFSET(ORÇAMENTO!R$15,$L22,0)</f>
        <v>(Código não identificado nas referências)</v>
      </c>
      <c r="G22" s="163" t="str">
        <f ca="1">IF($D22&lt;&gt;"Serviço","",OFFSET(ORÇAMENTO!S$15,$L22,0))</f>
        <v>-</v>
      </c>
      <c r="H22" s="121" cm="1">
        <f t="array" aca="1" ref="H22" ca="1">IF($D22&lt;&gt;"Serviço",0,IF(ACOMPANHAMENTO="BM",ROUND(OFFSET(ORÇAMENTO!AJ$15,$L22,0),15-13*ORÇAMENTO!$AF$7),IF(IFERROR(CÁLCULO.FrentesPreenchidas,0)=0,0,SUM(ROUND(OFFSET($P22,0,1,1,CÁLCULO.FrentesPreenchidas),15-13*ORÇAMENTO!$AF$7)))))</f>
        <v>105</v>
      </c>
      <c r="I22" s="467"/>
      <c r="J22" s="650"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1"/>
      <c r="L22" s="164">
        <f t="shared" ca="1" si="9"/>
        <v>7</v>
      </c>
      <c r="M22" s="165">
        <f ca="1">IF($D22&lt;&gt;"Serviço","",
          IF(AUTOEVENTO="manual",$A22,
                IF(ISERROR(MATCH($A22,$A$15:OFFSET($A22,-1,0),0)),MAX($M$15:OFFSET(M22,-1,0))+1,
                      INDEX($M$15:OFFSET(M22,-1,0),MATCH($A22,$A$15:OFFSET($A22,-1,0),0)))))</f>
        <v>3</v>
      </c>
      <c r="N22" s="166" t="str">
        <f ca="1">IF($D22&lt;&gt;"Serviço","",
         IF(AUTOEVENTO="Manual",
                IF($A22=0,"&lt;-- defina o número do agrupador",
                       OFFSET(EVENTOS!$D$15,$A22-$A$15,0)),
                OFFSET($F$15,$A22,0)))</f>
        <v>BASE EM BRITA GRADUADA H=5CM</v>
      </c>
      <c r="O22" s="167"/>
      <c r="Q22" s="167"/>
      <c r="R22" s="168"/>
      <c r="S22" s="168"/>
      <c r="T22" s="168"/>
      <c r="U22" s="168"/>
      <c r="V22" s="168"/>
      <c r="W22" s="168"/>
      <c r="X22" s="168"/>
      <c r="Y22" s="168"/>
      <c r="Z22" s="169"/>
      <c r="AB22" s="452">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2">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2">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2">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2">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2">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2">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2">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2">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2">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0">
        <f ca="1">IF(OR($D22&lt;&gt;"Serviço",AND(AUTOEVENTO="Manual",$M22=$A$15)),0,
         IF(OFFSET(CRONOPLE!$F$15,$M22-$A$15,AM$13)=0,10^12,OFFSET(CRONOPLE!$F$15,$M22-$A$15,AM$13)))</f>
        <v>1000000000000</v>
      </c>
      <c r="AN22" s="170">
        <f ca="1">IF(OR($D22&lt;&gt;"Serviço",AND(AUTOEVENTO="Manual",$M22=$A$15)),0,
         IF(OFFSET(CRONOPLE!$F$15,$M22-$A$15,AN$13)=0,10^12,OFFSET(CRONOPLE!$F$15,$M22-$A$15,AN$13)))</f>
        <v>1000000000000</v>
      </c>
      <c r="AO22" s="170">
        <f ca="1">IF(OR($D22&lt;&gt;"Serviço",AND(AUTOEVENTO="Manual",$M22=$A$15)),0,
         IF(OFFSET(CRONOPLE!$F$15,$M22-$A$15,AO$13)=0,10^12,OFFSET(CRONOPLE!$F$15,$M22-$A$15,AO$13)))</f>
        <v>1000000000000</v>
      </c>
      <c r="AP22" s="170">
        <f ca="1">IF(OR($D22&lt;&gt;"Serviço",AND(AUTOEVENTO="Manual",$M22=$A$15)),0,
         IF(OFFSET(CRONOPLE!$F$15,$M22-$A$15,AP$13)=0,10^12,OFFSET(CRONOPLE!$F$15,$M22-$A$15,AP$13)))</f>
        <v>1000000000000</v>
      </c>
      <c r="AQ22" s="170">
        <f ca="1">IF(OR($D22&lt;&gt;"Serviço",AND(AUTOEVENTO="Manual",$M22=$A$15)),0,
         IF(OFFSET(CRONOPLE!$F$15,$M22-$A$15,AQ$13)=0,10^12,OFFSET(CRONOPLE!$F$15,$M22-$A$15,AQ$13)))</f>
        <v>1000000000000</v>
      </c>
      <c r="AR22" s="170">
        <f ca="1">IF(OR($D22&lt;&gt;"Serviço",AND(AUTOEVENTO="Manual",$M22=$A$15)),0,
         IF(OFFSET(CRONOPLE!$F$15,$M22-$A$15,AR$13)=0,10^12,OFFSET(CRONOPLE!$F$15,$M22-$A$15,AR$13)))</f>
        <v>1000000000000</v>
      </c>
      <c r="AS22" s="170">
        <f ca="1">IF(OR($D22&lt;&gt;"Serviço",AND(AUTOEVENTO="Manual",$M22=$A$15)),0,
         IF(OFFSET(CRONOPLE!$F$15,$M22-$A$15,AS$13)=0,10^12,OFFSET(CRONOPLE!$F$15,$M22-$A$15,AS$13)))</f>
        <v>1000000000000</v>
      </c>
      <c r="AT22" s="170">
        <f ca="1">IF(OR($D22&lt;&gt;"Serviço",AND(AUTOEVENTO="Manual",$M22=$A$15)),0,
         IF(OFFSET(CRONOPLE!$F$15,$M22-$A$15,AT$13)=0,10^12,OFFSET(CRONOPLE!$F$15,$M22-$A$15,AT$13)))</f>
        <v>1000000000000</v>
      </c>
      <c r="AU22" s="170">
        <f ca="1">IF(OR($D22&lt;&gt;"Serviço",AND(AUTOEVENTO="Manual",$M22=$A$15)),0,
         IF(OFFSET(CRONOPLE!$F$15,$M22-$A$15,AU$13)=0,10^12,OFFSET(CRONOPLE!$F$15,$M22-$A$15,AU$13)))</f>
        <v>1000000000000</v>
      </c>
      <c r="AV22" s="170">
        <f ca="1">IF(OR($D22&lt;&gt;"Serviço",AND(AUTOEVENTO="Manual",$M22=$A$15)),0,
         IF(OFFSET(CRONOPLE!$F$15,$M22-$A$15,AV$13)=0,10^12,OFFSET(CRONOPLE!$F$15,$M22-$A$15,AV$13)))</f>
        <v>1000000000000</v>
      </c>
      <c r="AX22" s="171" cm="1">
        <f t="array" aca="1" ref="AX22" ca="1">IF(OR($D22&lt;&gt;"Serviço",AND(AUTOEVENTO="Manual",$M22=$A$15),$M22&gt;(ROW(PLE.lastrow)-ROW(PLE.firstrow))),0,
           IF(OFFSET(PLE!$G$15,$M22-$A$15,AX$13)="",10^12,OFFSET(PLE!$G$15,$M22-$A$15,AX$13)))</f>
        <v>1000000000000</v>
      </c>
      <c r="AY22" s="171" cm="1">
        <f t="array" aca="1" ref="AY22" ca="1">IF(OR($D22&lt;&gt;"Serviço",AND(AUTOEVENTO="Manual",$M22=$A$15),$M22&gt;(ROW(PLE.lastrow)-ROW(PLE.firstrow))),0,
           IF(OFFSET(PLE!$G$15,$M22-$A$15,AY$13)="",10^12,OFFSET(PLE!$G$15,$M22-$A$15,AY$13)))</f>
        <v>1000000000000</v>
      </c>
      <c r="AZ22" s="171" cm="1">
        <f t="array" aca="1" ref="AZ22" ca="1">IF(OR($D22&lt;&gt;"Serviço",AND(AUTOEVENTO="Manual",$M22=$A$15),$M22&gt;(ROW(PLE.lastrow)-ROW(PLE.firstrow))),0,
           IF(OFFSET(PLE!$G$15,$M22-$A$15,AZ$13)="",10^12,OFFSET(PLE!$G$15,$M22-$A$15,AZ$13)))</f>
        <v>1000000000000</v>
      </c>
      <c r="BA22" s="171" cm="1">
        <f t="array" aca="1" ref="BA22" ca="1">IF(OR($D22&lt;&gt;"Serviço",AND(AUTOEVENTO="Manual",$M22=$A$15),$M22&gt;(ROW(PLE.lastrow)-ROW(PLE.firstrow))),0,
           IF(OFFSET(PLE!$G$15,$M22-$A$15,BA$13)="",10^12,OFFSET(PLE!$G$15,$M22-$A$15,BA$13)))</f>
        <v>1000000000000</v>
      </c>
      <c r="BB22" s="171" cm="1">
        <f t="array" aca="1" ref="BB22" ca="1">IF(OR($D22&lt;&gt;"Serviço",AND(AUTOEVENTO="Manual",$M22=$A$15),$M22&gt;(ROW(PLE.lastrow)-ROW(PLE.firstrow))),0,
           IF(OFFSET(PLE!$G$15,$M22-$A$15,BB$13)="",10^12,OFFSET(PLE!$G$15,$M22-$A$15,BB$13)))</f>
        <v>1000000000000</v>
      </c>
      <c r="BC22" s="171" cm="1">
        <f t="array" aca="1" ref="BC22" ca="1">IF(OR($D22&lt;&gt;"Serviço",AND(AUTOEVENTO="Manual",$M22=$A$15),$M22&gt;(ROW(PLE.lastrow)-ROW(PLE.firstrow))),0,
           IF(OFFSET(PLE!$G$15,$M22-$A$15,BC$13)="",10^12,OFFSET(PLE!$G$15,$M22-$A$15,BC$13)))</f>
        <v>1000000000000</v>
      </c>
      <c r="BD22" s="171" cm="1">
        <f t="array" aca="1" ref="BD22" ca="1">IF(OR($D22&lt;&gt;"Serviço",AND(AUTOEVENTO="Manual",$M22=$A$15),$M22&gt;(ROW(PLE.lastrow)-ROW(PLE.firstrow))),0,
           IF(OFFSET(PLE!$G$15,$M22-$A$15,BD$13)="",10^12,OFFSET(PLE!$G$15,$M22-$A$15,BD$13)))</f>
        <v>1000000000000</v>
      </c>
      <c r="BE22" s="171" cm="1">
        <f t="array" aca="1" ref="BE22" ca="1">IF(OR($D22&lt;&gt;"Serviço",AND(AUTOEVENTO="Manual",$M22=$A$15),$M22&gt;(ROW(PLE.lastrow)-ROW(PLE.firstrow))),0,
           IF(OFFSET(PLE!$G$15,$M22-$A$15,BE$13)="",10^12,OFFSET(PLE!$G$15,$M22-$A$15,BE$13)))</f>
        <v>1000000000000</v>
      </c>
      <c r="BF22" s="171" cm="1">
        <f t="array" aca="1" ref="BF22" ca="1">IF(OR($D22&lt;&gt;"Serviço",AND(AUTOEVENTO="Manual",$M22=$A$15),$M22&gt;(ROW(PLE.lastrow)-ROW(PLE.firstrow))),0,
           IF(OFFSET(PLE!$G$15,$M22-$A$15,BF$13)="",10^12,OFFSET(PLE!$G$15,$M22-$A$15,BF$13)))</f>
        <v>1000000000000</v>
      </c>
      <c r="BG22" s="171" cm="1">
        <f t="array" aca="1" ref="BG22" ca="1">IF(OR($D22&lt;&gt;"Serviço",AND(AUTOEVENTO="Manual",$M22=$A$15),$M22&gt;(ROW(PLE.lastrow)-ROW(PLE.firstrow))),0,
           IF(OFFSET(PLE!$G$15,$M22-$A$15,BG$13)="",10^12,OFFSET(PLE!$G$15,$M22-$A$15,BG$13)))</f>
        <v>1000000000000</v>
      </c>
    </row>
    <row r="23" spans="1:59" ht="25.5" x14ac:dyDescent="0.2">
      <c r="A23" s="7" t="str">
        <f t="shared" ca="1" si="8"/>
        <v>6</v>
      </c>
      <c r="B23" s="7" t="str">
        <f ca="1">OFFSET(ORÇAMENTO!C$15,$L23,0)</f>
        <v>S</v>
      </c>
      <c r="C23" s="7" t="str">
        <f ca="1">OFFSET(ORÇAMENTO!L$15,$L23,0)</f>
        <v/>
      </c>
      <c r="D23" s="115" t="str">
        <f ca="1">OFFSET(ORÇAMENTO!N$15,$L23,0)</f>
        <v>Serviço</v>
      </c>
      <c r="E23" s="116" t="str">
        <f ca="1">OFFSET(ORÇAMENTO!O$15,$L23,0)</f>
        <v>-</v>
      </c>
      <c r="F23" s="162" t="str">
        <f ca="1">OFFSET(ORÇAMENTO!R$15,$L23,0)</f>
        <v>(Código não identificado nas referências)</v>
      </c>
      <c r="G23" s="163" t="str">
        <f ca="1">IF($D23&lt;&gt;"Serviço","",OFFSET(ORÇAMENTO!S$15,$L23,0))</f>
        <v>TXKM</v>
      </c>
      <c r="H23" s="121" cm="1">
        <f t="array" aca="1" ref="H23" ca="1">IF($D23&lt;&gt;"Serviço",0,IF(ACOMPANHAMENTO="BM",ROUND(OFFSET(ORÇAMENTO!AJ$15,$L23,0),15-13*ORÇAMENTO!$AF$7),IF(IFERROR(CÁLCULO.FrentesPreenchidas,0)=0,0,SUM(ROUND(OFFSET($P23,0,1,1,CÁLCULO.FrentesPreenchidas),15-13*ORÇAMENTO!$AF$7)))))</f>
        <v>714</v>
      </c>
      <c r="I23" s="467"/>
      <c r="J23" s="650"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1"/>
      <c r="L23" s="164">
        <f t="shared" ca="1" si="9"/>
        <v>8</v>
      </c>
      <c r="M23" s="165">
        <f ca="1">IF($D23&lt;&gt;"Serviço","",
          IF(AUTOEVENTO="manual",$A23,
                IF(ISERROR(MATCH($A23,$A$15:OFFSET($A23,-1,0),0)),MAX($M$15:OFFSET(M23,-1,0))+1,
                      INDEX($M$15:OFFSET(M23,-1,0),MATCH($A23,$A$15:OFFSET($A23,-1,0),0)))))</f>
        <v>3</v>
      </c>
      <c r="N23" s="166" t="str">
        <f ca="1">IF($D23&lt;&gt;"Serviço","",
         IF(AUTOEVENTO="Manual",
                IF($A23=0,"&lt;-- defina o número do agrupador",
                       OFFSET(EVENTOS!$D$15,$A23-$A$15,0)),
                OFFSET($F$15,$A23,0)))</f>
        <v>BASE EM BRITA GRADUADA H=5CM</v>
      </c>
      <c r="O23" s="167"/>
      <c r="Q23" s="167"/>
      <c r="R23" s="168"/>
      <c r="S23" s="168"/>
      <c r="T23" s="168"/>
      <c r="U23" s="168"/>
      <c r="V23" s="168"/>
      <c r="W23" s="168"/>
      <c r="X23" s="168"/>
      <c r="Y23" s="168"/>
      <c r="Z23" s="169"/>
      <c r="AB23" s="452">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2">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2">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2">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2">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2">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2">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2">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2">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2">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0">
        <f ca="1">IF(OR($D23&lt;&gt;"Serviço",AND(AUTOEVENTO="Manual",$M23=$A$15)),0,
         IF(OFFSET(CRONOPLE!$F$15,$M23-$A$15,AM$13)=0,10^12,OFFSET(CRONOPLE!$F$15,$M23-$A$15,AM$13)))</f>
        <v>1000000000000</v>
      </c>
      <c r="AN23" s="170">
        <f ca="1">IF(OR($D23&lt;&gt;"Serviço",AND(AUTOEVENTO="Manual",$M23=$A$15)),0,
         IF(OFFSET(CRONOPLE!$F$15,$M23-$A$15,AN$13)=0,10^12,OFFSET(CRONOPLE!$F$15,$M23-$A$15,AN$13)))</f>
        <v>1000000000000</v>
      </c>
      <c r="AO23" s="170">
        <f ca="1">IF(OR($D23&lt;&gt;"Serviço",AND(AUTOEVENTO="Manual",$M23=$A$15)),0,
         IF(OFFSET(CRONOPLE!$F$15,$M23-$A$15,AO$13)=0,10^12,OFFSET(CRONOPLE!$F$15,$M23-$A$15,AO$13)))</f>
        <v>1000000000000</v>
      </c>
      <c r="AP23" s="170">
        <f ca="1">IF(OR($D23&lt;&gt;"Serviço",AND(AUTOEVENTO="Manual",$M23=$A$15)),0,
         IF(OFFSET(CRONOPLE!$F$15,$M23-$A$15,AP$13)=0,10^12,OFFSET(CRONOPLE!$F$15,$M23-$A$15,AP$13)))</f>
        <v>1000000000000</v>
      </c>
      <c r="AQ23" s="170">
        <f ca="1">IF(OR($D23&lt;&gt;"Serviço",AND(AUTOEVENTO="Manual",$M23=$A$15)),0,
         IF(OFFSET(CRONOPLE!$F$15,$M23-$A$15,AQ$13)=0,10^12,OFFSET(CRONOPLE!$F$15,$M23-$A$15,AQ$13)))</f>
        <v>1000000000000</v>
      </c>
      <c r="AR23" s="170">
        <f ca="1">IF(OR($D23&lt;&gt;"Serviço",AND(AUTOEVENTO="Manual",$M23=$A$15)),0,
         IF(OFFSET(CRONOPLE!$F$15,$M23-$A$15,AR$13)=0,10^12,OFFSET(CRONOPLE!$F$15,$M23-$A$15,AR$13)))</f>
        <v>1000000000000</v>
      </c>
      <c r="AS23" s="170">
        <f ca="1">IF(OR($D23&lt;&gt;"Serviço",AND(AUTOEVENTO="Manual",$M23=$A$15)),0,
         IF(OFFSET(CRONOPLE!$F$15,$M23-$A$15,AS$13)=0,10^12,OFFSET(CRONOPLE!$F$15,$M23-$A$15,AS$13)))</f>
        <v>1000000000000</v>
      </c>
      <c r="AT23" s="170">
        <f ca="1">IF(OR($D23&lt;&gt;"Serviço",AND(AUTOEVENTO="Manual",$M23=$A$15)),0,
         IF(OFFSET(CRONOPLE!$F$15,$M23-$A$15,AT$13)=0,10^12,OFFSET(CRONOPLE!$F$15,$M23-$A$15,AT$13)))</f>
        <v>1000000000000</v>
      </c>
      <c r="AU23" s="170">
        <f ca="1">IF(OR($D23&lt;&gt;"Serviço",AND(AUTOEVENTO="Manual",$M23=$A$15)),0,
         IF(OFFSET(CRONOPLE!$F$15,$M23-$A$15,AU$13)=0,10^12,OFFSET(CRONOPLE!$F$15,$M23-$A$15,AU$13)))</f>
        <v>1000000000000</v>
      </c>
      <c r="AV23" s="170">
        <f ca="1">IF(OR($D23&lt;&gt;"Serviço",AND(AUTOEVENTO="Manual",$M23=$A$15)),0,
         IF(OFFSET(CRONOPLE!$F$15,$M23-$A$15,AV$13)=0,10^12,OFFSET(CRONOPLE!$F$15,$M23-$A$15,AV$13)))</f>
        <v>1000000000000</v>
      </c>
      <c r="AX23" s="171" cm="1">
        <f t="array" aca="1" ref="AX23" ca="1">IF(OR($D23&lt;&gt;"Serviço",AND(AUTOEVENTO="Manual",$M23=$A$15),$M23&gt;(ROW(PLE.lastrow)-ROW(PLE.firstrow))),0,
           IF(OFFSET(PLE!$G$15,$M23-$A$15,AX$13)="",10^12,OFFSET(PLE!$G$15,$M23-$A$15,AX$13)))</f>
        <v>1000000000000</v>
      </c>
      <c r="AY23" s="171" cm="1">
        <f t="array" aca="1" ref="AY23" ca="1">IF(OR($D23&lt;&gt;"Serviço",AND(AUTOEVENTO="Manual",$M23=$A$15),$M23&gt;(ROW(PLE.lastrow)-ROW(PLE.firstrow))),0,
           IF(OFFSET(PLE!$G$15,$M23-$A$15,AY$13)="",10^12,OFFSET(PLE!$G$15,$M23-$A$15,AY$13)))</f>
        <v>1000000000000</v>
      </c>
      <c r="AZ23" s="171" cm="1">
        <f t="array" aca="1" ref="AZ23" ca="1">IF(OR($D23&lt;&gt;"Serviço",AND(AUTOEVENTO="Manual",$M23=$A$15),$M23&gt;(ROW(PLE.lastrow)-ROW(PLE.firstrow))),0,
           IF(OFFSET(PLE!$G$15,$M23-$A$15,AZ$13)="",10^12,OFFSET(PLE!$G$15,$M23-$A$15,AZ$13)))</f>
        <v>1000000000000</v>
      </c>
      <c r="BA23" s="171" cm="1">
        <f t="array" aca="1" ref="BA23" ca="1">IF(OR($D23&lt;&gt;"Serviço",AND(AUTOEVENTO="Manual",$M23=$A$15),$M23&gt;(ROW(PLE.lastrow)-ROW(PLE.firstrow))),0,
           IF(OFFSET(PLE!$G$15,$M23-$A$15,BA$13)="",10^12,OFFSET(PLE!$G$15,$M23-$A$15,BA$13)))</f>
        <v>1000000000000</v>
      </c>
      <c r="BB23" s="171" cm="1">
        <f t="array" aca="1" ref="BB23" ca="1">IF(OR($D23&lt;&gt;"Serviço",AND(AUTOEVENTO="Manual",$M23=$A$15),$M23&gt;(ROW(PLE.lastrow)-ROW(PLE.firstrow))),0,
           IF(OFFSET(PLE!$G$15,$M23-$A$15,BB$13)="",10^12,OFFSET(PLE!$G$15,$M23-$A$15,BB$13)))</f>
        <v>1000000000000</v>
      </c>
      <c r="BC23" s="171" cm="1">
        <f t="array" aca="1" ref="BC23" ca="1">IF(OR($D23&lt;&gt;"Serviço",AND(AUTOEVENTO="Manual",$M23=$A$15),$M23&gt;(ROW(PLE.lastrow)-ROW(PLE.firstrow))),0,
           IF(OFFSET(PLE!$G$15,$M23-$A$15,BC$13)="",10^12,OFFSET(PLE!$G$15,$M23-$A$15,BC$13)))</f>
        <v>1000000000000</v>
      </c>
      <c r="BD23" s="171" cm="1">
        <f t="array" aca="1" ref="BD23" ca="1">IF(OR($D23&lt;&gt;"Serviço",AND(AUTOEVENTO="Manual",$M23=$A$15),$M23&gt;(ROW(PLE.lastrow)-ROW(PLE.firstrow))),0,
           IF(OFFSET(PLE!$G$15,$M23-$A$15,BD$13)="",10^12,OFFSET(PLE!$G$15,$M23-$A$15,BD$13)))</f>
        <v>1000000000000</v>
      </c>
      <c r="BE23" s="171" cm="1">
        <f t="array" aca="1" ref="BE23" ca="1">IF(OR($D23&lt;&gt;"Serviço",AND(AUTOEVENTO="Manual",$M23=$A$15),$M23&gt;(ROW(PLE.lastrow)-ROW(PLE.firstrow))),0,
           IF(OFFSET(PLE!$G$15,$M23-$A$15,BE$13)="",10^12,OFFSET(PLE!$G$15,$M23-$A$15,BE$13)))</f>
        <v>1000000000000</v>
      </c>
      <c r="BF23" s="171" cm="1">
        <f t="array" aca="1" ref="BF23" ca="1">IF(OR($D23&lt;&gt;"Serviço",AND(AUTOEVENTO="Manual",$M23=$A$15),$M23&gt;(ROW(PLE.lastrow)-ROW(PLE.firstrow))),0,
           IF(OFFSET(PLE!$G$15,$M23-$A$15,BF$13)="",10^12,OFFSET(PLE!$G$15,$M23-$A$15,BF$13)))</f>
        <v>1000000000000</v>
      </c>
      <c r="BG23" s="171" cm="1">
        <f t="array" aca="1" ref="BG23" ca="1">IF(OR($D23&lt;&gt;"Serviço",AND(AUTOEVENTO="Manual",$M23=$A$15),$M23&gt;(ROW(PLE.lastrow)-ROW(PLE.firstrow))),0,
           IF(OFFSET(PLE!$G$15,$M23-$A$15,BG$13)="",10^12,OFFSET(PLE!$G$15,$M23-$A$15,BG$13)))</f>
        <v>1000000000000</v>
      </c>
    </row>
    <row r="24" spans="1:59" ht="25.5" x14ac:dyDescent="0.2">
      <c r="A24" s="7" t="str">
        <f t="shared" ca="1" si="8"/>
        <v>6</v>
      </c>
      <c r="B24" s="7" t="str">
        <f ca="1">OFFSET(ORÇAMENTO!C$15,$L24,0)</f>
        <v>S</v>
      </c>
      <c r="C24" s="7" t="str">
        <f ca="1">OFFSET(ORÇAMENTO!L$15,$L24,0)</f>
        <v/>
      </c>
      <c r="D24" s="115" t="str">
        <f ca="1">OFFSET(ORÇAMENTO!N$15,$L24,0)</f>
        <v>Serviço</v>
      </c>
      <c r="E24" s="116" t="str">
        <f ca="1">OFFSET(ORÇAMENTO!O$15,$L24,0)</f>
        <v>-</v>
      </c>
      <c r="F24" s="162" t="str">
        <f ca="1">OFFSET(ORÇAMENTO!R$15,$L24,0)</f>
        <v>(Código não identificado nas referências)</v>
      </c>
      <c r="G24" s="163" t="str">
        <f ca="1">IF($D24&lt;&gt;"Serviço","",OFFSET(ORÇAMENTO!S$15,$L24,0))</f>
        <v>TXKM</v>
      </c>
      <c r="H24" s="121" cm="1">
        <f t="array" aca="1" ref="H24" ca="1">IF($D24&lt;&gt;"Serviço",0,IF(ACOMPANHAMENTO="BM",ROUND(OFFSET(ORÇAMENTO!AJ$15,$L24,0),15-13*ORÇAMENTO!$AF$7),IF(IFERROR(CÁLCULO.FrentesPreenchidas,0)=0,0,SUM(ROUND(OFFSET($P24,0,1,1,CÁLCULO.FrentesPreenchidas),15-13*ORÇAMENTO!$AF$7)))))</f>
        <v>3213</v>
      </c>
      <c r="I24" s="467"/>
      <c r="J24" s="650"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1"/>
      <c r="L24" s="164">
        <f t="shared" ca="1" si="9"/>
        <v>9</v>
      </c>
      <c r="M24" s="165">
        <f ca="1">IF($D24&lt;&gt;"Serviço","",
          IF(AUTOEVENTO="manual",$A24,
                IF(ISERROR(MATCH($A24,$A$15:OFFSET($A24,-1,0),0)),MAX($M$15:OFFSET(M24,-1,0))+1,
                      INDEX($M$15:OFFSET(M24,-1,0),MATCH($A24,$A$15:OFFSET($A24,-1,0),0)))))</f>
        <v>3</v>
      </c>
      <c r="N24" s="166" t="str">
        <f ca="1">IF($D24&lt;&gt;"Serviço","",
         IF(AUTOEVENTO="Manual",
                IF($A24=0,"&lt;-- defina o número do agrupador",
                       OFFSET(EVENTOS!$D$15,$A24-$A$15,0)),
                OFFSET($F$15,$A24,0)))</f>
        <v>BASE EM BRITA GRADUADA H=5CM</v>
      </c>
      <c r="O24" s="167"/>
      <c r="Q24" s="167"/>
      <c r="R24" s="168"/>
      <c r="S24" s="168"/>
      <c r="T24" s="168"/>
      <c r="U24" s="168"/>
      <c r="V24" s="168"/>
      <c r="W24" s="168"/>
      <c r="X24" s="168"/>
      <c r="Y24" s="168"/>
      <c r="Z24" s="169"/>
      <c r="AB24" s="452">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2">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2">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2">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2">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2">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2">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2">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2">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2">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0">
        <f ca="1">IF(OR($D24&lt;&gt;"Serviço",AND(AUTOEVENTO="Manual",$M24=$A$15)),0,
         IF(OFFSET(CRONOPLE!$F$15,$M24-$A$15,AM$13)=0,10^12,OFFSET(CRONOPLE!$F$15,$M24-$A$15,AM$13)))</f>
        <v>1000000000000</v>
      </c>
      <c r="AN24" s="170">
        <f ca="1">IF(OR($D24&lt;&gt;"Serviço",AND(AUTOEVENTO="Manual",$M24=$A$15)),0,
         IF(OFFSET(CRONOPLE!$F$15,$M24-$A$15,AN$13)=0,10^12,OFFSET(CRONOPLE!$F$15,$M24-$A$15,AN$13)))</f>
        <v>1000000000000</v>
      </c>
      <c r="AO24" s="170">
        <f ca="1">IF(OR($D24&lt;&gt;"Serviço",AND(AUTOEVENTO="Manual",$M24=$A$15)),0,
         IF(OFFSET(CRONOPLE!$F$15,$M24-$A$15,AO$13)=0,10^12,OFFSET(CRONOPLE!$F$15,$M24-$A$15,AO$13)))</f>
        <v>1000000000000</v>
      </c>
      <c r="AP24" s="170">
        <f ca="1">IF(OR($D24&lt;&gt;"Serviço",AND(AUTOEVENTO="Manual",$M24=$A$15)),0,
         IF(OFFSET(CRONOPLE!$F$15,$M24-$A$15,AP$13)=0,10^12,OFFSET(CRONOPLE!$F$15,$M24-$A$15,AP$13)))</f>
        <v>1000000000000</v>
      </c>
      <c r="AQ24" s="170">
        <f ca="1">IF(OR($D24&lt;&gt;"Serviço",AND(AUTOEVENTO="Manual",$M24=$A$15)),0,
         IF(OFFSET(CRONOPLE!$F$15,$M24-$A$15,AQ$13)=0,10^12,OFFSET(CRONOPLE!$F$15,$M24-$A$15,AQ$13)))</f>
        <v>1000000000000</v>
      </c>
      <c r="AR24" s="170">
        <f ca="1">IF(OR($D24&lt;&gt;"Serviço",AND(AUTOEVENTO="Manual",$M24=$A$15)),0,
         IF(OFFSET(CRONOPLE!$F$15,$M24-$A$15,AR$13)=0,10^12,OFFSET(CRONOPLE!$F$15,$M24-$A$15,AR$13)))</f>
        <v>1000000000000</v>
      </c>
      <c r="AS24" s="170">
        <f ca="1">IF(OR($D24&lt;&gt;"Serviço",AND(AUTOEVENTO="Manual",$M24=$A$15)),0,
         IF(OFFSET(CRONOPLE!$F$15,$M24-$A$15,AS$13)=0,10^12,OFFSET(CRONOPLE!$F$15,$M24-$A$15,AS$13)))</f>
        <v>1000000000000</v>
      </c>
      <c r="AT24" s="170">
        <f ca="1">IF(OR($D24&lt;&gt;"Serviço",AND(AUTOEVENTO="Manual",$M24=$A$15)),0,
         IF(OFFSET(CRONOPLE!$F$15,$M24-$A$15,AT$13)=0,10^12,OFFSET(CRONOPLE!$F$15,$M24-$A$15,AT$13)))</f>
        <v>1000000000000</v>
      </c>
      <c r="AU24" s="170">
        <f ca="1">IF(OR($D24&lt;&gt;"Serviço",AND(AUTOEVENTO="Manual",$M24=$A$15)),0,
         IF(OFFSET(CRONOPLE!$F$15,$M24-$A$15,AU$13)=0,10^12,OFFSET(CRONOPLE!$F$15,$M24-$A$15,AU$13)))</f>
        <v>1000000000000</v>
      </c>
      <c r="AV24" s="170">
        <f ca="1">IF(OR($D24&lt;&gt;"Serviço",AND(AUTOEVENTO="Manual",$M24=$A$15)),0,
         IF(OFFSET(CRONOPLE!$F$15,$M24-$A$15,AV$13)=0,10^12,OFFSET(CRONOPLE!$F$15,$M24-$A$15,AV$13)))</f>
        <v>1000000000000</v>
      </c>
      <c r="AX24" s="171" cm="1">
        <f t="array" aca="1" ref="AX24" ca="1">IF(OR($D24&lt;&gt;"Serviço",AND(AUTOEVENTO="Manual",$M24=$A$15),$M24&gt;(ROW(PLE.lastrow)-ROW(PLE.firstrow))),0,
           IF(OFFSET(PLE!$G$15,$M24-$A$15,AX$13)="",10^12,OFFSET(PLE!$G$15,$M24-$A$15,AX$13)))</f>
        <v>1000000000000</v>
      </c>
      <c r="AY24" s="171" cm="1">
        <f t="array" aca="1" ref="AY24" ca="1">IF(OR($D24&lt;&gt;"Serviço",AND(AUTOEVENTO="Manual",$M24=$A$15),$M24&gt;(ROW(PLE.lastrow)-ROW(PLE.firstrow))),0,
           IF(OFFSET(PLE!$G$15,$M24-$A$15,AY$13)="",10^12,OFFSET(PLE!$G$15,$M24-$A$15,AY$13)))</f>
        <v>1000000000000</v>
      </c>
      <c r="AZ24" s="171" cm="1">
        <f t="array" aca="1" ref="AZ24" ca="1">IF(OR($D24&lt;&gt;"Serviço",AND(AUTOEVENTO="Manual",$M24=$A$15),$M24&gt;(ROW(PLE.lastrow)-ROW(PLE.firstrow))),0,
           IF(OFFSET(PLE!$G$15,$M24-$A$15,AZ$13)="",10^12,OFFSET(PLE!$G$15,$M24-$A$15,AZ$13)))</f>
        <v>1000000000000</v>
      </c>
      <c r="BA24" s="171" cm="1">
        <f t="array" aca="1" ref="BA24" ca="1">IF(OR($D24&lt;&gt;"Serviço",AND(AUTOEVENTO="Manual",$M24=$A$15),$M24&gt;(ROW(PLE.lastrow)-ROW(PLE.firstrow))),0,
           IF(OFFSET(PLE!$G$15,$M24-$A$15,BA$13)="",10^12,OFFSET(PLE!$G$15,$M24-$A$15,BA$13)))</f>
        <v>1000000000000</v>
      </c>
      <c r="BB24" s="171" cm="1">
        <f t="array" aca="1" ref="BB24" ca="1">IF(OR($D24&lt;&gt;"Serviço",AND(AUTOEVENTO="Manual",$M24=$A$15),$M24&gt;(ROW(PLE.lastrow)-ROW(PLE.firstrow))),0,
           IF(OFFSET(PLE!$G$15,$M24-$A$15,BB$13)="",10^12,OFFSET(PLE!$G$15,$M24-$A$15,BB$13)))</f>
        <v>1000000000000</v>
      </c>
      <c r="BC24" s="171" cm="1">
        <f t="array" aca="1" ref="BC24" ca="1">IF(OR($D24&lt;&gt;"Serviço",AND(AUTOEVENTO="Manual",$M24=$A$15),$M24&gt;(ROW(PLE.lastrow)-ROW(PLE.firstrow))),0,
           IF(OFFSET(PLE!$G$15,$M24-$A$15,BC$13)="",10^12,OFFSET(PLE!$G$15,$M24-$A$15,BC$13)))</f>
        <v>1000000000000</v>
      </c>
      <c r="BD24" s="171" cm="1">
        <f t="array" aca="1" ref="BD24" ca="1">IF(OR($D24&lt;&gt;"Serviço",AND(AUTOEVENTO="Manual",$M24=$A$15),$M24&gt;(ROW(PLE.lastrow)-ROW(PLE.firstrow))),0,
           IF(OFFSET(PLE!$G$15,$M24-$A$15,BD$13)="",10^12,OFFSET(PLE!$G$15,$M24-$A$15,BD$13)))</f>
        <v>1000000000000</v>
      </c>
      <c r="BE24" s="171" cm="1">
        <f t="array" aca="1" ref="BE24" ca="1">IF(OR($D24&lt;&gt;"Serviço",AND(AUTOEVENTO="Manual",$M24=$A$15),$M24&gt;(ROW(PLE.lastrow)-ROW(PLE.firstrow))),0,
           IF(OFFSET(PLE!$G$15,$M24-$A$15,BE$13)="",10^12,OFFSET(PLE!$G$15,$M24-$A$15,BE$13)))</f>
        <v>1000000000000</v>
      </c>
      <c r="BF24" s="171" cm="1">
        <f t="array" aca="1" ref="BF24" ca="1">IF(OR($D24&lt;&gt;"Serviço",AND(AUTOEVENTO="Manual",$M24=$A$15),$M24&gt;(ROW(PLE.lastrow)-ROW(PLE.firstrow))),0,
           IF(OFFSET(PLE!$G$15,$M24-$A$15,BF$13)="",10^12,OFFSET(PLE!$G$15,$M24-$A$15,BF$13)))</f>
        <v>1000000000000</v>
      </c>
      <c r="BG24" s="171" cm="1">
        <f t="array" aca="1" ref="BG24" ca="1">IF(OR($D24&lt;&gt;"Serviço",AND(AUTOEVENTO="Manual",$M24=$A$15),$M24&gt;(ROW(PLE.lastrow)-ROW(PLE.firstrow))),0,
           IF(OFFSET(PLE!$G$15,$M24-$A$15,BG$13)="",10^12,OFFSET(PLE!$G$15,$M24-$A$15,BG$13)))</f>
        <v>1000000000000</v>
      </c>
    </row>
    <row r="25" spans="1:59" ht="25.5" x14ac:dyDescent="0.2">
      <c r="A25" s="7" t="str">
        <f t="shared" ca="1" si="8"/>
        <v>10.</v>
      </c>
      <c r="B25" s="7">
        <f ca="1">OFFSET(ORÇAMENTO!C$15,$L25,0)</f>
        <v>2</v>
      </c>
      <c r="C25" s="7" t="str">
        <f ca="1">OFFSET(ORÇAMENTO!L$15,$L25,0)</f>
        <v>F</v>
      </c>
      <c r="D25" s="115" t="str">
        <f ca="1">OFFSET(ORÇAMENTO!N$15,$L25,0)</f>
        <v>Nível 2</v>
      </c>
      <c r="E25" s="116" t="str">
        <f ca="1">OFFSET(ORÇAMENTO!O$15,$L25,0)</f>
        <v>1.4.</v>
      </c>
      <c r="F25" s="162" t="str">
        <f ca="1">OFFSET(ORÇAMENTO!R$15,$L25,0)</f>
        <v>PAVIMENTAÇÃO EM PEDRA IRREGULAR ASSENTADAS SOBRE COLCHÃO DE PÓ DE PEDRA E REJUNTADAS COM PÓ DE PEDRA</v>
      </c>
      <c r="G25" s="163" t="str">
        <f ca="1">IF($D25&lt;&gt;"Serviço","",OFFSET(ORÇAMENTO!S$15,$L25,0))</f>
        <v/>
      </c>
      <c r="H25" s="121" cm="1">
        <f t="array" aca="1" ref="H25" ca="1">IF($D25&lt;&gt;"Serviço",0,IF(ACOMPANHAMENTO="BM",ROUND(OFFSET(ORÇAMENTO!AJ$15,$L25,0),15-13*ORÇAMENTO!$AF$7),IF(IFERROR(CÁLCULO.FrentesPreenchidas,0)=0,0,SUM(ROUND(OFFSET($P25,0,1,1,CÁLCULO.FrentesPreenchidas),15-13*ORÇAMENTO!$AF$7)))))</f>
        <v>0</v>
      </c>
      <c r="I25" s="467"/>
      <c r="J25" s="650"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1"/>
      <c r="L25" s="164">
        <f t="shared" ca="1" si="9"/>
        <v>10</v>
      </c>
      <c r="M25" s="165" t="str">
        <f ca="1">IF($D25&lt;&gt;"Serviço","",
          IF(AUTOEVENTO="manual",$A25,
                IF(ISERROR(MATCH($A25,$A$15:OFFSET($A25,-1,0),0)),MAX($M$15:OFFSET(M25,-1,0))+1,
                      INDEX($M$15:OFFSET(M25,-1,0),MATCH($A25,$A$15:OFFSET($A25,-1,0),0)))))</f>
        <v/>
      </c>
      <c r="N25" s="166" t="str">
        <f ca="1">IF($D25&lt;&gt;"Serviço","",
         IF(AUTOEVENTO="Manual",
                IF($A25=0,"&lt;-- defina o número do agrupador",
                       OFFSET(EVENTOS!$D$15,$A25-$A$15,0)),
                OFFSET($F$15,$A25,0)))</f>
        <v/>
      </c>
      <c r="O25" s="167"/>
      <c r="Q25" s="167"/>
      <c r="R25" s="168"/>
      <c r="S25" s="168"/>
      <c r="T25" s="168"/>
      <c r="U25" s="168"/>
      <c r="V25" s="168"/>
      <c r="W25" s="168"/>
      <c r="X25" s="168"/>
      <c r="Y25" s="168"/>
      <c r="Z25" s="169"/>
      <c r="AB25" s="452">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2">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2">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2">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2">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2">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2">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2">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2">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2">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0">
        <f ca="1">IF(OR($D25&lt;&gt;"Serviço",AND(AUTOEVENTO="Manual",$M25=$A$15)),0,
         IF(OFFSET(CRONOPLE!$F$15,$M25-$A$15,AM$13)=0,10^12,OFFSET(CRONOPLE!$F$15,$M25-$A$15,AM$13)))</f>
        <v>0</v>
      </c>
      <c r="AN25" s="170">
        <f ca="1">IF(OR($D25&lt;&gt;"Serviço",AND(AUTOEVENTO="Manual",$M25=$A$15)),0,
         IF(OFFSET(CRONOPLE!$F$15,$M25-$A$15,AN$13)=0,10^12,OFFSET(CRONOPLE!$F$15,$M25-$A$15,AN$13)))</f>
        <v>0</v>
      </c>
      <c r="AO25" s="170">
        <f ca="1">IF(OR($D25&lt;&gt;"Serviço",AND(AUTOEVENTO="Manual",$M25=$A$15)),0,
         IF(OFFSET(CRONOPLE!$F$15,$M25-$A$15,AO$13)=0,10^12,OFFSET(CRONOPLE!$F$15,$M25-$A$15,AO$13)))</f>
        <v>0</v>
      </c>
      <c r="AP25" s="170">
        <f ca="1">IF(OR($D25&lt;&gt;"Serviço",AND(AUTOEVENTO="Manual",$M25=$A$15)),0,
         IF(OFFSET(CRONOPLE!$F$15,$M25-$A$15,AP$13)=0,10^12,OFFSET(CRONOPLE!$F$15,$M25-$A$15,AP$13)))</f>
        <v>0</v>
      </c>
      <c r="AQ25" s="170">
        <f ca="1">IF(OR($D25&lt;&gt;"Serviço",AND(AUTOEVENTO="Manual",$M25=$A$15)),0,
         IF(OFFSET(CRONOPLE!$F$15,$M25-$A$15,AQ$13)=0,10^12,OFFSET(CRONOPLE!$F$15,$M25-$A$15,AQ$13)))</f>
        <v>0</v>
      </c>
      <c r="AR25" s="170">
        <f ca="1">IF(OR($D25&lt;&gt;"Serviço",AND(AUTOEVENTO="Manual",$M25=$A$15)),0,
         IF(OFFSET(CRONOPLE!$F$15,$M25-$A$15,AR$13)=0,10^12,OFFSET(CRONOPLE!$F$15,$M25-$A$15,AR$13)))</f>
        <v>0</v>
      </c>
      <c r="AS25" s="170">
        <f ca="1">IF(OR($D25&lt;&gt;"Serviço",AND(AUTOEVENTO="Manual",$M25=$A$15)),0,
         IF(OFFSET(CRONOPLE!$F$15,$M25-$A$15,AS$13)=0,10^12,OFFSET(CRONOPLE!$F$15,$M25-$A$15,AS$13)))</f>
        <v>0</v>
      </c>
      <c r="AT25" s="170">
        <f ca="1">IF(OR($D25&lt;&gt;"Serviço",AND(AUTOEVENTO="Manual",$M25=$A$15)),0,
         IF(OFFSET(CRONOPLE!$F$15,$M25-$A$15,AT$13)=0,10^12,OFFSET(CRONOPLE!$F$15,$M25-$A$15,AT$13)))</f>
        <v>0</v>
      </c>
      <c r="AU25" s="170">
        <f ca="1">IF(OR($D25&lt;&gt;"Serviço",AND(AUTOEVENTO="Manual",$M25=$A$15)),0,
         IF(OFFSET(CRONOPLE!$F$15,$M25-$A$15,AU$13)=0,10^12,OFFSET(CRONOPLE!$F$15,$M25-$A$15,AU$13)))</f>
        <v>0</v>
      </c>
      <c r="AV25" s="170">
        <f ca="1">IF(OR($D25&lt;&gt;"Serviço",AND(AUTOEVENTO="Manual",$M25=$A$15)),0,
         IF(OFFSET(CRONOPLE!$F$15,$M25-$A$15,AV$13)=0,10^12,OFFSET(CRONOPLE!$F$15,$M25-$A$15,AV$13)))</f>
        <v>0</v>
      </c>
      <c r="AX25" s="171" cm="1">
        <f t="array" aca="1" ref="AX25" ca="1">IF(OR($D25&lt;&gt;"Serviço",AND(AUTOEVENTO="Manual",$M25=$A$15),$M25&gt;(ROW(PLE.lastrow)-ROW(PLE.firstrow))),0,
           IF(OFFSET(PLE!$G$15,$M25-$A$15,AX$13)="",10^12,OFFSET(PLE!$G$15,$M25-$A$15,AX$13)))</f>
        <v>0</v>
      </c>
      <c r="AY25" s="171" cm="1">
        <f t="array" aca="1" ref="AY25" ca="1">IF(OR($D25&lt;&gt;"Serviço",AND(AUTOEVENTO="Manual",$M25=$A$15),$M25&gt;(ROW(PLE.lastrow)-ROW(PLE.firstrow))),0,
           IF(OFFSET(PLE!$G$15,$M25-$A$15,AY$13)="",10^12,OFFSET(PLE!$G$15,$M25-$A$15,AY$13)))</f>
        <v>0</v>
      </c>
      <c r="AZ25" s="171" cm="1">
        <f t="array" aca="1" ref="AZ25" ca="1">IF(OR($D25&lt;&gt;"Serviço",AND(AUTOEVENTO="Manual",$M25=$A$15),$M25&gt;(ROW(PLE.lastrow)-ROW(PLE.firstrow))),0,
           IF(OFFSET(PLE!$G$15,$M25-$A$15,AZ$13)="",10^12,OFFSET(PLE!$G$15,$M25-$A$15,AZ$13)))</f>
        <v>0</v>
      </c>
      <c r="BA25" s="171" cm="1">
        <f t="array" aca="1" ref="BA25" ca="1">IF(OR($D25&lt;&gt;"Serviço",AND(AUTOEVENTO="Manual",$M25=$A$15),$M25&gt;(ROW(PLE.lastrow)-ROW(PLE.firstrow))),0,
           IF(OFFSET(PLE!$G$15,$M25-$A$15,BA$13)="",10^12,OFFSET(PLE!$G$15,$M25-$A$15,BA$13)))</f>
        <v>0</v>
      </c>
      <c r="BB25" s="171" cm="1">
        <f t="array" aca="1" ref="BB25" ca="1">IF(OR($D25&lt;&gt;"Serviço",AND(AUTOEVENTO="Manual",$M25=$A$15),$M25&gt;(ROW(PLE.lastrow)-ROW(PLE.firstrow))),0,
           IF(OFFSET(PLE!$G$15,$M25-$A$15,BB$13)="",10^12,OFFSET(PLE!$G$15,$M25-$A$15,BB$13)))</f>
        <v>0</v>
      </c>
      <c r="BC25" s="171" cm="1">
        <f t="array" aca="1" ref="BC25" ca="1">IF(OR($D25&lt;&gt;"Serviço",AND(AUTOEVENTO="Manual",$M25=$A$15),$M25&gt;(ROW(PLE.lastrow)-ROW(PLE.firstrow))),0,
           IF(OFFSET(PLE!$G$15,$M25-$A$15,BC$13)="",10^12,OFFSET(PLE!$G$15,$M25-$A$15,BC$13)))</f>
        <v>0</v>
      </c>
      <c r="BD25" s="171" cm="1">
        <f t="array" aca="1" ref="BD25" ca="1">IF(OR($D25&lt;&gt;"Serviço",AND(AUTOEVENTO="Manual",$M25=$A$15),$M25&gt;(ROW(PLE.lastrow)-ROW(PLE.firstrow))),0,
           IF(OFFSET(PLE!$G$15,$M25-$A$15,BD$13)="",10^12,OFFSET(PLE!$G$15,$M25-$A$15,BD$13)))</f>
        <v>0</v>
      </c>
      <c r="BE25" s="171" cm="1">
        <f t="array" aca="1" ref="BE25" ca="1">IF(OR($D25&lt;&gt;"Serviço",AND(AUTOEVENTO="Manual",$M25=$A$15),$M25&gt;(ROW(PLE.lastrow)-ROW(PLE.firstrow))),0,
           IF(OFFSET(PLE!$G$15,$M25-$A$15,BE$13)="",10^12,OFFSET(PLE!$G$15,$M25-$A$15,BE$13)))</f>
        <v>0</v>
      </c>
      <c r="BF25" s="171" cm="1">
        <f t="array" aca="1" ref="BF25" ca="1">IF(OR($D25&lt;&gt;"Serviço",AND(AUTOEVENTO="Manual",$M25=$A$15),$M25&gt;(ROW(PLE.lastrow)-ROW(PLE.firstrow))),0,
           IF(OFFSET(PLE!$G$15,$M25-$A$15,BF$13)="",10^12,OFFSET(PLE!$G$15,$M25-$A$15,BF$13)))</f>
        <v>0</v>
      </c>
      <c r="BG25" s="171" cm="1">
        <f t="array" aca="1" ref="BG25" ca="1">IF(OR($D25&lt;&gt;"Serviço",AND(AUTOEVENTO="Manual",$M25=$A$15),$M25&gt;(ROW(PLE.lastrow)-ROW(PLE.firstrow))),0,
           IF(OFFSET(PLE!$G$15,$M25-$A$15,BG$13)="",10^12,OFFSET(PLE!$G$15,$M25-$A$15,BG$13)))</f>
        <v>0</v>
      </c>
    </row>
    <row r="26" spans="1:59" ht="63.75" x14ac:dyDescent="0.2">
      <c r="A26" s="7" t="str">
        <f t="shared" ca="1" si="8"/>
        <v>10</v>
      </c>
      <c r="B26" s="7" t="str">
        <f ca="1">OFFSET(ORÇAMENTO!C$15,$L26,0)</f>
        <v>S</v>
      </c>
      <c r="C26" s="7" t="str">
        <f ca="1">OFFSET(ORÇAMENTO!L$15,$L26,0)</f>
        <v/>
      </c>
      <c r="D26" s="115" t="str">
        <f ca="1">OFFSET(ORÇAMENTO!N$15,$L26,0)</f>
        <v>Serviço</v>
      </c>
      <c r="E26" s="116" t="str">
        <f ca="1">OFFSET(ORÇAMENTO!O$15,$L26,0)</f>
        <v>-</v>
      </c>
      <c r="F26" s="162" t="str">
        <f ca="1">OFFSET(ORÇAMENTO!R$15,$L26,0)</f>
        <v>(Código não identificado nas referências)</v>
      </c>
      <c r="G26" s="163" t="str">
        <f ca="1">IF($D26&lt;&gt;"Serviço","",OFFSET(ORÇAMENTO!S$15,$L26,0))</f>
        <v>M2</v>
      </c>
      <c r="H26" s="121" cm="1">
        <f t="array" aca="1" ref="H26" ca="1">IF($D26&lt;&gt;"Serviço",0,IF(ACOMPANHAMENTO="BM",ROUND(OFFSET(ORÇAMENTO!AJ$15,$L26,0),15-13*ORÇAMENTO!$AF$7),IF(IFERROR(CÁLCULO.FrentesPreenchidas,0)=0,0,SUM(ROUND(OFFSET($P26,0,1,1,CÁLCULO.FrentesPreenchidas),15-13*ORÇAMENTO!$AF$7)))))</f>
        <v>2100</v>
      </c>
      <c r="I26" s="467"/>
      <c r="J26" s="650"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1"/>
      <c r="L26" s="164">
        <f t="shared" ca="1" si="9"/>
        <v>11</v>
      </c>
      <c r="M26" s="165">
        <f ca="1">IF($D26&lt;&gt;"Serviço","",
          IF(AUTOEVENTO="manual",$A26,
                IF(ISERROR(MATCH($A26,$A$15:OFFSET($A26,-1,0),0)),MAX($M$15:OFFSET(M26,-1,0))+1,
                      INDEX($M$15:OFFSET(M26,-1,0),MATCH($A26,$A$15:OFFSET($A26,-1,0),0)))))</f>
        <v>4</v>
      </c>
      <c r="N26" s="166" t="str">
        <f ca="1">IF($D26&lt;&gt;"Serviço","",
         IF(AUTOEVENTO="Manual",
                IF($A26=0,"&lt;-- defina o número do agrupador",
                       OFFSET(EVENTOS!$D$15,$A26-$A$15,0)),
                OFFSET($F$15,$A26,0)))</f>
        <v>PAVIMENTAÇÃO EM PEDRA IRREGULAR ASSENTADAS SOBRE COLCHÃO DE PÓ DE PEDRA E REJUNTADAS COM PÓ DE PEDRA</v>
      </c>
      <c r="O26" s="167"/>
      <c r="Q26" s="167"/>
      <c r="R26" s="168"/>
      <c r="S26" s="168"/>
      <c r="T26" s="168"/>
      <c r="U26" s="168"/>
      <c r="V26" s="168"/>
      <c r="W26" s="168"/>
      <c r="X26" s="168"/>
      <c r="Y26" s="168"/>
      <c r="Z26" s="169"/>
      <c r="AB26" s="452">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2">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2">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2">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2">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2">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2">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2">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2">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2">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0">
        <f ca="1">IF(OR($D26&lt;&gt;"Serviço",AND(AUTOEVENTO="Manual",$M26=$A$15)),0,
         IF(OFFSET(CRONOPLE!$F$15,$M26-$A$15,AM$13)=0,10^12,OFFSET(CRONOPLE!$F$15,$M26-$A$15,AM$13)))</f>
        <v>1000000000000</v>
      </c>
      <c r="AN26" s="170">
        <f ca="1">IF(OR($D26&lt;&gt;"Serviço",AND(AUTOEVENTO="Manual",$M26=$A$15)),0,
         IF(OFFSET(CRONOPLE!$F$15,$M26-$A$15,AN$13)=0,10^12,OFFSET(CRONOPLE!$F$15,$M26-$A$15,AN$13)))</f>
        <v>1000000000000</v>
      </c>
      <c r="AO26" s="170">
        <f ca="1">IF(OR($D26&lt;&gt;"Serviço",AND(AUTOEVENTO="Manual",$M26=$A$15)),0,
         IF(OFFSET(CRONOPLE!$F$15,$M26-$A$15,AO$13)=0,10^12,OFFSET(CRONOPLE!$F$15,$M26-$A$15,AO$13)))</f>
        <v>1000000000000</v>
      </c>
      <c r="AP26" s="170">
        <f ca="1">IF(OR($D26&lt;&gt;"Serviço",AND(AUTOEVENTO="Manual",$M26=$A$15)),0,
         IF(OFFSET(CRONOPLE!$F$15,$M26-$A$15,AP$13)=0,10^12,OFFSET(CRONOPLE!$F$15,$M26-$A$15,AP$13)))</f>
        <v>1000000000000</v>
      </c>
      <c r="AQ26" s="170">
        <f ca="1">IF(OR($D26&lt;&gt;"Serviço",AND(AUTOEVENTO="Manual",$M26=$A$15)),0,
         IF(OFFSET(CRONOPLE!$F$15,$M26-$A$15,AQ$13)=0,10^12,OFFSET(CRONOPLE!$F$15,$M26-$A$15,AQ$13)))</f>
        <v>1000000000000</v>
      </c>
      <c r="AR26" s="170">
        <f ca="1">IF(OR($D26&lt;&gt;"Serviço",AND(AUTOEVENTO="Manual",$M26=$A$15)),0,
         IF(OFFSET(CRONOPLE!$F$15,$M26-$A$15,AR$13)=0,10^12,OFFSET(CRONOPLE!$F$15,$M26-$A$15,AR$13)))</f>
        <v>1000000000000</v>
      </c>
      <c r="AS26" s="170">
        <f ca="1">IF(OR($D26&lt;&gt;"Serviço",AND(AUTOEVENTO="Manual",$M26=$A$15)),0,
         IF(OFFSET(CRONOPLE!$F$15,$M26-$A$15,AS$13)=0,10^12,OFFSET(CRONOPLE!$F$15,$M26-$A$15,AS$13)))</f>
        <v>1000000000000</v>
      </c>
      <c r="AT26" s="170">
        <f ca="1">IF(OR($D26&lt;&gt;"Serviço",AND(AUTOEVENTO="Manual",$M26=$A$15)),0,
         IF(OFFSET(CRONOPLE!$F$15,$M26-$A$15,AT$13)=0,10^12,OFFSET(CRONOPLE!$F$15,$M26-$A$15,AT$13)))</f>
        <v>1000000000000</v>
      </c>
      <c r="AU26" s="170">
        <f ca="1">IF(OR($D26&lt;&gt;"Serviço",AND(AUTOEVENTO="Manual",$M26=$A$15)),0,
         IF(OFFSET(CRONOPLE!$F$15,$M26-$A$15,AU$13)=0,10^12,OFFSET(CRONOPLE!$F$15,$M26-$A$15,AU$13)))</f>
        <v>1000000000000</v>
      </c>
      <c r="AV26" s="170">
        <f ca="1">IF(OR($D26&lt;&gt;"Serviço",AND(AUTOEVENTO="Manual",$M26=$A$15)),0,
         IF(OFFSET(CRONOPLE!$F$15,$M26-$A$15,AV$13)=0,10^12,OFFSET(CRONOPLE!$F$15,$M26-$A$15,AV$13)))</f>
        <v>1000000000000</v>
      </c>
      <c r="AX26" s="171" cm="1">
        <f t="array" aca="1" ref="AX26" ca="1">IF(OR($D26&lt;&gt;"Serviço",AND(AUTOEVENTO="Manual",$M26=$A$15),$M26&gt;(ROW(PLE.lastrow)-ROW(PLE.firstrow))),0,
           IF(OFFSET(PLE!$G$15,$M26-$A$15,AX$13)="",10^12,OFFSET(PLE!$G$15,$M26-$A$15,AX$13)))</f>
        <v>1000000000000</v>
      </c>
      <c r="AY26" s="171" cm="1">
        <f t="array" aca="1" ref="AY26" ca="1">IF(OR($D26&lt;&gt;"Serviço",AND(AUTOEVENTO="Manual",$M26=$A$15),$M26&gt;(ROW(PLE.lastrow)-ROW(PLE.firstrow))),0,
           IF(OFFSET(PLE!$G$15,$M26-$A$15,AY$13)="",10^12,OFFSET(PLE!$G$15,$M26-$A$15,AY$13)))</f>
        <v>1000000000000</v>
      </c>
      <c r="AZ26" s="171" cm="1">
        <f t="array" aca="1" ref="AZ26" ca="1">IF(OR($D26&lt;&gt;"Serviço",AND(AUTOEVENTO="Manual",$M26=$A$15),$M26&gt;(ROW(PLE.lastrow)-ROW(PLE.firstrow))),0,
           IF(OFFSET(PLE!$G$15,$M26-$A$15,AZ$13)="",10^12,OFFSET(PLE!$G$15,$M26-$A$15,AZ$13)))</f>
        <v>1000000000000</v>
      </c>
      <c r="BA26" s="171" cm="1">
        <f t="array" aca="1" ref="BA26" ca="1">IF(OR($D26&lt;&gt;"Serviço",AND(AUTOEVENTO="Manual",$M26=$A$15),$M26&gt;(ROW(PLE.lastrow)-ROW(PLE.firstrow))),0,
           IF(OFFSET(PLE!$G$15,$M26-$A$15,BA$13)="",10^12,OFFSET(PLE!$G$15,$M26-$A$15,BA$13)))</f>
        <v>1000000000000</v>
      </c>
      <c r="BB26" s="171" cm="1">
        <f t="array" aca="1" ref="BB26" ca="1">IF(OR($D26&lt;&gt;"Serviço",AND(AUTOEVENTO="Manual",$M26=$A$15),$M26&gt;(ROW(PLE.lastrow)-ROW(PLE.firstrow))),0,
           IF(OFFSET(PLE!$G$15,$M26-$A$15,BB$13)="",10^12,OFFSET(PLE!$G$15,$M26-$A$15,BB$13)))</f>
        <v>1000000000000</v>
      </c>
      <c r="BC26" s="171" cm="1">
        <f t="array" aca="1" ref="BC26" ca="1">IF(OR($D26&lt;&gt;"Serviço",AND(AUTOEVENTO="Manual",$M26=$A$15),$M26&gt;(ROW(PLE.lastrow)-ROW(PLE.firstrow))),0,
           IF(OFFSET(PLE!$G$15,$M26-$A$15,BC$13)="",10^12,OFFSET(PLE!$G$15,$M26-$A$15,BC$13)))</f>
        <v>1000000000000</v>
      </c>
      <c r="BD26" s="171" cm="1">
        <f t="array" aca="1" ref="BD26" ca="1">IF(OR($D26&lt;&gt;"Serviço",AND(AUTOEVENTO="Manual",$M26=$A$15),$M26&gt;(ROW(PLE.lastrow)-ROW(PLE.firstrow))),0,
           IF(OFFSET(PLE!$G$15,$M26-$A$15,BD$13)="",10^12,OFFSET(PLE!$G$15,$M26-$A$15,BD$13)))</f>
        <v>1000000000000</v>
      </c>
      <c r="BE26" s="171" cm="1">
        <f t="array" aca="1" ref="BE26" ca="1">IF(OR($D26&lt;&gt;"Serviço",AND(AUTOEVENTO="Manual",$M26=$A$15),$M26&gt;(ROW(PLE.lastrow)-ROW(PLE.firstrow))),0,
           IF(OFFSET(PLE!$G$15,$M26-$A$15,BE$13)="",10^12,OFFSET(PLE!$G$15,$M26-$A$15,BE$13)))</f>
        <v>1000000000000</v>
      </c>
      <c r="BF26" s="171" cm="1">
        <f t="array" aca="1" ref="BF26" ca="1">IF(OR($D26&lt;&gt;"Serviço",AND(AUTOEVENTO="Manual",$M26=$A$15),$M26&gt;(ROW(PLE.lastrow)-ROW(PLE.firstrow))),0,
           IF(OFFSET(PLE!$G$15,$M26-$A$15,BF$13)="",10^12,OFFSET(PLE!$G$15,$M26-$A$15,BF$13)))</f>
        <v>1000000000000</v>
      </c>
      <c r="BG26" s="171" cm="1">
        <f t="array" aca="1" ref="BG26" ca="1">IF(OR($D26&lt;&gt;"Serviço",AND(AUTOEVENTO="Manual",$M26=$A$15),$M26&gt;(ROW(PLE.lastrow)-ROW(PLE.firstrow))),0,
           IF(OFFSET(PLE!$G$15,$M26-$A$15,BG$13)="",10^12,OFFSET(PLE!$G$15,$M26-$A$15,BG$13)))</f>
        <v>1000000000000</v>
      </c>
    </row>
    <row r="27" spans="1:59" ht="63.75" x14ac:dyDescent="0.2">
      <c r="A27" s="7" t="str">
        <f t="shared" ca="1" si="8"/>
        <v>10</v>
      </c>
      <c r="B27" s="7" t="str">
        <f ca="1">OFFSET(ORÇAMENTO!C$15,$L27,0)</f>
        <v>S</v>
      </c>
      <c r="C27" s="7" t="str">
        <f ca="1">OFFSET(ORÇAMENTO!L$15,$L27,0)</f>
        <v/>
      </c>
      <c r="D27" s="115" t="str">
        <f ca="1">OFFSET(ORÇAMENTO!N$15,$L27,0)</f>
        <v>Serviço</v>
      </c>
      <c r="E27" s="116" t="str">
        <f ca="1">OFFSET(ORÇAMENTO!O$15,$L27,0)</f>
        <v>-</v>
      </c>
      <c r="F27" s="162" t="str">
        <f ca="1">OFFSET(ORÇAMENTO!R$15,$L27,0)</f>
        <v>(Código não identificado nas referências)</v>
      </c>
      <c r="G27" s="163" t="str">
        <f ca="1">IF($D27&lt;&gt;"Serviço","",OFFSET(ORÇAMENTO!S$15,$L27,0))</f>
        <v>TXKM</v>
      </c>
      <c r="H27" s="121" cm="1">
        <f t="array" aca="1" ref="H27" ca="1">IF($D27&lt;&gt;"Serviço",0,IF(ACOMPANHAMENTO="BM",ROUND(OFFSET(ORÇAMENTO!AJ$15,$L27,0),15-13*ORÇAMENTO!$AF$7),IF(IFERROR(CÁLCULO.FrentesPreenchidas,0)=0,0,SUM(ROUND(OFFSET($P27,0,1,1,CÁLCULO.FrentesPreenchidas),15-13*ORÇAMENTO!$AF$7)))))</f>
        <v>3522.96</v>
      </c>
      <c r="I27" s="467"/>
      <c r="J27" s="650"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1"/>
      <c r="L27" s="164">
        <f t="shared" ca="1" si="9"/>
        <v>12</v>
      </c>
      <c r="M27" s="165">
        <f ca="1">IF($D27&lt;&gt;"Serviço","",
          IF(AUTOEVENTO="manual",$A27,
                IF(ISERROR(MATCH($A27,$A$15:OFFSET($A27,-1,0),0)),MAX($M$15:OFFSET(M27,-1,0))+1,
                      INDEX($M$15:OFFSET(M27,-1,0),MATCH($A27,$A$15:OFFSET($A27,-1,0),0)))))</f>
        <v>4</v>
      </c>
      <c r="N27" s="166" t="str">
        <f ca="1">IF($D27&lt;&gt;"Serviço","",
         IF(AUTOEVENTO="Manual",
                IF($A27=0,"&lt;-- defina o número do agrupador",
                       OFFSET(EVENTOS!$D$15,$A27-$A$15,0)),
                OFFSET($F$15,$A27,0)))</f>
        <v>PAVIMENTAÇÃO EM PEDRA IRREGULAR ASSENTADAS SOBRE COLCHÃO DE PÓ DE PEDRA E REJUNTADAS COM PÓ DE PEDRA</v>
      </c>
      <c r="O27" s="167"/>
      <c r="Q27" s="167"/>
      <c r="R27" s="168"/>
      <c r="S27" s="168"/>
      <c r="T27" s="168"/>
      <c r="U27" s="168"/>
      <c r="V27" s="168"/>
      <c r="W27" s="168"/>
      <c r="X27" s="168"/>
      <c r="Y27" s="168"/>
      <c r="Z27" s="169"/>
      <c r="AB27" s="452">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2">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2">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2">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2">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2">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2">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2">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2">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2">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0">
        <f ca="1">IF(OR($D27&lt;&gt;"Serviço",AND(AUTOEVENTO="Manual",$M27=$A$15)),0,
         IF(OFFSET(CRONOPLE!$F$15,$M27-$A$15,AM$13)=0,10^12,OFFSET(CRONOPLE!$F$15,$M27-$A$15,AM$13)))</f>
        <v>1000000000000</v>
      </c>
      <c r="AN27" s="170">
        <f ca="1">IF(OR($D27&lt;&gt;"Serviço",AND(AUTOEVENTO="Manual",$M27=$A$15)),0,
         IF(OFFSET(CRONOPLE!$F$15,$M27-$A$15,AN$13)=0,10^12,OFFSET(CRONOPLE!$F$15,$M27-$A$15,AN$13)))</f>
        <v>1000000000000</v>
      </c>
      <c r="AO27" s="170">
        <f ca="1">IF(OR($D27&lt;&gt;"Serviço",AND(AUTOEVENTO="Manual",$M27=$A$15)),0,
         IF(OFFSET(CRONOPLE!$F$15,$M27-$A$15,AO$13)=0,10^12,OFFSET(CRONOPLE!$F$15,$M27-$A$15,AO$13)))</f>
        <v>1000000000000</v>
      </c>
      <c r="AP27" s="170">
        <f ca="1">IF(OR($D27&lt;&gt;"Serviço",AND(AUTOEVENTO="Manual",$M27=$A$15)),0,
         IF(OFFSET(CRONOPLE!$F$15,$M27-$A$15,AP$13)=0,10^12,OFFSET(CRONOPLE!$F$15,$M27-$A$15,AP$13)))</f>
        <v>1000000000000</v>
      </c>
      <c r="AQ27" s="170">
        <f ca="1">IF(OR($D27&lt;&gt;"Serviço",AND(AUTOEVENTO="Manual",$M27=$A$15)),0,
         IF(OFFSET(CRONOPLE!$F$15,$M27-$A$15,AQ$13)=0,10^12,OFFSET(CRONOPLE!$F$15,$M27-$A$15,AQ$13)))</f>
        <v>1000000000000</v>
      </c>
      <c r="AR27" s="170">
        <f ca="1">IF(OR($D27&lt;&gt;"Serviço",AND(AUTOEVENTO="Manual",$M27=$A$15)),0,
         IF(OFFSET(CRONOPLE!$F$15,$M27-$A$15,AR$13)=0,10^12,OFFSET(CRONOPLE!$F$15,$M27-$A$15,AR$13)))</f>
        <v>1000000000000</v>
      </c>
      <c r="AS27" s="170">
        <f ca="1">IF(OR($D27&lt;&gt;"Serviço",AND(AUTOEVENTO="Manual",$M27=$A$15)),0,
         IF(OFFSET(CRONOPLE!$F$15,$M27-$A$15,AS$13)=0,10^12,OFFSET(CRONOPLE!$F$15,$M27-$A$15,AS$13)))</f>
        <v>1000000000000</v>
      </c>
      <c r="AT27" s="170">
        <f ca="1">IF(OR($D27&lt;&gt;"Serviço",AND(AUTOEVENTO="Manual",$M27=$A$15)),0,
         IF(OFFSET(CRONOPLE!$F$15,$M27-$A$15,AT$13)=0,10^12,OFFSET(CRONOPLE!$F$15,$M27-$A$15,AT$13)))</f>
        <v>1000000000000</v>
      </c>
      <c r="AU27" s="170">
        <f ca="1">IF(OR($D27&lt;&gt;"Serviço",AND(AUTOEVENTO="Manual",$M27=$A$15)),0,
         IF(OFFSET(CRONOPLE!$F$15,$M27-$A$15,AU$13)=0,10^12,OFFSET(CRONOPLE!$F$15,$M27-$A$15,AU$13)))</f>
        <v>1000000000000</v>
      </c>
      <c r="AV27" s="170">
        <f ca="1">IF(OR($D27&lt;&gt;"Serviço",AND(AUTOEVENTO="Manual",$M27=$A$15)),0,
         IF(OFFSET(CRONOPLE!$F$15,$M27-$A$15,AV$13)=0,10^12,OFFSET(CRONOPLE!$F$15,$M27-$A$15,AV$13)))</f>
        <v>1000000000000</v>
      </c>
      <c r="AX27" s="171" cm="1">
        <f t="array" aca="1" ref="AX27" ca="1">IF(OR($D27&lt;&gt;"Serviço",AND(AUTOEVENTO="Manual",$M27=$A$15),$M27&gt;(ROW(PLE.lastrow)-ROW(PLE.firstrow))),0,
           IF(OFFSET(PLE!$G$15,$M27-$A$15,AX$13)="",10^12,OFFSET(PLE!$G$15,$M27-$A$15,AX$13)))</f>
        <v>1000000000000</v>
      </c>
      <c r="AY27" s="171" cm="1">
        <f t="array" aca="1" ref="AY27" ca="1">IF(OR($D27&lt;&gt;"Serviço",AND(AUTOEVENTO="Manual",$M27=$A$15),$M27&gt;(ROW(PLE.lastrow)-ROW(PLE.firstrow))),0,
           IF(OFFSET(PLE!$G$15,$M27-$A$15,AY$13)="",10^12,OFFSET(PLE!$G$15,$M27-$A$15,AY$13)))</f>
        <v>1000000000000</v>
      </c>
      <c r="AZ27" s="171" cm="1">
        <f t="array" aca="1" ref="AZ27" ca="1">IF(OR($D27&lt;&gt;"Serviço",AND(AUTOEVENTO="Manual",$M27=$A$15),$M27&gt;(ROW(PLE.lastrow)-ROW(PLE.firstrow))),0,
           IF(OFFSET(PLE!$G$15,$M27-$A$15,AZ$13)="",10^12,OFFSET(PLE!$G$15,$M27-$A$15,AZ$13)))</f>
        <v>1000000000000</v>
      </c>
      <c r="BA27" s="171" cm="1">
        <f t="array" aca="1" ref="BA27" ca="1">IF(OR($D27&lt;&gt;"Serviço",AND(AUTOEVENTO="Manual",$M27=$A$15),$M27&gt;(ROW(PLE.lastrow)-ROW(PLE.firstrow))),0,
           IF(OFFSET(PLE!$G$15,$M27-$A$15,BA$13)="",10^12,OFFSET(PLE!$G$15,$M27-$A$15,BA$13)))</f>
        <v>1000000000000</v>
      </c>
      <c r="BB27" s="171" cm="1">
        <f t="array" aca="1" ref="BB27" ca="1">IF(OR($D27&lt;&gt;"Serviço",AND(AUTOEVENTO="Manual",$M27=$A$15),$M27&gt;(ROW(PLE.lastrow)-ROW(PLE.firstrow))),0,
           IF(OFFSET(PLE!$G$15,$M27-$A$15,BB$13)="",10^12,OFFSET(PLE!$G$15,$M27-$A$15,BB$13)))</f>
        <v>1000000000000</v>
      </c>
      <c r="BC27" s="171" cm="1">
        <f t="array" aca="1" ref="BC27" ca="1">IF(OR($D27&lt;&gt;"Serviço",AND(AUTOEVENTO="Manual",$M27=$A$15),$M27&gt;(ROW(PLE.lastrow)-ROW(PLE.firstrow))),0,
           IF(OFFSET(PLE!$G$15,$M27-$A$15,BC$13)="",10^12,OFFSET(PLE!$G$15,$M27-$A$15,BC$13)))</f>
        <v>1000000000000</v>
      </c>
      <c r="BD27" s="171" cm="1">
        <f t="array" aca="1" ref="BD27" ca="1">IF(OR($D27&lt;&gt;"Serviço",AND(AUTOEVENTO="Manual",$M27=$A$15),$M27&gt;(ROW(PLE.lastrow)-ROW(PLE.firstrow))),0,
           IF(OFFSET(PLE!$G$15,$M27-$A$15,BD$13)="",10^12,OFFSET(PLE!$G$15,$M27-$A$15,BD$13)))</f>
        <v>1000000000000</v>
      </c>
      <c r="BE27" s="171" cm="1">
        <f t="array" aca="1" ref="BE27" ca="1">IF(OR($D27&lt;&gt;"Serviço",AND(AUTOEVENTO="Manual",$M27=$A$15),$M27&gt;(ROW(PLE.lastrow)-ROW(PLE.firstrow))),0,
           IF(OFFSET(PLE!$G$15,$M27-$A$15,BE$13)="",10^12,OFFSET(PLE!$G$15,$M27-$A$15,BE$13)))</f>
        <v>1000000000000</v>
      </c>
      <c r="BF27" s="171" cm="1">
        <f t="array" aca="1" ref="BF27" ca="1">IF(OR($D27&lt;&gt;"Serviço",AND(AUTOEVENTO="Manual",$M27=$A$15),$M27&gt;(ROW(PLE.lastrow)-ROW(PLE.firstrow))),0,
           IF(OFFSET(PLE!$G$15,$M27-$A$15,BF$13)="",10^12,OFFSET(PLE!$G$15,$M27-$A$15,BF$13)))</f>
        <v>1000000000000</v>
      </c>
      <c r="BG27" s="171" cm="1">
        <f t="array" aca="1" ref="BG27" ca="1">IF(OR($D27&lt;&gt;"Serviço",AND(AUTOEVENTO="Manual",$M27=$A$15),$M27&gt;(ROW(PLE.lastrow)-ROW(PLE.firstrow))),0,
           IF(OFFSET(PLE!$G$15,$M27-$A$15,BG$13)="",10^12,OFFSET(PLE!$G$15,$M27-$A$15,BG$13)))</f>
        <v>1000000000000</v>
      </c>
    </row>
    <row r="28" spans="1:59" ht="63.75" x14ac:dyDescent="0.2">
      <c r="A28" s="7" t="str">
        <f ca="1">IFERROR(IF(AUTOEVENTO="Manual",IF(K28&lt;&gt;"",MIN(VALUE(LEFT(K28,FIND(".",K28)-1)),COUNTA(EVENTOS.Lista)),0),IF(OR($B28&gt;AUTOEVENTO,$B28="S",$B28=0),SUBSTITUTE(OFFSET($A28,-1,0),IF($D28="Serviço",".",""),""),$L28&amp;".")),0)</f>
        <v>10</v>
      </c>
      <c r="B28" s="7" t="str">
        <f ca="1">OFFSET(ORÇAMENTO!C$15,$L28,0)</f>
        <v>S</v>
      </c>
      <c r="C28" s="7" t="str">
        <f ca="1">OFFSET(ORÇAMENTO!L$15,$L28,0)</f>
        <v/>
      </c>
      <c r="D28" s="115" t="str">
        <f ca="1">OFFSET(ORÇAMENTO!N$15,$L28,0)</f>
        <v>Serviço</v>
      </c>
      <c r="E28" s="116" t="str">
        <f ca="1">OFFSET(ORÇAMENTO!O$15,$L28,0)</f>
        <v>-</v>
      </c>
      <c r="F28" s="162" t="str">
        <f ca="1">OFFSET(ORÇAMENTO!R$15,$L28,0)</f>
        <v>(Código não identificado nas referências)</v>
      </c>
      <c r="G28" s="163" t="str">
        <f ca="1">IF($D28&lt;&gt;"Serviço","",OFFSET(ORÇAMENTO!S$15,$L28,0))</f>
        <v>TXKM</v>
      </c>
      <c r="H28" s="121" cm="1">
        <f t="array" aca="1" ref="H28" ca="1">IF($D28&lt;&gt;"Serviço",0,IF(ACOMPANHAMENTO="BM",ROUND(OFFSET(ORÇAMENTO!AJ$15,$L28,0),15-13*ORÇAMENTO!$AF$7),IF(IFERROR(CÁLCULO.FrentesPreenchidas,0)=0,0,SUM(ROUND(OFFSET($P28,0,1,1,CÁLCULO.FrentesPreenchidas),15-13*ORÇAMENTO!$AF$7)))))</f>
        <v>15853.32</v>
      </c>
      <c r="I28" s="467"/>
      <c r="J28" s="650"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1"/>
      <c r="L28" s="164">
        <f ca="1">OFFSET(L28,-1,0)+1</f>
        <v>13</v>
      </c>
      <c r="M28" s="165">
        <f ca="1">IF($D28&lt;&gt;"Serviço","",
          IF(AUTOEVENTO="manual",$A28,
                IF(ISERROR(MATCH($A28,$A$15:OFFSET($A28,-1,0),0)),MAX($M$15:OFFSET(M28,-1,0))+1,
                      INDEX($M$15:OFFSET(M28,-1,0),MATCH($A28,$A$15:OFFSET($A28,-1,0),0)))))</f>
        <v>4</v>
      </c>
      <c r="N28" s="166" t="str">
        <f ca="1">IF($D28&lt;&gt;"Serviço","",
         IF(AUTOEVENTO="Manual",
                IF($A28=0,"&lt;-- defina o número do agrupador",
                       OFFSET(EVENTOS!$D$15,$A28-$A$15,0)),
                OFFSET($F$15,$A28,0)))</f>
        <v>PAVIMENTAÇÃO EM PEDRA IRREGULAR ASSENTADAS SOBRE COLCHÃO DE PÓ DE PEDRA E REJUNTADAS COM PÓ DE PEDRA</v>
      </c>
      <c r="O28" s="167"/>
      <c r="Q28" s="167"/>
      <c r="R28" s="168"/>
      <c r="S28" s="168"/>
      <c r="T28" s="168"/>
      <c r="U28" s="168"/>
      <c r="V28" s="168"/>
      <c r="W28" s="168"/>
      <c r="X28" s="168"/>
      <c r="Y28" s="168"/>
      <c r="Z28" s="169"/>
      <c r="AB28" s="452">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2">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2">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2">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2">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2">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2">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2">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2">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2">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0">
        <f ca="1">IF(OR($D28&lt;&gt;"Serviço",AND(AUTOEVENTO="Manual",$M28=$A$15)),0,
         IF(OFFSET(CRONOPLE!$F$15,$M28-$A$15,AM$13)=0,10^12,OFFSET(CRONOPLE!$F$15,$M28-$A$15,AM$13)))</f>
        <v>1000000000000</v>
      </c>
      <c r="AN28" s="170">
        <f ca="1">IF(OR($D28&lt;&gt;"Serviço",AND(AUTOEVENTO="Manual",$M28=$A$15)),0,
         IF(OFFSET(CRONOPLE!$F$15,$M28-$A$15,AN$13)=0,10^12,OFFSET(CRONOPLE!$F$15,$M28-$A$15,AN$13)))</f>
        <v>1000000000000</v>
      </c>
      <c r="AO28" s="170">
        <f ca="1">IF(OR($D28&lt;&gt;"Serviço",AND(AUTOEVENTO="Manual",$M28=$A$15)),0,
         IF(OFFSET(CRONOPLE!$F$15,$M28-$A$15,AO$13)=0,10^12,OFFSET(CRONOPLE!$F$15,$M28-$A$15,AO$13)))</f>
        <v>1000000000000</v>
      </c>
      <c r="AP28" s="170">
        <f ca="1">IF(OR($D28&lt;&gt;"Serviço",AND(AUTOEVENTO="Manual",$M28=$A$15)),0,
         IF(OFFSET(CRONOPLE!$F$15,$M28-$A$15,AP$13)=0,10^12,OFFSET(CRONOPLE!$F$15,$M28-$A$15,AP$13)))</f>
        <v>1000000000000</v>
      </c>
      <c r="AQ28" s="170">
        <f ca="1">IF(OR($D28&lt;&gt;"Serviço",AND(AUTOEVENTO="Manual",$M28=$A$15)),0,
         IF(OFFSET(CRONOPLE!$F$15,$M28-$A$15,AQ$13)=0,10^12,OFFSET(CRONOPLE!$F$15,$M28-$A$15,AQ$13)))</f>
        <v>1000000000000</v>
      </c>
      <c r="AR28" s="170">
        <f ca="1">IF(OR($D28&lt;&gt;"Serviço",AND(AUTOEVENTO="Manual",$M28=$A$15)),0,
         IF(OFFSET(CRONOPLE!$F$15,$M28-$A$15,AR$13)=0,10^12,OFFSET(CRONOPLE!$F$15,$M28-$A$15,AR$13)))</f>
        <v>1000000000000</v>
      </c>
      <c r="AS28" s="170">
        <f ca="1">IF(OR($D28&lt;&gt;"Serviço",AND(AUTOEVENTO="Manual",$M28=$A$15)),0,
         IF(OFFSET(CRONOPLE!$F$15,$M28-$A$15,AS$13)=0,10^12,OFFSET(CRONOPLE!$F$15,$M28-$A$15,AS$13)))</f>
        <v>1000000000000</v>
      </c>
      <c r="AT28" s="170">
        <f ca="1">IF(OR($D28&lt;&gt;"Serviço",AND(AUTOEVENTO="Manual",$M28=$A$15)),0,
         IF(OFFSET(CRONOPLE!$F$15,$M28-$A$15,AT$13)=0,10^12,OFFSET(CRONOPLE!$F$15,$M28-$A$15,AT$13)))</f>
        <v>1000000000000</v>
      </c>
      <c r="AU28" s="170">
        <f ca="1">IF(OR($D28&lt;&gt;"Serviço",AND(AUTOEVENTO="Manual",$M28=$A$15)),0,
         IF(OFFSET(CRONOPLE!$F$15,$M28-$A$15,AU$13)=0,10^12,OFFSET(CRONOPLE!$F$15,$M28-$A$15,AU$13)))</f>
        <v>1000000000000</v>
      </c>
      <c r="AV28" s="170">
        <f ca="1">IF(OR($D28&lt;&gt;"Serviço",AND(AUTOEVENTO="Manual",$M28=$A$15)),0,
         IF(OFFSET(CRONOPLE!$F$15,$M28-$A$15,AV$13)=0,10^12,OFFSET(CRONOPLE!$F$15,$M28-$A$15,AV$13)))</f>
        <v>1000000000000</v>
      </c>
      <c r="AX28" s="171" cm="1">
        <f t="array" aca="1" ref="AX28" ca="1">IF(OR($D28&lt;&gt;"Serviço",AND(AUTOEVENTO="Manual",$M28=$A$15),$M28&gt;(ROW(PLE.lastrow)-ROW(PLE.firstrow))),0,
           IF(OFFSET(PLE!$G$15,$M28-$A$15,AX$13)="",10^12,OFFSET(PLE!$G$15,$M28-$A$15,AX$13)))</f>
        <v>1000000000000</v>
      </c>
      <c r="AY28" s="171" cm="1">
        <f t="array" aca="1" ref="AY28" ca="1">IF(OR($D28&lt;&gt;"Serviço",AND(AUTOEVENTO="Manual",$M28=$A$15),$M28&gt;(ROW(PLE.lastrow)-ROW(PLE.firstrow))),0,
           IF(OFFSET(PLE!$G$15,$M28-$A$15,AY$13)="",10^12,OFFSET(PLE!$G$15,$M28-$A$15,AY$13)))</f>
        <v>1000000000000</v>
      </c>
      <c r="AZ28" s="171" cm="1">
        <f t="array" aca="1" ref="AZ28" ca="1">IF(OR($D28&lt;&gt;"Serviço",AND(AUTOEVENTO="Manual",$M28=$A$15),$M28&gt;(ROW(PLE.lastrow)-ROW(PLE.firstrow))),0,
           IF(OFFSET(PLE!$G$15,$M28-$A$15,AZ$13)="",10^12,OFFSET(PLE!$G$15,$M28-$A$15,AZ$13)))</f>
        <v>1000000000000</v>
      </c>
      <c r="BA28" s="171" cm="1">
        <f t="array" aca="1" ref="BA28" ca="1">IF(OR($D28&lt;&gt;"Serviço",AND(AUTOEVENTO="Manual",$M28=$A$15),$M28&gt;(ROW(PLE.lastrow)-ROW(PLE.firstrow))),0,
           IF(OFFSET(PLE!$G$15,$M28-$A$15,BA$13)="",10^12,OFFSET(PLE!$G$15,$M28-$A$15,BA$13)))</f>
        <v>1000000000000</v>
      </c>
      <c r="BB28" s="171" cm="1">
        <f t="array" aca="1" ref="BB28" ca="1">IF(OR($D28&lt;&gt;"Serviço",AND(AUTOEVENTO="Manual",$M28=$A$15),$M28&gt;(ROW(PLE.lastrow)-ROW(PLE.firstrow))),0,
           IF(OFFSET(PLE!$G$15,$M28-$A$15,BB$13)="",10^12,OFFSET(PLE!$G$15,$M28-$A$15,BB$13)))</f>
        <v>1000000000000</v>
      </c>
      <c r="BC28" s="171" cm="1">
        <f t="array" aca="1" ref="BC28" ca="1">IF(OR($D28&lt;&gt;"Serviço",AND(AUTOEVENTO="Manual",$M28=$A$15),$M28&gt;(ROW(PLE.lastrow)-ROW(PLE.firstrow))),0,
           IF(OFFSET(PLE!$G$15,$M28-$A$15,BC$13)="",10^12,OFFSET(PLE!$G$15,$M28-$A$15,BC$13)))</f>
        <v>1000000000000</v>
      </c>
      <c r="BD28" s="171" cm="1">
        <f t="array" aca="1" ref="BD28" ca="1">IF(OR($D28&lt;&gt;"Serviço",AND(AUTOEVENTO="Manual",$M28=$A$15),$M28&gt;(ROW(PLE.lastrow)-ROW(PLE.firstrow))),0,
           IF(OFFSET(PLE!$G$15,$M28-$A$15,BD$13)="",10^12,OFFSET(PLE!$G$15,$M28-$A$15,BD$13)))</f>
        <v>1000000000000</v>
      </c>
      <c r="BE28" s="171" cm="1">
        <f t="array" aca="1" ref="BE28" ca="1">IF(OR($D28&lt;&gt;"Serviço",AND(AUTOEVENTO="Manual",$M28=$A$15),$M28&gt;(ROW(PLE.lastrow)-ROW(PLE.firstrow))),0,
           IF(OFFSET(PLE!$G$15,$M28-$A$15,BE$13)="",10^12,OFFSET(PLE!$G$15,$M28-$A$15,BE$13)))</f>
        <v>1000000000000</v>
      </c>
      <c r="BF28" s="171" cm="1">
        <f t="array" aca="1" ref="BF28" ca="1">IF(OR($D28&lt;&gt;"Serviço",AND(AUTOEVENTO="Manual",$M28=$A$15),$M28&gt;(ROW(PLE.lastrow)-ROW(PLE.firstrow))),0,
           IF(OFFSET(PLE!$G$15,$M28-$A$15,BF$13)="",10^12,OFFSET(PLE!$G$15,$M28-$A$15,BF$13)))</f>
        <v>1000000000000</v>
      </c>
      <c r="BG28" s="171" cm="1">
        <f t="array" aca="1" ref="BG28" ca="1">IF(OR($D28&lt;&gt;"Serviço",AND(AUTOEVENTO="Manual",$M28=$A$15),$M28&gt;(ROW(PLE.lastrow)-ROW(PLE.firstrow))),0,
           IF(OFFSET(PLE!$G$15,$M28-$A$15,BG$13)="",10^12,OFFSET(PLE!$G$15,$M28-$A$15,BG$13)))</f>
        <v>1000000000000</v>
      </c>
    </row>
    <row r="29" spans="1:59" ht="12.75" x14ac:dyDescent="0.2">
      <c r="A29" s="7" t="str">
        <f t="shared" ca="1" si="8"/>
        <v>14.</v>
      </c>
      <c r="B29" s="7">
        <f ca="1">OFFSET(ORÇAMENTO!C$15,$L29,0)</f>
        <v>2</v>
      </c>
      <c r="C29" s="7" t="str">
        <f ca="1">OFFSET(ORÇAMENTO!L$15,$L29,0)</f>
        <v>F</v>
      </c>
      <c r="D29" s="115" t="str">
        <f ca="1">OFFSET(ORÇAMENTO!N$15,$L29,0)</f>
        <v>Nível 2</v>
      </c>
      <c r="E29" s="116" t="str">
        <f ca="1">OFFSET(ORÇAMENTO!O$15,$L29,0)</f>
        <v>1.5.</v>
      </c>
      <c r="F29" s="162" t="str">
        <f ca="1">OFFSET(ORÇAMENTO!R$15,$L29,0)</f>
        <v>MEIO-FIO</v>
      </c>
      <c r="G29" s="163" t="str">
        <f ca="1">IF($D29&lt;&gt;"Serviço","",OFFSET(ORÇAMENTO!S$15,$L29,0))</f>
        <v/>
      </c>
      <c r="H29" s="121" cm="1">
        <f t="array" aca="1" ref="H29" ca="1">IF($D29&lt;&gt;"Serviço",0,IF(ACOMPANHAMENTO="BM",ROUND(OFFSET(ORÇAMENTO!AJ$15,$L29,0),15-13*ORÇAMENTO!$AF$7),IF(IFERROR(CÁLCULO.FrentesPreenchidas,0)=0,0,SUM(ROUND(OFFSET($P29,0,1,1,CÁLCULO.FrentesPreenchidas),15-13*ORÇAMENTO!$AF$7)))))</f>
        <v>0</v>
      </c>
      <c r="I29" s="467"/>
      <c r="J29" s="650"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1"/>
      <c r="L29" s="164">
        <f t="shared" ca="1" si="9"/>
        <v>14</v>
      </c>
      <c r="M29" s="165" t="str">
        <f ca="1">IF($D29&lt;&gt;"Serviço","",
          IF(AUTOEVENTO="manual",$A29,
                IF(ISERROR(MATCH($A29,$A$15:OFFSET($A29,-1,0),0)),MAX($M$15:OFFSET(M29,-1,0))+1,
                      INDEX($M$15:OFFSET(M29,-1,0),MATCH($A29,$A$15:OFFSET($A29,-1,0),0)))))</f>
        <v/>
      </c>
      <c r="N29" s="166" t="str">
        <f ca="1">IF($D29&lt;&gt;"Serviço","",
         IF(AUTOEVENTO="Manual",
                IF($A29=0,"&lt;-- defina o número do agrupador",
                       OFFSET(EVENTOS!$D$15,$A29-$A$15,0)),
                OFFSET($F$15,$A29,0)))</f>
        <v/>
      </c>
      <c r="O29" s="167"/>
      <c r="Q29" s="167"/>
      <c r="R29" s="168"/>
      <c r="S29" s="168"/>
      <c r="T29" s="168"/>
      <c r="U29" s="168"/>
      <c r="V29" s="168"/>
      <c r="W29" s="168"/>
      <c r="X29" s="168"/>
      <c r="Y29" s="168"/>
      <c r="Z29" s="169"/>
      <c r="AB29" s="452">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2">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2">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2">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2">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2">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2">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2">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2">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2">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0">
        <f ca="1">IF(OR($D29&lt;&gt;"Serviço",AND(AUTOEVENTO="Manual",$M29=$A$15)),0,
         IF(OFFSET(CRONOPLE!$F$15,$M29-$A$15,AM$13)=0,10^12,OFFSET(CRONOPLE!$F$15,$M29-$A$15,AM$13)))</f>
        <v>0</v>
      </c>
      <c r="AN29" s="170">
        <f ca="1">IF(OR($D29&lt;&gt;"Serviço",AND(AUTOEVENTO="Manual",$M29=$A$15)),0,
         IF(OFFSET(CRONOPLE!$F$15,$M29-$A$15,AN$13)=0,10^12,OFFSET(CRONOPLE!$F$15,$M29-$A$15,AN$13)))</f>
        <v>0</v>
      </c>
      <c r="AO29" s="170">
        <f ca="1">IF(OR($D29&lt;&gt;"Serviço",AND(AUTOEVENTO="Manual",$M29=$A$15)),0,
         IF(OFFSET(CRONOPLE!$F$15,$M29-$A$15,AO$13)=0,10^12,OFFSET(CRONOPLE!$F$15,$M29-$A$15,AO$13)))</f>
        <v>0</v>
      </c>
      <c r="AP29" s="170">
        <f ca="1">IF(OR($D29&lt;&gt;"Serviço",AND(AUTOEVENTO="Manual",$M29=$A$15)),0,
         IF(OFFSET(CRONOPLE!$F$15,$M29-$A$15,AP$13)=0,10^12,OFFSET(CRONOPLE!$F$15,$M29-$A$15,AP$13)))</f>
        <v>0</v>
      </c>
      <c r="AQ29" s="170">
        <f ca="1">IF(OR($D29&lt;&gt;"Serviço",AND(AUTOEVENTO="Manual",$M29=$A$15)),0,
         IF(OFFSET(CRONOPLE!$F$15,$M29-$A$15,AQ$13)=0,10^12,OFFSET(CRONOPLE!$F$15,$M29-$A$15,AQ$13)))</f>
        <v>0</v>
      </c>
      <c r="AR29" s="170">
        <f ca="1">IF(OR($D29&lt;&gt;"Serviço",AND(AUTOEVENTO="Manual",$M29=$A$15)),0,
         IF(OFFSET(CRONOPLE!$F$15,$M29-$A$15,AR$13)=0,10^12,OFFSET(CRONOPLE!$F$15,$M29-$A$15,AR$13)))</f>
        <v>0</v>
      </c>
      <c r="AS29" s="170">
        <f ca="1">IF(OR($D29&lt;&gt;"Serviço",AND(AUTOEVENTO="Manual",$M29=$A$15)),0,
         IF(OFFSET(CRONOPLE!$F$15,$M29-$A$15,AS$13)=0,10^12,OFFSET(CRONOPLE!$F$15,$M29-$A$15,AS$13)))</f>
        <v>0</v>
      </c>
      <c r="AT29" s="170">
        <f ca="1">IF(OR($D29&lt;&gt;"Serviço",AND(AUTOEVENTO="Manual",$M29=$A$15)),0,
         IF(OFFSET(CRONOPLE!$F$15,$M29-$A$15,AT$13)=0,10^12,OFFSET(CRONOPLE!$F$15,$M29-$A$15,AT$13)))</f>
        <v>0</v>
      </c>
      <c r="AU29" s="170">
        <f ca="1">IF(OR($D29&lt;&gt;"Serviço",AND(AUTOEVENTO="Manual",$M29=$A$15)),0,
         IF(OFFSET(CRONOPLE!$F$15,$M29-$A$15,AU$13)=0,10^12,OFFSET(CRONOPLE!$F$15,$M29-$A$15,AU$13)))</f>
        <v>0</v>
      </c>
      <c r="AV29" s="170">
        <f ca="1">IF(OR($D29&lt;&gt;"Serviço",AND(AUTOEVENTO="Manual",$M29=$A$15)),0,
         IF(OFFSET(CRONOPLE!$F$15,$M29-$A$15,AV$13)=0,10^12,OFFSET(CRONOPLE!$F$15,$M29-$A$15,AV$13)))</f>
        <v>0</v>
      </c>
      <c r="AX29" s="171" cm="1">
        <f t="array" aca="1" ref="AX29" ca="1">IF(OR($D29&lt;&gt;"Serviço",AND(AUTOEVENTO="Manual",$M29=$A$15),$M29&gt;(ROW(PLE.lastrow)-ROW(PLE.firstrow))),0,
           IF(OFFSET(PLE!$G$15,$M29-$A$15,AX$13)="",10^12,OFFSET(PLE!$G$15,$M29-$A$15,AX$13)))</f>
        <v>0</v>
      </c>
      <c r="AY29" s="171" cm="1">
        <f t="array" aca="1" ref="AY29" ca="1">IF(OR($D29&lt;&gt;"Serviço",AND(AUTOEVENTO="Manual",$M29=$A$15),$M29&gt;(ROW(PLE.lastrow)-ROW(PLE.firstrow))),0,
           IF(OFFSET(PLE!$G$15,$M29-$A$15,AY$13)="",10^12,OFFSET(PLE!$G$15,$M29-$A$15,AY$13)))</f>
        <v>0</v>
      </c>
      <c r="AZ29" s="171" cm="1">
        <f t="array" aca="1" ref="AZ29" ca="1">IF(OR($D29&lt;&gt;"Serviço",AND(AUTOEVENTO="Manual",$M29=$A$15),$M29&gt;(ROW(PLE.lastrow)-ROW(PLE.firstrow))),0,
           IF(OFFSET(PLE!$G$15,$M29-$A$15,AZ$13)="",10^12,OFFSET(PLE!$G$15,$M29-$A$15,AZ$13)))</f>
        <v>0</v>
      </c>
      <c r="BA29" s="171" cm="1">
        <f t="array" aca="1" ref="BA29" ca="1">IF(OR($D29&lt;&gt;"Serviço",AND(AUTOEVENTO="Manual",$M29=$A$15),$M29&gt;(ROW(PLE.lastrow)-ROW(PLE.firstrow))),0,
           IF(OFFSET(PLE!$G$15,$M29-$A$15,BA$13)="",10^12,OFFSET(PLE!$G$15,$M29-$A$15,BA$13)))</f>
        <v>0</v>
      </c>
      <c r="BB29" s="171" cm="1">
        <f t="array" aca="1" ref="BB29" ca="1">IF(OR($D29&lt;&gt;"Serviço",AND(AUTOEVENTO="Manual",$M29=$A$15),$M29&gt;(ROW(PLE.lastrow)-ROW(PLE.firstrow))),0,
           IF(OFFSET(PLE!$G$15,$M29-$A$15,BB$13)="",10^12,OFFSET(PLE!$G$15,$M29-$A$15,BB$13)))</f>
        <v>0</v>
      </c>
      <c r="BC29" s="171" cm="1">
        <f t="array" aca="1" ref="BC29" ca="1">IF(OR($D29&lt;&gt;"Serviço",AND(AUTOEVENTO="Manual",$M29=$A$15),$M29&gt;(ROW(PLE.lastrow)-ROW(PLE.firstrow))),0,
           IF(OFFSET(PLE!$G$15,$M29-$A$15,BC$13)="",10^12,OFFSET(PLE!$G$15,$M29-$A$15,BC$13)))</f>
        <v>0</v>
      </c>
      <c r="BD29" s="171" cm="1">
        <f t="array" aca="1" ref="BD29" ca="1">IF(OR($D29&lt;&gt;"Serviço",AND(AUTOEVENTO="Manual",$M29=$A$15),$M29&gt;(ROW(PLE.lastrow)-ROW(PLE.firstrow))),0,
           IF(OFFSET(PLE!$G$15,$M29-$A$15,BD$13)="",10^12,OFFSET(PLE!$G$15,$M29-$A$15,BD$13)))</f>
        <v>0</v>
      </c>
      <c r="BE29" s="171" cm="1">
        <f t="array" aca="1" ref="BE29" ca="1">IF(OR($D29&lt;&gt;"Serviço",AND(AUTOEVENTO="Manual",$M29=$A$15),$M29&gt;(ROW(PLE.lastrow)-ROW(PLE.firstrow))),0,
           IF(OFFSET(PLE!$G$15,$M29-$A$15,BE$13)="",10^12,OFFSET(PLE!$G$15,$M29-$A$15,BE$13)))</f>
        <v>0</v>
      </c>
      <c r="BF29" s="171" cm="1">
        <f t="array" aca="1" ref="BF29" ca="1">IF(OR($D29&lt;&gt;"Serviço",AND(AUTOEVENTO="Manual",$M29=$A$15),$M29&gt;(ROW(PLE.lastrow)-ROW(PLE.firstrow))),0,
           IF(OFFSET(PLE!$G$15,$M29-$A$15,BF$13)="",10^12,OFFSET(PLE!$G$15,$M29-$A$15,BF$13)))</f>
        <v>0</v>
      </c>
      <c r="BG29" s="171" cm="1">
        <f t="array" aca="1" ref="BG29" ca="1">IF(OR($D29&lt;&gt;"Serviço",AND(AUTOEVENTO="Manual",$M29=$A$15),$M29&gt;(ROW(PLE.lastrow)-ROW(PLE.firstrow))),0,
           IF(OFFSET(PLE!$G$15,$M29-$A$15,BG$13)="",10^12,OFFSET(PLE!$G$15,$M29-$A$15,BG$13)))</f>
        <v>0</v>
      </c>
    </row>
    <row r="30" spans="1:59" ht="12.75" x14ac:dyDescent="0.2">
      <c r="A30" s="7" t="str">
        <f t="shared" ca="1" si="8"/>
        <v>14</v>
      </c>
      <c r="B30" s="7" t="str">
        <f ca="1">OFFSET(ORÇAMENTO!C$15,$L30,0)</f>
        <v>S</v>
      </c>
      <c r="C30" s="7" t="str">
        <f ca="1">OFFSET(ORÇAMENTO!L$15,$L30,0)</f>
        <v/>
      </c>
      <c r="D30" s="115" t="str">
        <f ca="1">OFFSET(ORÇAMENTO!N$15,$L30,0)</f>
        <v>Serviço</v>
      </c>
      <c r="E30" s="116" t="str">
        <f ca="1">OFFSET(ORÇAMENTO!O$15,$L30,0)</f>
        <v>-</v>
      </c>
      <c r="F30" s="162" t="str">
        <f ca="1">OFFSET(ORÇAMENTO!R$15,$L30,0)</f>
        <v>(Código não identificado nas referências)</v>
      </c>
      <c r="G30" s="163" t="str">
        <f ca="1">IF($D30&lt;&gt;"Serviço","",OFFSET(ORÇAMENTO!S$15,$L30,0))</f>
        <v>-</v>
      </c>
      <c r="H30" s="121" cm="1">
        <f t="array" aca="1" ref="H30" ca="1">IF($D30&lt;&gt;"Serviço",0,IF(ACOMPANHAMENTO="BM",ROUND(OFFSET(ORÇAMENTO!AJ$15,$L30,0),15-13*ORÇAMENTO!$AF$7),IF(IFERROR(CÁLCULO.FrentesPreenchidas,0)=0,0,SUM(ROUND(OFFSET($P30,0,1,1,CÁLCULO.FrentesPreenchidas),15-13*ORÇAMENTO!$AF$7)))))</f>
        <v>640</v>
      </c>
      <c r="I30" s="467"/>
      <c r="J30" s="650"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1"/>
      <c r="L30" s="164">
        <f t="shared" ca="1" si="9"/>
        <v>15</v>
      </c>
      <c r="M30" s="165">
        <f ca="1">IF($D30&lt;&gt;"Serviço","",
          IF(AUTOEVENTO="manual",$A30,
                IF(ISERROR(MATCH($A30,$A$15:OFFSET($A30,-1,0),0)),MAX($M$15:OFFSET(M30,-1,0))+1,
                      INDEX($M$15:OFFSET(M30,-1,0),MATCH($A30,$A$15:OFFSET($A30,-1,0),0)))))</f>
        <v>5</v>
      </c>
      <c r="N30" s="166" t="str">
        <f ca="1">IF($D30&lt;&gt;"Serviço","",
         IF(AUTOEVENTO="Manual",
                IF($A30=0,"&lt;-- defina o número do agrupador",
                       OFFSET(EVENTOS!$D$15,$A30-$A$15,0)),
                OFFSET($F$15,$A30,0)))</f>
        <v>MEIO-FIO</v>
      </c>
      <c r="O30" s="167"/>
      <c r="Q30" s="167"/>
      <c r="R30" s="168"/>
      <c r="S30" s="168"/>
      <c r="T30" s="168"/>
      <c r="U30" s="168"/>
      <c r="V30" s="168"/>
      <c r="W30" s="168"/>
      <c r="X30" s="168"/>
      <c r="Y30" s="168"/>
      <c r="Z30" s="169"/>
      <c r="AB30" s="452">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2">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2">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2">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2">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2">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2">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2">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2">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2">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0">
        <f ca="1">IF(OR($D30&lt;&gt;"Serviço",AND(AUTOEVENTO="Manual",$M30=$A$15)),0,
         IF(OFFSET(CRONOPLE!$F$15,$M30-$A$15,AM$13)=0,10^12,OFFSET(CRONOPLE!$F$15,$M30-$A$15,AM$13)))</f>
        <v>1000000000000</v>
      </c>
      <c r="AN30" s="170">
        <f ca="1">IF(OR($D30&lt;&gt;"Serviço",AND(AUTOEVENTO="Manual",$M30=$A$15)),0,
         IF(OFFSET(CRONOPLE!$F$15,$M30-$A$15,AN$13)=0,10^12,OFFSET(CRONOPLE!$F$15,$M30-$A$15,AN$13)))</f>
        <v>1000000000000</v>
      </c>
      <c r="AO30" s="170">
        <f ca="1">IF(OR($D30&lt;&gt;"Serviço",AND(AUTOEVENTO="Manual",$M30=$A$15)),0,
         IF(OFFSET(CRONOPLE!$F$15,$M30-$A$15,AO$13)=0,10^12,OFFSET(CRONOPLE!$F$15,$M30-$A$15,AO$13)))</f>
        <v>1000000000000</v>
      </c>
      <c r="AP30" s="170">
        <f ca="1">IF(OR($D30&lt;&gt;"Serviço",AND(AUTOEVENTO="Manual",$M30=$A$15)),0,
         IF(OFFSET(CRONOPLE!$F$15,$M30-$A$15,AP$13)=0,10^12,OFFSET(CRONOPLE!$F$15,$M30-$A$15,AP$13)))</f>
        <v>1000000000000</v>
      </c>
      <c r="AQ30" s="170">
        <f ca="1">IF(OR($D30&lt;&gt;"Serviço",AND(AUTOEVENTO="Manual",$M30=$A$15)),0,
         IF(OFFSET(CRONOPLE!$F$15,$M30-$A$15,AQ$13)=0,10^12,OFFSET(CRONOPLE!$F$15,$M30-$A$15,AQ$13)))</f>
        <v>1000000000000</v>
      </c>
      <c r="AR30" s="170">
        <f ca="1">IF(OR($D30&lt;&gt;"Serviço",AND(AUTOEVENTO="Manual",$M30=$A$15)),0,
         IF(OFFSET(CRONOPLE!$F$15,$M30-$A$15,AR$13)=0,10^12,OFFSET(CRONOPLE!$F$15,$M30-$A$15,AR$13)))</f>
        <v>1000000000000</v>
      </c>
      <c r="AS30" s="170">
        <f ca="1">IF(OR($D30&lt;&gt;"Serviço",AND(AUTOEVENTO="Manual",$M30=$A$15)),0,
         IF(OFFSET(CRONOPLE!$F$15,$M30-$A$15,AS$13)=0,10^12,OFFSET(CRONOPLE!$F$15,$M30-$A$15,AS$13)))</f>
        <v>1000000000000</v>
      </c>
      <c r="AT30" s="170">
        <f ca="1">IF(OR($D30&lt;&gt;"Serviço",AND(AUTOEVENTO="Manual",$M30=$A$15)),0,
         IF(OFFSET(CRONOPLE!$F$15,$M30-$A$15,AT$13)=0,10^12,OFFSET(CRONOPLE!$F$15,$M30-$A$15,AT$13)))</f>
        <v>1000000000000</v>
      </c>
      <c r="AU30" s="170">
        <f ca="1">IF(OR($D30&lt;&gt;"Serviço",AND(AUTOEVENTO="Manual",$M30=$A$15)),0,
         IF(OFFSET(CRONOPLE!$F$15,$M30-$A$15,AU$13)=0,10^12,OFFSET(CRONOPLE!$F$15,$M30-$A$15,AU$13)))</f>
        <v>1000000000000</v>
      </c>
      <c r="AV30" s="170">
        <f ca="1">IF(OR($D30&lt;&gt;"Serviço",AND(AUTOEVENTO="Manual",$M30=$A$15)),0,
         IF(OFFSET(CRONOPLE!$F$15,$M30-$A$15,AV$13)=0,10^12,OFFSET(CRONOPLE!$F$15,$M30-$A$15,AV$13)))</f>
        <v>1000000000000</v>
      </c>
      <c r="AX30" s="171" cm="1">
        <f t="array" aca="1" ref="AX30" ca="1">IF(OR($D30&lt;&gt;"Serviço",AND(AUTOEVENTO="Manual",$M30=$A$15),$M30&gt;(ROW(PLE.lastrow)-ROW(PLE.firstrow))),0,
           IF(OFFSET(PLE!$G$15,$M30-$A$15,AX$13)="",10^12,OFFSET(PLE!$G$15,$M30-$A$15,AX$13)))</f>
        <v>1000000000000</v>
      </c>
      <c r="AY30" s="171" cm="1">
        <f t="array" aca="1" ref="AY30" ca="1">IF(OR($D30&lt;&gt;"Serviço",AND(AUTOEVENTO="Manual",$M30=$A$15),$M30&gt;(ROW(PLE.lastrow)-ROW(PLE.firstrow))),0,
           IF(OFFSET(PLE!$G$15,$M30-$A$15,AY$13)="",10^12,OFFSET(PLE!$G$15,$M30-$A$15,AY$13)))</f>
        <v>1000000000000</v>
      </c>
      <c r="AZ30" s="171" cm="1">
        <f t="array" aca="1" ref="AZ30" ca="1">IF(OR($D30&lt;&gt;"Serviço",AND(AUTOEVENTO="Manual",$M30=$A$15),$M30&gt;(ROW(PLE.lastrow)-ROW(PLE.firstrow))),0,
           IF(OFFSET(PLE!$G$15,$M30-$A$15,AZ$13)="",10^12,OFFSET(PLE!$G$15,$M30-$A$15,AZ$13)))</f>
        <v>1000000000000</v>
      </c>
      <c r="BA30" s="171" cm="1">
        <f t="array" aca="1" ref="BA30" ca="1">IF(OR($D30&lt;&gt;"Serviço",AND(AUTOEVENTO="Manual",$M30=$A$15),$M30&gt;(ROW(PLE.lastrow)-ROW(PLE.firstrow))),0,
           IF(OFFSET(PLE!$G$15,$M30-$A$15,BA$13)="",10^12,OFFSET(PLE!$G$15,$M30-$A$15,BA$13)))</f>
        <v>1000000000000</v>
      </c>
      <c r="BB30" s="171" cm="1">
        <f t="array" aca="1" ref="BB30" ca="1">IF(OR($D30&lt;&gt;"Serviço",AND(AUTOEVENTO="Manual",$M30=$A$15),$M30&gt;(ROW(PLE.lastrow)-ROW(PLE.firstrow))),0,
           IF(OFFSET(PLE!$G$15,$M30-$A$15,BB$13)="",10^12,OFFSET(PLE!$G$15,$M30-$A$15,BB$13)))</f>
        <v>1000000000000</v>
      </c>
      <c r="BC30" s="171" cm="1">
        <f t="array" aca="1" ref="BC30" ca="1">IF(OR($D30&lt;&gt;"Serviço",AND(AUTOEVENTO="Manual",$M30=$A$15),$M30&gt;(ROW(PLE.lastrow)-ROW(PLE.firstrow))),0,
           IF(OFFSET(PLE!$G$15,$M30-$A$15,BC$13)="",10^12,OFFSET(PLE!$G$15,$M30-$A$15,BC$13)))</f>
        <v>1000000000000</v>
      </c>
      <c r="BD30" s="171" cm="1">
        <f t="array" aca="1" ref="BD30" ca="1">IF(OR($D30&lt;&gt;"Serviço",AND(AUTOEVENTO="Manual",$M30=$A$15),$M30&gt;(ROW(PLE.lastrow)-ROW(PLE.firstrow))),0,
           IF(OFFSET(PLE!$G$15,$M30-$A$15,BD$13)="",10^12,OFFSET(PLE!$G$15,$M30-$A$15,BD$13)))</f>
        <v>1000000000000</v>
      </c>
      <c r="BE30" s="171" cm="1">
        <f t="array" aca="1" ref="BE30" ca="1">IF(OR($D30&lt;&gt;"Serviço",AND(AUTOEVENTO="Manual",$M30=$A$15),$M30&gt;(ROW(PLE.lastrow)-ROW(PLE.firstrow))),0,
           IF(OFFSET(PLE!$G$15,$M30-$A$15,BE$13)="",10^12,OFFSET(PLE!$G$15,$M30-$A$15,BE$13)))</f>
        <v>1000000000000</v>
      </c>
      <c r="BF30" s="171" cm="1">
        <f t="array" aca="1" ref="BF30" ca="1">IF(OR($D30&lt;&gt;"Serviço",AND(AUTOEVENTO="Manual",$M30=$A$15),$M30&gt;(ROW(PLE.lastrow)-ROW(PLE.firstrow))),0,
           IF(OFFSET(PLE!$G$15,$M30-$A$15,BF$13)="",10^12,OFFSET(PLE!$G$15,$M30-$A$15,BF$13)))</f>
        <v>1000000000000</v>
      </c>
      <c r="BG30" s="171" cm="1">
        <f t="array" aca="1" ref="BG30" ca="1">IF(OR($D30&lt;&gt;"Serviço",AND(AUTOEVENTO="Manual",$M30=$A$15),$M30&gt;(ROW(PLE.lastrow)-ROW(PLE.firstrow))),0,
           IF(OFFSET(PLE!$G$15,$M30-$A$15,BG$13)="",10^12,OFFSET(PLE!$G$15,$M30-$A$15,BG$13)))</f>
        <v>1000000000000</v>
      </c>
    </row>
    <row r="31" spans="1:59" ht="12.75" x14ac:dyDescent="0.2">
      <c r="A31" s="7" t="str">
        <f t="shared" ca="1" si="8"/>
        <v>16.</v>
      </c>
      <c r="B31" s="7">
        <f ca="1">OFFSET(ORÇAMENTO!C$15,$L31,0)</f>
        <v>2</v>
      </c>
      <c r="C31" s="7" t="str">
        <f ca="1">OFFSET(ORÇAMENTO!L$15,$L31,0)</f>
        <v>F</v>
      </c>
      <c r="D31" s="115" t="str">
        <f ca="1">OFFSET(ORÇAMENTO!N$15,$L31,0)</f>
        <v>Nível 2</v>
      </c>
      <c r="E31" s="116" t="str">
        <f ca="1">OFFSET(ORÇAMENTO!O$15,$L31,0)</f>
        <v>1.6.</v>
      </c>
      <c r="F31" s="162" t="str">
        <f ca="1">OFFSET(ORÇAMENTO!R$15,$L31,0)</f>
        <v>LIMPEZAS E AJUSTES DO TRECHO</v>
      </c>
      <c r="G31" s="163" t="str">
        <f ca="1">IF($D31&lt;&gt;"Serviço","",OFFSET(ORÇAMENTO!S$15,$L31,0))</f>
        <v/>
      </c>
      <c r="H31" s="121" cm="1">
        <f t="array" aca="1" ref="H31" ca="1">IF($D31&lt;&gt;"Serviço",0,IF(ACOMPANHAMENTO="BM",ROUND(OFFSET(ORÇAMENTO!AJ$15,$L31,0),15-13*ORÇAMENTO!$AF$7),IF(IFERROR(CÁLCULO.FrentesPreenchidas,0)=0,0,SUM(ROUND(OFFSET($P31,0,1,1,CÁLCULO.FrentesPreenchidas),15-13*ORÇAMENTO!$AF$7)))))</f>
        <v>0</v>
      </c>
      <c r="I31" s="467"/>
      <c r="J31" s="650"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1"/>
      <c r="L31" s="164">
        <f t="shared" ca="1" si="9"/>
        <v>16</v>
      </c>
      <c r="M31" s="165" t="str">
        <f ca="1">IF($D31&lt;&gt;"Serviço","",
          IF(AUTOEVENTO="manual",$A31,
                IF(ISERROR(MATCH($A31,$A$15:OFFSET($A31,-1,0),0)),MAX($M$15:OFFSET(M31,-1,0))+1,
                      INDEX($M$15:OFFSET(M31,-1,0),MATCH($A31,$A$15:OFFSET($A31,-1,0),0)))))</f>
        <v/>
      </c>
      <c r="N31" s="166" t="str">
        <f ca="1">IF($D31&lt;&gt;"Serviço","",
         IF(AUTOEVENTO="Manual",
                IF($A31=0,"&lt;-- defina o número do agrupador",
                       OFFSET(EVENTOS!$D$15,$A31-$A$15,0)),
                OFFSET($F$15,$A31,0)))</f>
        <v/>
      </c>
      <c r="O31" s="167"/>
      <c r="Q31" s="167"/>
      <c r="R31" s="168"/>
      <c r="S31" s="168"/>
      <c r="T31" s="168"/>
      <c r="U31" s="168"/>
      <c r="V31" s="168"/>
      <c r="W31" s="168"/>
      <c r="X31" s="168"/>
      <c r="Y31" s="168"/>
      <c r="Z31" s="169"/>
      <c r="AB31" s="452">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2">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2">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2">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2">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2">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2">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2">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2">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2">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0">
        <f ca="1">IF(OR($D31&lt;&gt;"Serviço",AND(AUTOEVENTO="Manual",$M31=$A$15)),0,
         IF(OFFSET(CRONOPLE!$F$15,$M31-$A$15,AM$13)=0,10^12,OFFSET(CRONOPLE!$F$15,$M31-$A$15,AM$13)))</f>
        <v>0</v>
      </c>
      <c r="AN31" s="170">
        <f ca="1">IF(OR($D31&lt;&gt;"Serviço",AND(AUTOEVENTO="Manual",$M31=$A$15)),0,
         IF(OFFSET(CRONOPLE!$F$15,$M31-$A$15,AN$13)=0,10^12,OFFSET(CRONOPLE!$F$15,$M31-$A$15,AN$13)))</f>
        <v>0</v>
      </c>
      <c r="AO31" s="170">
        <f ca="1">IF(OR($D31&lt;&gt;"Serviço",AND(AUTOEVENTO="Manual",$M31=$A$15)),0,
         IF(OFFSET(CRONOPLE!$F$15,$M31-$A$15,AO$13)=0,10^12,OFFSET(CRONOPLE!$F$15,$M31-$A$15,AO$13)))</f>
        <v>0</v>
      </c>
      <c r="AP31" s="170">
        <f ca="1">IF(OR($D31&lt;&gt;"Serviço",AND(AUTOEVENTO="Manual",$M31=$A$15)),0,
         IF(OFFSET(CRONOPLE!$F$15,$M31-$A$15,AP$13)=0,10^12,OFFSET(CRONOPLE!$F$15,$M31-$A$15,AP$13)))</f>
        <v>0</v>
      </c>
      <c r="AQ31" s="170">
        <f ca="1">IF(OR($D31&lt;&gt;"Serviço",AND(AUTOEVENTO="Manual",$M31=$A$15)),0,
         IF(OFFSET(CRONOPLE!$F$15,$M31-$A$15,AQ$13)=0,10^12,OFFSET(CRONOPLE!$F$15,$M31-$A$15,AQ$13)))</f>
        <v>0</v>
      </c>
      <c r="AR31" s="170">
        <f ca="1">IF(OR($D31&lt;&gt;"Serviço",AND(AUTOEVENTO="Manual",$M31=$A$15)),0,
         IF(OFFSET(CRONOPLE!$F$15,$M31-$A$15,AR$13)=0,10^12,OFFSET(CRONOPLE!$F$15,$M31-$A$15,AR$13)))</f>
        <v>0</v>
      </c>
      <c r="AS31" s="170">
        <f ca="1">IF(OR($D31&lt;&gt;"Serviço",AND(AUTOEVENTO="Manual",$M31=$A$15)),0,
         IF(OFFSET(CRONOPLE!$F$15,$M31-$A$15,AS$13)=0,10^12,OFFSET(CRONOPLE!$F$15,$M31-$A$15,AS$13)))</f>
        <v>0</v>
      </c>
      <c r="AT31" s="170">
        <f ca="1">IF(OR($D31&lt;&gt;"Serviço",AND(AUTOEVENTO="Manual",$M31=$A$15)),0,
         IF(OFFSET(CRONOPLE!$F$15,$M31-$A$15,AT$13)=0,10^12,OFFSET(CRONOPLE!$F$15,$M31-$A$15,AT$13)))</f>
        <v>0</v>
      </c>
      <c r="AU31" s="170">
        <f ca="1">IF(OR($D31&lt;&gt;"Serviço",AND(AUTOEVENTO="Manual",$M31=$A$15)),0,
         IF(OFFSET(CRONOPLE!$F$15,$M31-$A$15,AU$13)=0,10^12,OFFSET(CRONOPLE!$F$15,$M31-$A$15,AU$13)))</f>
        <v>0</v>
      </c>
      <c r="AV31" s="170">
        <f ca="1">IF(OR($D31&lt;&gt;"Serviço",AND(AUTOEVENTO="Manual",$M31=$A$15)),0,
         IF(OFFSET(CRONOPLE!$F$15,$M31-$A$15,AV$13)=0,10^12,OFFSET(CRONOPLE!$F$15,$M31-$A$15,AV$13)))</f>
        <v>0</v>
      </c>
      <c r="AX31" s="171" cm="1">
        <f t="array" aca="1" ref="AX31" ca="1">IF(OR($D31&lt;&gt;"Serviço",AND(AUTOEVENTO="Manual",$M31=$A$15),$M31&gt;(ROW(PLE.lastrow)-ROW(PLE.firstrow))),0,
           IF(OFFSET(PLE!$G$15,$M31-$A$15,AX$13)="",10^12,OFFSET(PLE!$G$15,$M31-$A$15,AX$13)))</f>
        <v>0</v>
      </c>
      <c r="AY31" s="171" cm="1">
        <f t="array" aca="1" ref="AY31" ca="1">IF(OR($D31&lt;&gt;"Serviço",AND(AUTOEVENTO="Manual",$M31=$A$15),$M31&gt;(ROW(PLE.lastrow)-ROW(PLE.firstrow))),0,
           IF(OFFSET(PLE!$G$15,$M31-$A$15,AY$13)="",10^12,OFFSET(PLE!$G$15,$M31-$A$15,AY$13)))</f>
        <v>0</v>
      </c>
      <c r="AZ31" s="171" cm="1">
        <f t="array" aca="1" ref="AZ31" ca="1">IF(OR($D31&lt;&gt;"Serviço",AND(AUTOEVENTO="Manual",$M31=$A$15),$M31&gt;(ROW(PLE.lastrow)-ROW(PLE.firstrow))),0,
           IF(OFFSET(PLE!$G$15,$M31-$A$15,AZ$13)="",10^12,OFFSET(PLE!$G$15,$M31-$A$15,AZ$13)))</f>
        <v>0</v>
      </c>
      <c r="BA31" s="171" cm="1">
        <f t="array" aca="1" ref="BA31" ca="1">IF(OR($D31&lt;&gt;"Serviço",AND(AUTOEVENTO="Manual",$M31=$A$15),$M31&gt;(ROW(PLE.lastrow)-ROW(PLE.firstrow))),0,
           IF(OFFSET(PLE!$G$15,$M31-$A$15,BA$13)="",10^12,OFFSET(PLE!$G$15,$M31-$A$15,BA$13)))</f>
        <v>0</v>
      </c>
      <c r="BB31" s="171" cm="1">
        <f t="array" aca="1" ref="BB31" ca="1">IF(OR($D31&lt;&gt;"Serviço",AND(AUTOEVENTO="Manual",$M31=$A$15),$M31&gt;(ROW(PLE.lastrow)-ROW(PLE.firstrow))),0,
           IF(OFFSET(PLE!$G$15,$M31-$A$15,BB$13)="",10^12,OFFSET(PLE!$G$15,$M31-$A$15,BB$13)))</f>
        <v>0</v>
      </c>
      <c r="BC31" s="171" cm="1">
        <f t="array" aca="1" ref="BC31" ca="1">IF(OR($D31&lt;&gt;"Serviço",AND(AUTOEVENTO="Manual",$M31=$A$15),$M31&gt;(ROW(PLE.lastrow)-ROW(PLE.firstrow))),0,
           IF(OFFSET(PLE!$G$15,$M31-$A$15,BC$13)="",10^12,OFFSET(PLE!$G$15,$M31-$A$15,BC$13)))</f>
        <v>0</v>
      </c>
      <c r="BD31" s="171" cm="1">
        <f t="array" aca="1" ref="BD31" ca="1">IF(OR($D31&lt;&gt;"Serviço",AND(AUTOEVENTO="Manual",$M31=$A$15),$M31&gt;(ROW(PLE.lastrow)-ROW(PLE.firstrow))),0,
           IF(OFFSET(PLE!$G$15,$M31-$A$15,BD$13)="",10^12,OFFSET(PLE!$G$15,$M31-$A$15,BD$13)))</f>
        <v>0</v>
      </c>
      <c r="BE31" s="171" cm="1">
        <f t="array" aca="1" ref="BE31" ca="1">IF(OR($D31&lt;&gt;"Serviço",AND(AUTOEVENTO="Manual",$M31=$A$15),$M31&gt;(ROW(PLE.lastrow)-ROW(PLE.firstrow))),0,
           IF(OFFSET(PLE!$G$15,$M31-$A$15,BE$13)="",10^12,OFFSET(PLE!$G$15,$M31-$A$15,BE$13)))</f>
        <v>0</v>
      </c>
      <c r="BF31" s="171" cm="1">
        <f t="array" aca="1" ref="BF31" ca="1">IF(OR($D31&lt;&gt;"Serviço",AND(AUTOEVENTO="Manual",$M31=$A$15),$M31&gt;(ROW(PLE.lastrow)-ROW(PLE.firstrow))),0,
           IF(OFFSET(PLE!$G$15,$M31-$A$15,BF$13)="",10^12,OFFSET(PLE!$G$15,$M31-$A$15,BF$13)))</f>
        <v>0</v>
      </c>
      <c r="BG31" s="171" cm="1">
        <f t="array" aca="1" ref="BG31" ca="1">IF(OR($D31&lt;&gt;"Serviço",AND(AUTOEVENTO="Manual",$M31=$A$15),$M31&gt;(ROW(PLE.lastrow)-ROW(PLE.firstrow))),0,
           IF(OFFSET(PLE!$G$15,$M31-$A$15,BG$13)="",10^12,OFFSET(PLE!$G$15,$M31-$A$15,BG$13)))</f>
        <v>0</v>
      </c>
    </row>
    <row r="32" spans="1:59" ht="25.5" x14ac:dyDescent="0.2">
      <c r="A32" s="7" t="str">
        <f t="shared" ref="A32" ca="1" si="10">IFERROR(IF(AUTOEVENTO="Manual",IF(K32&lt;&gt;"",MIN(VALUE(LEFT(K32,FIND(".",K32)-1)),COUNTA(EVENTOS.Lista)),0),IF(OR($B32&gt;AUTOEVENTO,$B32="S",$B32=0),SUBSTITUTE(OFFSET($A32,-1,0),IF($D32="Serviço",".",""),""),$L32&amp;".")),0)</f>
        <v>16</v>
      </c>
      <c r="B32" s="7" t="str">
        <f ca="1">OFFSET(ORÇAMENTO!C$15,$L32,0)</f>
        <v>S</v>
      </c>
      <c r="C32" s="7" t="str">
        <f ca="1">OFFSET(ORÇAMENTO!L$15,$L32,0)</f>
        <v/>
      </c>
      <c r="D32" s="115" t="str">
        <f ca="1">OFFSET(ORÇAMENTO!N$15,$L32,0)</f>
        <v>Serviço</v>
      </c>
      <c r="E32" s="116" t="str">
        <f ca="1">OFFSET(ORÇAMENTO!O$15,$L32,0)</f>
        <v>-</v>
      </c>
      <c r="F32" s="162" t="str">
        <f ca="1">OFFSET(ORÇAMENTO!R$15,$L32,0)</f>
        <v>(Código não identificado nas referências)</v>
      </c>
      <c r="G32" s="163" t="str">
        <f ca="1">IF($D32&lt;&gt;"Serviço","",OFFSET(ORÇAMENTO!S$15,$L32,0))</f>
        <v>M3</v>
      </c>
      <c r="H32" s="121" cm="1">
        <f t="array" aca="1" ref="H32" ca="1">IF($D32&lt;&gt;"Serviço",0,IF(ACOMPANHAMENTO="BM",ROUND(OFFSET(ORÇAMENTO!AJ$15,$L32,0),15-13*ORÇAMENTO!$AF$7),IF(IFERROR(CÁLCULO.FrentesPreenchidas,0)=0,0,SUM(ROUND(OFFSET($P32,0,1,1,CÁLCULO.FrentesPreenchidas),15-13*ORÇAMENTO!$AF$7)))))</f>
        <v>262.5</v>
      </c>
      <c r="I32" s="467"/>
      <c r="J32" s="650"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1"/>
      <c r="L32" s="164">
        <f ca="1">OFFSET(L32,-1,0)+1</f>
        <v>17</v>
      </c>
      <c r="M32" s="165">
        <f ca="1">IF($D32&lt;&gt;"Serviço","",
          IF(AUTOEVENTO="manual",$A32,
                IF(ISERROR(MATCH($A32,$A$15:OFFSET($A32,-1,0),0)),MAX($M$15:OFFSET(M32,-1,0))+1,
                      INDEX($M$15:OFFSET(M32,-1,0),MATCH($A32,$A$15:OFFSET($A32,-1,0),0)))))</f>
        <v>6</v>
      </c>
      <c r="N32" s="166" t="str">
        <f ca="1">IF($D32&lt;&gt;"Serviço","",
         IF(AUTOEVENTO="Manual",
                IF($A32=0,"&lt;-- defina o número do agrupador",
                       OFFSET(EVENTOS!$D$15,$A32-$A$15,0)),
                OFFSET($F$15,$A32,0)))</f>
        <v>LIMPEZAS E AJUSTES DO TRECHO</v>
      </c>
      <c r="O32" s="167"/>
      <c r="Q32" s="167"/>
      <c r="R32" s="168"/>
      <c r="S32" s="168"/>
      <c r="T32" s="168"/>
      <c r="U32" s="168"/>
      <c r="V32" s="168"/>
      <c r="W32" s="168"/>
      <c r="X32" s="168"/>
      <c r="Y32" s="168"/>
      <c r="Z32" s="169"/>
      <c r="AB32" s="452">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2">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2">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2">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2">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2">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2">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2">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2">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2">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0">
        <f ca="1">IF(OR($D32&lt;&gt;"Serviço",AND(AUTOEVENTO="Manual",$M32=$A$15)),0,
         IF(OFFSET(CRONOPLE!$F$15,$M32-$A$15,AM$13)=0,10^12,OFFSET(CRONOPLE!$F$15,$M32-$A$15,AM$13)))</f>
        <v>1000000000000</v>
      </c>
      <c r="AN32" s="170">
        <f ca="1">IF(OR($D32&lt;&gt;"Serviço",AND(AUTOEVENTO="Manual",$M32=$A$15)),0,
         IF(OFFSET(CRONOPLE!$F$15,$M32-$A$15,AN$13)=0,10^12,OFFSET(CRONOPLE!$F$15,$M32-$A$15,AN$13)))</f>
        <v>1000000000000</v>
      </c>
      <c r="AO32" s="170">
        <f ca="1">IF(OR($D32&lt;&gt;"Serviço",AND(AUTOEVENTO="Manual",$M32=$A$15)),0,
         IF(OFFSET(CRONOPLE!$F$15,$M32-$A$15,AO$13)=0,10^12,OFFSET(CRONOPLE!$F$15,$M32-$A$15,AO$13)))</f>
        <v>1000000000000</v>
      </c>
      <c r="AP32" s="170">
        <f ca="1">IF(OR($D32&lt;&gt;"Serviço",AND(AUTOEVENTO="Manual",$M32=$A$15)),0,
         IF(OFFSET(CRONOPLE!$F$15,$M32-$A$15,AP$13)=0,10^12,OFFSET(CRONOPLE!$F$15,$M32-$A$15,AP$13)))</f>
        <v>1000000000000</v>
      </c>
      <c r="AQ32" s="170">
        <f ca="1">IF(OR($D32&lt;&gt;"Serviço",AND(AUTOEVENTO="Manual",$M32=$A$15)),0,
         IF(OFFSET(CRONOPLE!$F$15,$M32-$A$15,AQ$13)=0,10^12,OFFSET(CRONOPLE!$F$15,$M32-$A$15,AQ$13)))</f>
        <v>1000000000000</v>
      </c>
      <c r="AR32" s="170">
        <f ca="1">IF(OR($D32&lt;&gt;"Serviço",AND(AUTOEVENTO="Manual",$M32=$A$15)),0,
         IF(OFFSET(CRONOPLE!$F$15,$M32-$A$15,AR$13)=0,10^12,OFFSET(CRONOPLE!$F$15,$M32-$A$15,AR$13)))</f>
        <v>1000000000000</v>
      </c>
      <c r="AS32" s="170">
        <f ca="1">IF(OR($D32&lt;&gt;"Serviço",AND(AUTOEVENTO="Manual",$M32=$A$15)),0,
         IF(OFFSET(CRONOPLE!$F$15,$M32-$A$15,AS$13)=0,10^12,OFFSET(CRONOPLE!$F$15,$M32-$A$15,AS$13)))</f>
        <v>1000000000000</v>
      </c>
      <c r="AT32" s="170">
        <f ca="1">IF(OR($D32&lt;&gt;"Serviço",AND(AUTOEVENTO="Manual",$M32=$A$15)),0,
         IF(OFFSET(CRONOPLE!$F$15,$M32-$A$15,AT$13)=0,10^12,OFFSET(CRONOPLE!$F$15,$M32-$A$15,AT$13)))</f>
        <v>1000000000000</v>
      </c>
      <c r="AU32" s="170">
        <f ca="1">IF(OR($D32&lt;&gt;"Serviço",AND(AUTOEVENTO="Manual",$M32=$A$15)),0,
         IF(OFFSET(CRONOPLE!$F$15,$M32-$A$15,AU$13)=0,10^12,OFFSET(CRONOPLE!$F$15,$M32-$A$15,AU$13)))</f>
        <v>1000000000000</v>
      </c>
      <c r="AV32" s="170">
        <f ca="1">IF(OR($D32&lt;&gt;"Serviço",AND(AUTOEVENTO="Manual",$M32=$A$15)),0,
         IF(OFFSET(CRONOPLE!$F$15,$M32-$A$15,AV$13)=0,10^12,OFFSET(CRONOPLE!$F$15,$M32-$A$15,AV$13)))</f>
        <v>1000000000000</v>
      </c>
      <c r="AX32" s="171" cm="1">
        <f t="array" aca="1" ref="AX32" ca="1">IF(OR($D32&lt;&gt;"Serviço",AND(AUTOEVENTO="Manual",$M32=$A$15),$M32&gt;(ROW(PLE.lastrow)-ROW(PLE.firstrow))),0,
           IF(OFFSET(PLE!$G$15,$M32-$A$15,AX$13)="",10^12,OFFSET(PLE!$G$15,$M32-$A$15,AX$13)))</f>
        <v>1000000000000</v>
      </c>
      <c r="AY32" s="171" cm="1">
        <f t="array" aca="1" ref="AY32" ca="1">IF(OR($D32&lt;&gt;"Serviço",AND(AUTOEVENTO="Manual",$M32=$A$15),$M32&gt;(ROW(PLE.lastrow)-ROW(PLE.firstrow))),0,
           IF(OFFSET(PLE!$G$15,$M32-$A$15,AY$13)="",10^12,OFFSET(PLE!$G$15,$M32-$A$15,AY$13)))</f>
        <v>1000000000000</v>
      </c>
      <c r="AZ32" s="171" cm="1">
        <f t="array" aca="1" ref="AZ32" ca="1">IF(OR($D32&lt;&gt;"Serviço",AND(AUTOEVENTO="Manual",$M32=$A$15),$M32&gt;(ROW(PLE.lastrow)-ROW(PLE.firstrow))),0,
           IF(OFFSET(PLE!$G$15,$M32-$A$15,AZ$13)="",10^12,OFFSET(PLE!$G$15,$M32-$A$15,AZ$13)))</f>
        <v>1000000000000</v>
      </c>
      <c r="BA32" s="171" cm="1">
        <f t="array" aca="1" ref="BA32" ca="1">IF(OR($D32&lt;&gt;"Serviço",AND(AUTOEVENTO="Manual",$M32=$A$15),$M32&gt;(ROW(PLE.lastrow)-ROW(PLE.firstrow))),0,
           IF(OFFSET(PLE!$G$15,$M32-$A$15,BA$13)="",10^12,OFFSET(PLE!$G$15,$M32-$A$15,BA$13)))</f>
        <v>1000000000000</v>
      </c>
      <c r="BB32" s="171" cm="1">
        <f t="array" aca="1" ref="BB32" ca="1">IF(OR($D32&lt;&gt;"Serviço",AND(AUTOEVENTO="Manual",$M32=$A$15),$M32&gt;(ROW(PLE.lastrow)-ROW(PLE.firstrow))),0,
           IF(OFFSET(PLE!$G$15,$M32-$A$15,BB$13)="",10^12,OFFSET(PLE!$G$15,$M32-$A$15,BB$13)))</f>
        <v>1000000000000</v>
      </c>
      <c r="BC32" s="171" cm="1">
        <f t="array" aca="1" ref="BC32" ca="1">IF(OR($D32&lt;&gt;"Serviço",AND(AUTOEVENTO="Manual",$M32=$A$15),$M32&gt;(ROW(PLE.lastrow)-ROW(PLE.firstrow))),0,
           IF(OFFSET(PLE!$G$15,$M32-$A$15,BC$13)="",10^12,OFFSET(PLE!$G$15,$M32-$A$15,BC$13)))</f>
        <v>1000000000000</v>
      </c>
      <c r="BD32" s="171" cm="1">
        <f t="array" aca="1" ref="BD32" ca="1">IF(OR($D32&lt;&gt;"Serviço",AND(AUTOEVENTO="Manual",$M32=$A$15),$M32&gt;(ROW(PLE.lastrow)-ROW(PLE.firstrow))),0,
           IF(OFFSET(PLE!$G$15,$M32-$A$15,BD$13)="",10^12,OFFSET(PLE!$G$15,$M32-$A$15,BD$13)))</f>
        <v>1000000000000</v>
      </c>
      <c r="BE32" s="171" cm="1">
        <f t="array" aca="1" ref="BE32" ca="1">IF(OR($D32&lt;&gt;"Serviço",AND(AUTOEVENTO="Manual",$M32=$A$15),$M32&gt;(ROW(PLE.lastrow)-ROW(PLE.firstrow))),0,
           IF(OFFSET(PLE!$G$15,$M32-$A$15,BE$13)="",10^12,OFFSET(PLE!$G$15,$M32-$A$15,BE$13)))</f>
        <v>1000000000000</v>
      </c>
      <c r="BF32" s="171" cm="1">
        <f t="array" aca="1" ref="BF32" ca="1">IF(OR($D32&lt;&gt;"Serviço",AND(AUTOEVENTO="Manual",$M32=$A$15),$M32&gt;(ROW(PLE.lastrow)-ROW(PLE.firstrow))),0,
           IF(OFFSET(PLE!$G$15,$M32-$A$15,BF$13)="",10^12,OFFSET(PLE!$G$15,$M32-$A$15,BF$13)))</f>
        <v>1000000000000</v>
      </c>
      <c r="BG32" s="171" cm="1">
        <f t="array" aca="1" ref="BG32" ca="1">IF(OR($D32&lt;&gt;"Serviço",AND(AUTOEVENTO="Manual",$M32=$A$15),$M32&gt;(ROW(PLE.lastrow)-ROW(PLE.firstrow))),0,
           IF(OFFSET(PLE!$G$15,$M32-$A$15,BG$13)="",10^12,OFFSET(PLE!$G$15,$M32-$A$15,BG$13)))</f>
        <v>1000000000000</v>
      </c>
    </row>
    <row r="33" spans="2:59" ht="5.0999999999999996" customHeight="1" x14ac:dyDescent="0.2">
      <c r="B33" s="7">
        <f ca="1">OFFSET(ORÇAMENTO!C$15,ROW(B33)-ROW(B$15),0)</f>
        <v>-1</v>
      </c>
      <c r="C33" s="7" t="str">
        <f ca="1">OFFSET(ORÇAMENTO!L$15,ROW(C33)-ROW(C$15),0)</f>
        <v>F</v>
      </c>
      <c r="D33" s="633" t="s">
        <v>700</v>
      </c>
      <c r="E33" s="617"/>
      <c r="F33" s="618"/>
      <c r="G33" s="618"/>
      <c r="H33" s="618"/>
      <c r="I33" s="418"/>
      <c r="K33" s="568"/>
      <c r="L33" s="164">
        <f t="shared" ref="L33" ca="1" si="11">OFFSET(L33,-1,0)+1</f>
        <v>18</v>
      </c>
      <c r="M33" s="420"/>
      <c r="N33" s="419"/>
      <c r="O33" s="634"/>
      <c r="Q33" s="617"/>
      <c r="R33" s="618"/>
      <c r="S33" s="618"/>
      <c r="T33" s="618"/>
      <c r="U33" s="618"/>
      <c r="V33" s="618"/>
      <c r="W33" s="618"/>
      <c r="X33" s="618"/>
      <c r="Y33" s="618"/>
      <c r="Z33" s="418"/>
      <c r="AB33" s="635"/>
      <c r="AC33" s="636"/>
      <c r="AD33" s="636"/>
      <c r="AE33" s="636"/>
      <c r="AF33" s="636"/>
      <c r="AG33" s="636"/>
      <c r="AH33" s="636"/>
      <c r="AI33" s="636"/>
      <c r="AJ33" s="636"/>
      <c r="AK33" s="132"/>
      <c r="AM33" s="635"/>
      <c r="AN33" s="636"/>
      <c r="AO33" s="636"/>
      <c r="AP33" s="636"/>
      <c r="AQ33" s="636"/>
      <c r="AR33" s="636"/>
      <c r="AS33" s="636"/>
      <c r="AT33" s="636"/>
      <c r="AU33" s="636"/>
      <c r="AV33" s="132"/>
      <c r="AX33" s="635"/>
      <c r="AY33" s="636"/>
      <c r="AZ33" s="636"/>
      <c r="BA33" s="636"/>
      <c r="BB33" s="636"/>
      <c r="BC33" s="636"/>
      <c r="BD33" s="636"/>
      <c r="BE33" s="636"/>
      <c r="BF33" s="636"/>
      <c r="BG33" s="132"/>
    </row>
    <row r="34" spans="2:59" ht="12.75" customHeight="1" x14ac:dyDescent="0.2"/>
    <row r="35" spans="2:59" ht="12.75" customHeight="1" x14ac:dyDescent="0.2"/>
    <row r="36" spans="2:59" ht="12.75" customHeight="1" x14ac:dyDescent="0.2"/>
    <row r="37" spans="2:59" ht="15" customHeight="1" x14ac:dyDescent="0.2">
      <c r="F37" s="178" t="str">
        <f>Import.Município</f>
        <v>RS</v>
      </c>
      <c r="I37" s="459"/>
      <c r="J37" s="459"/>
      <c r="K37" s="459"/>
      <c r="L37" s="459"/>
      <c r="M37" s="460"/>
      <c r="N37" s="416"/>
      <c r="T37" s="138"/>
      <c r="U37" s="138"/>
      <c r="V37" s="179"/>
      <c r="W37" s="179"/>
      <c r="X37" s="179"/>
      <c r="Y37" s="179"/>
    </row>
    <row r="38" spans="2:59" ht="12.75" customHeight="1" x14ac:dyDescent="0.2">
      <c r="F38" s="9" t="s">
        <v>693</v>
      </c>
      <c r="I38" s="180" t="s">
        <v>696</v>
      </c>
      <c r="J38" s="180"/>
      <c r="K38" s="180"/>
      <c r="L38" s="180"/>
      <c r="T38" s="180" t="s">
        <v>696</v>
      </c>
      <c r="U38" s="180"/>
    </row>
    <row r="39" spans="2:59" ht="12.75" customHeight="1" x14ac:dyDescent="0.2">
      <c r="I39" s="397" t="str">
        <f t="array" aca="1" ref="I39:I41" ca="1">OFFSET(Import.RespOrçamento,0,-1) &amp; " " &amp; Import.RespOrçamento</f>
        <v>Nome: GABRIEL ADAMS DOMINGUES</v>
      </c>
      <c r="K39" s="78"/>
      <c r="L39" s="78"/>
      <c r="T39" s="397" t="str">
        <f t="array" aca="1" ref="T39:T41" ca="1">OFFSET(Import.RespOrçamento,0,-1) &amp; " " &amp; Import.RespOrçamento</f>
        <v>Nome: GABRIEL ADAMS DOMINGUES</v>
      </c>
      <c r="U39" s="77"/>
    </row>
    <row r="40" spans="2:59" ht="12.75" customHeight="1" x14ac:dyDescent="0.2">
      <c r="F40" s="458">
        <f>DADOS!$C$25</f>
        <v>46252</v>
      </c>
      <c r="I40" s="397" t="str">
        <f ca="1"/>
        <v>CREA/CAU: CREA RS 247738</v>
      </c>
      <c r="K40" s="78"/>
      <c r="L40" s="78"/>
      <c r="T40" s="397" t="str">
        <f ca="1"/>
        <v>CREA/CAU: CREA RS 247738</v>
      </c>
      <c r="U40" s="77"/>
    </row>
    <row r="41" spans="2:59" ht="12.75" customHeight="1" x14ac:dyDescent="0.2">
      <c r="F41" s="139" t="s">
        <v>694</v>
      </c>
      <c r="I41" s="397" t="str">
        <f ca="1"/>
        <v>ART/RRT: 14574615</v>
      </c>
      <c r="K41" s="78"/>
      <c r="L41" s="78"/>
      <c r="T41" s="397" t="str">
        <f ca="1"/>
        <v>ART/RRT: 14574615</v>
      </c>
      <c r="U41" s="77"/>
    </row>
    <row r="42" spans="2:59" ht="12.75" customHeight="1" x14ac:dyDescent="0.2">
      <c r="C42"/>
      <c r="M42"/>
    </row>
    <row r="43" spans="2:59" ht="12.75" customHeight="1" x14ac:dyDescent="0.2">
      <c r="C43"/>
      <c r="M43"/>
    </row>
    <row r="44" spans="2:59" ht="12.75" customHeight="1" x14ac:dyDescent="0.2">
      <c r="C44"/>
      <c r="M44"/>
    </row>
    <row r="45" spans="2:59" ht="12.75" customHeight="1" x14ac:dyDescent="0.2">
      <c r="C45"/>
      <c r="M45"/>
    </row>
    <row r="46" spans="2:59" ht="12.75" customHeight="1" x14ac:dyDescent="0.2">
      <c r="C46"/>
      <c r="M46"/>
    </row>
    <row r="47" spans="2:59" ht="12.75" customHeight="1" x14ac:dyDescent="0.2">
      <c r="C47"/>
      <c r="M47"/>
    </row>
    <row r="48" spans="2:59" ht="12.75" customHeight="1" x14ac:dyDescent="0.2">
      <c r="C48"/>
      <c r="M48"/>
    </row>
    <row r="49" spans="3:13" ht="12.75" customHeight="1" x14ac:dyDescent="0.2">
      <c r="C49"/>
      <c r="M49"/>
    </row>
    <row r="50" spans="3:13" ht="12.75" customHeight="1" x14ac:dyDescent="0.2">
      <c r="C50"/>
      <c r="M50"/>
    </row>
    <row r="51" spans="3:13" ht="12.75" customHeight="1" x14ac:dyDescent="0.2">
      <c r="C51"/>
      <c r="M51"/>
    </row>
    <row r="52" spans="3:13" ht="12.75" customHeight="1" x14ac:dyDescent="0.2">
      <c r="C52"/>
      <c r="M52"/>
    </row>
    <row r="53" spans="3:13" ht="12.75" customHeight="1" x14ac:dyDescent="0.2">
      <c r="C53"/>
      <c r="M53"/>
    </row>
    <row r="54" spans="3:13" ht="12.75" customHeight="1" x14ac:dyDescent="0.2">
      <c r="C54"/>
      <c r="M54"/>
    </row>
    <row r="55" spans="3:13" ht="12.75" customHeight="1" x14ac:dyDescent="0.2">
      <c r="C55"/>
      <c r="M55"/>
    </row>
    <row r="56" spans="3:13" ht="12.75" customHeight="1" x14ac:dyDescent="0.2">
      <c r="C56"/>
      <c r="M56"/>
    </row>
    <row r="57" spans="3:13" ht="12.75" customHeight="1" x14ac:dyDescent="0.2">
      <c r="C57"/>
      <c r="M57"/>
    </row>
    <row r="58" spans="3:13" ht="12.75" customHeight="1" x14ac:dyDescent="0.2">
      <c r="C58"/>
      <c r="M58"/>
    </row>
    <row r="59" spans="3:13" ht="12.75" customHeight="1" x14ac:dyDescent="0.2">
      <c r="C59"/>
      <c r="M59"/>
    </row>
    <row r="60" spans="3:13" ht="12.75" customHeight="1" x14ac:dyDescent="0.2">
      <c r="C60"/>
      <c r="M60"/>
    </row>
    <row r="61" spans="3:13" ht="12.75" customHeight="1" x14ac:dyDescent="0.2">
      <c r="C61"/>
      <c r="M61"/>
    </row>
    <row r="62" spans="3:13" ht="12.75" customHeight="1" x14ac:dyDescent="0.2">
      <c r="C62"/>
      <c r="M62"/>
    </row>
    <row r="63" spans="3:13" ht="12.75" customHeight="1" x14ac:dyDescent="0.2">
      <c r="C63"/>
      <c r="M63"/>
    </row>
    <row r="64" spans="3:13"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60945" spans="3:13" ht="12.75" customHeight="1" x14ac:dyDescent="0.2">
      <c r="C60945"/>
      <c r="M60945"/>
    </row>
    <row r="60961" spans="3:13" ht="12.75" customHeight="1" x14ac:dyDescent="0.2">
      <c r="C60961"/>
      <c r="M60961"/>
    </row>
    <row r="60977" spans="3:13" ht="12.75" customHeight="1" x14ac:dyDescent="0.2">
      <c r="C60977"/>
      <c r="M60977"/>
    </row>
    <row r="60993" spans="3:13" ht="12.75" customHeight="1" x14ac:dyDescent="0.2">
      <c r="C60993"/>
      <c r="M60993"/>
    </row>
    <row r="61006" spans="3:13" ht="12.75" customHeight="1" x14ac:dyDescent="0.2">
      <c r="C61006"/>
      <c r="M61006"/>
    </row>
    <row r="61007" spans="3:13" ht="12.75" customHeight="1" x14ac:dyDescent="0.2">
      <c r="C61007"/>
      <c r="M61007"/>
    </row>
    <row r="61009" spans="3:13" ht="12.75" customHeight="1" x14ac:dyDescent="0.2">
      <c r="C61009"/>
      <c r="M61009"/>
    </row>
    <row r="61020" spans="3:13" ht="12.75" customHeight="1" x14ac:dyDescent="0.2">
      <c r="C61020"/>
      <c r="M61020"/>
    </row>
    <row r="61021" spans="3:13" ht="12.75" customHeight="1" x14ac:dyDescent="0.2">
      <c r="C61021"/>
      <c r="M61021"/>
    </row>
    <row r="61022" spans="3:13" ht="12.75" customHeight="1" x14ac:dyDescent="0.2">
      <c r="C61022"/>
      <c r="M61022"/>
    </row>
    <row r="61023" spans="3:13" ht="12.75" customHeight="1" x14ac:dyDescent="0.2">
      <c r="C61023"/>
      <c r="M61023"/>
    </row>
    <row r="61025" spans="3:13" ht="12.75" customHeight="1" x14ac:dyDescent="0.2">
      <c r="C61025"/>
      <c r="M61025"/>
    </row>
    <row r="61036" spans="3:13" ht="12.75" customHeight="1" x14ac:dyDescent="0.2">
      <c r="C61036"/>
      <c r="M61036"/>
    </row>
    <row r="61037" spans="3:13" ht="12.75" customHeight="1" x14ac:dyDescent="0.2">
      <c r="C61037"/>
      <c r="M61037"/>
    </row>
    <row r="61038" spans="3:13" ht="12.75" customHeight="1" x14ac:dyDescent="0.2">
      <c r="C61038"/>
      <c r="M61038"/>
    </row>
    <row r="61039" spans="3:13" ht="12.75" customHeight="1" x14ac:dyDescent="0.2">
      <c r="C61039"/>
      <c r="M61039"/>
    </row>
    <row r="61041" spans="3:13" ht="12.75" customHeight="1" x14ac:dyDescent="0.2">
      <c r="C61041"/>
      <c r="M61041"/>
    </row>
    <row r="61052" spans="3:13" ht="12.75" customHeight="1" x14ac:dyDescent="0.2">
      <c r="C61052"/>
      <c r="M61052"/>
    </row>
    <row r="61053" spans="3:13" ht="12.75" customHeight="1" x14ac:dyDescent="0.2">
      <c r="C61053"/>
      <c r="M61053"/>
    </row>
    <row r="61054" spans="3:13" ht="12.75" customHeight="1" x14ac:dyDescent="0.2">
      <c r="C61054"/>
      <c r="M61054"/>
    </row>
    <row r="61055" spans="3:13" ht="12.75" customHeight="1" x14ac:dyDescent="0.2">
      <c r="C61055"/>
      <c r="M61055"/>
    </row>
    <row r="61057" spans="3:13" ht="12.75" customHeight="1" x14ac:dyDescent="0.2">
      <c r="C61057"/>
      <c r="M61057"/>
    </row>
    <row r="61068" spans="3:13" ht="12.75" customHeight="1" x14ac:dyDescent="0.2">
      <c r="C61068"/>
      <c r="M61068"/>
    </row>
    <row r="61069" spans="3:13" ht="12.75" customHeight="1" x14ac:dyDescent="0.2">
      <c r="C61069"/>
      <c r="M61069"/>
    </row>
    <row r="61070" spans="3:13" ht="12.75" customHeight="1" x14ac:dyDescent="0.2">
      <c r="C61070"/>
      <c r="M61070"/>
    </row>
    <row r="61071" spans="3:13" ht="12.75" customHeight="1" x14ac:dyDescent="0.2">
      <c r="C61071"/>
      <c r="M61071"/>
    </row>
    <row r="61073" spans="3:13" ht="12.75" customHeight="1" x14ac:dyDescent="0.2">
      <c r="C61073"/>
      <c r="M61073"/>
    </row>
    <row r="61084" spans="3:13" ht="12.75" customHeight="1" x14ac:dyDescent="0.2">
      <c r="C61084"/>
      <c r="M61084"/>
    </row>
    <row r="61085" spans="3:13" ht="12.75" customHeight="1" x14ac:dyDescent="0.2">
      <c r="C61085"/>
      <c r="M61085"/>
    </row>
    <row r="61086" spans="3:13" ht="12.75" customHeight="1" x14ac:dyDescent="0.2">
      <c r="C61086"/>
      <c r="M61086"/>
    </row>
    <row r="61087" spans="3:13" ht="12.75" customHeight="1" x14ac:dyDescent="0.2">
      <c r="C61087"/>
      <c r="M61087"/>
    </row>
    <row r="61089" spans="3:13" ht="12.75" customHeight="1" x14ac:dyDescent="0.2">
      <c r="C61089"/>
      <c r="M61089"/>
    </row>
    <row r="61100" spans="3:13" ht="12.75" customHeight="1" x14ac:dyDescent="0.2">
      <c r="C61100"/>
      <c r="M61100"/>
    </row>
    <row r="61101" spans="3:13" ht="12.75" customHeight="1" x14ac:dyDescent="0.2">
      <c r="C61101"/>
      <c r="M61101"/>
    </row>
    <row r="61102" spans="3:13" ht="12.75" customHeight="1" x14ac:dyDescent="0.2">
      <c r="C61102"/>
      <c r="M61102"/>
    </row>
    <row r="61103" spans="3:13" ht="12.75" customHeight="1" x14ac:dyDescent="0.2">
      <c r="C61103"/>
      <c r="M61103"/>
    </row>
    <row r="61105" spans="3:13" ht="12.75" customHeight="1" x14ac:dyDescent="0.2">
      <c r="C61105"/>
      <c r="M61105"/>
    </row>
    <row r="61116" spans="3:13" ht="12.75" customHeight="1" x14ac:dyDescent="0.2">
      <c r="C61116"/>
      <c r="M61116"/>
    </row>
    <row r="61117" spans="3:13" ht="12.75" customHeight="1" x14ac:dyDescent="0.2">
      <c r="C61117"/>
      <c r="M61117"/>
    </row>
    <row r="61118" spans="3:13" ht="12.75" customHeight="1" x14ac:dyDescent="0.2">
      <c r="C61118"/>
      <c r="M61118"/>
    </row>
    <row r="61119" spans="3:13" ht="12.75" customHeight="1" x14ac:dyDescent="0.2">
      <c r="C61119"/>
      <c r="M61119"/>
    </row>
    <row r="61121" spans="3:13" ht="12.75" customHeight="1" x14ac:dyDescent="0.2">
      <c r="C61121"/>
      <c r="M61121"/>
    </row>
    <row r="61132" spans="3:13" ht="12.75" customHeight="1" x14ac:dyDescent="0.2">
      <c r="C61132"/>
      <c r="M61132"/>
    </row>
    <row r="61133" spans="3:13" ht="12.75" customHeight="1" x14ac:dyDescent="0.2">
      <c r="C61133"/>
      <c r="M61133"/>
    </row>
    <row r="61134" spans="3:13" ht="12.75" customHeight="1" x14ac:dyDescent="0.2">
      <c r="C61134"/>
      <c r="M61134"/>
    </row>
    <row r="61135" spans="3:13" ht="12.75" customHeight="1" x14ac:dyDescent="0.2">
      <c r="C61135"/>
      <c r="M61135"/>
    </row>
    <row r="61137" spans="3:13" ht="12.75" customHeight="1" x14ac:dyDescent="0.2">
      <c r="C61137"/>
      <c r="M61137"/>
    </row>
    <row r="61145" spans="3:13" ht="12.75" customHeight="1" x14ac:dyDescent="0.2">
      <c r="C61145"/>
      <c r="M61145"/>
    </row>
    <row r="61148" spans="3:13" ht="12.75" customHeight="1" x14ac:dyDescent="0.2">
      <c r="C61148"/>
      <c r="M61148"/>
    </row>
    <row r="61149" spans="3:13" ht="12.75" customHeight="1" x14ac:dyDescent="0.2">
      <c r="C61149"/>
      <c r="M61149"/>
    </row>
    <row r="61150" spans="3:13" ht="12.75" customHeight="1" x14ac:dyDescent="0.2">
      <c r="C61150"/>
      <c r="M61150"/>
    </row>
    <row r="61151" spans="3:13" ht="12.75" customHeight="1" x14ac:dyDescent="0.2">
      <c r="C61151"/>
      <c r="M61151"/>
    </row>
    <row r="61153" spans="3:13" ht="12.75" customHeight="1" x14ac:dyDescent="0.2">
      <c r="C61153"/>
      <c r="M61153"/>
    </row>
    <row r="61161" spans="3:13" ht="12.75" customHeight="1" x14ac:dyDescent="0.2">
      <c r="C61161"/>
      <c r="M61161"/>
    </row>
    <row r="61164" spans="3:13" ht="12.75" customHeight="1" x14ac:dyDescent="0.2">
      <c r="C61164"/>
      <c r="M61164"/>
    </row>
    <row r="61165" spans="3:13" ht="12.75" customHeight="1" x14ac:dyDescent="0.2">
      <c r="C61165"/>
      <c r="M61165"/>
    </row>
    <row r="61166" spans="3:13" ht="12.75" customHeight="1" x14ac:dyDescent="0.2">
      <c r="C61166"/>
      <c r="M61166"/>
    </row>
    <row r="61167" spans="3:13" ht="12.75" customHeight="1" x14ac:dyDescent="0.2">
      <c r="C61167"/>
      <c r="M61167"/>
    </row>
    <row r="61169" spans="3:13" ht="12.75" customHeight="1" x14ac:dyDescent="0.2">
      <c r="C61169"/>
      <c r="M61169"/>
    </row>
    <row r="61177" spans="3:13" ht="12.75" customHeight="1" x14ac:dyDescent="0.2">
      <c r="C61177"/>
      <c r="M61177"/>
    </row>
    <row r="61178" spans="3:13" ht="12.75" customHeight="1" x14ac:dyDescent="0.2">
      <c r="C61178"/>
      <c r="M61178"/>
    </row>
    <row r="61180" spans="3:13" ht="12.75" customHeight="1" x14ac:dyDescent="0.2">
      <c r="C61180"/>
      <c r="M61180"/>
    </row>
    <row r="61181" spans="3:13" ht="12.75" customHeight="1" x14ac:dyDescent="0.2">
      <c r="C61181"/>
      <c r="M61181"/>
    </row>
    <row r="61182" spans="3:13" ht="12.75" customHeight="1" x14ac:dyDescent="0.2">
      <c r="C61182"/>
      <c r="M61182"/>
    </row>
    <row r="61183" spans="3:13" ht="12.75" customHeight="1" x14ac:dyDescent="0.2">
      <c r="C61183"/>
      <c r="M61183"/>
    </row>
    <row r="61185" spans="3:13" ht="12.75" customHeight="1" x14ac:dyDescent="0.2">
      <c r="C61185"/>
      <c r="M61185"/>
    </row>
    <row r="61193" spans="3:13" ht="12.75" customHeight="1" x14ac:dyDescent="0.2">
      <c r="C61193"/>
      <c r="M61193"/>
    </row>
    <row r="61194" spans="3:13" ht="12.75" customHeight="1" x14ac:dyDescent="0.2">
      <c r="C61194"/>
      <c r="M61194"/>
    </row>
    <row r="61195" spans="3:13" ht="12.75" customHeight="1" x14ac:dyDescent="0.2">
      <c r="C61195"/>
      <c r="M61195"/>
    </row>
    <row r="61196" spans="3:13" ht="12.75" customHeight="1" x14ac:dyDescent="0.2">
      <c r="C61196"/>
      <c r="M61196"/>
    </row>
    <row r="61197" spans="3:13" ht="12.75" customHeight="1" x14ac:dyDescent="0.2">
      <c r="C61197"/>
      <c r="M61197"/>
    </row>
    <row r="61198" spans="3:13" ht="12.75" customHeight="1" x14ac:dyDescent="0.2">
      <c r="C61198"/>
      <c r="M61198"/>
    </row>
    <row r="61199" spans="3:13" ht="12.75" customHeight="1" x14ac:dyDescent="0.2">
      <c r="C61199"/>
      <c r="M61199"/>
    </row>
    <row r="61201" spans="3:13" ht="12.75" customHeight="1" x14ac:dyDescent="0.2">
      <c r="C61201"/>
      <c r="M61201"/>
    </row>
    <row r="61209" spans="3:13" ht="12.75" customHeight="1" x14ac:dyDescent="0.2">
      <c r="C61209"/>
      <c r="M61209"/>
    </row>
    <row r="61210" spans="3:13" ht="12.75" customHeight="1" x14ac:dyDescent="0.2">
      <c r="C61210"/>
      <c r="M61210"/>
    </row>
    <row r="61211" spans="3:13" ht="12.75" customHeight="1" x14ac:dyDescent="0.2">
      <c r="C61211"/>
      <c r="M61211"/>
    </row>
    <row r="61212" spans="3:13" ht="12.75" customHeight="1" x14ac:dyDescent="0.2">
      <c r="C61212"/>
      <c r="M61212"/>
    </row>
    <row r="61213" spans="3:13" ht="12.75" customHeight="1" x14ac:dyDescent="0.2">
      <c r="C61213"/>
      <c r="M61213"/>
    </row>
    <row r="61214" spans="3:13" ht="12.75" customHeight="1" x14ac:dyDescent="0.2">
      <c r="C61214"/>
      <c r="M61214"/>
    </row>
    <row r="61215" spans="3:13" ht="12.75" customHeight="1" x14ac:dyDescent="0.2">
      <c r="C61215"/>
      <c r="M61215"/>
    </row>
    <row r="61217" spans="3:13" ht="12.75" customHeight="1" x14ac:dyDescent="0.2">
      <c r="C61217"/>
      <c r="M61217"/>
    </row>
    <row r="61223" spans="3:13" ht="12.75" customHeight="1" x14ac:dyDescent="0.2">
      <c r="C61223"/>
      <c r="M61223"/>
    </row>
    <row r="61224" spans="3:13" ht="12.75" customHeight="1" x14ac:dyDescent="0.2">
      <c r="C61224"/>
      <c r="M61224"/>
    </row>
    <row r="61225" spans="3:13" ht="12.75" customHeight="1" x14ac:dyDescent="0.2">
      <c r="C61225"/>
      <c r="M61225"/>
    </row>
    <row r="61226" spans="3:13" ht="12.75" customHeight="1" x14ac:dyDescent="0.2">
      <c r="C61226"/>
      <c r="M61226"/>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4" spans="3:13" ht="12.75" customHeight="1" x14ac:dyDescent="0.2">
      <c r="C61234"/>
      <c r="M61234"/>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sheetData>
  <sheetProtection algorithmName="SHA-512" hashValue="PU02Zl+6CMiapQr9/aQHRlg34yTTCbrZOqaUHE8r8sy/wqshYgq07Sli7fhbRR4xcE6vbe4l4V5pAf7QQrgGVQ==" saltValue="rM73Jg5xzmt5+M5pwnsyyw==" spinCount="100000" sheet="1" objects="1" scenarios="1" autoFilter="0"/>
  <autoFilter ref="C15:C33"/>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16:I20 D29:I31">
    <cfRule type="expression" dxfId="264" priority="15063" stopIfTrue="1">
      <formula>$B14=1</formula>
    </cfRule>
    <cfRule type="expression" dxfId="263" priority="15064" stopIfTrue="1">
      <formula>OR($B14=0,$B14=2,$B14=3,$B14=4)</formula>
    </cfRule>
  </conditionalFormatting>
  <conditionalFormatting sqref="M33:N33 M12:N20 M29:N31">
    <cfRule type="expression" dxfId="262" priority="15065" stopIfTrue="1">
      <formula>ACOMPANHAMENTO="BM"</formula>
    </cfRule>
    <cfRule type="expression" dxfId="261" priority="15066" stopIfTrue="1">
      <formula>OR($B12=0,$B12=2,$B12=3,$B12=4)</formula>
    </cfRule>
    <cfRule type="expression" dxfId="260" priority="15067" stopIfTrue="1">
      <formula>$B12=1</formula>
    </cfRule>
  </conditionalFormatting>
  <conditionalFormatting sqref="K12:K33">
    <cfRule type="expression" dxfId="259" priority="15068" stopIfTrue="1">
      <formula>OR(ACOMPANHAMENTO="BM",$A$12&lt;&gt;"Manual")</formula>
    </cfRule>
    <cfRule type="expression" dxfId="258" priority="15069" stopIfTrue="1">
      <formula>$B12=1</formula>
    </cfRule>
    <cfRule type="expression" dxfId="257" priority="15070" stopIfTrue="1">
      <formula>OR($B12=2,$B12=3,$B12=4,$B12=0)</formula>
    </cfRule>
  </conditionalFormatting>
  <conditionalFormatting sqref="O12:AA33">
    <cfRule type="expression" dxfId="256" priority="8654" stopIfTrue="1">
      <formula>ACOMPANHAMENTO="BM"</formula>
    </cfRule>
    <cfRule type="expression" dxfId="255" priority="15072" stopIfTrue="1">
      <formula>AND(O$12&lt;&gt;".",OR($B12=0,$B12=2,$B12=3,$B12=4,AND(O$12="",$B12&lt;&gt;"Empty"),OFFSET(O$1,0,-1)=0))</formula>
    </cfRule>
    <cfRule type="expression" dxfId="254" priority="15073" stopIfTrue="1">
      <formula>AND($B12=1,O$1=1)</formula>
    </cfRule>
  </conditionalFormatting>
  <conditionalFormatting sqref="Q15:Z15">
    <cfRule type="expression" dxfId="253" priority="15071">
      <formula>Q$11="▼"</formula>
    </cfRule>
  </conditionalFormatting>
  <conditionalFormatting sqref="O15">
    <cfRule type="expression" dxfId="252" priority="8653">
      <formula>O$11="▼"</formula>
    </cfRule>
  </conditionalFormatting>
  <conditionalFormatting sqref="N14 N16:N20 N29:N31">
    <cfRule type="expression" dxfId="251" priority="5688">
      <formula>$J14="►"</formula>
    </cfRule>
  </conditionalFormatting>
  <conditionalFormatting sqref="N12">
    <cfRule type="cellIs" dxfId="250" priority="5686" operator="notEqual">
      <formula>"FRENTES DE OBRA:"</formula>
    </cfRule>
  </conditionalFormatting>
  <conditionalFormatting sqref="Q14:AA14 Q16:AA20 Q29:AA31">
    <cfRule type="expression" dxfId="249" priority="3471">
      <formula>Q14&lt;&gt;ROUND(Q14,2)</formula>
    </cfRule>
  </conditionalFormatting>
  <conditionalFormatting sqref="H14">
    <cfRule type="expression" dxfId="248" priority="3031" stopIfTrue="1">
      <formula>$B14=1</formula>
    </cfRule>
    <cfRule type="expression" dxfId="247" priority="3032" stopIfTrue="1">
      <formula>OR($B14=0,$B14=2,$B14=3,$B14=4)</formula>
    </cfRule>
  </conditionalFormatting>
  <conditionalFormatting sqref="H14 H16:H20 H29:H31">
    <cfRule type="expression" dxfId="246" priority="3030">
      <formula>$J14="►S"</formula>
    </cfRule>
  </conditionalFormatting>
  <conditionalFormatting sqref="D21:G22 I21:I22 I25:I27 D25:G27">
    <cfRule type="expression" dxfId="245" priority="315" stopIfTrue="1">
      <formula>$B21=1</formula>
    </cfRule>
    <cfRule type="expression" dxfId="244" priority="316" stopIfTrue="1">
      <formula>OR($B21=0,$B21=2,$B21=3,$B21=4)</formula>
    </cfRule>
  </conditionalFormatting>
  <conditionalFormatting sqref="M21:N22 M25:N27">
    <cfRule type="expression" dxfId="243" priority="317" stopIfTrue="1">
      <formula>ACOMPANHAMENTO="BM"</formula>
    </cfRule>
    <cfRule type="expression" dxfId="242" priority="318" stopIfTrue="1">
      <formula>OR($B21=0,$B21=2,$B21=3,$B21=4)</formula>
    </cfRule>
    <cfRule type="expression" dxfId="241" priority="319" stopIfTrue="1">
      <formula>$B21=1</formula>
    </cfRule>
  </conditionalFormatting>
  <conditionalFormatting sqref="N21:N22 N25:N27">
    <cfRule type="expression" dxfId="240" priority="313">
      <formula>$J21="►"</formula>
    </cfRule>
  </conditionalFormatting>
  <conditionalFormatting sqref="Q21:AA22 Q25:AA27">
    <cfRule type="expression" dxfId="239" priority="312">
      <formula>Q21&lt;&gt;ROUND(Q21,2)</formula>
    </cfRule>
  </conditionalFormatting>
  <conditionalFormatting sqref="H21:H22 H25:H27">
    <cfRule type="expression" dxfId="238" priority="310" stopIfTrue="1">
      <formula>$B21=1</formula>
    </cfRule>
    <cfRule type="expression" dxfId="237" priority="311" stopIfTrue="1">
      <formula>OR($B21=0,$B21=2,$B21=3,$B21=4)</formula>
    </cfRule>
  </conditionalFormatting>
  <conditionalFormatting sqref="H21:H22 H25:H27">
    <cfRule type="expression" dxfId="236" priority="309">
      <formula>$J21="►S"</formula>
    </cfRule>
  </conditionalFormatting>
  <conditionalFormatting sqref="D32:G32 I32">
    <cfRule type="expression" dxfId="235" priority="299" stopIfTrue="1">
      <formula>$B32=1</formula>
    </cfRule>
    <cfRule type="expression" dxfId="234" priority="300" stopIfTrue="1">
      <formula>OR($B32=0,$B32=2,$B32=3,$B32=4)</formula>
    </cfRule>
  </conditionalFormatting>
  <conditionalFormatting sqref="M32:N32">
    <cfRule type="expression" dxfId="233" priority="301" stopIfTrue="1">
      <formula>ACOMPANHAMENTO="BM"</formula>
    </cfRule>
    <cfRule type="expression" dxfId="232" priority="302" stopIfTrue="1">
      <formula>OR($B32=0,$B32=2,$B32=3,$B32=4)</formula>
    </cfRule>
    <cfRule type="expression" dxfId="231" priority="303" stopIfTrue="1">
      <formula>$B32=1</formula>
    </cfRule>
  </conditionalFormatting>
  <conditionalFormatting sqref="N32">
    <cfRule type="expression" dxfId="230" priority="297">
      <formula>$J32="►"</formula>
    </cfRule>
  </conditionalFormatting>
  <conditionalFormatting sqref="Q32:AA32">
    <cfRule type="expression" dxfId="229" priority="296">
      <formula>Q32&lt;&gt;ROUND(Q32,2)</formula>
    </cfRule>
  </conditionalFormatting>
  <conditionalFormatting sqref="H32">
    <cfRule type="expression" dxfId="228" priority="294" stopIfTrue="1">
      <formula>$B32=1</formula>
    </cfRule>
    <cfRule type="expression" dxfId="227" priority="295" stopIfTrue="1">
      <formula>OR($B32=0,$B32=2,$B32=3,$B32=4)</formula>
    </cfRule>
  </conditionalFormatting>
  <conditionalFormatting sqref="H32">
    <cfRule type="expression" dxfId="226" priority="293">
      <formula>$J32="►S"</formula>
    </cfRule>
  </conditionalFormatting>
  <conditionalFormatting sqref="D28:G28 I28">
    <cfRule type="expression" dxfId="225" priority="16" stopIfTrue="1">
      <formula>$B28=1</formula>
    </cfRule>
    <cfRule type="expression" dxfId="224" priority="17" stopIfTrue="1">
      <formula>OR($B28=0,$B28=2,$B28=3,$B28=4)</formula>
    </cfRule>
  </conditionalFormatting>
  <conditionalFormatting sqref="M28:N28">
    <cfRule type="expression" dxfId="223" priority="18" stopIfTrue="1">
      <formula>ACOMPANHAMENTO="BM"</formula>
    </cfRule>
    <cfRule type="expression" dxfId="222" priority="19" stopIfTrue="1">
      <formula>OR($B28=0,$B28=2,$B28=3,$B28=4)</formula>
    </cfRule>
    <cfRule type="expression" dxfId="221" priority="20" stopIfTrue="1">
      <formula>$B28=1</formula>
    </cfRule>
  </conditionalFormatting>
  <conditionalFormatting sqref="N28">
    <cfRule type="expression" dxfId="220" priority="15">
      <formula>$J28="►"</formula>
    </cfRule>
  </conditionalFormatting>
  <conditionalFormatting sqref="Q28:AA28">
    <cfRule type="expression" dxfId="219" priority="14">
      <formula>Q28&lt;&gt;ROUND(Q28,2)</formula>
    </cfRule>
  </conditionalFormatting>
  <conditionalFormatting sqref="H28">
    <cfRule type="expression" dxfId="218" priority="12" stopIfTrue="1">
      <formula>$B28=1</formula>
    </cfRule>
    <cfRule type="expression" dxfId="217" priority="13" stopIfTrue="1">
      <formula>OR($B28=0,$B28=2,$B28=3,$B28=4)</formula>
    </cfRule>
  </conditionalFormatting>
  <conditionalFormatting sqref="H28">
    <cfRule type="expression" dxfId="216" priority="11">
      <formula>$J28="►S"</formula>
    </cfRule>
  </conditionalFormatting>
  <conditionalFormatting sqref="D23:G24 I23:I24">
    <cfRule type="expression" dxfId="215" priority="6" stopIfTrue="1">
      <formula>$B23=1</formula>
    </cfRule>
    <cfRule type="expression" dxfId="214" priority="7" stopIfTrue="1">
      <formula>OR($B23=0,$B23=2,$B23=3,$B23=4)</formula>
    </cfRule>
  </conditionalFormatting>
  <conditionalFormatting sqref="M23:N24">
    <cfRule type="expression" dxfId="213" priority="8" stopIfTrue="1">
      <formula>ACOMPANHAMENTO="BM"</formula>
    </cfRule>
    <cfRule type="expression" dxfId="212" priority="9" stopIfTrue="1">
      <formula>OR($B23=0,$B23=2,$B23=3,$B23=4)</formula>
    </cfRule>
    <cfRule type="expression" dxfId="211" priority="10" stopIfTrue="1">
      <formula>$B23=1</formula>
    </cfRule>
  </conditionalFormatting>
  <conditionalFormatting sqref="N23:N24">
    <cfRule type="expression" dxfId="210" priority="5">
      <formula>$J23="►"</formula>
    </cfRule>
  </conditionalFormatting>
  <conditionalFormatting sqref="Q23:AA24">
    <cfRule type="expression" dxfId="209" priority="4">
      <formula>Q23&lt;&gt;ROUND(Q23,2)</formula>
    </cfRule>
  </conditionalFormatting>
  <conditionalFormatting sqref="H23:H24">
    <cfRule type="expression" dxfId="208" priority="2" stopIfTrue="1">
      <formula>$B23=1</formula>
    </cfRule>
    <cfRule type="expression" dxfId="207" priority="3" stopIfTrue="1">
      <formula>OR($B23=0,$B23=2,$B23=3,$B23=4)</formula>
    </cfRule>
  </conditionalFormatting>
  <conditionalFormatting sqref="H23:H24">
    <cfRule type="expression" dxfId="206" priority="1">
      <formula>$J23="►S"</formula>
    </cfRule>
  </conditionalFormatting>
  <dataValidations count="4">
    <dataValidation type="decimal" operator="greaterThan" allowBlank="1" showErrorMessage="1" error="Apenas números decimais maiores que zero." sqref="O14 Q14:Z14 O16:O32 Q16:Z32">
      <formula1>0</formula1>
      <formula2>0</formula2>
    </dataValidation>
    <dataValidation allowBlank="1" showInputMessage="1" showErrorMessage="1" prompt="A quantidade é digitada nas colunas Q em diante, após preencher o nome das frentes de obra na célula Q12 em diante" sqref="H14 H16:H32"/>
    <dataValidation allowBlank="1" showInputMessage="1" showErrorMessage="1" prompt="A frente de obra é uma porção física da obra. Exemplos: Única; Rua A; Rua B; Trecho 01; Trecho 02; 1º Andar; 2º Andar; Copa; Banheiro" sqref="Q12"/>
    <dataValidation type="list" allowBlank="1" showInputMessage="1" showErrorMessage="1" errorTitle="Erro:" error="Selecione um dos eventos da lista suspensa." prompt="Selecione um dos eventos da lista suspensa._x000a_" sqref="K14 K16:K32">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IF(AUTOEVENTO="Manual",IF(EVENTOS!$F1&gt;0,"F",""),IF(AND(B1&gt;0,B1&lt;=MAX(CÁLCULO!$M$15:$M$33)),"F",""))</f>
        <v>#REF!</v>
      </c>
      <c r="B1" s="246" t="e">
        <f ca="1">OFFSET(B1,-1,0)+1</f>
        <v>#REF!</v>
      </c>
      <c r="C1" s="513" t="e">
        <f ca="1">IF(AUTOEVENTO="Manual",IF($B1&gt;0,OFFSET(EVENTOS!$D$15,$B1-$B$15,0),0),IF(B1&lt;=MAX(CÁLCULO!$M$15:$M$33),VLOOKUP($B1,CÁLCULO!$M$15:$N$33,2,FALSE),0))</f>
        <v>#REF!</v>
      </c>
      <c r="D1" s="553"/>
      <c r="E1" s="247"/>
      <c r="F1" t="e">
        <f ca="1">IF($C1=0,"",CONCATENATE($B1,". ",$C1))</f>
        <v>#REF!</v>
      </c>
      <c r="G1" s="552"/>
      <c r="H1" s="552"/>
      <c r="I1" s="552"/>
      <c r="J1" s="552"/>
      <c r="K1" s="552"/>
      <c r="L1" s="552"/>
      <c r="M1" s="552"/>
      <c r="N1" s="552"/>
      <c r="O1" s="552"/>
      <c r="P1" s="552"/>
      <c r="Q1" s="552"/>
      <c r="R1" s="552"/>
      <c r="S1" s="552"/>
      <c r="T1" s="552"/>
      <c r="U1" s="552"/>
      <c r="V1" s="552"/>
      <c r="W1" s="552"/>
      <c r="X1" s="552"/>
      <c r="Y1" s="552"/>
      <c r="Z1" s="552"/>
      <c r="AA1" s="552"/>
      <c r="AB1" s="552"/>
      <c r="AC1" s="552"/>
      <c r="AD1" s="552"/>
      <c r="AE1" s="552"/>
    </row>
    <row r="2" spans="1:31" ht="30" customHeight="1" x14ac:dyDescent="0.2">
      <c r="G2" s="81" t="s">
        <v>777</v>
      </c>
      <c r="AC2" s="758" t="s">
        <v>757</v>
      </c>
      <c r="AD2" s="759"/>
      <c r="AE2" s="760"/>
    </row>
    <row r="3" spans="1:31" ht="12.75" customHeight="1" x14ac:dyDescent="0.2">
      <c r="G3" s="81"/>
      <c r="AD3" s="482"/>
      <c r="AE3" s="482"/>
    </row>
    <row r="4" spans="1:31" ht="12.75" customHeight="1" x14ac:dyDescent="0.2">
      <c r="B4" s="699" t="s">
        <v>652</v>
      </c>
      <c r="C4" s="699"/>
      <c r="D4" s="699"/>
      <c r="G4" s="710" t="s">
        <v>650</v>
      </c>
      <c r="H4" s="710"/>
      <c r="I4" s="710"/>
      <c r="J4" s="710" t="s">
        <v>707</v>
      </c>
      <c r="K4" s="710"/>
      <c r="L4" s="710"/>
      <c r="M4" s="207" t="s">
        <v>758</v>
      </c>
      <c r="N4" s="211"/>
      <c r="P4" s="185"/>
      <c r="Q4" s="185"/>
      <c r="R4" s="185"/>
      <c r="U4" s="483"/>
      <c r="V4" s="185"/>
      <c r="W4" s="185"/>
      <c r="X4" s="185"/>
      <c r="Y4" s="185"/>
      <c r="AD4" s="482"/>
      <c r="AE4" s="484"/>
    </row>
    <row r="5" spans="1:31" ht="12.75" customHeight="1" x14ac:dyDescent="0.2">
      <c r="B5" s="702" t="str">
        <f>Import.Proponente</f>
        <v>MUNICÍPIO DE SÃO LUIZ GONZAGA</v>
      </c>
      <c r="C5" s="702"/>
      <c r="D5" s="702"/>
      <c r="G5" s="715" t="str">
        <f>Import.CR</f>
        <v>SLG</v>
      </c>
      <c r="H5" s="715"/>
      <c r="I5" s="715"/>
      <c r="J5" s="715" t="str">
        <f>Import.SICONV</f>
        <v>SLG</v>
      </c>
      <c r="K5" s="715"/>
      <c r="L5" s="715"/>
      <c r="M5" s="724" t="str">
        <f>Import.Apelido</f>
        <v>CALÇAMENTO PEDRA IRREGULAR</v>
      </c>
      <c r="N5" s="725"/>
      <c r="O5" s="725"/>
      <c r="P5" s="725"/>
      <c r="Q5" s="725"/>
      <c r="R5" s="725"/>
      <c r="S5" s="725"/>
      <c r="T5" s="725"/>
      <c r="U5" s="725"/>
      <c r="V5" s="725"/>
      <c r="W5" s="725"/>
      <c r="X5" s="725"/>
      <c r="Y5" s="725"/>
      <c r="Z5" s="725"/>
      <c r="AA5" s="725"/>
      <c r="AB5" s="725"/>
      <c r="AC5" s="725"/>
      <c r="AD5" s="725"/>
      <c r="AE5" s="761"/>
    </row>
    <row r="6" spans="1:31" ht="14.25" customHeight="1" x14ac:dyDescent="0.25">
      <c r="B6" s="248" t="str" cm="1">
        <f t="array" aca="1" ref="B6" ca="1">IF(ACOMPANHAMENTO="BM","NO ACOMPANHAMENTO POR BM, UTILIZE A ABA CRONO",
  IF(MAX($B$14:$B$65)&lt;MAX(CÁLCULO!$M$15:$M$33),"ERRO: NÚMERO DE EVENTOS INSUFICIENTE, CLIQUE EM ATUALIZAR LINHAS",
  IF(ROUND(OFFSET(CRONO!$AG$45,0,-1),2)&lt;&gt;CRONO!$R$36,"ERRO: CRONOGRAMA NÃO FECHA 100%","")))</f>
        <v>NO ACOMPANHAMENTO POR BM, UTILIZE A ABA CRONO</v>
      </c>
    </row>
    <row r="7" spans="1:31" ht="15" customHeight="1" thickBot="1" x14ac:dyDescent="0.25">
      <c r="B7" s="521" t="str" cm="1">
        <f t="array" ref="B7">IF(AdmLocal="Automática","","1. Selecione o Título do Evento da Administração Local:")</f>
        <v>1. Selecione o Título do Evento da Administração Local:</v>
      </c>
    </row>
    <row r="8" spans="1:31" ht="13.5" thickBot="1" x14ac:dyDescent="0.25">
      <c r="A8" s="547" t="e">
        <f>MID(Import.EventoAdmLocal,1,SEARCH(".",Import.EventoAdmLocal)-1)</f>
        <v>#VALUE!</v>
      </c>
      <c r="B8" s="731"/>
      <c r="C8" s="732"/>
      <c r="D8" s="570"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7"/>
    </row>
    <row r="10" spans="1:31" ht="15" customHeight="1" x14ac:dyDescent="0.2">
      <c r="A10" s="547" t="e">
        <f>MATCH(VALUE(A8),CÁLCULO!$M$15:$M$33,0)-2</f>
        <v>#VALUE!</v>
      </c>
      <c r="B10" s="521"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8" t="s">
        <v>655</v>
      </c>
      <c r="C11" s="250"/>
      <c r="E11" s="251" t="str">
        <f ca="1">IF(E$12&gt;CÁLCULO.FrentesPreenchidas,"",OFFSET(CÁLCULO!$P$12,0,E$12))</f>
        <v/>
      </c>
      <c r="G11" s="251" t="str">
        <f ca="1">IF(G$12&gt;CÁLCULO.FrentesPreenchidas,"",OFFSET(CÁLCULO!$P$12,0,G$12))</f>
        <v/>
      </c>
      <c r="H11" s="251" t="str">
        <f ca="1">IF(H$12&gt;CÁLCULO.FrentesPreenchidas,"",OFFSET(CÁLCULO!$P$12,0,H$12))</f>
        <v/>
      </c>
      <c r="I11" s="251" t="str">
        <f ca="1">IF(I$12&gt;CÁLCULO.FrentesPreenchidas,"",OFFSET(CÁLCULO!$P$12,0,I$12))</f>
        <v/>
      </c>
      <c r="J11" s="251" t="str">
        <f ca="1">IF(J$12&gt;CÁLCULO.FrentesPreenchidas,"",OFFSET(CÁLCULO!$P$12,0,J$12))</f>
        <v/>
      </c>
      <c r="K11" s="251" t="str">
        <f ca="1">IF(K$12&gt;CÁLCULO.FrentesPreenchidas,"",OFFSET(CÁLCULO!$P$12,0,K$12))</f>
        <v/>
      </c>
      <c r="L11" s="251" t="str">
        <f ca="1">IF(L$12&gt;CÁLCULO.FrentesPreenchidas,"",OFFSET(CÁLCULO!$P$12,0,L$12))</f>
        <v/>
      </c>
      <c r="M11" s="251" t="str">
        <f ca="1">IF(M$12&gt;CÁLCULO.FrentesPreenchidas,"",OFFSET(CÁLCULO!$P$12,0,M$12))</f>
        <v/>
      </c>
      <c r="N11" s="251" t="str">
        <f ca="1">IF(N$12&gt;CÁLCULO.FrentesPreenchidas,"",OFFSET(CÁLCULO!$P$12,0,N$12))</f>
        <v/>
      </c>
      <c r="O11" s="251" t="str">
        <f ca="1">IF(O$12&gt;CÁLCULO.FrentesPreenchidas,"",OFFSET(CÁLCULO!$P$12,0,O$12))</f>
        <v/>
      </c>
      <c r="P11" s="251" t="str">
        <f ca="1">IF(P$12&gt;CÁLCULO.FrentesPreenchidas,"",OFFSET(CÁLCULO!$P$12,0,P$12))</f>
        <v/>
      </c>
      <c r="Q11" s="251" t="str">
        <f ca="1">IF(Q$12&gt;CÁLCULO.FrentesPreenchidas,"",OFFSET(CÁLCULO!$P$12,0,Q$12))</f>
        <v/>
      </c>
      <c r="R11" s="251" t="str">
        <f ca="1">IF(R$12&gt;CÁLCULO.FrentesPreenchidas,"",OFFSET(CÁLCULO!$P$12,0,R$12))</f>
        <v/>
      </c>
      <c r="S11" s="251" t="str">
        <f ca="1">IF(S$12&gt;CÁLCULO.FrentesPreenchidas,"",OFFSET(CÁLCULO!$P$12,0,S$12))</f>
        <v/>
      </c>
      <c r="T11" s="251" t="str">
        <f ca="1">IF(T$12&gt;CÁLCULO.FrentesPreenchidas,"",OFFSET(CÁLCULO!$P$12,0,T$12))</f>
        <v/>
      </c>
      <c r="U11" s="251" t="str">
        <f ca="1">IF(U$12&gt;CÁLCULO.FrentesPreenchidas,"",OFFSET(CÁLCULO!$P$12,0,U$12))</f>
        <v/>
      </c>
      <c r="V11" s="251" t="str">
        <f ca="1">IF(V$12&gt;CÁLCULO.FrentesPreenchidas,"",OFFSET(CÁLCULO!$P$12,0,V$12))</f>
        <v/>
      </c>
      <c r="W11" s="251" t="str">
        <f ca="1">IF(W$12&gt;CÁLCULO.FrentesPreenchidas,"",OFFSET(CÁLCULO!$P$12,0,W$12))</f>
        <v/>
      </c>
      <c r="X11" s="251" t="str">
        <f ca="1">IF(X$12&gt;CÁLCULO.FrentesPreenchidas,"",OFFSET(CÁLCULO!$P$12,0,X$12))</f>
        <v/>
      </c>
      <c r="Y11" s="251" t="str">
        <f ca="1">IF(Y$12&gt;CÁLCULO.FrentesPreenchidas,"",OFFSET(CÁLCULO!$P$12,0,Y$12))</f>
        <v/>
      </c>
      <c r="Z11" s="251" t="str">
        <f ca="1">IF(Z$12&gt;CÁLCULO.FrentesPreenchidas,"",OFFSET(CÁLCULO!$P$12,0,Z$12))</f>
        <v/>
      </c>
      <c r="AA11" s="251" t="str">
        <f ca="1">IF(AA$12&gt;CÁLCULO.FrentesPreenchidas,"",OFFSET(CÁLCULO!$P$12,0,AA$12))</f>
        <v/>
      </c>
      <c r="AB11" s="251" t="str">
        <f ca="1">IF(AB$12&gt;CÁLCULO.FrentesPreenchidas,"",OFFSET(CÁLCULO!$P$12,0,AB$12))</f>
        <v/>
      </c>
      <c r="AC11" s="251" t="str">
        <f ca="1">IF(AC$12&gt;CÁLCULO.FrentesPreenchidas,"",OFFSET(CÁLCULO!$P$12,0,AC$12))</f>
        <v/>
      </c>
      <c r="AD11" s="251" t="str">
        <f ca="1">IF(AD$12&gt;CÁLCULO.FrentesPreenchidas,"",OFFSET(CÁLCULO!$P$12,0,AD$12))</f>
        <v/>
      </c>
      <c r="AE11" s="251" t="str">
        <f ca="1">IF(AE$12&gt;CÁLCULO.FrentesPreenchidas,"",OFFSET(CÁLCULO!$P$12,0,AE$12))</f>
        <v/>
      </c>
    </row>
    <row r="12" spans="1:31" ht="12.75" customHeight="1" x14ac:dyDescent="0.2">
      <c r="A12" s="489" t="s">
        <v>660</v>
      </c>
      <c r="B12" s="755" t="s">
        <v>760</v>
      </c>
      <c r="C12" s="755" t="s">
        <v>778</v>
      </c>
      <c r="E12" s="252">
        <f ca="1">OFFSET(E12,0,-1)+1</f>
        <v>1</v>
      </c>
      <c r="G12" s="252">
        <f ca="1">OFFSET(G12,0,-1)+1</f>
        <v>1</v>
      </c>
      <c r="H12" s="252">
        <f ca="1">OFFSET(H12,0,-1)+1</f>
        <v>2</v>
      </c>
      <c r="I12" s="252">
        <f t="shared" ref="I12:AE12" ca="1" si="0">OFFSET(I12,0,-1)+1</f>
        <v>3</v>
      </c>
      <c r="J12" s="252">
        <f t="shared" ca="1" si="0"/>
        <v>4</v>
      </c>
      <c r="K12" s="252">
        <f t="shared" ca="1" si="0"/>
        <v>5</v>
      </c>
      <c r="L12" s="252">
        <f t="shared" ca="1" si="0"/>
        <v>6</v>
      </c>
      <c r="M12" s="252">
        <f t="shared" ca="1" si="0"/>
        <v>7</v>
      </c>
      <c r="N12" s="252">
        <f t="shared" ca="1" si="0"/>
        <v>8</v>
      </c>
      <c r="O12" s="252">
        <f t="shared" ca="1" si="0"/>
        <v>9</v>
      </c>
      <c r="P12" s="252">
        <f t="shared" ca="1" si="0"/>
        <v>10</v>
      </c>
      <c r="Q12" s="252">
        <f t="shared" ca="1" si="0"/>
        <v>11</v>
      </c>
      <c r="R12" s="252">
        <f t="shared" ca="1" si="0"/>
        <v>12</v>
      </c>
      <c r="S12" s="252">
        <f t="shared" ca="1" si="0"/>
        <v>13</v>
      </c>
      <c r="T12" s="252">
        <f t="shared" ca="1" si="0"/>
        <v>14</v>
      </c>
      <c r="U12" s="252">
        <f t="shared" ca="1" si="0"/>
        <v>15</v>
      </c>
      <c r="V12" s="252">
        <f t="shared" ca="1" si="0"/>
        <v>16</v>
      </c>
      <c r="W12" s="252">
        <f t="shared" ca="1" si="0"/>
        <v>17</v>
      </c>
      <c r="X12" s="252">
        <f t="shared" ca="1" si="0"/>
        <v>18</v>
      </c>
      <c r="Y12" s="252">
        <f t="shared" ca="1" si="0"/>
        <v>19</v>
      </c>
      <c r="Z12" s="252">
        <f t="shared" ca="1" si="0"/>
        <v>20</v>
      </c>
      <c r="AA12" s="252">
        <f t="shared" ca="1" si="0"/>
        <v>21</v>
      </c>
      <c r="AB12" s="252">
        <f t="shared" ca="1" si="0"/>
        <v>22</v>
      </c>
      <c r="AC12" s="252">
        <f t="shared" ca="1" si="0"/>
        <v>23</v>
      </c>
      <c r="AD12" s="252">
        <f t="shared" ca="1" si="0"/>
        <v>24</v>
      </c>
      <c r="AE12" s="252">
        <f t="shared" ca="1" si="0"/>
        <v>25</v>
      </c>
    </row>
    <row r="13" spans="1:31" x14ac:dyDescent="0.2">
      <c r="A13" t="s">
        <v>655</v>
      </c>
      <c r="B13" s="755"/>
      <c r="C13" s="755"/>
      <c r="E13" s="253"/>
      <c r="G13" s="254"/>
      <c r="H13" s="253"/>
      <c r="I13" s="253"/>
      <c r="J13" s="253"/>
      <c r="K13" s="253"/>
      <c r="L13" s="253"/>
      <c r="M13" s="575" t="str">
        <f ca="1">IF(CRONOPLE.Erro="ERRO: CRONOGRAMA NÃO FECHA 100%","Informe abaixo o NÚMERO DO PERÍODO em que os eventos serão concluídos","")</f>
        <v/>
      </c>
      <c r="N13" s="253"/>
      <c r="O13" s="253"/>
      <c r="P13" s="253"/>
      <c r="Q13" s="253"/>
      <c r="R13" s="253"/>
      <c r="S13" s="253"/>
      <c r="T13" s="253"/>
      <c r="U13" s="253"/>
      <c r="V13" s="253"/>
      <c r="W13" s="253"/>
      <c r="X13" s="253"/>
      <c r="Y13" s="253"/>
      <c r="Z13" s="253"/>
      <c r="AA13" s="253"/>
      <c r="AB13" s="253"/>
      <c r="AC13" s="253"/>
      <c r="AD13" s="253"/>
      <c r="AE13" s="255"/>
    </row>
    <row r="14" spans="1:31" ht="5.0999999999999996" customHeight="1" x14ac:dyDescent="0.2">
      <c r="A14" s="7" t="s">
        <v>536</v>
      </c>
    </row>
    <row r="15" spans="1:31" x14ac:dyDescent="0.2">
      <c r="A15" s="7" t="str">
        <f ca="1">IF(AUTOEVENTO="Manual",IF(EVENTOS!$F15&gt;0,"F",""),IF(AND(B15&gt;0,B15&lt;=MAX(CÁLCULO!$M$15:$M$33)),"F",""))</f>
        <v/>
      </c>
      <c r="B15" s="256">
        <f>EVENTOS!$C$15</f>
        <v>0</v>
      </c>
      <c r="C15" s="257" t="str">
        <f>EVENTOS!$D$15</f>
        <v/>
      </c>
      <c r="D15" s="553"/>
      <c r="E15" s="258"/>
      <c r="F15" t="str">
        <f>IF($C15="","",CONCATENATE($B15,". ",$C15))</f>
        <v/>
      </c>
      <c r="G15" s="259"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60"/>
    </row>
    <row r="16" spans="1:31" x14ac:dyDescent="0.2">
      <c r="A16" s="7" t="str">
        <f ca="1">IF(AUTOEVENTO="Manual",IF(EVENTOS!$F16&gt;0,"F",""),IF(AND(B16&gt;0,B16&lt;=MAX(CÁLCULO!$M$15:$M$33)),"F",""))</f>
        <v>F</v>
      </c>
      <c r="B16" s="246">
        <f t="shared" ref="B16:B64" ca="1" si="1">OFFSET(B16,-1,0)+1</f>
        <v>1</v>
      </c>
      <c r="C16" s="513" t="str">
        <f ca="1">IF(AUTOEVENTO="Manual",IF($B16&gt;0,OFFSET(EVENTOS!$D$15,$B16-$B$15,0),0),IF(B16&lt;=MAX(CÁLCULO!$M$15:$M$33),VLOOKUP($B16,CÁLCULO!$M$15:$N$33,2,FALSE),0))</f>
        <v>PLACA DE OBRA</v>
      </c>
      <c r="D16" s="553"/>
      <c r="E16" s="247"/>
      <c r="F16" t="str">
        <f t="shared" ref="F16:F64" ca="1" si="2">IF($C16=0,"",CONCATENATE($B16,". ",$C16))</f>
        <v>1. PLACA DE OBRA</v>
      </c>
      <c r="G16" s="552"/>
      <c r="H16" s="552"/>
      <c r="I16" s="552"/>
      <c r="J16" s="552"/>
      <c r="K16" s="552"/>
      <c r="L16" s="552"/>
      <c r="M16" s="552"/>
      <c r="N16" s="552"/>
      <c r="O16" s="552"/>
      <c r="P16" s="552"/>
      <c r="Q16" s="552"/>
      <c r="R16" s="552"/>
      <c r="S16" s="552"/>
      <c r="T16" s="552"/>
      <c r="U16" s="552"/>
      <c r="V16" s="552"/>
      <c r="W16" s="552"/>
      <c r="X16" s="552"/>
      <c r="Y16" s="552"/>
      <c r="Z16" s="552"/>
      <c r="AA16" s="552"/>
      <c r="AB16" s="552"/>
      <c r="AC16" s="552"/>
      <c r="AD16" s="552"/>
      <c r="AE16" s="552"/>
    </row>
    <row r="17" spans="1:31" x14ac:dyDescent="0.2">
      <c r="A17" s="7" t="str">
        <f ca="1">IF(AUTOEVENTO="Manual",IF(EVENTOS!$F17&gt;0,"F",""),IF(AND(B17&gt;0,B17&lt;=MAX(CÁLCULO!$M$15:$M$33)),"F",""))</f>
        <v>F</v>
      </c>
      <c r="B17" s="246">
        <f t="shared" ca="1" si="1"/>
        <v>2</v>
      </c>
      <c r="C17" s="513" t="str">
        <f ca="1">IF(AUTOEVENTO="Manual",IF($B17&gt;0,OFFSET(EVENTOS!$D$15,$B17-$B$15,0),0),IF(B17&lt;=MAX(CÁLCULO!$M$15:$M$33),VLOOKUP($B17,CÁLCULO!$M$15:$N$33,2,FALSE),0))</f>
        <v>SERVIÇOS PRELIMINARES</v>
      </c>
      <c r="D17" s="553"/>
      <c r="E17" s="247"/>
      <c r="F17" t="str">
        <f t="shared" ca="1" si="2"/>
        <v>2. SERVIÇOS PRELIMINARES</v>
      </c>
      <c r="G17" s="552"/>
      <c r="H17" s="552"/>
      <c r="I17" s="552"/>
      <c r="J17" s="552"/>
      <c r="K17" s="552"/>
      <c r="L17" s="552"/>
      <c r="M17" s="552"/>
      <c r="N17" s="552"/>
      <c r="O17" s="552"/>
      <c r="P17" s="552"/>
      <c r="Q17" s="552"/>
      <c r="R17" s="552"/>
      <c r="S17" s="552"/>
      <c r="T17" s="552"/>
      <c r="U17" s="552"/>
      <c r="V17" s="552"/>
      <c r="W17" s="552"/>
      <c r="X17" s="552"/>
      <c r="Y17" s="552"/>
      <c r="Z17" s="552"/>
      <c r="AA17" s="552"/>
      <c r="AB17" s="552"/>
      <c r="AC17" s="552"/>
      <c r="AD17" s="552"/>
      <c r="AE17" s="552"/>
    </row>
    <row r="18" spans="1:31" x14ac:dyDescent="0.2">
      <c r="A18" s="7" t="str">
        <f ca="1">IF(AUTOEVENTO="Manual",IF(EVENTOS!$F18&gt;0,"F",""),IF(AND(B18&gt;0,B18&lt;=MAX(CÁLCULO!$M$15:$M$33)),"F",""))</f>
        <v>F</v>
      </c>
      <c r="B18" s="246">
        <f t="shared" ca="1" si="1"/>
        <v>3</v>
      </c>
      <c r="C18" s="513" t="str">
        <f ca="1">IF(AUTOEVENTO="Manual",IF($B18&gt;0,OFFSET(EVENTOS!$D$15,$B18-$B$15,0),0),IF(B18&lt;=MAX(CÁLCULO!$M$15:$M$33),VLOOKUP($B18,CÁLCULO!$M$15:$N$33,2,FALSE),0))</f>
        <v>BASE EM BRITA GRADUADA H=5CM</v>
      </c>
      <c r="D18" s="553"/>
      <c r="E18" s="247"/>
      <c r="F18" t="str">
        <f t="shared" ca="1" si="2"/>
        <v>3. BASE EM BRITA GRADUADA H=5CM</v>
      </c>
      <c r="G18" s="552"/>
      <c r="H18" s="552"/>
      <c r="I18" s="552"/>
      <c r="J18" s="552"/>
      <c r="K18" s="552"/>
      <c r="L18" s="552"/>
      <c r="M18" s="552"/>
      <c r="N18" s="552"/>
      <c r="O18" s="552"/>
      <c r="P18" s="552"/>
      <c r="Q18" s="552"/>
      <c r="R18" s="552"/>
      <c r="S18" s="552"/>
      <c r="T18" s="552"/>
      <c r="U18" s="552"/>
      <c r="V18" s="552"/>
      <c r="W18" s="552"/>
      <c r="X18" s="552"/>
      <c r="Y18" s="552"/>
      <c r="Z18" s="552"/>
      <c r="AA18" s="552"/>
      <c r="AB18" s="552"/>
      <c r="AC18" s="552"/>
      <c r="AD18" s="552"/>
      <c r="AE18" s="552"/>
    </row>
    <row r="19" spans="1:31" x14ac:dyDescent="0.2">
      <c r="A19" s="7" t="str">
        <f ca="1">IF(AUTOEVENTO="Manual",IF(EVENTOS!$F19&gt;0,"F",""),IF(AND(B19&gt;0,B19&lt;=MAX(CÁLCULO!$M$15:$M$33)),"F",""))</f>
        <v>F</v>
      </c>
      <c r="B19" s="246">
        <f t="shared" ca="1" si="1"/>
        <v>4</v>
      </c>
      <c r="C19" s="513" t="str">
        <f ca="1">IF(AUTOEVENTO="Manual",IF($B19&gt;0,OFFSET(EVENTOS!$D$15,$B19-$B$15,0),0),IF(B19&lt;=MAX(CÁLCULO!$M$15:$M$33),VLOOKUP($B19,CÁLCULO!$M$15:$N$33,2,FALSE),0))</f>
        <v>PAVIMENTAÇÃO EM PEDRA IRREGULAR ASSENTADAS SOBRE COLCHÃO DE PÓ DE PEDRA E REJUNTADAS COM PÓ DE PEDRA</v>
      </c>
      <c r="D19" s="553"/>
      <c r="E19" s="247"/>
      <c r="F19" t="str">
        <f t="shared" ca="1" si="2"/>
        <v>4. PAVIMENTAÇÃO EM PEDRA IRREGULAR ASSENTADAS SOBRE COLCHÃO DE PÓ DE PEDRA E REJUNTADAS COM PÓ DE PEDRA</v>
      </c>
      <c r="G19" s="552"/>
      <c r="H19" s="552"/>
      <c r="I19" s="552"/>
      <c r="J19" s="552"/>
      <c r="K19" s="552"/>
      <c r="L19" s="552"/>
      <c r="M19" s="552"/>
      <c r="N19" s="552"/>
      <c r="O19" s="552"/>
      <c r="P19" s="552"/>
      <c r="Q19" s="552"/>
      <c r="R19" s="552"/>
      <c r="S19" s="552"/>
      <c r="T19" s="552"/>
      <c r="U19" s="552"/>
      <c r="V19" s="552"/>
      <c r="W19" s="552"/>
      <c r="X19" s="552"/>
      <c r="Y19" s="552"/>
      <c r="Z19" s="552"/>
      <c r="AA19" s="552"/>
      <c r="AB19" s="552"/>
      <c r="AC19" s="552"/>
      <c r="AD19" s="552"/>
      <c r="AE19" s="552"/>
    </row>
    <row r="20" spans="1:31" x14ac:dyDescent="0.2">
      <c r="A20" s="7" t="str">
        <f ca="1">IF(AUTOEVENTO="Manual",IF(EVENTOS!$F20&gt;0,"F",""),IF(AND(B20&gt;0,B20&lt;=MAX(CÁLCULO!$M$15:$M$33)),"F",""))</f>
        <v>F</v>
      </c>
      <c r="B20" s="246">
        <f t="shared" ca="1" si="1"/>
        <v>5</v>
      </c>
      <c r="C20" s="513" t="str">
        <f ca="1">IF(AUTOEVENTO="Manual",IF($B20&gt;0,OFFSET(EVENTOS!$D$15,$B20-$B$15,0),0),IF(B20&lt;=MAX(CÁLCULO!$M$15:$M$33),VLOOKUP($B20,CÁLCULO!$M$15:$N$33,2,FALSE),0))</f>
        <v>MEIO-FIO</v>
      </c>
      <c r="D20" s="553"/>
      <c r="E20" s="247"/>
      <c r="F20" t="str">
        <f t="shared" ca="1" si="2"/>
        <v>5. MEIO-FIO</v>
      </c>
      <c r="G20" s="552"/>
      <c r="H20" s="552"/>
      <c r="I20" s="552"/>
      <c r="J20" s="552"/>
      <c r="K20" s="552"/>
      <c r="L20" s="552"/>
      <c r="M20" s="552"/>
      <c r="N20" s="552"/>
      <c r="O20" s="552"/>
      <c r="P20" s="552"/>
      <c r="Q20" s="552"/>
      <c r="R20" s="552"/>
      <c r="S20" s="552"/>
      <c r="T20" s="552"/>
      <c r="U20" s="552"/>
      <c r="V20" s="552"/>
      <c r="W20" s="552"/>
      <c r="X20" s="552"/>
      <c r="Y20" s="552"/>
      <c r="Z20" s="552"/>
      <c r="AA20" s="552"/>
      <c r="AB20" s="552"/>
      <c r="AC20" s="552"/>
      <c r="AD20" s="552"/>
      <c r="AE20" s="552"/>
    </row>
    <row r="21" spans="1:31" x14ac:dyDescent="0.2">
      <c r="A21" s="7" t="str">
        <f ca="1">IF(AUTOEVENTO="Manual",IF(EVENTOS!$F21&gt;0,"F",""),IF(AND(B21&gt;0,B21&lt;=MAX(CÁLCULO!$M$15:$M$33)),"F",""))</f>
        <v>F</v>
      </c>
      <c r="B21" s="246">
        <f t="shared" ca="1" si="1"/>
        <v>6</v>
      </c>
      <c r="C21" s="513" t="str">
        <f ca="1">IF(AUTOEVENTO="Manual",IF($B21&gt;0,OFFSET(EVENTOS!$D$15,$B21-$B$15,0),0),IF(B21&lt;=MAX(CÁLCULO!$M$15:$M$33),VLOOKUP($B21,CÁLCULO!$M$15:$N$33,2,FALSE),0))</f>
        <v>LIMPEZAS E AJUSTES DO TRECHO</v>
      </c>
      <c r="D21" s="553"/>
      <c r="E21" s="247"/>
      <c r="F21" t="str">
        <f t="shared" ca="1" si="2"/>
        <v>6. LIMPEZAS E AJUSTES DO TRECHO</v>
      </c>
      <c r="G21" s="552"/>
      <c r="H21" s="552"/>
      <c r="I21" s="552"/>
      <c r="J21" s="552"/>
      <c r="K21" s="552"/>
      <c r="L21" s="552"/>
      <c r="M21" s="552"/>
      <c r="N21" s="552"/>
      <c r="O21" s="552"/>
      <c r="P21" s="552"/>
      <c r="Q21" s="552"/>
      <c r="R21" s="552"/>
      <c r="S21" s="552"/>
      <c r="T21" s="552"/>
      <c r="U21" s="552"/>
      <c r="V21" s="552"/>
      <c r="W21" s="552"/>
      <c r="X21" s="552"/>
      <c r="Y21" s="552"/>
      <c r="Z21" s="552"/>
      <c r="AA21" s="552"/>
      <c r="AB21" s="552"/>
      <c r="AC21" s="552"/>
      <c r="AD21" s="552"/>
      <c r="AE21" s="552"/>
    </row>
    <row r="22" spans="1:31" x14ac:dyDescent="0.2">
      <c r="A22" s="7" t="str">
        <f ca="1">IF(AUTOEVENTO="Manual",IF(EVENTOS!$F22&gt;0,"F",""),IF(AND(B22&gt;0,B22&lt;=MAX(CÁLCULO!$M$15:$M$33)),"F",""))</f>
        <v/>
      </c>
      <c r="B22" s="246">
        <f t="shared" ca="1" si="1"/>
        <v>7</v>
      </c>
      <c r="C22" s="513">
        <f ca="1">IF(AUTOEVENTO="Manual",IF($B22&gt;0,OFFSET(EVENTOS!$D$15,$B22-$B$15,0),0),IF(B22&lt;=MAX(CÁLCULO!$M$15:$M$33),VLOOKUP($B22,CÁLCULO!$M$15:$N$33,2,FALSE),0))</f>
        <v>0</v>
      </c>
      <c r="D22" s="553"/>
      <c r="E22" s="247"/>
      <c r="F22" t="str">
        <f t="shared" ca="1" si="2"/>
        <v/>
      </c>
      <c r="G22" s="552"/>
      <c r="H22" s="552"/>
      <c r="I22" s="552"/>
      <c r="J22" s="552"/>
      <c r="K22" s="552"/>
      <c r="L22" s="552"/>
      <c r="M22" s="552"/>
      <c r="N22" s="552"/>
      <c r="O22" s="552"/>
      <c r="P22" s="552"/>
      <c r="Q22" s="552"/>
      <c r="R22" s="552"/>
      <c r="S22" s="552"/>
      <c r="T22" s="552"/>
      <c r="U22" s="552"/>
      <c r="V22" s="552"/>
      <c r="W22" s="552"/>
      <c r="X22" s="552"/>
      <c r="Y22" s="552"/>
      <c r="Z22" s="552"/>
      <c r="AA22" s="552"/>
      <c r="AB22" s="552"/>
      <c r="AC22" s="552"/>
      <c r="AD22" s="552"/>
      <c r="AE22" s="552"/>
    </row>
    <row r="23" spans="1:31" x14ac:dyDescent="0.2">
      <c r="A23" s="7" t="str">
        <f ca="1">IF(AUTOEVENTO="Manual",IF(EVENTOS!$F23&gt;0,"F",""),IF(AND(B23&gt;0,B23&lt;=MAX(CÁLCULO!$M$15:$M$33)),"F",""))</f>
        <v/>
      </c>
      <c r="B23" s="246">
        <f t="shared" ca="1" si="1"/>
        <v>8</v>
      </c>
      <c r="C23" s="513">
        <f ca="1">IF(AUTOEVENTO="Manual",IF($B23&gt;0,OFFSET(EVENTOS!$D$15,$B23-$B$15,0),0),IF(B23&lt;=MAX(CÁLCULO!$M$15:$M$33),VLOOKUP($B23,CÁLCULO!$M$15:$N$33,2,FALSE),0))</f>
        <v>0</v>
      </c>
      <c r="D23" s="553"/>
      <c r="E23" s="247"/>
      <c r="F23" t="str">
        <f t="shared" ca="1" si="2"/>
        <v/>
      </c>
      <c r="G23" s="552"/>
      <c r="H23" s="552"/>
      <c r="I23" s="552"/>
      <c r="J23" s="552"/>
      <c r="K23" s="552"/>
      <c r="L23" s="552"/>
      <c r="M23" s="552"/>
      <c r="N23" s="552"/>
      <c r="O23" s="552"/>
      <c r="P23" s="552"/>
      <c r="Q23" s="552"/>
      <c r="R23" s="552"/>
      <c r="S23" s="552"/>
      <c r="T23" s="552"/>
      <c r="U23" s="552"/>
      <c r="V23" s="552"/>
      <c r="W23" s="552"/>
      <c r="X23" s="552"/>
      <c r="Y23" s="552"/>
      <c r="Z23" s="552"/>
      <c r="AA23" s="552"/>
      <c r="AB23" s="552"/>
      <c r="AC23" s="552"/>
      <c r="AD23" s="552"/>
      <c r="AE23" s="552"/>
    </row>
    <row r="24" spans="1:31" x14ac:dyDescent="0.2">
      <c r="A24" s="7" t="str">
        <f ca="1">IF(AUTOEVENTO="Manual",IF(EVENTOS!$F24&gt;0,"F",""),IF(AND(B24&gt;0,B24&lt;=MAX(CÁLCULO!$M$15:$M$33)),"F",""))</f>
        <v/>
      </c>
      <c r="B24" s="246">
        <f t="shared" ca="1" si="1"/>
        <v>9</v>
      </c>
      <c r="C24" s="513">
        <f ca="1">IF(AUTOEVENTO="Manual",IF($B24&gt;0,OFFSET(EVENTOS!$D$15,$B24-$B$15,0),0),IF(B24&lt;=MAX(CÁLCULO!$M$15:$M$33),VLOOKUP($B24,CÁLCULO!$M$15:$N$33,2,FALSE),0))</f>
        <v>0</v>
      </c>
      <c r="D24" s="553"/>
      <c r="E24" s="247"/>
      <c r="F24" t="str">
        <f t="shared" ca="1" si="2"/>
        <v/>
      </c>
      <c r="G24" s="552"/>
      <c r="H24" s="552"/>
      <c r="I24" s="552"/>
      <c r="J24" s="552"/>
      <c r="K24" s="552"/>
      <c r="L24" s="552"/>
      <c r="M24" s="552"/>
      <c r="N24" s="552"/>
      <c r="O24" s="552"/>
      <c r="P24" s="552"/>
      <c r="Q24" s="552"/>
      <c r="R24" s="552"/>
      <c r="S24" s="552"/>
      <c r="T24" s="552"/>
      <c r="U24" s="552"/>
      <c r="V24" s="552"/>
      <c r="W24" s="552"/>
      <c r="X24" s="552"/>
      <c r="Y24" s="552"/>
      <c r="Z24" s="552"/>
      <c r="AA24" s="552"/>
      <c r="AB24" s="552"/>
      <c r="AC24" s="552"/>
      <c r="AD24" s="552"/>
      <c r="AE24" s="552"/>
    </row>
    <row r="25" spans="1:31" x14ac:dyDescent="0.2">
      <c r="A25" s="7" t="str">
        <f ca="1">IF(AUTOEVENTO="Manual",IF(EVENTOS!$F25&gt;0,"F",""),IF(AND(B25&gt;0,B25&lt;=MAX(CÁLCULO!$M$15:$M$33)),"F",""))</f>
        <v/>
      </c>
      <c r="B25" s="246">
        <f t="shared" ca="1" si="1"/>
        <v>10</v>
      </c>
      <c r="C25" s="513">
        <f ca="1">IF(AUTOEVENTO="Manual",IF($B25&gt;0,OFFSET(EVENTOS!$D$15,$B25-$B$15,0),0),IF(B25&lt;=MAX(CÁLCULO!$M$15:$M$33),VLOOKUP($B25,CÁLCULO!$M$15:$N$33,2,FALSE),0))</f>
        <v>0</v>
      </c>
      <c r="D25" s="553"/>
      <c r="E25" s="247"/>
      <c r="F25" t="str">
        <f t="shared" ca="1" si="2"/>
        <v/>
      </c>
      <c r="G25" s="552"/>
      <c r="H25" s="552"/>
      <c r="I25" s="552"/>
      <c r="J25" s="552"/>
      <c r="K25" s="552"/>
      <c r="L25" s="552"/>
      <c r="M25" s="552"/>
      <c r="N25" s="552"/>
      <c r="O25" s="552"/>
      <c r="P25" s="552"/>
      <c r="Q25" s="552"/>
      <c r="R25" s="552"/>
      <c r="S25" s="552"/>
      <c r="T25" s="552"/>
      <c r="U25" s="552"/>
      <c r="V25" s="552"/>
      <c r="W25" s="552"/>
      <c r="X25" s="552"/>
      <c r="Y25" s="552"/>
      <c r="Z25" s="552"/>
      <c r="AA25" s="552"/>
      <c r="AB25" s="552"/>
      <c r="AC25" s="552"/>
      <c r="AD25" s="552"/>
      <c r="AE25" s="552"/>
    </row>
    <row r="26" spans="1:31" x14ac:dyDescent="0.2">
      <c r="A26" s="7" t="str">
        <f ca="1">IF(AUTOEVENTO="Manual",IF(EVENTOS!$F26&gt;0,"F",""),IF(AND(B26&gt;0,B26&lt;=MAX(CÁLCULO!$M$15:$M$33)),"F",""))</f>
        <v/>
      </c>
      <c r="B26" s="246">
        <f t="shared" ca="1" si="1"/>
        <v>11</v>
      </c>
      <c r="C26" s="513">
        <f ca="1">IF(AUTOEVENTO="Manual",IF($B26&gt;0,OFFSET(EVENTOS!$D$15,$B26-$B$15,0),0),IF(B26&lt;=MAX(CÁLCULO!$M$15:$M$33),VLOOKUP($B26,CÁLCULO!$M$15:$N$33,2,FALSE),0))</f>
        <v>0</v>
      </c>
      <c r="D26" s="553"/>
      <c r="E26" s="247"/>
      <c r="F26" t="str">
        <f t="shared" ca="1" si="2"/>
        <v/>
      </c>
      <c r="G26" s="552"/>
      <c r="H26" s="552"/>
      <c r="I26" s="552"/>
      <c r="J26" s="552"/>
      <c r="K26" s="552"/>
      <c r="L26" s="552"/>
      <c r="M26" s="552"/>
      <c r="N26" s="552"/>
      <c r="O26" s="552"/>
      <c r="P26" s="552"/>
      <c r="Q26" s="552"/>
      <c r="R26" s="552"/>
      <c r="S26" s="552"/>
      <c r="T26" s="552"/>
      <c r="U26" s="552"/>
      <c r="V26" s="552"/>
      <c r="W26" s="552"/>
      <c r="X26" s="552"/>
      <c r="Y26" s="552"/>
      <c r="Z26" s="552"/>
      <c r="AA26" s="552"/>
      <c r="AB26" s="552"/>
      <c r="AC26" s="552"/>
      <c r="AD26" s="552"/>
      <c r="AE26" s="552"/>
    </row>
    <row r="27" spans="1:31" x14ac:dyDescent="0.2">
      <c r="A27" s="7" t="str">
        <f ca="1">IF(AUTOEVENTO="Manual",IF(EVENTOS!$F27&gt;0,"F",""),IF(AND(B27&gt;0,B27&lt;=MAX(CÁLCULO!$M$15:$M$33)),"F",""))</f>
        <v/>
      </c>
      <c r="B27" s="246">
        <f t="shared" ca="1" si="1"/>
        <v>12</v>
      </c>
      <c r="C27" s="513">
        <f ca="1">IF(AUTOEVENTO="Manual",IF($B27&gt;0,OFFSET(EVENTOS!$D$15,$B27-$B$15,0),0),IF(B27&lt;=MAX(CÁLCULO!$M$15:$M$33),VLOOKUP($B27,CÁLCULO!$M$15:$N$33,2,FALSE),0))</f>
        <v>0</v>
      </c>
      <c r="D27" s="553"/>
      <c r="E27" s="247"/>
      <c r="F27" t="str">
        <f t="shared" ca="1" si="2"/>
        <v/>
      </c>
      <c r="G27" s="552"/>
      <c r="H27" s="552"/>
      <c r="I27" s="552"/>
      <c r="J27" s="552"/>
      <c r="K27" s="552"/>
      <c r="L27" s="552"/>
      <c r="M27" s="552"/>
      <c r="N27" s="552"/>
      <c r="O27" s="552"/>
      <c r="P27" s="552"/>
      <c r="Q27" s="552"/>
      <c r="R27" s="552"/>
      <c r="S27" s="552"/>
      <c r="T27" s="552"/>
      <c r="U27" s="552"/>
      <c r="V27" s="552"/>
      <c r="W27" s="552"/>
      <c r="X27" s="552"/>
      <c r="Y27" s="552"/>
      <c r="Z27" s="552"/>
      <c r="AA27" s="552"/>
      <c r="AB27" s="552"/>
      <c r="AC27" s="552"/>
      <c r="AD27" s="552"/>
      <c r="AE27" s="552"/>
    </row>
    <row r="28" spans="1:31" x14ac:dyDescent="0.2">
      <c r="A28" s="7" t="str">
        <f ca="1">IF(AUTOEVENTO="Manual",IF(EVENTOS!$F28&gt;0,"F",""),IF(AND(B28&gt;0,B28&lt;=MAX(CÁLCULO!$M$15:$M$33)),"F",""))</f>
        <v/>
      </c>
      <c r="B28" s="246">
        <f t="shared" ca="1" si="1"/>
        <v>13</v>
      </c>
      <c r="C28" s="513">
        <f ca="1">IF(AUTOEVENTO="Manual",IF($B28&gt;0,OFFSET(EVENTOS!$D$15,$B28-$B$15,0),0),IF(B28&lt;=MAX(CÁLCULO!$M$15:$M$33),VLOOKUP($B28,CÁLCULO!$M$15:$N$33,2,FALSE),0))</f>
        <v>0</v>
      </c>
      <c r="D28" s="553"/>
      <c r="E28" s="247"/>
      <c r="F28" t="str">
        <f t="shared" ca="1" si="2"/>
        <v/>
      </c>
      <c r="G28" s="552"/>
      <c r="H28" s="552"/>
      <c r="I28" s="552"/>
      <c r="J28" s="552"/>
      <c r="K28" s="552"/>
      <c r="L28" s="552"/>
      <c r="M28" s="552"/>
      <c r="N28" s="552"/>
      <c r="O28" s="552"/>
      <c r="P28" s="552"/>
      <c r="Q28" s="552"/>
      <c r="R28" s="552"/>
      <c r="S28" s="552"/>
      <c r="T28" s="552"/>
      <c r="U28" s="552"/>
      <c r="V28" s="552"/>
      <c r="W28" s="552"/>
      <c r="X28" s="552"/>
      <c r="Y28" s="552"/>
      <c r="Z28" s="552"/>
      <c r="AA28" s="552"/>
      <c r="AB28" s="552"/>
      <c r="AC28" s="552"/>
      <c r="AD28" s="552"/>
      <c r="AE28" s="552"/>
    </row>
    <row r="29" spans="1:31" x14ac:dyDescent="0.2">
      <c r="A29" s="7" t="str">
        <f ca="1">IF(AUTOEVENTO="Manual",IF(EVENTOS!$F29&gt;0,"F",""),IF(AND(B29&gt;0,B29&lt;=MAX(CÁLCULO!$M$15:$M$33)),"F",""))</f>
        <v/>
      </c>
      <c r="B29" s="246">
        <f t="shared" ca="1" si="1"/>
        <v>14</v>
      </c>
      <c r="C29" s="513">
        <f ca="1">IF(AUTOEVENTO="Manual",IF($B29&gt;0,OFFSET(EVENTOS!$D$15,$B29-$B$15,0),0),IF(B29&lt;=MAX(CÁLCULO!$M$15:$M$33),VLOOKUP($B29,CÁLCULO!$M$15:$N$33,2,FALSE),0))</f>
        <v>0</v>
      </c>
      <c r="D29" s="553"/>
      <c r="E29" s="247"/>
      <c r="F29" t="str">
        <f t="shared" ca="1" si="2"/>
        <v/>
      </c>
      <c r="G29" s="552"/>
      <c r="H29" s="552"/>
      <c r="I29" s="552"/>
      <c r="J29" s="552"/>
      <c r="K29" s="552"/>
      <c r="L29" s="552"/>
      <c r="M29" s="552"/>
      <c r="N29" s="552"/>
      <c r="O29" s="552"/>
      <c r="P29" s="552"/>
      <c r="Q29" s="552"/>
      <c r="R29" s="552"/>
      <c r="S29" s="552"/>
      <c r="T29" s="552"/>
      <c r="U29" s="552"/>
      <c r="V29" s="552"/>
      <c r="W29" s="552"/>
      <c r="X29" s="552"/>
      <c r="Y29" s="552"/>
      <c r="Z29" s="552"/>
      <c r="AA29" s="552"/>
      <c r="AB29" s="552"/>
      <c r="AC29" s="552"/>
      <c r="AD29" s="552"/>
      <c r="AE29" s="552"/>
    </row>
    <row r="30" spans="1:31" x14ac:dyDescent="0.2">
      <c r="A30" s="7" t="str">
        <f ca="1">IF(AUTOEVENTO="Manual",IF(EVENTOS!$F30&gt;0,"F",""),IF(AND(B30&gt;0,B30&lt;=MAX(CÁLCULO!$M$15:$M$33)),"F",""))</f>
        <v/>
      </c>
      <c r="B30" s="246">
        <f t="shared" ca="1" si="1"/>
        <v>15</v>
      </c>
      <c r="C30" s="513">
        <f ca="1">IF(AUTOEVENTO="Manual",IF($B30&gt;0,OFFSET(EVENTOS!$D$15,$B30-$B$15,0),0),IF(B30&lt;=MAX(CÁLCULO!$M$15:$M$33),VLOOKUP($B30,CÁLCULO!$M$15:$N$33,2,FALSE),0))</f>
        <v>0</v>
      </c>
      <c r="D30" s="553"/>
      <c r="E30" s="247"/>
      <c r="F30" t="str">
        <f t="shared" ca="1" si="2"/>
        <v/>
      </c>
      <c r="G30" s="552"/>
      <c r="H30" s="552"/>
      <c r="I30" s="552"/>
      <c r="J30" s="552"/>
      <c r="K30" s="552"/>
      <c r="L30" s="552"/>
      <c r="M30" s="552"/>
      <c r="N30" s="552"/>
      <c r="O30" s="552"/>
      <c r="P30" s="552"/>
      <c r="Q30" s="552"/>
      <c r="R30" s="552"/>
      <c r="S30" s="552"/>
      <c r="T30" s="552"/>
      <c r="U30" s="552"/>
      <c r="V30" s="552"/>
      <c r="W30" s="552"/>
      <c r="X30" s="552"/>
      <c r="Y30" s="552"/>
      <c r="Z30" s="552"/>
      <c r="AA30" s="552"/>
      <c r="AB30" s="552"/>
      <c r="AC30" s="552"/>
      <c r="AD30" s="552"/>
      <c r="AE30" s="552"/>
    </row>
    <row r="31" spans="1:31" x14ac:dyDescent="0.2">
      <c r="A31" s="7" t="str">
        <f ca="1">IF(AUTOEVENTO="Manual",IF(EVENTOS!$F31&gt;0,"F",""),IF(AND(B31&gt;0,B31&lt;=MAX(CÁLCULO!$M$15:$M$33)),"F",""))</f>
        <v/>
      </c>
      <c r="B31" s="246">
        <f t="shared" ca="1" si="1"/>
        <v>16</v>
      </c>
      <c r="C31" s="513">
        <f ca="1">IF(AUTOEVENTO="Manual",IF($B31&gt;0,OFFSET(EVENTOS!$D$15,$B31-$B$15,0),0),IF(B31&lt;=MAX(CÁLCULO!$M$15:$M$33),VLOOKUP($B31,CÁLCULO!$M$15:$N$33,2,FALSE),0))</f>
        <v>0</v>
      </c>
      <c r="D31" s="553"/>
      <c r="E31" s="247"/>
      <c r="F31" t="str">
        <f t="shared" ca="1" si="2"/>
        <v/>
      </c>
      <c r="G31" s="552"/>
      <c r="H31" s="552"/>
      <c r="I31" s="552"/>
      <c r="J31" s="552"/>
      <c r="K31" s="552"/>
      <c r="L31" s="552"/>
      <c r="M31" s="552"/>
      <c r="N31" s="552"/>
      <c r="O31" s="552"/>
      <c r="P31" s="552"/>
      <c r="Q31" s="552"/>
      <c r="R31" s="552"/>
      <c r="S31" s="552"/>
      <c r="T31" s="552"/>
      <c r="U31" s="552"/>
      <c r="V31" s="552"/>
      <c r="W31" s="552"/>
      <c r="X31" s="552"/>
      <c r="Y31" s="552"/>
      <c r="Z31" s="552"/>
      <c r="AA31" s="552"/>
      <c r="AB31" s="552"/>
      <c r="AC31" s="552"/>
      <c r="AD31" s="552"/>
      <c r="AE31" s="552"/>
    </row>
    <row r="32" spans="1:31" x14ac:dyDescent="0.2">
      <c r="A32" s="7" t="str">
        <f ca="1">IF(AUTOEVENTO="Manual",IF(EVENTOS!$F32&gt;0,"F",""),IF(AND(B32&gt;0,B32&lt;=MAX(CÁLCULO!$M$15:$M$33)),"F",""))</f>
        <v/>
      </c>
      <c r="B32" s="246">
        <f t="shared" ca="1" si="1"/>
        <v>17</v>
      </c>
      <c r="C32" s="513">
        <f ca="1">IF(AUTOEVENTO="Manual",IF($B32&gt;0,OFFSET(EVENTOS!$D$15,$B32-$B$15,0),0),IF(B32&lt;=MAX(CÁLCULO!$M$15:$M$33),VLOOKUP($B32,CÁLCULO!$M$15:$N$33,2,FALSE),0))</f>
        <v>0</v>
      </c>
      <c r="D32" s="553"/>
      <c r="E32" s="247"/>
      <c r="F32" t="str">
        <f t="shared" ca="1" si="2"/>
        <v/>
      </c>
      <c r="G32" s="552"/>
      <c r="H32" s="552"/>
      <c r="I32" s="552"/>
      <c r="J32" s="552"/>
      <c r="K32" s="552"/>
      <c r="L32" s="552"/>
      <c r="M32" s="552"/>
      <c r="N32" s="552"/>
      <c r="O32" s="552"/>
      <c r="P32" s="552"/>
      <c r="Q32" s="552"/>
      <c r="R32" s="552"/>
      <c r="S32" s="552"/>
      <c r="T32" s="552"/>
      <c r="U32" s="552"/>
      <c r="V32" s="552"/>
      <c r="W32" s="552"/>
      <c r="X32" s="552"/>
      <c r="Y32" s="552"/>
      <c r="Z32" s="552"/>
      <c r="AA32" s="552"/>
      <c r="AB32" s="552"/>
      <c r="AC32" s="552"/>
      <c r="AD32" s="552"/>
      <c r="AE32" s="552"/>
    </row>
    <row r="33" spans="1:31" x14ac:dyDescent="0.2">
      <c r="A33" s="7" t="str">
        <f ca="1">IF(AUTOEVENTO="Manual",IF(EVENTOS!$F33&gt;0,"F",""),IF(AND(B33&gt;0,B33&lt;=MAX(CÁLCULO!$M$15:$M$33)),"F",""))</f>
        <v/>
      </c>
      <c r="B33" s="246">
        <f t="shared" ca="1" si="1"/>
        <v>18</v>
      </c>
      <c r="C33" s="513">
        <f ca="1">IF(AUTOEVENTO="Manual",IF($B33&gt;0,OFFSET(EVENTOS!$D$15,$B33-$B$15,0),0),IF(B33&lt;=MAX(CÁLCULO!$M$15:$M$33),VLOOKUP($B33,CÁLCULO!$M$15:$N$33,2,FALSE),0))</f>
        <v>0</v>
      </c>
      <c r="D33" s="553"/>
      <c r="E33" s="247"/>
      <c r="F33" t="str">
        <f t="shared" ca="1" si="2"/>
        <v/>
      </c>
      <c r="G33" s="552"/>
      <c r="H33" s="552"/>
      <c r="I33" s="552"/>
      <c r="J33" s="552"/>
      <c r="K33" s="552"/>
      <c r="L33" s="552"/>
      <c r="M33" s="552"/>
      <c r="N33" s="552"/>
      <c r="O33" s="552"/>
      <c r="P33" s="552"/>
      <c r="Q33" s="552"/>
      <c r="R33" s="552"/>
      <c r="S33" s="552"/>
      <c r="T33" s="552"/>
      <c r="U33" s="552"/>
      <c r="V33" s="552"/>
      <c r="W33" s="552"/>
      <c r="X33" s="552"/>
      <c r="Y33" s="552"/>
      <c r="Z33" s="552"/>
      <c r="AA33" s="552"/>
      <c r="AB33" s="552"/>
      <c r="AC33" s="552"/>
      <c r="AD33" s="552"/>
      <c r="AE33" s="552"/>
    </row>
    <row r="34" spans="1:31" x14ac:dyDescent="0.2">
      <c r="A34" s="7" t="str">
        <f ca="1">IF(AUTOEVENTO="Manual",IF(EVENTOS!$F34&gt;0,"F",""),IF(AND(B34&gt;0,B34&lt;=MAX(CÁLCULO!$M$15:$M$33)),"F",""))</f>
        <v/>
      </c>
      <c r="B34" s="246">
        <f t="shared" ca="1" si="1"/>
        <v>19</v>
      </c>
      <c r="C34" s="513">
        <f ca="1">IF(AUTOEVENTO="Manual",IF($B34&gt;0,OFFSET(EVENTOS!$D$15,$B34-$B$15,0),0),IF(B34&lt;=MAX(CÁLCULO!$M$15:$M$33),VLOOKUP($B34,CÁLCULO!$M$15:$N$33,2,FALSE),0))</f>
        <v>0</v>
      </c>
      <c r="D34" s="553"/>
      <c r="E34" s="247"/>
      <c r="F34" t="str">
        <f t="shared" ca="1" si="2"/>
        <v/>
      </c>
      <c r="G34" s="552"/>
      <c r="H34" s="552"/>
      <c r="I34" s="552"/>
      <c r="J34" s="552"/>
      <c r="K34" s="552"/>
      <c r="L34" s="552"/>
      <c r="M34" s="552"/>
      <c r="N34" s="552"/>
      <c r="O34" s="552"/>
      <c r="P34" s="552"/>
      <c r="Q34" s="552"/>
      <c r="R34" s="552"/>
      <c r="S34" s="552"/>
      <c r="T34" s="552"/>
      <c r="U34" s="552"/>
      <c r="V34" s="552"/>
      <c r="W34" s="552"/>
      <c r="X34" s="552"/>
      <c r="Y34" s="552"/>
      <c r="Z34" s="552"/>
      <c r="AA34" s="552"/>
      <c r="AB34" s="552"/>
      <c r="AC34" s="552"/>
      <c r="AD34" s="552"/>
      <c r="AE34" s="552"/>
    </row>
    <row r="35" spans="1:31" x14ac:dyDescent="0.2">
      <c r="A35" s="7" t="str">
        <f ca="1">IF(AUTOEVENTO="Manual",IF(EVENTOS!$F35&gt;0,"F",""),IF(AND(B35&gt;0,B35&lt;=MAX(CÁLCULO!$M$15:$M$33)),"F",""))</f>
        <v/>
      </c>
      <c r="B35" s="246">
        <f t="shared" ca="1" si="1"/>
        <v>20</v>
      </c>
      <c r="C35" s="513">
        <f ca="1">IF(AUTOEVENTO="Manual",IF($B35&gt;0,OFFSET(EVENTOS!$D$15,$B35-$B$15,0),0),IF(B35&lt;=MAX(CÁLCULO!$M$15:$M$33),VLOOKUP($B35,CÁLCULO!$M$15:$N$33,2,FALSE),0))</f>
        <v>0</v>
      </c>
      <c r="D35" s="553"/>
      <c r="E35" s="247"/>
      <c r="F35" t="str">
        <f t="shared" ca="1" si="2"/>
        <v/>
      </c>
      <c r="G35" s="552"/>
      <c r="H35" s="552"/>
      <c r="I35" s="552"/>
      <c r="J35" s="552"/>
      <c r="K35" s="552"/>
      <c r="L35" s="552"/>
      <c r="M35" s="552"/>
      <c r="N35" s="552"/>
      <c r="O35" s="552"/>
      <c r="P35" s="552"/>
      <c r="Q35" s="552"/>
      <c r="R35" s="552"/>
      <c r="S35" s="552"/>
      <c r="T35" s="552"/>
      <c r="U35" s="552"/>
      <c r="V35" s="552"/>
      <c r="W35" s="552"/>
      <c r="X35" s="552"/>
      <c r="Y35" s="552"/>
      <c r="Z35" s="552"/>
      <c r="AA35" s="552"/>
      <c r="AB35" s="552"/>
      <c r="AC35" s="552"/>
      <c r="AD35" s="552"/>
      <c r="AE35" s="552"/>
    </row>
    <row r="36" spans="1:31" x14ac:dyDescent="0.2">
      <c r="A36" s="7" t="str">
        <f ca="1">IF(AUTOEVENTO="Manual",IF(EVENTOS!$F36&gt;0,"F",""),IF(AND(B36&gt;0,B36&lt;=MAX(CÁLCULO!$M$15:$M$33)),"F",""))</f>
        <v/>
      </c>
      <c r="B36" s="246">
        <f t="shared" ca="1" si="1"/>
        <v>21</v>
      </c>
      <c r="C36" s="513">
        <f ca="1">IF(AUTOEVENTO="Manual",IF($B36&gt;0,OFFSET(EVENTOS!$D$15,$B36-$B$15,0),0),IF(B36&lt;=MAX(CÁLCULO!$M$15:$M$33),VLOOKUP($B36,CÁLCULO!$M$15:$N$33,2,FALSE),0))</f>
        <v>0</v>
      </c>
      <c r="D36" s="553"/>
      <c r="E36" s="247"/>
      <c r="F36" t="str">
        <f t="shared" ca="1" si="2"/>
        <v/>
      </c>
      <c r="G36" s="552"/>
      <c r="H36" s="552"/>
      <c r="I36" s="552"/>
      <c r="J36" s="552"/>
      <c r="K36" s="552"/>
      <c r="L36" s="552"/>
      <c r="M36" s="552"/>
      <c r="N36" s="552"/>
      <c r="O36" s="552"/>
      <c r="P36" s="552"/>
      <c r="Q36" s="552"/>
      <c r="R36" s="552"/>
      <c r="S36" s="552"/>
      <c r="T36" s="552"/>
      <c r="U36" s="552"/>
      <c r="V36" s="552"/>
      <c r="W36" s="552"/>
      <c r="X36" s="552"/>
      <c r="Y36" s="552"/>
      <c r="Z36" s="552"/>
      <c r="AA36" s="552"/>
      <c r="AB36" s="552"/>
      <c r="AC36" s="552"/>
      <c r="AD36" s="552"/>
      <c r="AE36" s="552"/>
    </row>
    <row r="37" spans="1:31" x14ac:dyDescent="0.2">
      <c r="A37" s="7" t="str">
        <f ca="1">IF(AUTOEVENTO="Manual",IF(EVENTOS!$F37&gt;0,"F",""),IF(AND(B37&gt;0,B37&lt;=MAX(CÁLCULO!$M$15:$M$33)),"F",""))</f>
        <v/>
      </c>
      <c r="B37" s="246">
        <f t="shared" ca="1" si="1"/>
        <v>22</v>
      </c>
      <c r="C37" s="513">
        <f ca="1">IF(AUTOEVENTO="Manual",IF($B37&gt;0,OFFSET(EVENTOS!$D$15,$B37-$B$15,0),0),IF(B37&lt;=MAX(CÁLCULO!$M$15:$M$33),VLOOKUP($B37,CÁLCULO!$M$15:$N$33,2,FALSE),0))</f>
        <v>0</v>
      </c>
      <c r="D37" s="553"/>
      <c r="E37" s="247"/>
      <c r="F37" t="str">
        <f t="shared" ca="1" si="2"/>
        <v/>
      </c>
      <c r="G37" s="552"/>
      <c r="H37" s="552"/>
      <c r="I37" s="552"/>
      <c r="J37" s="552"/>
      <c r="K37" s="552"/>
      <c r="L37" s="552"/>
      <c r="M37" s="552"/>
      <c r="N37" s="552"/>
      <c r="O37" s="552"/>
      <c r="P37" s="552"/>
      <c r="Q37" s="552"/>
      <c r="R37" s="552"/>
      <c r="S37" s="552"/>
      <c r="T37" s="552"/>
      <c r="U37" s="552"/>
      <c r="V37" s="552"/>
      <c r="W37" s="552"/>
      <c r="X37" s="552"/>
      <c r="Y37" s="552"/>
      <c r="Z37" s="552"/>
      <c r="AA37" s="552"/>
      <c r="AB37" s="552"/>
      <c r="AC37" s="552"/>
      <c r="AD37" s="552"/>
      <c r="AE37" s="552"/>
    </row>
    <row r="38" spans="1:31" x14ac:dyDescent="0.2">
      <c r="A38" s="7" t="str">
        <f ca="1">IF(AUTOEVENTO="Manual",IF(EVENTOS!$F38&gt;0,"F",""),IF(AND(B38&gt;0,B38&lt;=MAX(CÁLCULO!$M$15:$M$33)),"F",""))</f>
        <v/>
      </c>
      <c r="B38" s="246">
        <f t="shared" ca="1" si="1"/>
        <v>23</v>
      </c>
      <c r="C38" s="513">
        <f ca="1">IF(AUTOEVENTO="Manual",IF($B38&gt;0,OFFSET(EVENTOS!$D$15,$B38-$B$15,0),0),IF(B38&lt;=MAX(CÁLCULO!$M$15:$M$33),VLOOKUP($B38,CÁLCULO!$M$15:$N$33,2,FALSE),0))</f>
        <v>0</v>
      </c>
      <c r="D38" s="553"/>
      <c r="E38" s="247"/>
      <c r="F38" t="str">
        <f t="shared" ca="1" si="2"/>
        <v/>
      </c>
      <c r="G38" s="552"/>
      <c r="H38" s="552"/>
      <c r="I38" s="552"/>
      <c r="J38" s="552"/>
      <c r="K38" s="552"/>
      <c r="L38" s="552"/>
      <c r="M38" s="552"/>
      <c r="N38" s="552"/>
      <c r="O38" s="552"/>
      <c r="P38" s="552"/>
      <c r="Q38" s="552"/>
      <c r="R38" s="552"/>
      <c r="S38" s="552"/>
      <c r="T38" s="552"/>
      <c r="U38" s="552"/>
      <c r="V38" s="552"/>
      <c r="W38" s="552"/>
      <c r="X38" s="552"/>
      <c r="Y38" s="552"/>
      <c r="Z38" s="552"/>
      <c r="AA38" s="552"/>
      <c r="AB38" s="552"/>
      <c r="AC38" s="552"/>
      <c r="AD38" s="552"/>
      <c r="AE38" s="552"/>
    </row>
    <row r="39" spans="1:31" x14ac:dyDescent="0.2">
      <c r="A39" s="7" t="str">
        <f ca="1">IF(AUTOEVENTO="Manual",IF(EVENTOS!$F39&gt;0,"F",""),IF(AND(B39&gt;0,B39&lt;=MAX(CÁLCULO!$M$15:$M$33)),"F",""))</f>
        <v/>
      </c>
      <c r="B39" s="246">
        <f t="shared" ca="1" si="1"/>
        <v>24</v>
      </c>
      <c r="C39" s="513">
        <f ca="1">IF(AUTOEVENTO="Manual",IF($B39&gt;0,OFFSET(EVENTOS!$D$15,$B39-$B$15,0),0),IF(B39&lt;=MAX(CÁLCULO!$M$15:$M$33),VLOOKUP($B39,CÁLCULO!$M$15:$N$33,2,FALSE),0))</f>
        <v>0</v>
      </c>
      <c r="D39" s="553"/>
      <c r="E39" s="247"/>
      <c r="F39" t="str">
        <f t="shared" ca="1" si="2"/>
        <v/>
      </c>
      <c r="G39" s="552"/>
      <c r="H39" s="552"/>
      <c r="I39" s="552"/>
      <c r="J39" s="552"/>
      <c r="K39" s="552"/>
      <c r="L39" s="552"/>
      <c r="M39" s="552"/>
      <c r="N39" s="552"/>
      <c r="O39" s="552"/>
      <c r="P39" s="552"/>
      <c r="Q39" s="552"/>
      <c r="R39" s="552"/>
      <c r="S39" s="552"/>
      <c r="T39" s="552"/>
      <c r="U39" s="552"/>
      <c r="V39" s="552"/>
      <c r="W39" s="552"/>
      <c r="X39" s="552"/>
      <c r="Y39" s="552"/>
      <c r="Z39" s="552"/>
      <c r="AA39" s="552"/>
      <c r="AB39" s="552"/>
      <c r="AC39" s="552"/>
      <c r="AD39" s="552"/>
      <c r="AE39" s="552"/>
    </row>
    <row r="40" spans="1:31" x14ac:dyDescent="0.2">
      <c r="A40" s="7" t="str">
        <f ca="1">IF(AUTOEVENTO="Manual",IF(EVENTOS!$F40&gt;0,"F",""),IF(AND(B40&gt;0,B40&lt;=MAX(CÁLCULO!$M$15:$M$33)),"F",""))</f>
        <v/>
      </c>
      <c r="B40" s="246">
        <f t="shared" ca="1" si="1"/>
        <v>25</v>
      </c>
      <c r="C40" s="513">
        <f ca="1">IF(AUTOEVENTO="Manual",IF($B40&gt;0,OFFSET(EVENTOS!$D$15,$B40-$B$15,0),0),IF(B40&lt;=MAX(CÁLCULO!$M$15:$M$33),VLOOKUP($B40,CÁLCULO!$M$15:$N$33,2,FALSE),0))</f>
        <v>0</v>
      </c>
      <c r="D40" s="553"/>
      <c r="E40" s="247"/>
      <c r="F40" t="str">
        <f t="shared" ca="1" si="2"/>
        <v/>
      </c>
      <c r="G40" s="552"/>
      <c r="H40" s="552"/>
      <c r="I40" s="552"/>
      <c r="J40" s="552"/>
      <c r="K40" s="552"/>
      <c r="L40" s="552"/>
      <c r="M40" s="552"/>
      <c r="N40" s="552"/>
      <c r="O40" s="552"/>
      <c r="P40" s="552"/>
      <c r="Q40" s="552"/>
      <c r="R40" s="552"/>
      <c r="S40" s="552"/>
      <c r="T40" s="552"/>
      <c r="U40" s="552"/>
      <c r="V40" s="552"/>
      <c r="W40" s="552"/>
      <c r="X40" s="552"/>
      <c r="Y40" s="552"/>
      <c r="Z40" s="552"/>
      <c r="AA40" s="552"/>
      <c r="AB40" s="552"/>
      <c r="AC40" s="552"/>
      <c r="AD40" s="552"/>
      <c r="AE40" s="552"/>
    </row>
    <row r="41" spans="1:31" x14ac:dyDescent="0.2">
      <c r="A41" s="7" t="str">
        <f ca="1">IF(AUTOEVENTO="Manual",IF(EVENTOS!$F41&gt;0,"F",""),IF(AND(B41&gt;0,B41&lt;=MAX(CÁLCULO!$M$15:$M$33)),"F",""))</f>
        <v/>
      </c>
      <c r="B41" s="246">
        <f t="shared" ca="1" si="1"/>
        <v>26</v>
      </c>
      <c r="C41" s="513">
        <f ca="1">IF(AUTOEVENTO="Manual",IF($B41&gt;0,OFFSET(EVENTOS!$D$15,$B41-$B$15,0),0),IF(B41&lt;=MAX(CÁLCULO!$M$15:$M$33),VLOOKUP($B41,CÁLCULO!$M$15:$N$33,2,FALSE),0))</f>
        <v>0</v>
      </c>
      <c r="D41" s="553"/>
      <c r="E41" s="247"/>
      <c r="F41" t="str">
        <f t="shared" ca="1" si="2"/>
        <v/>
      </c>
      <c r="G41" s="552"/>
      <c r="H41" s="552"/>
      <c r="I41" s="552"/>
      <c r="J41" s="552"/>
      <c r="K41" s="552"/>
      <c r="L41" s="552"/>
      <c r="M41" s="552"/>
      <c r="N41" s="552"/>
      <c r="O41" s="552"/>
      <c r="P41" s="552"/>
      <c r="Q41" s="552"/>
      <c r="R41" s="552"/>
      <c r="S41" s="552"/>
      <c r="T41" s="552"/>
      <c r="U41" s="552"/>
      <c r="V41" s="552"/>
      <c r="W41" s="552"/>
      <c r="X41" s="552"/>
      <c r="Y41" s="552"/>
      <c r="Z41" s="552"/>
      <c r="AA41" s="552"/>
      <c r="AB41" s="552"/>
      <c r="AC41" s="552"/>
      <c r="AD41" s="552"/>
      <c r="AE41" s="552"/>
    </row>
    <row r="42" spans="1:31" x14ac:dyDescent="0.2">
      <c r="A42" s="7" t="str">
        <f ca="1">IF(AUTOEVENTO="Manual",IF(EVENTOS!$F42&gt;0,"F",""),IF(AND(B42&gt;0,B42&lt;=MAX(CÁLCULO!$M$15:$M$33)),"F",""))</f>
        <v/>
      </c>
      <c r="B42" s="246">
        <f t="shared" ca="1" si="1"/>
        <v>27</v>
      </c>
      <c r="C42" s="513">
        <f ca="1">IF(AUTOEVENTO="Manual",IF($B42&gt;0,OFFSET(EVENTOS!$D$15,$B42-$B$15,0),0),IF(B42&lt;=MAX(CÁLCULO!$M$15:$M$33),VLOOKUP($B42,CÁLCULO!$M$15:$N$33,2,FALSE),0))</f>
        <v>0</v>
      </c>
      <c r="D42" s="553"/>
      <c r="E42" s="247"/>
      <c r="F42" t="str">
        <f t="shared" ca="1" si="2"/>
        <v/>
      </c>
      <c r="G42" s="552"/>
      <c r="H42" s="552"/>
      <c r="I42" s="552"/>
      <c r="J42" s="552"/>
      <c r="K42" s="552"/>
      <c r="L42" s="552"/>
      <c r="M42" s="552"/>
      <c r="N42" s="552"/>
      <c r="O42" s="552"/>
      <c r="P42" s="552"/>
      <c r="Q42" s="552"/>
      <c r="R42" s="552"/>
      <c r="S42" s="552"/>
      <c r="T42" s="552"/>
      <c r="U42" s="552"/>
      <c r="V42" s="552"/>
      <c r="W42" s="552"/>
      <c r="X42" s="552"/>
      <c r="Y42" s="552"/>
      <c r="Z42" s="552"/>
      <c r="AA42" s="552"/>
      <c r="AB42" s="552"/>
      <c r="AC42" s="552"/>
      <c r="AD42" s="552"/>
      <c r="AE42" s="552"/>
    </row>
    <row r="43" spans="1:31" x14ac:dyDescent="0.2">
      <c r="A43" s="7" t="str">
        <f ca="1">IF(AUTOEVENTO="Manual",IF(EVENTOS!$F43&gt;0,"F",""),IF(AND(B43&gt;0,B43&lt;=MAX(CÁLCULO!$M$15:$M$33)),"F",""))</f>
        <v/>
      </c>
      <c r="B43" s="246">
        <f t="shared" ca="1" si="1"/>
        <v>28</v>
      </c>
      <c r="C43" s="513">
        <f ca="1">IF(AUTOEVENTO="Manual",IF($B43&gt;0,OFFSET(EVENTOS!$D$15,$B43-$B$15,0),0),IF(B43&lt;=MAX(CÁLCULO!$M$15:$M$33),VLOOKUP($B43,CÁLCULO!$M$15:$N$33,2,FALSE),0))</f>
        <v>0</v>
      </c>
      <c r="D43" s="553"/>
      <c r="E43" s="247"/>
      <c r="F43" t="str">
        <f t="shared" ca="1" si="2"/>
        <v/>
      </c>
      <c r="G43" s="552"/>
      <c r="H43" s="552"/>
      <c r="I43" s="552"/>
      <c r="J43" s="552"/>
      <c r="K43" s="552"/>
      <c r="L43" s="552"/>
      <c r="M43" s="552"/>
      <c r="N43" s="552"/>
      <c r="O43" s="552"/>
      <c r="P43" s="552"/>
      <c r="Q43" s="552"/>
      <c r="R43" s="552"/>
      <c r="S43" s="552"/>
      <c r="T43" s="552"/>
      <c r="U43" s="552"/>
      <c r="V43" s="552"/>
      <c r="W43" s="552"/>
      <c r="X43" s="552"/>
      <c r="Y43" s="552"/>
      <c r="Z43" s="552"/>
      <c r="AA43" s="552"/>
      <c r="AB43" s="552"/>
      <c r="AC43" s="552"/>
      <c r="AD43" s="552"/>
      <c r="AE43" s="552"/>
    </row>
    <row r="44" spans="1:31" x14ac:dyDescent="0.2">
      <c r="A44" s="7" t="str">
        <f ca="1">IF(AUTOEVENTO="Manual",IF(EVENTOS!$F44&gt;0,"F",""),IF(AND(B44&gt;0,B44&lt;=MAX(CÁLCULO!$M$15:$M$33)),"F",""))</f>
        <v/>
      </c>
      <c r="B44" s="246">
        <f t="shared" ca="1" si="1"/>
        <v>29</v>
      </c>
      <c r="C44" s="513">
        <f ca="1">IF(AUTOEVENTO="Manual",IF($B44&gt;0,OFFSET(EVENTOS!$D$15,$B44-$B$15,0),0),IF(B44&lt;=MAX(CÁLCULO!$M$15:$M$33),VLOOKUP($B44,CÁLCULO!$M$15:$N$33,2,FALSE),0))</f>
        <v>0</v>
      </c>
      <c r="D44" s="553"/>
      <c r="E44" s="247"/>
      <c r="F44" t="str">
        <f t="shared" ca="1" si="2"/>
        <v/>
      </c>
      <c r="G44" s="552"/>
      <c r="H44" s="552"/>
      <c r="I44" s="552"/>
      <c r="J44" s="552"/>
      <c r="K44" s="552"/>
      <c r="L44" s="552"/>
      <c r="M44" s="552"/>
      <c r="N44" s="552"/>
      <c r="O44" s="552"/>
      <c r="P44" s="552"/>
      <c r="Q44" s="552"/>
      <c r="R44" s="552"/>
      <c r="S44" s="552"/>
      <c r="T44" s="552"/>
      <c r="U44" s="552"/>
      <c r="V44" s="552"/>
      <c r="W44" s="552"/>
      <c r="X44" s="552"/>
      <c r="Y44" s="552"/>
      <c r="Z44" s="552"/>
      <c r="AA44" s="552"/>
      <c r="AB44" s="552"/>
      <c r="AC44" s="552"/>
      <c r="AD44" s="552"/>
      <c r="AE44" s="552"/>
    </row>
    <row r="45" spans="1:31" x14ac:dyDescent="0.2">
      <c r="A45" s="7" t="str">
        <f ca="1">IF(AUTOEVENTO="Manual",IF(EVENTOS!$F45&gt;0,"F",""),IF(AND(B45&gt;0,B45&lt;=MAX(CÁLCULO!$M$15:$M$33)),"F",""))</f>
        <v/>
      </c>
      <c r="B45" s="246">
        <f t="shared" ca="1" si="1"/>
        <v>30</v>
      </c>
      <c r="C45" s="513">
        <f ca="1">IF(AUTOEVENTO="Manual",IF($B45&gt;0,OFFSET(EVENTOS!$D$15,$B45-$B$15,0),0),IF(B45&lt;=MAX(CÁLCULO!$M$15:$M$33),VLOOKUP($B45,CÁLCULO!$M$15:$N$33,2,FALSE),0))</f>
        <v>0</v>
      </c>
      <c r="D45" s="553"/>
      <c r="E45" s="247"/>
      <c r="F45" t="str">
        <f t="shared" ca="1" si="2"/>
        <v/>
      </c>
      <c r="G45" s="552"/>
      <c r="H45" s="552"/>
      <c r="I45" s="552"/>
      <c r="J45" s="552"/>
      <c r="K45" s="552"/>
      <c r="L45" s="552"/>
      <c r="M45" s="552"/>
      <c r="N45" s="552"/>
      <c r="O45" s="552"/>
      <c r="P45" s="552"/>
      <c r="Q45" s="552"/>
      <c r="R45" s="552"/>
      <c r="S45" s="552"/>
      <c r="T45" s="552"/>
      <c r="U45" s="552"/>
      <c r="V45" s="552"/>
      <c r="W45" s="552"/>
      <c r="X45" s="552"/>
      <c r="Y45" s="552"/>
      <c r="Z45" s="552"/>
      <c r="AA45" s="552"/>
      <c r="AB45" s="552"/>
      <c r="AC45" s="552"/>
      <c r="AD45" s="552"/>
      <c r="AE45" s="552"/>
    </row>
    <row r="46" spans="1:31" x14ac:dyDescent="0.2">
      <c r="A46" s="7" t="str">
        <f ca="1">IF(AUTOEVENTO="Manual",IF(EVENTOS!$F46&gt;0,"F",""),IF(AND(B46&gt;0,B46&lt;=MAX(CÁLCULO!$M$15:$M$33)),"F",""))</f>
        <v/>
      </c>
      <c r="B46" s="246">
        <f t="shared" ca="1" si="1"/>
        <v>31</v>
      </c>
      <c r="C46" s="513">
        <f ca="1">IF(AUTOEVENTO="Manual",IF($B46&gt;0,OFFSET(EVENTOS!$D$15,$B46-$B$15,0),0),IF(B46&lt;=MAX(CÁLCULO!$M$15:$M$33),VLOOKUP($B46,CÁLCULO!$M$15:$N$33,2,FALSE),0))</f>
        <v>0</v>
      </c>
      <c r="D46" s="553"/>
      <c r="E46" s="247"/>
      <c r="F46" t="str">
        <f t="shared" ca="1" si="2"/>
        <v/>
      </c>
      <c r="G46" s="552"/>
      <c r="H46" s="552"/>
      <c r="I46" s="552"/>
      <c r="J46" s="552"/>
      <c r="K46" s="552"/>
      <c r="L46" s="552"/>
      <c r="M46" s="552"/>
      <c r="N46" s="552"/>
      <c r="O46" s="552"/>
      <c r="P46" s="552"/>
      <c r="Q46" s="552"/>
      <c r="R46" s="552"/>
      <c r="S46" s="552"/>
      <c r="T46" s="552"/>
      <c r="U46" s="552"/>
      <c r="V46" s="552"/>
      <c r="W46" s="552"/>
      <c r="X46" s="552"/>
      <c r="Y46" s="552"/>
      <c r="Z46" s="552"/>
      <c r="AA46" s="552"/>
      <c r="AB46" s="552"/>
      <c r="AC46" s="552"/>
      <c r="AD46" s="552"/>
      <c r="AE46" s="552"/>
    </row>
    <row r="47" spans="1:31" x14ac:dyDescent="0.2">
      <c r="A47" s="7" t="str">
        <f ca="1">IF(AUTOEVENTO="Manual",IF(EVENTOS!$F47&gt;0,"F",""),IF(AND(B47&gt;0,B47&lt;=MAX(CÁLCULO!$M$15:$M$33)),"F",""))</f>
        <v/>
      </c>
      <c r="B47" s="246">
        <f t="shared" ca="1" si="1"/>
        <v>32</v>
      </c>
      <c r="C47" s="513">
        <f ca="1">IF(AUTOEVENTO="Manual",IF($B47&gt;0,OFFSET(EVENTOS!$D$15,$B47-$B$15,0),0),IF(B47&lt;=MAX(CÁLCULO!$M$15:$M$33),VLOOKUP($B47,CÁLCULO!$M$15:$N$33,2,FALSE),0))</f>
        <v>0</v>
      </c>
      <c r="D47" s="553"/>
      <c r="E47" s="247"/>
      <c r="F47" t="str">
        <f t="shared" ca="1" si="2"/>
        <v/>
      </c>
      <c r="G47" s="552"/>
      <c r="H47" s="552"/>
      <c r="I47" s="552"/>
      <c r="J47" s="552"/>
      <c r="K47" s="552"/>
      <c r="L47" s="552"/>
      <c r="M47" s="552"/>
      <c r="N47" s="552"/>
      <c r="O47" s="552"/>
      <c r="P47" s="552"/>
      <c r="Q47" s="552"/>
      <c r="R47" s="552"/>
      <c r="S47" s="552"/>
      <c r="T47" s="552"/>
      <c r="U47" s="552"/>
      <c r="V47" s="552"/>
      <c r="W47" s="552"/>
      <c r="X47" s="552"/>
      <c r="Y47" s="552"/>
      <c r="Z47" s="552"/>
      <c r="AA47" s="552"/>
      <c r="AB47" s="552"/>
      <c r="AC47" s="552"/>
      <c r="AD47" s="552"/>
      <c r="AE47" s="552"/>
    </row>
    <row r="48" spans="1:31" x14ac:dyDescent="0.2">
      <c r="A48" s="7" t="str">
        <f ca="1">IF(AUTOEVENTO="Manual",IF(EVENTOS!$F48&gt;0,"F",""),IF(AND(B48&gt;0,B48&lt;=MAX(CÁLCULO!$M$15:$M$33)),"F",""))</f>
        <v/>
      </c>
      <c r="B48" s="246">
        <f t="shared" ca="1" si="1"/>
        <v>33</v>
      </c>
      <c r="C48" s="513">
        <f ca="1">IF(AUTOEVENTO="Manual",IF($B48&gt;0,OFFSET(EVENTOS!$D$15,$B48-$B$15,0),0),IF(B48&lt;=MAX(CÁLCULO!$M$15:$M$33),VLOOKUP($B48,CÁLCULO!$M$15:$N$33,2,FALSE),0))</f>
        <v>0</v>
      </c>
      <c r="D48" s="553"/>
      <c r="E48" s="247"/>
      <c r="F48" t="str">
        <f t="shared" ca="1" si="2"/>
        <v/>
      </c>
      <c r="G48" s="552"/>
      <c r="H48" s="552"/>
      <c r="I48" s="552"/>
      <c r="J48" s="552"/>
      <c r="K48" s="552"/>
      <c r="L48" s="552"/>
      <c r="M48" s="552"/>
      <c r="N48" s="552"/>
      <c r="O48" s="552"/>
      <c r="P48" s="552"/>
      <c r="Q48" s="552"/>
      <c r="R48" s="552"/>
      <c r="S48" s="552"/>
      <c r="T48" s="552"/>
      <c r="U48" s="552"/>
      <c r="V48" s="552"/>
      <c r="W48" s="552"/>
      <c r="X48" s="552"/>
      <c r="Y48" s="552"/>
      <c r="Z48" s="552"/>
      <c r="AA48" s="552"/>
      <c r="AB48" s="552"/>
      <c r="AC48" s="552"/>
      <c r="AD48" s="552"/>
      <c r="AE48" s="552"/>
    </row>
    <row r="49" spans="1:31" x14ac:dyDescent="0.2">
      <c r="A49" s="7" t="str">
        <f ca="1">IF(AUTOEVENTO="Manual",IF(EVENTOS!$F49&gt;0,"F",""),IF(AND(B49&gt;0,B49&lt;=MAX(CÁLCULO!$M$15:$M$33)),"F",""))</f>
        <v/>
      </c>
      <c r="B49" s="246">
        <f t="shared" ca="1" si="1"/>
        <v>34</v>
      </c>
      <c r="C49" s="513">
        <f ca="1">IF(AUTOEVENTO="Manual",IF($B49&gt;0,OFFSET(EVENTOS!$D$15,$B49-$B$15,0),0),IF(B49&lt;=MAX(CÁLCULO!$M$15:$M$33),VLOOKUP($B49,CÁLCULO!$M$15:$N$33,2,FALSE),0))</f>
        <v>0</v>
      </c>
      <c r="D49" s="553"/>
      <c r="E49" s="247"/>
      <c r="F49" t="str">
        <f t="shared" ca="1" si="2"/>
        <v/>
      </c>
      <c r="G49" s="552"/>
      <c r="H49" s="552"/>
      <c r="I49" s="552"/>
      <c r="J49" s="552"/>
      <c r="K49" s="552"/>
      <c r="L49" s="552"/>
      <c r="M49" s="552"/>
      <c r="N49" s="552"/>
      <c r="O49" s="552"/>
      <c r="P49" s="552"/>
      <c r="Q49" s="552"/>
      <c r="R49" s="552"/>
      <c r="S49" s="552"/>
      <c r="T49" s="552"/>
      <c r="U49" s="552"/>
      <c r="V49" s="552"/>
      <c r="W49" s="552"/>
      <c r="X49" s="552"/>
      <c r="Y49" s="552"/>
      <c r="Z49" s="552"/>
      <c r="AA49" s="552"/>
      <c r="AB49" s="552"/>
      <c r="AC49" s="552"/>
      <c r="AD49" s="552"/>
      <c r="AE49" s="552"/>
    </row>
    <row r="50" spans="1:31" x14ac:dyDescent="0.2">
      <c r="A50" s="7" t="str">
        <f ca="1">IF(AUTOEVENTO="Manual",IF(EVENTOS!$F50&gt;0,"F",""),IF(AND(B50&gt;0,B50&lt;=MAX(CÁLCULO!$M$15:$M$33)),"F",""))</f>
        <v/>
      </c>
      <c r="B50" s="246">
        <f t="shared" ca="1" si="1"/>
        <v>35</v>
      </c>
      <c r="C50" s="513">
        <f ca="1">IF(AUTOEVENTO="Manual",IF($B50&gt;0,OFFSET(EVENTOS!$D$15,$B50-$B$15,0),0),IF(B50&lt;=MAX(CÁLCULO!$M$15:$M$33),VLOOKUP($B50,CÁLCULO!$M$15:$N$33,2,FALSE),0))</f>
        <v>0</v>
      </c>
      <c r="D50" s="553"/>
      <c r="E50" s="247"/>
      <c r="F50" t="str">
        <f t="shared" ca="1" si="2"/>
        <v/>
      </c>
      <c r="G50" s="552"/>
      <c r="H50" s="552"/>
      <c r="I50" s="552"/>
      <c r="J50" s="552"/>
      <c r="K50" s="552"/>
      <c r="L50" s="552"/>
      <c r="M50" s="552"/>
      <c r="N50" s="552"/>
      <c r="O50" s="552"/>
      <c r="P50" s="552"/>
      <c r="Q50" s="552"/>
      <c r="R50" s="552"/>
      <c r="S50" s="552"/>
      <c r="T50" s="552"/>
      <c r="U50" s="552"/>
      <c r="V50" s="552"/>
      <c r="W50" s="552"/>
      <c r="X50" s="552"/>
      <c r="Y50" s="552"/>
      <c r="Z50" s="552"/>
      <c r="AA50" s="552"/>
      <c r="AB50" s="552"/>
      <c r="AC50" s="552"/>
      <c r="AD50" s="552"/>
      <c r="AE50" s="552"/>
    </row>
    <row r="51" spans="1:31" x14ac:dyDescent="0.2">
      <c r="A51" s="7" t="str">
        <f ca="1">IF(AUTOEVENTO="Manual",IF(EVENTOS!$F51&gt;0,"F",""),IF(AND(B51&gt;0,B51&lt;=MAX(CÁLCULO!$M$15:$M$33)),"F",""))</f>
        <v/>
      </c>
      <c r="B51" s="246">
        <f t="shared" ca="1" si="1"/>
        <v>36</v>
      </c>
      <c r="C51" s="513">
        <f ca="1">IF(AUTOEVENTO="Manual",IF($B51&gt;0,OFFSET(EVENTOS!$D$15,$B51-$B$15,0),0),IF(B51&lt;=MAX(CÁLCULO!$M$15:$M$33),VLOOKUP($B51,CÁLCULO!$M$15:$N$33,2,FALSE),0))</f>
        <v>0</v>
      </c>
      <c r="D51" s="553"/>
      <c r="E51" s="247"/>
      <c r="F51" t="str">
        <f t="shared" ca="1" si="2"/>
        <v/>
      </c>
      <c r="G51" s="552"/>
      <c r="H51" s="552"/>
      <c r="I51" s="552"/>
      <c r="J51" s="552"/>
      <c r="K51" s="552"/>
      <c r="L51" s="552"/>
      <c r="M51" s="552"/>
      <c r="N51" s="552"/>
      <c r="O51" s="552"/>
      <c r="P51" s="552"/>
      <c r="Q51" s="552"/>
      <c r="R51" s="552"/>
      <c r="S51" s="552"/>
      <c r="T51" s="552"/>
      <c r="U51" s="552"/>
      <c r="V51" s="552"/>
      <c r="W51" s="552"/>
      <c r="X51" s="552"/>
      <c r="Y51" s="552"/>
      <c r="Z51" s="552"/>
      <c r="AA51" s="552"/>
      <c r="AB51" s="552"/>
      <c r="AC51" s="552"/>
      <c r="AD51" s="552"/>
      <c r="AE51" s="552"/>
    </row>
    <row r="52" spans="1:31" x14ac:dyDescent="0.2">
      <c r="A52" s="7" t="str">
        <f ca="1">IF(AUTOEVENTO="Manual",IF(EVENTOS!$F52&gt;0,"F",""),IF(AND(B52&gt;0,B52&lt;=MAX(CÁLCULO!$M$15:$M$33)),"F",""))</f>
        <v/>
      </c>
      <c r="B52" s="246">
        <f t="shared" ca="1" si="1"/>
        <v>37</v>
      </c>
      <c r="C52" s="513">
        <f ca="1">IF(AUTOEVENTO="Manual",IF($B52&gt;0,OFFSET(EVENTOS!$D$15,$B52-$B$15,0),0),IF(B52&lt;=MAX(CÁLCULO!$M$15:$M$33),VLOOKUP($B52,CÁLCULO!$M$15:$N$33,2,FALSE),0))</f>
        <v>0</v>
      </c>
      <c r="D52" s="553"/>
      <c r="E52" s="247"/>
      <c r="F52" t="str">
        <f t="shared" ca="1" si="2"/>
        <v/>
      </c>
      <c r="G52" s="552"/>
      <c r="H52" s="552"/>
      <c r="I52" s="552"/>
      <c r="J52" s="552"/>
      <c r="K52" s="552"/>
      <c r="L52" s="552"/>
      <c r="M52" s="552"/>
      <c r="N52" s="552"/>
      <c r="O52" s="552"/>
      <c r="P52" s="552"/>
      <c r="Q52" s="552"/>
      <c r="R52" s="552"/>
      <c r="S52" s="552"/>
      <c r="T52" s="552"/>
      <c r="U52" s="552"/>
      <c r="V52" s="552"/>
      <c r="W52" s="552"/>
      <c r="X52" s="552"/>
      <c r="Y52" s="552"/>
      <c r="Z52" s="552"/>
      <c r="AA52" s="552"/>
      <c r="AB52" s="552"/>
      <c r="AC52" s="552"/>
      <c r="AD52" s="552"/>
      <c r="AE52" s="552"/>
    </row>
    <row r="53" spans="1:31" x14ac:dyDescent="0.2">
      <c r="A53" s="7" t="str">
        <f ca="1">IF(AUTOEVENTO="Manual",IF(EVENTOS!$F53&gt;0,"F",""),IF(AND(B53&gt;0,B53&lt;=MAX(CÁLCULO!$M$15:$M$33)),"F",""))</f>
        <v/>
      </c>
      <c r="B53" s="246">
        <f t="shared" ca="1" si="1"/>
        <v>38</v>
      </c>
      <c r="C53" s="513">
        <f ca="1">IF(AUTOEVENTO="Manual",IF($B53&gt;0,OFFSET(EVENTOS!$D$15,$B53-$B$15,0),0),IF(B53&lt;=MAX(CÁLCULO!$M$15:$M$33),VLOOKUP($B53,CÁLCULO!$M$15:$N$33,2,FALSE),0))</f>
        <v>0</v>
      </c>
      <c r="D53" s="553"/>
      <c r="E53" s="247"/>
      <c r="F53" t="str">
        <f t="shared" ca="1" si="2"/>
        <v/>
      </c>
      <c r="G53" s="552"/>
      <c r="H53" s="552"/>
      <c r="I53" s="552"/>
      <c r="J53" s="552"/>
      <c r="K53" s="552"/>
      <c r="L53" s="552"/>
      <c r="M53" s="552"/>
      <c r="N53" s="552"/>
      <c r="O53" s="552"/>
      <c r="P53" s="552"/>
      <c r="Q53" s="552"/>
      <c r="R53" s="552"/>
      <c r="S53" s="552"/>
      <c r="T53" s="552"/>
      <c r="U53" s="552"/>
      <c r="V53" s="552"/>
      <c r="W53" s="552"/>
      <c r="X53" s="552"/>
      <c r="Y53" s="552"/>
      <c r="Z53" s="552"/>
      <c r="AA53" s="552"/>
      <c r="AB53" s="552"/>
      <c r="AC53" s="552"/>
      <c r="AD53" s="552"/>
      <c r="AE53" s="552"/>
    </row>
    <row r="54" spans="1:31" x14ac:dyDescent="0.2">
      <c r="A54" s="7" t="str">
        <f ca="1">IF(AUTOEVENTO="Manual",IF(EVENTOS!$F54&gt;0,"F",""),IF(AND(B54&gt;0,B54&lt;=MAX(CÁLCULO!$M$15:$M$33)),"F",""))</f>
        <v/>
      </c>
      <c r="B54" s="246">
        <f t="shared" ca="1" si="1"/>
        <v>39</v>
      </c>
      <c r="C54" s="513">
        <f ca="1">IF(AUTOEVENTO="Manual",IF($B54&gt;0,OFFSET(EVENTOS!$D$15,$B54-$B$15,0),0),IF(B54&lt;=MAX(CÁLCULO!$M$15:$M$33),VLOOKUP($B54,CÁLCULO!$M$15:$N$33,2,FALSE),0))</f>
        <v>0</v>
      </c>
      <c r="D54" s="553"/>
      <c r="E54" s="247"/>
      <c r="F54" t="str">
        <f t="shared" ca="1" si="2"/>
        <v/>
      </c>
      <c r="G54" s="552"/>
      <c r="H54" s="552"/>
      <c r="I54" s="552"/>
      <c r="J54" s="552"/>
      <c r="K54" s="552"/>
      <c r="L54" s="552"/>
      <c r="M54" s="552"/>
      <c r="N54" s="552"/>
      <c r="O54" s="552"/>
      <c r="P54" s="552"/>
      <c r="Q54" s="552"/>
      <c r="R54" s="552"/>
      <c r="S54" s="552"/>
      <c r="T54" s="552"/>
      <c r="U54" s="552"/>
      <c r="V54" s="552"/>
      <c r="W54" s="552"/>
      <c r="X54" s="552"/>
      <c r="Y54" s="552"/>
      <c r="Z54" s="552"/>
      <c r="AA54" s="552"/>
      <c r="AB54" s="552"/>
      <c r="AC54" s="552"/>
      <c r="AD54" s="552"/>
      <c r="AE54" s="552"/>
    </row>
    <row r="55" spans="1:31" x14ac:dyDescent="0.2">
      <c r="A55" s="7" t="str">
        <f ca="1">IF(AUTOEVENTO="Manual",IF(EVENTOS!$F55&gt;0,"F",""),IF(AND(B55&gt;0,B55&lt;=MAX(CÁLCULO!$M$15:$M$33)),"F",""))</f>
        <v/>
      </c>
      <c r="B55" s="246">
        <f t="shared" ca="1" si="1"/>
        <v>40</v>
      </c>
      <c r="C55" s="513">
        <f ca="1">IF(AUTOEVENTO="Manual",IF($B55&gt;0,OFFSET(EVENTOS!$D$15,$B55-$B$15,0),0),IF(B55&lt;=MAX(CÁLCULO!$M$15:$M$33),VLOOKUP($B55,CÁLCULO!$M$15:$N$33,2,FALSE),0))</f>
        <v>0</v>
      </c>
      <c r="D55" s="553"/>
      <c r="E55" s="247"/>
      <c r="F55" t="str">
        <f t="shared" ca="1" si="2"/>
        <v/>
      </c>
      <c r="G55" s="552"/>
      <c r="H55" s="552"/>
      <c r="I55" s="552"/>
      <c r="J55" s="552"/>
      <c r="K55" s="552"/>
      <c r="L55" s="552"/>
      <c r="M55" s="552"/>
      <c r="N55" s="552"/>
      <c r="O55" s="552"/>
      <c r="P55" s="552"/>
      <c r="Q55" s="552"/>
      <c r="R55" s="552"/>
      <c r="S55" s="552"/>
      <c r="T55" s="552"/>
      <c r="U55" s="552"/>
      <c r="V55" s="552"/>
      <c r="W55" s="552"/>
      <c r="X55" s="552"/>
      <c r="Y55" s="552"/>
      <c r="Z55" s="552"/>
      <c r="AA55" s="552"/>
      <c r="AB55" s="552"/>
      <c r="AC55" s="552"/>
      <c r="AD55" s="552"/>
      <c r="AE55" s="552"/>
    </row>
    <row r="56" spans="1:31" x14ac:dyDescent="0.2">
      <c r="A56" s="7" t="str">
        <f ca="1">IF(AUTOEVENTO="Manual",IF(EVENTOS!$F56&gt;0,"F",""),IF(AND(B56&gt;0,B56&lt;=MAX(CÁLCULO!$M$15:$M$33)),"F",""))</f>
        <v/>
      </c>
      <c r="B56" s="246">
        <f t="shared" ca="1" si="1"/>
        <v>41</v>
      </c>
      <c r="C56" s="513">
        <f ca="1">IF(AUTOEVENTO="Manual",IF($B56&gt;0,OFFSET(EVENTOS!$D$15,$B56-$B$15,0),0),IF(B56&lt;=MAX(CÁLCULO!$M$15:$M$33),VLOOKUP($B56,CÁLCULO!$M$15:$N$33,2,FALSE),0))</f>
        <v>0</v>
      </c>
      <c r="D56" s="553"/>
      <c r="E56" s="247"/>
      <c r="F56" t="str">
        <f t="shared" ca="1" si="2"/>
        <v/>
      </c>
      <c r="G56" s="552"/>
      <c r="H56" s="552"/>
      <c r="I56" s="552"/>
      <c r="J56" s="552"/>
      <c r="K56" s="552"/>
      <c r="L56" s="552"/>
      <c r="M56" s="552"/>
      <c r="N56" s="552"/>
      <c r="O56" s="552"/>
      <c r="P56" s="552"/>
      <c r="Q56" s="552"/>
      <c r="R56" s="552"/>
      <c r="S56" s="552"/>
      <c r="T56" s="552"/>
      <c r="U56" s="552"/>
      <c r="V56" s="552"/>
      <c r="W56" s="552"/>
      <c r="X56" s="552"/>
      <c r="Y56" s="552"/>
      <c r="Z56" s="552"/>
      <c r="AA56" s="552"/>
      <c r="AB56" s="552"/>
      <c r="AC56" s="552"/>
      <c r="AD56" s="552"/>
      <c r="AE56" s="552"/>
    </row>
    <row r="57" spans="1:31" x14ac:dyDescent="0.2">
      <c r="A57" s="7" t="str">
        <f ca="1">IF(AUTOEVENTO="Manual",IF(EVENTOS!$F57&gt;0,"F",""),IF(AND(B57&gt;0,B57&lt;=MAX(CÁLCULO!$M$15:$M$33)),"F",""))</f>
        <v/>
      </c>
      <c r="B57" s="246">
        <f t="shared" ca="1" si="1"/>
        <v>42</v>
      </c>
      <c r="C57" s="513">
        <f ca="1">IF(AUTOEVENTO="Manual",IF($B57&gt;0,OFFSET(EVENTOS!$D$15,$B57-$B$15,0),0),IF(B57&lt;=MAX(CÁLCULO!$M$15:$M$33),VLOOKUP($B57,CÁLCULO!$M$15:$N$33,2,FALSE),0))</f>
        <v>0</v>
      </c>
      <c r="D57" s="553"/>
      <c r="E57" s="247"/>
      <c r="F57" t="str">
        <f t="shared" ca="1" si="2"/>
        <v/>
      </c>
      <c r="G57" s="552"/>
      <c r="H57" s="552"/>
      <c r="I57" s="552"/>
      <c r="J57" s="552"/>
      <c r="K57" s="552"/>
      <c r="L57" s="552"/>
      <c r="M57" s="552"/>
      <c r="N57" s="552"/>
      <c r="O57" s="552"/>
      <c r="P57" s="552"/>
      <c r="Q57" s="552"/>
      <c r="R57" s="552"/>
      <c r="S57" s="552"/>
      <c r="T57" s="552"/>
      <c r="U57" s="552"/>
      <c r="V57" s="552"/>
      <c r="W57" s="552"/>
      <c r="X57" s="552"/>
      <c r="Y57" s="552"/>
      <c r="Z57" s="552"/>
      <c r="AA57" s="552"/>
      <c r="AB57" s="552"/>
      <c r="AC57" s="552"/>
      <c r="AD57" s="552"/>
      <c r="AE57" s="552"/>
    </row>
    <row r="58" spans="1:31" x14ac:dyDescent="0.2">
      <c r="A58" s="7" t="str">
        <f ca="1">IF(AUTOEVENTO="Manual",IF(EVENTOS!$F58&gt;0,"F",""),IF(AND(B58&gt;0,B58&lt;=MAX(CÁLCULO!$M$15:$M$33)),"F",""))</f>
        <v/>
      </c>
      <c r="B58" s="246">
        <f t="shared" ca="1" si="1"/>
        <v>43</v>
      </c>
      <c r="C58" s="513">
        <f ca="1">IF(AUTOEVENTO="Manual",IF($B58&gt;0,OFFSET(EVENTOS!$D$15,$B58-$B$15,0),0),IF(B58&lt;=MAX(CÁLCULO!$M$15:$M$33),VLOOKUP($B58,CÁLCULO!$M$15:$N$33,2,FALSE),0))</f>
        <v>0</v>
      </c>
      <c r="D58" s="553"/>
      <c r="E58" s="247"/>
      <c r="F58" t="str">
        <f t="shared" ca="1" si="2"/>
        <v/>
      </c>
      <c r="G58" s="552"/>
      <c r="H58" s="552"/>
      <c r="I58" s="552"/>
      <c r="J58" s="552"/>
      <c r="K58" s="552"/>
      <c r="L58" s="552"/>
      <c r="M58" s="552"/>
      <c r="N58" s="552"/>
      <c r="O58" s="552"/>
      <c r="P58" s="552"/>
      <c r="Q58" s="552"/>
      <c r="R58" s="552"/>
      <c r="S58" s="552"/>
      <c r="T58" s="552"/>
      <c r="U58" s="552"/>
      <c r="V58" s="552"/>
      <c r="W58" s="552"/>
      <c r="X58" s="552"/>
      <c r="Y58" s="552"/>
      <c r="Z58" s="552"/>
      <c r="AA58" s="552"/>
      <c r="AB58" s="552"/>
      <c r="AC58" s="552"/>
      <c r="AD58" s="552"/>
      <c r="AE58" s="552"/>
    </row>
    <row r="59" spans="1:31" x14ac:dyDescent="0.2">
      <c r="A59" s="7" t="str">
        <f ca="1">IF(AUTOEVENTO="Manual",IF(EVENTOS!$F59&gt;0,"F",""),IF(AND(B59&gt;0,B59&lt;=MAX(CÁLCULO!$M$15:$M$33)),"F",""))</f>
        <v/>
      </c>
      <c r="B59" s="246">
        <f t="shared" ca="1" si="1"/>
        <v>44</v>
      </c>
      <c r="C59" s="513">
        <f ca="1">IF(AUTOEVENTO="Manual",IF($B59&gt;0,OFFSET(EVENTOS!$D$15,$B59-$B$15,0),0),IF(B59&lt;=MAX(CÁLCULO!$M$15:$M$33),VLOOKUP($B59,CÁLCULO!$M$15:$N$33,2,FALSE),0))</f>
        <v>0</v>
      </c>
      <c r="D59" s="553"/>
      <c r="E59" s="247"/>
      <c r="F59" t="str">
        <f t="shared" ca="1" si="2"/>
        <v/>
      </c>
      <c r="G59" s="552"/>
      <c r="H59" s="552"/>
      <c r="I59" s="552"/>
      <c r="J59" s="552"/>
      <c r="K59" s="552"/>
      <c r="L59" s="552"/>
      <c r="M59" s="552"/>
      <c r="N59" s="552"/>
      <c r="O59" s="552"/>
      <c r="P59" s="552"/>
      <c r="Q59" s="552"/>
      <c r="R59" s="552"/>
      <c r="S59" s="552"/>
      <c r="T59" s="552"/>
      <c r="U59" s="552"/>
      <c r="V59" s="552"/>
      <c r="W59" s="552"/>
      <c r="X59" s="552"/>
      <c r="Y59" s="552"/>
      <c r="Z59" s="552"/>
      <c r="AA59" s="552"/>
      <c r="AB59" s="552"/>
      <c r="AC59" s="552"/>
      <c r="AD59" s="552"/>
      <c r="AE59" s="552"/>
    </row>
    <row r="60" spans="1:31" x14ac:dyDescent="0.2">
      <c r="A60" s="7" t="str">
        <f ca="1">IF(AUTOEVENTO="Manual",IF(EVENTOS!$F60&gt;0,"F",""),IF(AND(B60&gt;0,B60&lt;=MAX(CÁLCULO!$M$15:$M$33)),"F",""))</f>
        <v/>
      </c>
      <c r="B60" s="246">
        <f t="shared" ca="1" si="1"/>
        <v>45</v>
      </c>
      <c r="C60" s="513">
        <f ca="1">IF(AUTOEVENTO="Manual",IF($B60&gt;0,OFFSET(EVENTOS!$D$15,$B60-$B$15,0),0),IF(B60&lt;=MAX(CÁLCULO!$M$15:$M$33),VLOOKUP($B60,CÁLCULO!$M$15:$N$33,2,FALSE),0))</f>
        <v>0</v>
      </c>
      <c r="D60" s="553"/>
      <c r="E60" s="247"/>
      <c r="F60" t="str">
        <f t="shared" ca="1" si="2"/>
        <v/>
      </c>
      <c r="G60" s="552"/>
      <c r="H60" s="552"/>
      <c r="I60" s="552"/>
      <c r="J60" s="552"/>
      <c r="K60" s="552"/>
      <c r="L60" s="552"/>
      <c r="M60" s="552"/>
      <c r="N60" s="552"/>
      <c r="O60" s="552"/>
      <c r="P60" s="552"/>
      <c r="Q60" s="552"/>
      <c r="R60" s="552"/>
      <c r="S60" s="552"/>
      <c r="T60" s="552"/>
      <c r="U60" s="552"/>
      <c r="V60" s="552"/>
      <c r="W60" s="552"/>
      <c r="X60" s="552"/>
      <c r="Y60" s="552"/>
      <c r="Z60" s="552"/>
      <c r="AA60" s="552"/>
      <c r="AB60" s="552"/>
      <c r="AC60" s="552"/>
      <c r="AD60" s="552"/>
      <c r="AE60" s="552"/>
    </row>
    <row r="61" spans="1:31" x14ac:dyDescent="0.2">
      <c r="A61" s="7" t="str">
        <f ca="1">IF(AUTOEVENTO="Manual",IF(EVENTOS!$F61&gt;0,"F",""),IF(AND(B61&gt;0,B61&lt;=MAX(CÁLCULO!$M$15:$M$33)),"F",""))</f>
        <v/>
      </c>
      <c r="B61" s="246">
        <f t="shared" ca="1" si="1"/>
        <v>46</v>
      </c>
      <c r="C61" s="513">
        <f ca="1">IF(AUTOEVENTO="Manual",IF($B61&gt;0,OFFSET(EVENTOS!$D$15,$B61-$B$15,0),0),IF(B61&lt;=MAX(CÁLCULO!$M$15:$M$33),VLOOKUP($B61,CÁLCULO!$M$15:$N$33,2,FALSE),0))</f>
        <v>0</v>
      </c>
      <c r="D61" s="553"/>
      <c r="E61" s="247"/>
      <c r="F61" t="str">
        <f t="shared" ca="1" si="2"/>
        <v/>
      </c>
      <c r="G61" s="552"/>
      <c r="H61" s="552"/>
      <c r="I61" s="552"/>
      <c r="J61" s="552"/>
      <c r="K61" s="552"/>
      <c r="L61" s="552"/>
      <c r="M61" s="552"/>
      <c r="N61" s="552"/>
      <c r="O61" s="552"/>
      <c r="P61" s="552"/>
      <c r="Q61" s="552"/>
      <c r="R61" s="552"/>
      <c r="S61" s="552"/>
      <c r="T61" s="552"/>
      <c r="U61" s="552"/>
      <c r="V61" s="552"/>
      <c r="W61" s="552"/>
      <c r="X61" s="552"/>
      <c r="Y61" s="552"/>
      <c r="Z61" s="552"/>
      <c r="AA61" s="552"/>
      <c r="AB61" s="552"/>
      <c r="AC61" s="552"/>
      <c r="AD61" s="552"/>
      <c r="AE61" s="552"/>
    </row>
    <row r="62" spans="1:31" x14ac:dyDescent="0.2">
      <c r="A62" s="7" t="str">
        <f ca="1">IF(AUTOEVENTO="Manual",IF(EVENTOS!$F62&gt;0,"F",""),IF(AND(B62&gt;0,B62&lt;=MAX(CÁLCULO!$M$15:$M$33)),"F",""))</f>
        <v/>
      </c>
      <c r="B62" s="246">
        <f t="shared" ca="1" si="1"/>
        <v>47</v>
      </c>
      <c r="C62" s="513">
        <f ca="1">IF(AUTOEVENTO="Manual",IF($B62&gt;0,OFFSET(EVENTOS!$D$15,$B62-$B$15,0),0),IF(B62&lt;=MAX(CÁLCULO!$M$15:$M$33),VLOOKUP($B62,CÁLCULO!$M$15:$N$33,2,FALSE),0))</f>
        <v>0</v>
      </c>
      <c r="D62" s="553"/>
      <c r="E62" s="247"/>
      <c r="F62" t="str">
        <f t="shared" ca="1" si="2"/>
        <v/>
      </c>
      <c r="G62" s="552"/>
      <c r="H62" s="552"/>
      <c r="I62" s="552"/>
      <c r="J62" s="552"/>
      <c r="K62" s="552"/>
      <c r="L62" s="552"/>
      <c r="M62" s="552"/>
      <c r="N62" s="552"/>
      <c r="O62" s="552"/>
      <c r="P62" s="552"/>
      <c r="Q62" s="552"/>
      <c r="R62" s="552"/>
      <c r="S62" s="552"/>
      <c r="T62" s="552"/>
      <c r="U62" s="552"/>
      <c r="V62" s="552"/>
      <c r="W62" s="552"/>
      <c r="X62" s="552"/>
      <c r="Y62" s="552"/>
      <c r="Z62" s="552"/>
      <c r="AA62" s="552"/>
      <c r="AB62" s="552"/>
      <c r="AC62" s="552"/>
      <c r="AD62" s="552"/>
      <c r="AE62" s="552"/>
    </row>
    <row r="63" spans="1:31" x14ac:dyDescent="0.2">
      <c r="A63" s="7" t="str">
        <f ca="1">IF(AUTOEVENTO="Manual",IF(EVENTOS!$F63&gt;0,"F",""),IF(AND(B63&gt;0,B63&lt;=MAX(CÁLCULO!$M$15:$M$33)),"F",""))</f>
        <v/>
      </c>
      <c r="B63" s="246">
        <f t="shared" ca="1" si="1"/>
        <v>48</v>
      </c>
      <c r="C63" s="513">
        <f ca="1">IF(AUTOEVENTO="Manual",IF($B63&gt;0,OFFSET(EVENTOS!$D$15,$B63-$B$15,0),0),IF(B63&lt;=MAX(CÁLCULO!$M$15:$M$33),VLOOKUP($B63,CÁLCULO!$M$15:$N$33,2,FALSE),0))</f>
        <v>0</v>
      </c>
      <c r="D63" s="553"/>
      <c r="E63" s="247"/>
      <c r="F63" t="str">
        <f t="shared" ca="1" si="2"/>
        <v/>
      </c>
      <c r="G63" s="552"/>
      <c r="H63" s="552"/>
      <c r="I63" s="552"/>
      <c r="J63" s="552"/>
      <c r="K63" s="552"/>
      <c r="L63" s="552"/>
      <c r="M63" s="552"/>
      <c r="N63" s="552"/>
      <c r="O63" s="552"/>
      <c r="P63" s="552"/>
      <c r="Q63" s="552"/>
      <c r="R63" s="552"/>
      <c r="S63" s="552"/>
      <c r="T63" s="552"/>
      <c r="U63" s="552"/>
      <c r="V63" s="552"/>
      <c r="W63" s="552"/>
      <c r="X63" s="552"/>
      <c r="Y63" s="552"/>
      <c r="Z63" s="552"/>
      <c r="AA63" s="552"/>
      <c r="AB63" s="552"/>
      <c r="AC63" s="552"/>
      <c r="AD63" s="552"/>
      <c r="AE63" s="552"/>
    </row>
    <row r="64" spans="1:31" x14ac:dyDescent="0.2">
      <c r="A64" s="7" t="str">
        <f ca="1">IF(AUTOEVENTO="Manual",IF(EVENTOS!$F64&gt;0,"F",""),IF(AND(B64&gt;0,B64&lt;=MAX(CÁLCULO!$M$15:$M$33)),"F",""))</f>
        <v/>
      </c>
      <c r="B64" s="246">
        <f t="shared" ca="1" si="1"/>
        <v>49</v>
      </c>
      <c r="C64" s="513">
        <f ca="1">IF(AUTOEVENTO="Manual",IF($B64&gt;0,OFFSET(EVENTOS!$D$15,$B64-$B$15,0),0),IF(B64&lt;=MAX(CÁLCULO!$M$15:$M$33),VLOOKUP($B64,CÁLCULO!$M$15:$N$33,2,FALSE),0))</f>
        <v>0</v>
      </c>
      <c r="D64" s="553"/>
      <c r="E64" s="247"/>
      <c r="F64" t="str">
        <f t="shared" ca="1" si="2"/>
        <v/>
      </c>
      <c r="G64" s="552"/>
      <c r="H64" s="552"/>
      <c r="I64" s="552"/>
      <c r="J64" s="552"/>
      <c r="K64" s="552"/>
      <c r="L64" s="552"/>
      <c r="M64" s="552"/>
      <c r="N64" s="552"/>
      <c r="O64" s="552"/>
      <c r="P64" s="552"/>
      <c r="Q64" s="552"/>
      <c r="R64" s="552"/>
      <c r="S64" s="552"/>
      <c r="T64" s="552"/>
      <c r="U64" s="552"/>
      <c r="V64" s="552"/>
      <c r="W64" s="552"/>
      <c r="X64" s="552"/>
      <c r="Y64" s="552"/>
      <c r="Z64" s="552"/>
      <c r="AA64" s="552"/>
      <c r="AB64" s="552"/>
      <c r="AC64" s="552"/>
      <c r="AD64" s="552"/>
      <c r="AE64" s="552"/>
    </row>
    <row r="65" spans="1:31" ht="5.0999999999999996" customHeight="1" x14ac:dyDescent="0.2">
      <c r="A65" t="s">
        <v>536</v>
      </c>
      <c r="B65" s="637"/>
      <c r="C65" s="432"/>
      <c r="D65" s="554"/>
      <c r="E65" s="261"/>
      <c r="F65" s="261"/>
      <c r="G65" s="637"/>
      <c r="H65" s="638"/>
      <c r="I65" s="638"/>
      <c r="J65" s="638"/>
      <c r="K65" s="638"/>
      <c r="L65" s="638"/>
      <c r="M65" s="638"/>
      <c r="N65" s="638"/>
      <c r="O65" s="638"/>
      <c r="P65" s="638"/>
      <c r="Q65" s="638"/>
      <c r="R65" s="638"/>
      <c r="S65" s="638"/>
      <c r="T65" s="638"/>
      <c r="U65" s="638"/>
      <c r="V65" s="638"/>
      <c r="W65" s="638"/>
      <c r="X65" s="638"/>
      <c r="Y65" s="638"/>
      <c r="Z65" s="638"/>
      <c r="AA65" s="638"/>
      <c r="AB65" s="638"/>
      <c r="AC65" s="638"/>
      <c r="AD65" s="638"/>
      <c r="AE65" s="432"/>
    </row>
    <row r="66" spans="1:31" ht="6" customHeight="1" x14ac:dyDescent="0.2">
      <c r="A66" s="7" t="s">
        <v>536</v>
      </c>
    </row>
    <row r="67" spans="1:31" ht="15" x14ac:dyDescent="0.2">
      <c r="A67" s="7" t="s">
        <v>536</v>
      </c>
      <c r="C67" s="485" t="s">
        <v>779</v>
      </c>
      <c r="H67" s="754">
        <f>(ROW($G67)-ROW($G$67))/8*12+1</f>
        <v>1</v>
      </c>
      <c r="I67" s="754"/>
      <c r="J67" s="754">
        <f>H67+1</f>
        <v>2</v>
      </c>
      <c r="K67" s="754"/>
      <c r="L67" s="754">
        <f>J67+1</f>
        <v>3</v>
      </c>
      <c r="M67" s="754"/>
      <c r="N67" s="754">
        <f>L67+1</f>
        <v>4</v>
      </c>
      <c r="O67" s="754"/>
      <c r="P67" s="754">
        <f>N67+1</f>
        <v>5</v>
      </c>
      <c r="Q67" s="754"/>
      <c r="R67" s="754">
        <f>P67+1</f>
        <v>6</v>
      </c>
      <c r="S67" s="754"/>
      <c r="T67" s="754">
        <f>R67+1</f>
        <v>7</v>
      </c>
      <c r="U67" s="754"/>
      <c r="V67" s="754">
        <f>T67+1</f>
        <v>8</v>
      </c>
      <c r="W67" s="754"/>
      <c r="X67" s="754">
        <f>V67+1</f>
        <v>9</v>
      </c>
      <c r="Y67" s="754"/>
      <c r="Z67" s="754">
        <f>X67+1</f>
        <v>10</v>
      </c>
      <c r="AA67" s="754"/>
      <c r="AB67" s="754">
        <f>Z67+1</f>
        <v>11</v>
      </c>
      <c r="AC67" s="754"/>
      <c r="AD67" s="754">
        <f>AB67+1</f>
        <v>12</v>
      </c>
      <c r="AE67" s="754"/>
    </row>
    <row r="68" spans="1:31" ht="12.75" customHeight="1" x14ac:dyDescent="0.2">
      <c r="A68" s="7" t="s">
        <v>536</v>
      </c>
      <c r="C68" s="741" t="s">
        <v>780</v>
      </c>
      <c r="G68" s="550" t="s">
        <v>781</v>
      </c>
      <c r="H68" s="743" t="e">
        <f ca="1">OFFSET(CRONO!$T$36,0,CRONOPLE!H67)</f>
        <v>#DIV/0!</v>
      </c>
      <c r="I68" s="743"/>
      <c r="J68" s="743" t="e">
        <f ca="1">OFFSET(CRONO!$T$36,0,CRONOPLE!J67)</f>
        <v>#DIV/0!</v>
      </c>
      <c r="K68" s="743"/>
      <c r="L68" s="743" t="e">
        <f ca="1">OFFSET(CRONO!$T$36,0,CRONOPLE!L67)</f>
        <v>#DIV/0!</v>
      </c>
      <c r="M68" s="743"/>
      <c r="N68" s="743" t="e">
        <f ca="1">OFFSET(CRONO!$T$36,0,CRONOPLE!N67)</f>
        <v>#DIV/0!</v>
      </c>
      <c r="O68" s="743"/>
      <c r="P68" s="743" t="e">
        <f ca="1">OFFSET(CRONO!$T$36,0,CRONOPLE!P67)</f>
        <v>#DIV/0!</v>
      </c>
      <c r="Q68" s="743"/>
      <c r="R68" s="743" t="e">
        <f ca="1">OFFSET(CRONO!$T$36,0,CRONOPLE!R67)</f>
        <v>#DIV/0!</v>
      </c>
      <c r="S68" s="743"/>
      <c r="T68" s="743" t="e">
        <f ca="1">OFFSET(CRONO!$T$36,0,CRONOPLE!T67)</f>
        <v>#DIV/0!</v>
      </c>
      <c r="U68" s="743"/>
      <c r="V68" s="743" t="e">
        <f ca="1">OFFSET(CRONO!$T$36,0,CRONOPLE!V67)</f>
        <v>#DIV/0!</v>
      </c>
      <c r="W68" s="743"/>
      <c r="X68" s="743" t="e">
        <f ca="1">OFFSET(CRONO!$T$36,0,CRONOPLE!X67)</f>
        <v>#DIV/0!</v>
      </c>
      <c r="Y68" s="743"/>
      <c r="Z68" s="743" t="e">
        <f ca="1">OFFSET(CRONO!$T$36,0,CRONOPLE!Z67)</f>
        <v>#DIV/0!</v>
      </c>
      <c r="AA68" s="743"/>
      <c r="AB68" s="743" t="e">
        <f ca="1">OFFSET(CRONO!$T$36,0,CRONOPLE!AB67)</f>
        <v>#DIV/0!</v>
      </c>
      <c r="AC68" s="743"/>
      <c r="AD68" s="743" t="e">
        <f ca="1">OFFSET(CRONO!$T$36,0,CRONOPLE!AD67)</f>
        <v>#DIV/0!</v>
      </c>
      <c r="AE68" s="743"/>
    </row>
    <row r="69" spans="1:31" ht="12.75" customHeight="1" x14ac:dyDescent="0.2">
      <c r="A69" s="7" t="s">
        <v>536</v>
      </c>
      <c r="C69" s="756"/>
      <c r="G69" s="486" t="s">
        <v>782</v>
      </c>
      <c r="H69" s="757">
        <f ca="1">OFFSET(CRONO!$T$40,0,CRONOPLE!H67)</f>
        <v>0</v>
      </c>
      <c r="I69" s="757"/>
      <c r="J69" s="752">
        <f ca="1">OFFSET(CRONO!$T$40,0,CRONOPLE!J67)</f>
        <v>0</v>
      </c>
      <c r="K69" s="753"/>
      <c r="L69" s="752">
        <f ca="1">OFFSET(CRONO!$T$40,0,CRONOPLE!L67)</f>
        <v>0</v>
      </c>
      <c r="M69" s="753"/>
      <c r="N69" s="752">
        <f ca="1">OFFSET(CRONO!$T$40,0,CRONOPLE!N67)</f>
        <v>0</v>
      </c>
      <c r="O69" s="753"/>
      <c r="P69" s="752">
        <f ca="1">OFFSET(CRONO!$T$40,0,CRONOPLE!P67)</f>
        <v>0</v>
      </c>
      <c r="Q69" s="753"/>
      <c r="R69" s="752">
        <f ca="1">OFFSET(CRONO!$T$40,0,CRONOPLE!R67)</f>
        <v>0</v>
      </c>
      <c r="S69" s="753"/>
      <c r="T69" s="752">
        <f ca="1">OFFSET(CRONO!$T$40,0,CRONOPLE!T67)</f>
        <v>0</v>
      </c>
      <c r="U69" s="753"/>
      <c r="V69" s="752">
        <f ca="1">OFFSET(CRONO!$T$40,0,CRONOPLE!V67)</f>
        <v>0</v>
      </c>
      <c r="W69" s="753"/>
      <c r="X69" s="752">
        <f ca="1">OFFSET(CRONO!$T$40,0,CRONOPLE!X67)</f>
        <v>0</v>
      </c>
      <c r="Y69" s="753"/>
      <c r="Z69" s="752">
        <f ca="1">OFFSET(CRONO!$T$40,0,CRONOPLE!Z67)</f>
        <v>0</v>
      </c>
      <c r="AA69" s="753"/>
      <c r="AB69" s="752">
        <f ca="1">OFFSET(CRONO!$T$40,0,CRONOPLE!AB67)</f>
        <v>0</v>
      </c>
      <c r="AC69" s="753"/>
      <c r="AD69" s="752">
        <f ca="1">OFFSET(CRONO!$T$40,0,CRONOPLE!AD67)</f>
        <v>0</v>
      </c>
      <c r="AE69" s="753"/>
    </row>
    <row r="70" spans="1:31" ht="12.75" customHeight="1" x14ac:dyDescent="0.2">
      <c r="A70" s="7" t="s">
        <v>536</v>
      </c>
      <c r="C70" s="741" t="s">
        <v>783</v>
      </c>
      <c r="G70" s="550" t="s">
        <v>781</v>
      </c>
      <c r="H70" s="743" t="e">
        <f ca="1">OFFSET(CRONO!$T$41,0,CRONOPLE!H67)</f>
        <v>#DIV/0!</v>
      </c>
      <c r="I70" s="743"/>
      <c r="J70" s="746" t="e">
        <f ca="1">OFFSET(CRONO!$T$41,0,CRONOPLE!J67)</f>
        <v>#DIV/0!</v>
      </c>
      <c r="K70" s="747"/>
      <c r="L70" s="746" t="e">
        <f ca="1">OFFSET(CRONO!$T$41,0,CRONOPLE!L67)</f>
        <v>#DIV/0!</v>
      </c>
      <c r="M70" s="747"/>
      <c r="N70" s="746" t="e">
        <f ca="1">OFFSET(CRONO!$T$41,0,CRONOPLE!N67)</f>
        <v>#DIV/0!</v>
      </c>
      <c r="O70" s="747"/>
      <c r="P70" s="746" t="e">
        <f ca="1">OFFSET(CRONO!$T$41,0,CRONOPLE!P67)</f>
        <v>#DIV/0!</v>
      </c>
      <c r="Q70" s="747"/>
      <c r="R70" s="746" t="e">
        <f ca="1">OFFSET(CRONO!$T$41,0,CRONOPLE!R67)</f>
        <v>#DIV/0!</v>
      </c>
      <c r="S70" s="747"/>
      <c r="T70" s="746" t="e">
        <f ca="1">OFFSET(CRONO!$T$41,0,CRONOPLE!T67)</f>
        <v>#DIV/0!</v>
      </c>
      <c r="U70" s="747"/>
      <c r="V70" s="746" t="e">
        <f ca="1">OFFSET(CRONO!$T$41,0,CRONOPLE!V67)</f>
        <v>#DIV/0!</v>
      </c>
      <c r="W70" s="747"/>
      <c r="X70" s="746" t="e">
        <f ca="1">OFFSET(CRONO!$T$41,0,CRONOPLE!X67)</f>
        <v>#DIV/0!</v>
      </c>
      <c r="Y70" s="747"/>
      <c r="Z70" s="746" t="e">
        <f ca="1">OFFSET(CRONO!$T$41,0,CRONOPLE!Z67)</f>
        <v>#DIV/0!</v>
      </c>
      <c r="AA70" s="747"/>
      <c r="AB70" s="746" t="e">
        <f ca="1">OFFSET(CRONO!$T$41,0,CRONOPLE!AB67)</f>
        <v>#DIV/0!</v>
      </c>
      <c r="AC70" s="747"/>
      <c r="AD70" s="746" t="e">
        <f ca="1">OFFSET(CRONO!$T$41,0,CRONOPLE!AD67)</f>
        <v>#DIV/0!</v>
      </c>
      <c r="AE70" s="747"/>
    </row>
    <row r="71" spans="1:31" ht="12.75" customHeight="1" x14ac:dyDescent="0.2">
      <c r="A71" s="7" t="s">
        <v>536</v>
      </c>
      <c r="C71" s="742"/>
      <c r="G71" s="486" t="s">
        <v>782</v>
      </c>
      <c r="H71" s="751">
        <f ca="1">OFFSET(CRONO!$T$45,0,CRONOPLE!H67)</f>
        <v>0</v>
      </c>
      <c r="I71" s="751"/>
      <c r="J71" s="749">
        <f ca="1">OFFSET(CRONO!$T$45,0,CRONOPLE!J67)</f>
        <v>0</v>
      </c>
      <c r="K71" s="750"/>
      <c r="L71" s="749">
        <f ca="1">OFFSET(CRONO!$T$45,0,CRONOPLE!L67)</f>
        <v>0</v>
      </c>
      <c r="M71" s="750"/>
      <c r="N71" s="749">
        <f ca="1">OFFSET(CRONO!$T$45,0,CRONOPLE!N67)</f>
        <v>0</v>
      </c>
      <c r="O71" s="750"/>
      <c r="P71" s="749">
        <f ca="1">OFFSET(CRONO!$T$45,0,CRONOPLE!P67)</f>
        <v>0</v>
      </c>
      <c r="Q71" s="750"/>
      <c r="R71" s="749">
        <f ca="1">OFFSET(CRONO!$T$45,0,CRONOPLE!R67)</f>
        <v>0</v>
      </c>
      <c r="S71" s="750"/>
      <c r="T71" s="749">
        <f ca="1">OFFSET(CRONO!$T$45,0,CRONOPLE!T67)</f>
        <v>0</v>
      </c>
      <c r="U71" s="750"/>
      <c r="V71" s="749">
        <f ca="1">OFFSET(CRONO!$T$45,0,CRONOPLE!V67)</f>
        <v>0</v>
      </c>
      <c r="W71" s="750"/>
      <c r="X71" s="749">
        <f ca="1">OFFSET(CRONO!$T$45,0,CRONOPLE!X67)</f>
        <v>0</v>
      </c>
      <c r="Y71" s="750"/>
      <c r="Z71" s="749">
        <f ca="1">OFFSET(CRONO!$T$45,0,CRONOPLE!Z67)</f>
        <v>0</v>
      </c>
      <c r="AA71" s="750"/>
      <c r="AB71" s="749">
        <f ca="1">OFFSET(CRONO!$T$45,0,CRONOPLE!AB67)</f>
        <v>0</v>
      </c>
      <c r="AC71" s="750"/>
      <c r="AD71" s="749">
        <f ca="1">OFFSET(CRONO!$T$45,0,CRONOPLE!AD67)</f>
        <v>0</v>
      </c>
      <c r="AE71" s="750"/>
    </row>
    <row r="72" spans="1:31" ht="12.75" customHeight="1" x14ac:dyDescent="0.2">
      <c r="A72" s="7" t="s">
        <v>536</v>
      </c>
      <c r="C72" s="551" t="s">
        <v>784</v>
      </c>
      <c r="D72" s="549"/>
      <c r="G72" s="550" t="s">
        <v>781</v>
      </c>
      <c r="H72" s="743" t="e">
        <f ca="1">OFFSET(CRONO!$T$46,0,CRONOPLE!H67)</f>
        <v>#N/A</v>
      </c>
      <c r="I72" s="743"/>
      <c r="J72" s="744" t="e">
        <f ca="1">OFFSET(CRONO!$T$46,0,CRONOPLE!J67)</f>
        <v>#N/A</v>
      </c>
      <c r="K72" s="745"/>
      <c r="L72" s="744" t="e">
        <f ca="1">OFFSET(CRONO!$T$46,0,CRONOPLE!L67)</f>
        <v>#N/A</v>
      </c>
      <c r="M72" s="745"/>
      <c r="N72" s="744" t="e">
        <f ca="1">OFFSET(CRONO!$T$46,0,CRONOPLE!N67)</f>
        <v>#N/A</v>
      </c>
      <c r="O72" s="745"/>
      <c r="P72" s="744" t="e">
        <f ca="1">OFFSET(CRONO!$T$46,0,CRONOPLE!P67)</f>
        <v>#N/A</v>
      </c>
      <c r="Q72" s="745"/>
      <c r="R72" s="744" t="e">
        <f ca="1">OFFSET(CRONO!$T$46,0,CRONOPLE!R67)</f>
        <v>#N/A</v>
      </c>
      <c r="S72" s="745"/>
      <c r="T72" s="744" t="e">
        <f ca="1">OFFSET(CRONO!$T$46,0,CRONOPLE!T67)</f>
        <v>#N/A</v>
      </c>
      <c r="U72" s="745"/>
      <c r="V72" s="744" t="e">
        <f ca="1">OFFSET(CRONO!$T$46,0,CRONOPLE!V67)</f>
        <v>#N/A</v>
      </c>
      <c r="W72" s="745"/>
      <c r="X72" s="744" t="e">
        <f ca="1">OFFSET(CRONO!$T$46,0,CRONOPLE!X67)</f>
        <v>#N/A</v>
      </c>
      <c r="Y72" s="745"/>
      <c r="Z72" s="744" t="e">
        <f ca="1">OFFSET(CRONO!$T$46,0,CRONOPLE!Z67)</f>
        <v>#N/A</v>
      </c>
      <c r="AA72" s="745"/>
      <c r="AB72" s="744" t="e">
        <f ca="1">OFFSET(CRONO!$T$46,0,CRONOPLE!AB67)</f>
        <v>#N/A</v>
      </c>
      <c r="AC72" s="745"/>
      <c r="AD72" s="744" t="e">
        <f ca="1">OFFSET(CRONO!$T$46,0,CRONOPLE!AD67)</f>
        <v>#N/A</v>
      </c>
      <c r="AE72" s="745"/>
    </row>
    <row r="73" spans="1:31" ht="15" customHeight="1" x14ac:dyDescent="0.25">
      <c r="A73" s="7" t="s">
        <v>536</v>
      </c>
      <c r="C73" s="548"/>
      <c r="G73" s="582" t="str">
        <f ca="1">IF(COUNTIF(H73:AF73,"%Adm&gt;%Global")&gt;0,"Verificar proporcionalidade da Administração Local","")</f>
        <v/>
      </c>
      <c r="H73" s="534" t="e">
        <f ca="1">IF(H72="","",IF(ROUND(H72,4)&gt;ROUND(H70,4),"%Adm&gt;%Global",""))</f>
        <v>#N/A</v>
      </c>
      <c r="J73" s="534" t="e">
        <f t="shared" ref="J73" ca="1" si="3">IF(J72="","",IF(ROUND(J72,4)&gt;ROUND(J70,4),"%Adm&gt;%Global",""))</f>
        <v>#N/A</v>
      </c>
      <c r="L73" s="534" t="e">
        <f t="shared" ref="L73" ca="1" si="4">IF(L72="","",IF(ROUND(L72,4)&gt;ROUND(L70,4),"%Adm&gt;%Global",""))</f>
        <v>#N/A</v>
      </c>
      <c r="N73" s="534" t="e">
        <f t="shared" ref="N73" ca="1" si="5">IF(N72="","",IF(ROUND(N72,4)&gt;ROUND(N70,4),"%Adm&gt;%Global",""))</f>
        <v>#N/A</v>
      </c>
      <c r="P73" s="534" t="e">
        <f t="shared" ref="P73" ca="1" si="6">IF(P72="","",IF(ROUND(P72,4)&gt;ROUND(P70,4),"%Adm&gt;%Global",""))</f>
        <v>#N/A</v>
      </c>
      <c r="R73" s="534" t="e">
        <f t="shared" ref="R73" ca="1" si="7">IF(R72="","",IF(ROUND(R72,4)&gt;ROUND(R70,4),"%Adm&gt;%Global",""))</f>
        <v>#N/A</v>
      </c>
      <c r="T73" s="534" t="e">
        <f t="shared" ref="T73" ca="1" si="8">IF(T72="","",IF(ROUND(T72,4)&gt;ROUND(T70,4),"%Adm&gt;%Global",""))</f>
        <v>#N/A</v>
      </c>
      <c r="V73" s="534" t="e">
        <f t="shared" ref="V73" ca="1" si="9">IF(V72="","",IF(ROUND(V72,4)&gt;ROUND(V70,4),"%Adm&gt;%Global",""))</f>
        <v>#N/A</v>
      </c>
      <c r="X73" s="534" t="e">
        <f t="shared" ref="X73" ca="1" si="10">IF(X72="","",IF(ROUND(X72,4)&gt;ROUND(X70,4),"%Adm&gt;%Global",""))</f>
        <v>#N/A</v>
      </c>
      <c r="Z73" s="534" t="e">
        <f t="shared" ref="Z73" ca="1" si="11">IF(Z72="","",IF(ROUND(Z72,4)&gt;ROUND(Z70,4),"%Adm&gt;%Global",""))</f>
        <v>#N/A</v>
      </c>
      <c r="AB73" s="534" t="e">
        <f t="shared" ref="AB73" ca="1" si="12">IF(AB72="","",IF(ROUND(AB72,4)&gt;ROUND(AB70,4),"%Adm&gt;%Global",""))</f>
        <v>#N/A</v>
      </c>
      <c r="AD73" s="534" t="e">
        <f t="shared" ref="AD73" ca="1" si="13">IF(AD72="","",IF(ROUND(AD72,4)&gt;ROUND(AD70,4),"%Adm&gt;%Global",""))</f>
        <v>#N/A</v>
      </c>
    </row>
    <row r="74" spans="1:31" x14ac:dyDescent="0.2">
      <c r="A74" s="7" t="s">
        <v>536</v>
      </c>
    </row>
    <row r="75" spans="1:31" ht="15" x14ac:dyDescent="0.2">
      <c r="A75" s="7" t="s">
        <v>536</v>
      </c>
      <c r="B75" s="137" t="str">
        <f>Import.Município</f>
        <v>RS</v>
      </c>
      <c r="C75" s="137"/>
      <c r="E75" s="487"/>
      <c r="F75" s="487"/>
      <c r="G75" s="487"/>
      <c r="H75" s="487"/>
      <c r="I75" s="487"/>
      <c r="J75" s="487"/>
      <c r="K75" s="487"/>
      <c r="L75" s="487"/>
      <c r="V75" s="459"/>
      <c r="W75" s="416"/>
      <c r="X75" s="416"/>
      <c r="Y75" s="416"/>
      <c r="Z75" s="416"/>
      <c r="AA75" s="416"/>
      <c r="AB75" s="416"/>
      <c r="AC75" s="416"/>
      <c r="AD75" s="416"/>
      <c r="AE75" s="416"/>
    </row>
    <row r="76" spans="1:31" x14ac:dyDescent="0.2">
      <c r="A76" s="7" t="s">
        <v>536</v>
      </c>
      <c r="B76" s="9" t="s">
        <v>693</v>
      </c>
      <c r="F76" s="184"/>
      <c r="G76" s="184"/>
      <c r="H76" s="184"/>
      <c r="I76" s="184"/>
      <c r="J76" s="184"/>
      <c r="K76" s="184"/>
      <c r="L76" s="186"/>
      <c r="V76" s="180" t="s">
        <v>696</v>
      </c>
    </row>
    <row r="77" spans="1:31" x14ac:dyDescent="0.2">
      <c r="A77" s="7" t="s">
        <v>536</v>
      </c>
      <c r="F77" s="184"/>
      <c r="G77" s="184"/>
      <c r="H77" s="184"/>
      <c r="I77" s="184"/>
      <c r="J77" s="184"/>
      <c r="K77" s="184"/>
      <c r="L77" s="186"/>
      <c r="V77" s="397" t="str">
        <f t="array" aca="1" ref="V77:V79" ca="1">OFFSET(Import.RespOrçamento,0,-1) &amp; " " &amp; Import.RespOrçamento</f>
        <v>Nome: GABRIEL ADAMS DOMINGUES</v>
      </c>
    </row>
    <row r="78" spans="1:31" ht="16.5" x14ac:dyDescent="0.3">
      <c r="A78" s="7" t="s">
        <v>536</v>
      </c>
      <c r="B78" s="748">
        <f>DADOS!$C$25</f>
        <v>46252</v>
      </c>
      <c r="C78" s="748"/>
      <c r="F78" s="184"/>
      <c r="G78" s="184"/>
      <c r="H78" s="184"/>
      <c r="I78" s="184"/>
      <c r="J78" s="184"/>
      <c r="K78" s="184"/>
      <c r="L78" s="186"/>
      <c r="V78" s="397" t="str">
        <f ca="1"/>
        <v>CREA/CAU: CREA RS 247738</v>
      </c>
    </row>
    <row r="79" spans="1:31" x14ac:dyDescent="0.2">
      <c r="A79" s="7" t="s">
        <v>536</v>
      </c>
      <c r="B79" s="9" t="s">
        <v>694</v>
      </c>
      <c r="F79" s="184"/>
      <c r="G79" s="184"/>
      <c r="H79" s="184"/>
      <c r="I79" s="184"/>
      <c r="J79" s="184"/>
      <c r="K79" s="184"/>
      <c r="L79" s="186"/>
      <c r="V79" s="397" t="str">
        <f ca="1"/>
        <v>ART/RRT: 14574615</v>
      </c>
    </row>
  </sheetData>
  <sheetProtection algorithmName="SHA-512" hashValue="hq0/sfDZ/I3pTr6q/DvZ5qVZKPQDeMs9bulBziMU2kI2wT68rYnXScST3PPJqC4FBqnsozCVmhnV/XjJMIvf3A==" saltValue="/E5tn9LCy5NNduBUrRXFFw==" spinCount="100000" sheet="1" objects="1" scenarios="1" autoFilter="0"/>
  <autoFilter ref="A13:A79"/>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205" priority="814" stopIfTrue="1">
      <formula>IF(OR(E$12&gt;CÁLCULO.NúmeroDeFrentes,ACOMPANHAMENTO="BM"),TRUE,CRONOPLE.ValorDoEvento=0)</formula>
    </cfRule>
  </conditionalFormatting>
  <conditionalFormatting sqref="U4:Y4">
    <cfRule type="expression" dxfId="204" priority="704" stopIfTrue="1">
      <formula>QCI.ExisteManual</formula>
    </cfRule>
  </conditionalFormatting>
  <conditionalFormatting sqref="J67:AE67">
    <cfRule type="expression" dxfId="203" priority="703" stopIfTrue="1">
      <formula>OFFSET(J67,3,-2)=1</formula>
    </cfRule>
  </conditionalFormatting>
  <conditionalFormatting sqref="J68:AE68">
    <cfRule type="expression" dxfId="202" priority="698" stopIfTrue="1">
      <formula>OFFSET(J68,2,-2)=1</formula>
    </cfRule>
  </conditionalFormatting>
  <conditionalFormatting sqref="J69:AE69">
    <cfRule type="expression" dxfId="201" priority="697" stopIfTrue="1">
      <formula>OFFSET(J69,1,-2)=1</formula>
    </cfRule>
  </conditionalFormatting>
  <conditionalFormatting sqref="J70:AE70">
    <cfRule type="expression" dxfId="200" priority="696" stopIfTrue="1">
      <formula>OFFSET(J70,0,-2)=1</formula>
    </cfRule>
  </conditionalFormatting>
  <conditionalFormatting sqref="J71:AE71">
    <cfRule type="expression" dxfId="199" priority="695" stopIfTrue="1">
      <formula>OFFSET(J71,-1,-2)=1</formula>
    </cfRule>
  </conditionalFormatting>
  <conditionalFormatting sqref="B15:C15 E15 G15:AF15">
    <cfRule type="expression" dxfId="198" priority="519">
      <formula>$B$15=0</formula>
    </cfRule>
  </conditionalFormatting>
  <conditionalFormatting sqref="B8:C8">
    <cfRule type="expression" dxfId="197" priority="518">
      <formula>$B$7=""</formula>
    </cfRule>
  </conditionalFormatting>
  <conditionalFormatting sqref="J72:AE72">
    <cfRule type="expression" dxfId="196" priority="517">
      <formula>OFFSET(J72,-2,-2)=1</formula>
    </cfRule>
  </conditionalFormatting>
  <conditionalFormatting sqref="H72:AE72">
    <cfRule type="expression" dxfId="195" priority="516">
      <formula>ROUND(H72,4)&gt;ROUND(H70,4)</formula>
    </cfRule>
  </conditionalFormatting>
  <conditionalFormatting sqref="E16:E24 G16:AE24">
    <cfRule type="expression" dxfId="194" priority="6" stopIfTrue="1">
      <formula>IF(OR(E$12&gt;CÁLCULO.NúmeroDeFrentes,ACOMPANHAMENTO="BM"),TRUE,CRONOPLE.ValorDoEvento=0)</formula>
    </cfRule>
  </conditionalFormatting>
  <conditionalFormatting sqref="E25:E33 G25:AE33">
    <cfRule type="expression" dxfId="193" priority="5" stopIfTrue="1">
      <formula>IF(OR(E$12&gt;CÁLCULO.NúmeroDeFrentes,ACOMPANHAMENTO="BM"),TRUE,CRONOPLE.ValorDoEvento=0)</formula>
    </cfRule>
  </conditionalFormatting>
  <conditionalFormatting sqref="E34:E42 G34:AE42">
    <cfRule type="expression" dxfId="192" priority="4" stopIfTrue="1">
      <formula>IF(OR(E$12&gt;CÁLCULO.NúmeroDeFrentes,ACOMPANHAMENTO="BM"),TRUE,CRONOPLE.ValorDoEvento=0)</formula>
    </cfRule>
  </conditionalFormatting>
  <conditionalFormatting sqref="E43:E51 G43:AE51">
    <cfRule type="expression" dxfId="191" priority="3" stopIfTrue="1">
      <formula>IF(OR(E$12&gt;CÁLCULO.NúmeroDeFrentes,ACOMPANHAMENTO="BM"),TRUE,CRONOPLE.ValorDoEvento=0)</formula>
    </cfRule>
  </conditionalFormatting>
  <conditionalFormatting sqref="E52:E60 G52:AE60">
    <cfRule type="expression" dxfId="190" priority="2" stopIfTrue="1">
      <formula>IF(OR(E$12&gt;CÁLCULO.NúmeroDeFrentes,ACOMPANHAMENTO="BM"),TRUE,CRONOPLE.ValorDoEvento=0)</formula>
    </cfRule>
  </conditionalFormatting>
  <conditionalFormatting sqref="E61:E64 G61:AE64">
    <cfRule type="expression" dxfId="189"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formula1>0</formula1>
      <formula2>0</formula2>
    </dataValidation>
    <dataValidation type="list" allowBlank="1" showInputMessage="1" showErrorMessage="1" errorTitle="Atenção" error="Selecione uma opção da lista." prompt="Selecione uma opção da lista." sqref="B8:C8">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9" filterMode="1"/>
  <dimension ref="A1:AG52"/>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5" hidden="1" customWidth="1"/>
    <col min="2" max="4" width="9.140625" style="184" hidden="1" customWidth="1"/>
    <col min="5" max="5" width="11" style="185" hidden="1" customWidth="1"/>
    <col min="6" max="6" width="19" style="184" hidden="1" customWidth="1"/>
    <col min="7" max="7" width="3.5703125" style="185" customWidth="1"/>
    <col min="8" max="8" width="12.5703125" style="184" customWidth="1"/>
    <col min="9" max="9" width="7.140625" style="185" customWidth="1"/>
    <col min="10" max="10" width="11.5703125" style="185" customWidth="1"/>
    <col min="11" max="11" width="12" style="185" customWidth="1"/>
    <col min="12" max="12" width="11" style="185" customWidth="1"/>
    <col min="13" max="18" width="9.140625" style="184" hidden="1" customWidth="1"/>
    <col min="19" max="19" width="11.42578125" style="186" customWidth="1"/>
    <col min="20" max="20" width="9.5703125" style="186" customWidth="1"/>
    <col min="21" max="32" width="11" style="185" customWidth="1"/>
    <col min="33" max="33" width="5.5703125" style="185" hidden="1" customWidth="1"/>
    <col min="34" max="16384" width="9.140625" style="185"/>
  </cols>
  <sheetData>
    <row r="1" spans="1:33" hidden="1" x14ac:dyDescent="0.2">
      <c r="A1" s="185" t="e">
        <f ca="1">IF($M1&gt;1,_xlfn.CONCAT($I1," ",$J1),"")</f>
        <v>#REF!</v>
      </c>
      <c r="B1" s="184" t="e">
        <f ca="1">OFFSET(B1,-3,0)+1</f>
        <v>#REF!</v>
      </c>
      <c r="C1" s="184" t="e">
        <f ca="1">IF($R1&lt;&gt;2,0,IF($S1=0,1,IF(F2&gt;0,OFFSET(QCI!$M$13,SUBSTITUTE(F2,".",""),0),OFFSET(ORÇAMENTO!$AA$15,CRONO!$F1,0))/$S1))</f>
        <v>#REF!</v>
      </c>
      <c r="D1" s="184" t="e">
        <f ca="1">IF($R1&lt;&gt;2,0,IF($S1=0,1,IF(F2&gt;0,OFFSET(QCI!$N$13,SUBSTITUTE(F2,".",""),0),OFFSET(ORÇAMENTO!$AB$15,CRONO!$F1,0))/$S1))</f>
        <v>#REF!</v>
      </c>
      <c r="E1" s="187" t="e" cm="1">
        <f t="array" aca="1" ref="E1" ca="1">IF(AND($R1=2,ACOMPANHAMENTO="BM"),ROUND(E2,4),E3/$S1)</f>
        <v>#REF!</v>
      </c>
      <c r="F1" s="184" t="e" cm="1">
        <f t="array" aca="1" ref="F1" ca="1">IF(B1&lt;=ORÇAMENTO.MáximoListaCrono,MATCH(B1,ORÇAMENTO.ListaCrono,0),NA())</f>
        <v>#REF!</v>
      </c>
      <c r="G1" s="184" t="e">
        <f ca="1">IF(AND($F2&lt;&gt;-1,$S1&gt;0),"F","")</f>
        <v>#REF!</v>
      </c>
      <c r="H1" s="188" t="e" cm="1">
        <f t="array" aca="1" ref="H1" ca="1">IF(OR(S1=0,S1=""),"Linha",IF(AND(OR(ACOMPANHAMENTO="PLE",$R1&lt;&gt;2),$F2=0),"Linha",ROUND(1-SUM(U1:AG1),4)))</f>
        <v>#REF!</v>
      </c>
      <c r="I1" s="189" t="e">
        <f ca="1">IF($F2=0,OFFSET(ORÇAMENTO!O$15,$F1,0),IF($F2&lt;&gt;-1,OFFSET(QCI!$D$13,$F2,0),""))</f>
        <v>#REF!</v>
      </c>
      <c r="J1" s="190" t="e">
        <f ca="1">IF($F2=0,OFFSET(ORÇAMENTO!R$15,$F1,0),IF($F2&lt;&gt;-1,OFFSET(QCI!$G$13,$F2,0),""))</f>
        <v>#REF!</v>
      </c>
      <c r="K1" s="190"/>
      <c r="L1" s="190"/>
      <c r="M1" s="191" t="e">
        <f ca="1">IF($F2=0,OFFSET(ORÇAMENTO!C$15,$F1,0),1)</f>
        <v>#REF!</v>
      </c>
      <c r="N1" s="192" t="e">
        <f ca="1">IF($F2=-1,0,IF(N$13&lt;=$M1,IF(ISERROR(MATCH(N$13,OFFSET($M1,1,0,ROW($M$35)-ROW($M1)-1),0)),ROW($M$35)-ROW($M1)-1,MATCH(N$13,OFFSET($M1,1,0,ROW($M$35)-ROW($M1)-1),0)-1),0))</f>
        <v>#REF!</v>
      </c>
      <c r="O1" s="192" t="e">
        <f ca="1">IF($F2=-1,0,IF(O$13&lt;=$M1,IF(ISERROR(MATCH(O$13,OFFSET($M1,1,0,ROW($M$35)-ROW($M1)-1),0)),ROW($M$35)-ROW($M1)-1,MATCH(O$13,OFFSET($M1,1,0,ROW($M$35)-ROW($M1)-1),0)-1),0))</f>
        <v>#REF!</v>
      </c>
      <c r="P1" s="192" t="e">
        <f ca="1">IF($F2=-1,0,IF(P$13&lt;=$M1,IF(ISERROR(MATCH(P$13,OFFSET($M1,1,0,ROW($M$35)-ROW($M1)-1),0)),ROW($M$35)-ROW($M1)-1,MATCH(P$13,OFFSET($M1,1,0,ROW($M$35)-ROW($M1)-1),0)-1),0))</f>
        <v>#REF!</v>
      </c>
      <c r="Q1" s="192" t="e">
        <f ca="1">IF($F2=-1,0,IF(Q$13&lt;=$M1,IF(ISERROR(MATCH(Q$13,OFFSET($M1,1,0,ROW($M$35)-ROW($M1)-1),0)),ROW($M$35)-ROW($M1)-1,MATCH(Q$13,OFFSET($M1,1,0,ROW($M$35)-ROW($M1)-1),0)-1),0))</f>
        <v>#REF!</v>
      </c>
      <c r="R1" s="192" t="e">
        <f ca="1">MIN(OFFSET(M1,0,1,,M1))</f>
        <v>#REF!</v>
      </c>
      <c r="S1" s="193" t="e">
        <f ca="1">IF($F2=0,OFFSET(ORÇAMENTO!X$15,$F1,0),IF($F2&lt;&gt;-1,OFFSET(QCI!$O$13,$F2,0),""))</f>
        <v>#REF!</v>
      </c>
      <c r="T1" s="194" t="s">
        <v>785</v>
      </c>
      <c r="U1" s="187" t="e" cm="1">
        <f t="array" aca="1" ref="U1" ca="1">IF(AND($R1=2,ACOMPANHAMENTO="BM"),ROUND(U2,4),U3/$S1)</f>
        <v>#REF!</v>
      </c>
      <c r="V1" s="187" t="e" cm="1">
        <f t="array" aca="1" ref="V1" ca="1">IF(AND($R1=2,ACOMPANHAMENTO="BM"),ROUND(V2,4),V3/$S1)</f>
        <v>#REF!</v>
      </c>
      <c r="W1" s="187" t="e" cm="1">
        <f t="array" aca="1" ref="W1" ca="1">IF(AND($R1=2,ACOMPANHAMENTO="BM"),ROUND(W2,4),W3/$S1)</f>
        <v>#REF!</v>
      </c>
      <c r="X1" s="187" t="e" cm="1">
        <f t="array" aca="1" ref="X1" ca="1">IF(AND($R1=2,ACOMPANHAMENTO="BM"),ROUND(X2,4),X3/$S1)</f>
        <v>#REF!</v>
      </c>
      <c r="Y1" s="187" t="e" cm="1">
        <f t="array" aca="1" ref="Y1" ca="1">IF(AND($R1=2,ACOMPANHAMENTO="BM"),ROUND(Y2,4),Y3/$S1)</f>
        <v>#REF!</v>
      </c>
      <c r="Z1" s="187" t="e" cm="1">
        <f t="array" aca="1" ref="Z1" ca="1">IF(AND($R1=2,ACOMPANHAMENTO="BM"),ROUND(Z2,4),Z3/$S1)</f>
        <v>#REF!</v>
      </c>
      <c r="AA1" s="187" t="e" cm="1">
        <f t="array" aca="1" ref="AA1" ca="1">IF(AND($R1=2,ACOMPANHAMENTO="BM"),ROUND(AA2,4),AA3/$S1)</f>
        <v>#REF!</v>
      </c>
      <c r="AB1" s="187" t="e" cm="1">
        <f t="array" aca="1" ref="AB1" ca="1">IF(AND($R1=2,ACOMPANHAMENTO="BM"),ROUND(AB2,4),AB3/$S1)</f>
        <v>#REF!</v>
      </c>
      <c r="AC1" s="187" t="e" cm="1">
        <f t="array" aca="1" ref="AC1" ca="1">IF(AND($R1=2,ACOMPANHAMENTO="BM"),ROUND(AC2,4),AC3/$S1)</f>
        <v>#REF!</v>
      </c>
      <c r="AD1" s="187" t="e" cm="1">
        <f t="array" aca="1" ref="AD1" ca="1">IF(AND($R1=2,ACOMPANHAMENTO="BM"),ROUND(AD2,4),AD3/$S1)</f>
        <v>#REF!</v>
      </c>
      <c r="AE1" s="187" t="e" cm="1">
        <f t="array" aca="1" ref="AE1" ca="1">IF(AND($R1=2,ACOMPANHAMENTO="BM"),ROUND(AE2,4),AE3/$S1)</f>
        <v>#REF!</v>
      </c>
      <c r="AF1" s="187" t="e" cm="1">
        <f t="array" aca="1" ref="AF1" ca="1">IF(AND($R1=2,ACOMPANHAMENTO="BM"),ROUND(AF2,4),AF3/$S1)</f>
        <v>#REF!</v>
      </c>
      <c r="AG1" s="533"/>
    </row>
    <row r="2" spans="1:33" ht="12.75" hidden="1" customHeight="1" x14ac:dyDescent="0.2">
      <c r="E2" s="586"/>
      <c r="F2" s="184" t="e">
        <f ca="1">IF(ISERROR(F1),IF(1+COUNTIF($M$13:OFFSET(M1,-1,0),1)&lt;=MAX(QCI!$D$13:$D$24),1+COUNTIF($M$13:OFFSET(M1,-1,0),1),-1),0)</f>
        <v>#REF!</v>
      </c>
      <c r="G2" s="184" t="e" cm="1">
        <f t="array" aca="1" ref="G2" ca="1">IF(ACOMPANHAMENTO="BM",OFFSET(G2,-1,0),"")</f>
        <v>#REF!</v>
      </c>
      <c r="H2" s="195" t="e" cm="1">
        <f t="array" aca="1" ref="H2" ca="1">IF(OR(S1=0,S1=""),"vazia",IF(AND(OR(ACOMPANHAMENTO="PLE",$R1&lt;&gt;2),$F2=0),"calculada","--&gt;"))</f>
        <v>#REF!</v>
      </c>
      <c r="I2" s="196"/>
      <c r="J2" s="197" t="e">
        <f ca="1">IF(AND(H1&lt;&gt;0,ISNUMBER(H1)),"PREENCHA ESTA LINHA --&gt;","")</f>
        <v>#REF!</v>
      </c>
      <c r="K2" s="197"/>
      <c r="L2" s="197"/>
      <c r="M2" s="198"/>
      <c r="N2" s="198"/>
      <c r="O2" s="198"/>
      <c r="P2" s="198"/>
      <c r="Q2" s="198"/>
      <c r="R2" s="198"/>
      <c r="S2" s="199"/>
      <c r="T2" s="200"/>
      <c r="U2" s="586"/>
      <c r="V2" s="586"/>
      <c r="W2" s="586"/>
      <c r="X2" s="586"/>
      <c r="Y2" s="586"/>
      <c r="Z2" s="586"/>
      <c r="AA2" s="586"/>
      <c r="AB2" s="586"/>
      <c r="AC2" s="586"/>
      <c r="AD2" s="586"/>
      <c r="AE2" s="586"/>
      <c r="AF2" s="586"/>
      <c r="AG2" s="533"/>
    </row>
    <row r="3" spans="1:33" ht="12.75" hidden="1" customHeight="1" x14ac:dyDescent="0.2">
      <c r="D3" s="532"/>
      <c r="E3" s="201" t="e" cm="1">
        <f t="array" aca="1" ref="E3" ca="1">IF($R1=2,
         IF(AND(ACOMPANHAMENTO="PLE",ISNUMBER($F1)),
                SUMIF((OFFSET(CÁLCULO!$AM$15:$AW$15,$F1,0,OFFSET(ORÇAMENTO!$D$15,CRONO!$F1,0))),CRONO!E$12,OFFSET(CÁLCULO!$AB$15:$AL$15,$F1,0,OFFSET(ORÇAMENTO!$D$15,CRONO!$F1,0)))
                +IF(AND($F3&lt;&gt;"",$F3&lt;&gt;0),
                        SUMIF(CÁLCULO!$AM$15:$AW$33,CRONO!E$12,CÁLCULO!$AB$15:$AL$33)/(ORÇAMENTO!$X$15-CÁLCULO.TotalAdmLocal)*CRONO!$F3,
                        0),
                 E2*$S1),
          SUMIF(OFFSET($S3,1,0,$R1-2),($M1+1)&amp;"$",OFFSET(E3,1,0,$R1-2)))</f>
        <v>#REF!</v>
      </c>
      <c r="F3" s="184" t="e">
        <f ca="1">IF(OR($R1&lt;&gt;2,AUTOEVENTO&lt;&gt;"manual",$F2&gt;0),"",
        IF(Import.TipoArredondamento="Tradicional",
              SUMIF(OFFSET(CÁLCULO!$M$15,CRONO!$F1,0,OFFSET(ORÇAMENTO!$D$15,CRONO!$F1,0)),1,OFFSET(ORÇAMENTO!$X$15,CRONO!$F1,0,OFFSET(ORÇAMENTO!$D$15,CRONO!$F1,0))),
              0))</f>
        <v>#REF!</v>
      </c>
      <c r="H3" s="202"/>
      <c r="S3" s="203" t="e">
        <f ca="1">M1&amp;"$"</f>
        <v>#REF!</v>
      </c>
      <c r="T3" s="204"/>
      <c r="U3" s="201" t="e" cm="1">
        <f t="array" aca="1" ref="U3" ca="1">IF($R1=2,
         IF(AND(ACOMPANHAMENTO="PLE",ISNUMBER($F1)),
                SUMIF((OFFSET(CÁLCULO!$AM$15:$AW$15,$F1,0,OFFSET(ORÇAMENTO!$D$15,CRONO!$F1,0))),CRONO!U$12,OFFSET(CÁLCULO!$AB$15:$AL$15,$F1,0,OFFSET(ORÇAMENTO!$D$15,CRONO!$F1,0)))
                +IF(AND($F3&lt;&gt;"",$F3&lt;&gt;0),
                        SUMIF(CÁLCULO!$AM$15:$AW$33,CRONO!U$12,CÁLCULO!$AB$15:$AL$33)/(ORÇAMENTO!$X$15-CÁLCULO.TotalAdmLocal)*CRONO!$F3,
                        0),
                 U2*$S1),
          SUMIF(OFFSET($S3,1,0,$R1-2),($M1+1)&amp;"$",OFFSET(U3,1,0,$R1-2)))</f>
        <v>#REF!</v>
      </c>
      <c r="V3" s="201" t="e" cm="1">
        <f t="array" aca="1" ref="V3" ca="1">IF($R1=2,
         IF(AND(ACOMPANHAMENTO="PLE",ISNUMBER($F1)),
                SUMIF((OFFSET(CÁLCULO!$AM$15:$AW$15,$F1,0,OFFSET(ORÇAMENTO!$D$15,CRONO!$F1,0))),CRONO!V$12,OFFSET(CÁLCULO!$AB$15:$AL$15,$F1,0,OFFSET(ORÇAMENTO!$D$15,CRONO!$F1,0)))
                +IF(AND($F3&lt;&gt;"",$F3&lt;&gt;0),
                        SUMIF(CÁLCULO!$AM$15:$AW$33,CRONO!V$12,CÁLCULO!$AB$15:$AL$33)/(ORÇAMENTO!$X$15-CÁLCULO.TotalAdmLocal)*CRONO!$F3,
                        0),
                 V2*$S1),
          SUMIF(OFFSET($S3,1,0,$R1-2),($M1+1)&amp;"$",OFFSET(V3,1,0,$R1-2)))</f>
        <v>#REF!</v>
      </c>
      <c r="W3" s="201" t="e" cm="1">
        <f t="array" aca="1" ref="W3" ca="1">IF($R1=2,
         IF(AND(ACOMPANHAMENTO="PLE",ISNUMBER($F1)),
                SUMIF((OFFSET(CÁLCULO!$AM$15:$AW$15,$F1,0,OFFSET(ORÇAMENTO!$D$15,CRONO!$F1,0))),CRONO!W$12,OFFSET(CÁLCULO!$AB$15:$AL$15,$F1,0,OFFSET(ORÇAMENTO!$D$15,CRONO!$F1,0)))
                +IF(AND($F3&lt;&gt;"",$F3&lt;&gt;0),
                        SUMIF(CÁLCULO!$AM$15:$AW$33,CRONO!W$12,CÁLCULO!$AB$15:$AL$33)/(ORÇAMENTO!$X$15-CÁLCULO.TotalAdmLocal)*CRONO!$F3,
                        0),
                 W2*$S1),
          SUMIF(OFFSET($S3,1,0,$R1-2),($M1+1)&amp;"$",OFFSET(W3,1,0,$R1-2)))</f>
        <v>#REF!</v>
      </c>
      <c r="X3" s="201" t="e" cm="1">
        <f t="array" aca="1" ref="X3" ca="1">IF($R1=2,
         IF(AND(ACOMPANHAMENTO="PLE",ISNUMBER($F1)),
                SUMIF((OFFSET(CÁLCULO!$AM$15:$AW$15,$F1,0,OFFSET(ORÇAMENTO!$D$15,CRONO!$F1,0))),CRONO!X$12,OFFSET(CÁLCULO!$AB$15:$AL$15,$F1,0,OFFSET(ORÇAMENTO!$D$15,CRONO!$F1,0)))
                +IF(AND($F3&lt;&gt;"",$F3&lt;&gt;0),
                        SUMIF(CÁLCULO!$AM$15:$AW$33,CRONO!X$12,CÁLCULO!$AB$15:$AL$33)/(ORÇAMENTO!$X$15-CÁLCULO.TotalAdmLocal)*CRONO!$F3,
                        0),
                 X2*$S1),
          SUMIF(OFFSET($S3,1,0,$R1-2),($M1+1)&amp;"$",OFFSET(X3,1,0,$R1-2)))</f>
        <v>#REF!</v>
      </c>
      <c r="Y3" s="201" t="e" cm="1">
        <f t="array" aca="1" ref="Y3" ca="1">IF($R1=2,
         IF(AND(ACOMPANHAMENTO="PLE",ISNUMBER($F1)),
                SUMIF((OFFSET(CÁLCULO!$AM$15:$AW$15,$F1,0,OFFSET(ORÇAMENTO!$D$15,CRONO!$F1,0))),CRONO!Y$12,OFFSET(CÁLCULO!$AB$15:$AL$15,$F1,0,OFFSET(ORÇAMENTO!$D$15,CRONO!$F1,0)))
                +IF(AND($F3&lt;&gt;"",$F3&lt;&gt;0),
                        SUMIF(CÁLCULO!$AM$15:$AW$33,CRONO!Y$12,CÁLCULO!$AB$15:$AL$33)/(ORÇAMENTO!$X$15-CÁLCULO.TotalAdmLocal)*CRONO!$F3,
                        0),
                 Y2*$S1),
          SUMIF(OFFSET($S3,1,0,$R1-2),($M1+1)&amp;"$",OFFSET(Y3,1,0,$R1-2)))</f>
        <v>#REF!</v>
      </c>
      <c r="Z3" s="201" t="e" cm="1">
        <f t="array" aca="1" ref="Z3" ca="1">IF($R1=2,
         IF(AND(ACOMPANHAMENTO="PLE",ISNUMBER($F1)),
                SUMIF((OFFSET(CÁLCULO!$AM$15:$AW$15,$F1,0,OFFSET(ORÇAMENTO!$D$15,CRONO!$F1,0))),CRONO!Z$12,OFFSET(CÁLCULO!$AB$15:$AL$15,$F1,0,OFFSET(ORÇAMENTO!$D$15,CRONO!$F1,0)))
                +IF(AND($F3&lt;&gt;"",$F3&lt;&gt;0),
                        SUMIF(CÁLCULO!$AM$15:$AW$33,CRONO!Z$12,CÁLCULO!$AB$15:$AL$33)/(ORÇAMENTO!$X$15-CÁLCULO.TotalAdmLocal)*CRONO!$F3,
                        0),
                 Z2*$S1),
          SUMIF(OFFSET($S3,1,0,$R1-2),($M1+1)&amp;"$",OFFSET(Z3,1,0,$R1-2)))</f>
        <v>#REF!</v>
      </c>
      <c r="AA3" s="201" t="e" cm="1">
        <f t="array" aca="1" ref="AA3" ca="1">IF($R1=2,
         IF(AND(ACOMPANHAMENTO="PLE",ISNUMBER($F1)),
                SUMIF((OFFSET(CÁLCULO!$AM$15:$AW$15,$F1,0,OFFSET(ORÇAMENTO!$D$15,CRONO!$F1,0))),CRONO!AA$12,OFFSET(CÁLCULO!$AB$15:$AL$15,$F1,0,OFFSET(ORÇAMENTO!$D$15,CRONO!$F1,0)))
                +IF(AND($F3&lt;&gt;"",$F3&lt;&gt;0),
                        SUMIF(CÁLCULO!$AM$15:$AW$33,CRONO!AA$12,CÁLCULO!$AB$15:$AL$33)/(ORÇAMENTO!$X$15-CÁLCULO.TotalAdmLocal)*CRONO!$F3,
                        0),
                 AA2*$S1),
          SUMIF(OFFSET($S3,1,0,$R1-2),($M1+1)&amp;"$",OFFSET(AA3,1,0,$R1-2)))</f>
        <v>#REF!</v>
      </c>
      <c r="AB3" s="201" t="e" cm="1">
        <f t="array" aca="1" ref="AB3" ca="1">IF($R1=2,
         IF(AND(ACOMPANHAMENTO="PLE",ISNUMBER($F1)),
                SUMIF((OFFSET(CÁLCULO!$AM$15:$AW$15,$F1,0,OFFSET(ORÇAMENTO!$D$15,CRONO!$F1,0))),CRONO!AB$12,OFFSET(CÁLCULO!$AB$15:$AL$15,$F1,0,OFFSET(ORÇAMENTO!$D$15,CRONO!$F1,0)))
                +IF(AND($F3&lt;&gt;"",$F3&lt;&gt;0),
                        SUMIF(CÁLCULO!$AM$15:$AW$33,CRONO!AB$12,CÁLCULO!$AB$15:$AL$33)/(ORÇAMENTO!$X$15-CÁLCULO.TotalAdmLocal)*CRONO!$F3,
                        0),
                 AB2*$S1),
          SUMIF(OFFSET($S3,1,0,$R1-2),($M1+1)&amp;"$",OFFSET(AB3,1,0,$R1-2)))</f>
        <v>#REF!</v>
      </c>
      <c r="AC3" s="201" t="e" cm="1">
        <f t="array" aca="1" ref="AC3" ca="1">IF($R1=2,
         IF(AND(ACOMPANHAMENTO="PLE",ISNUMBER($F1)),
                SUMIF((OFFSET(CÁLCULO!$AM$15:$AW$15,$F1,0,OFFSET(ORÇAMENTO!$D$15,CRONO!$F1,0))),CRONO!AC$12,OFFSET(CÁLCULO!$AB$15:$AL$15,$F1,0,OFFSET(ORÇAMENTO!$D$15,CRONO!$F1,0)))
                +IF(AND($F3&lt;&gt;"",$F3&lt;&gt;0),
                        SUMIF(CÁLCULO!$AM$15:$AW$33,CRONO!AC$12,CÁLCULO!$AB$15:$AL$33)/(ORÇAMENTO!$X$15-CÁLCULO.TotalAdmLocal)*CRONO!$F3,
                        0),
                 AC2*$S1),
          SUMIF(OFFSET($S3,1,0,$R1-2),($M1+1)&amp;"$",OFFSET(AC3,1,0,$R1-2)))</f>
        <v>#REF!</v>
      </c>
      <c r="AD3" s="201" t="e" cm="1">
        <f t="array" aca="1" ref="AD3" ca="1">IF($R1=2,
         IF(AND(ACOMPANHAMENTO="PLE",ISNUMBER($F1)),
                SUMIF((OFFSET(CÁLCULO!$AM$15:$AW$15,$F1,0,OFFSET(ORÇAMENTO!$D$15,CRONO!$F1,0))),CRONO!AD$12,OFFSET(CÁLCULO!$AB$15:$AL$15,$F1,0,OFFSET(ORÇAMENTO!$D$15,CRONO!$F1,0)))
                +IF(AND($F3&lt;&gt;"",$F3&lt;&gt;0),
                        SUMIF(CÁLCULO!$AM$15:$AW$33,CRONO!AD$12,CÁLCULO!$AB$15:$AL$33)/(ORÇAMENTO!$X$15-CÁLCULO.TotalAdmLocal)*CRONO!$F3,
                        0),
                 AD2*$S1),
          SUMIF(OFFSET($S3,1,0,$R1-2),($M1+1)&amp;"$",OFFSET(AD3,1,0,$R1-2)))</f>
        <v>#REF!</v>
      </c>
      <c r="AE3" s="201" t="e" cm="1">
        <f t="array" aca="1" ref="AE3" ca="1">IF($R1=2,
         IF(AND(ACOMPANHAMENTO="PLE",ISNUMBER($F1)),
                SUMIF((OFFSET(CÁLCULO!$AM$15:$AW$15,$F1,0,OFFSET(ORÇAMENTO!$D$15,CRONO!$F1,0))),CRONO!AE$12,OFFSET(CÁLCULO!$AB$15:$AL$15,$F1,0,OFFSET(ORÇAMENTO!$D$15,CRONO!$F1,0)))
                +IF(AND($F3&lt;&gt;"",$F3&lt;&gt;0),
                        SUMIF(CÁLCULO!$AM$15:$AW$33,CRONO!AE$12,CÁLCULO!$AB$15:$AL$33)/(ORÇAMENTO!$X$15-CÁLCULO.TotalAdmLocal)*CRONO!$F3,
                        0),
                 AE2*$S1),
          SUMIF(OFFSET($S3,1,0,$R1-2),($M1+1)&amp;"$",OFFSET(AE3,1,0,$R1-2)))</f>
        <v>#REF!</v>
      </c>
      <c r="AF3" s="201" t="e" cm="1">
        <f t="array" aca="1" ref="AF3" ca="1">IF($R1=2,
         IF(AND(ACOMPANHAMENTO="PLE",ISNUMBER($F1)),
                SUMIF((OFFSET(CÁLCULO!$AM$15:$AW$15,$F1,0,OFFSET(ORÇAMENTO!$D$15,CRONO!$F1,0))),CRONO!AF$12,OFFSET(CÁLCULO!$AB$15:$AL$15,$F1,0,OFFSET(ORÇAMENTO!$D$15,CRONO!$F1,0)))
                +IF(AND($F3&lt;&gt;"",$F3&lt;&gt;0),
                        SUMIF(CÁLCULO!$AM$15:$AW$33,CRONO!AF$12,CÁLCULO!$AB$15:$AL$33)/(ORÇAMENTO!$X$15-CÁLCULO.TotalAdmLocal)*CRONO!$F3,
                        0),
                 AF2*$S1),
          SUMIF(OFFSET($S3,1,0,$R1-2),($M1+1)&amp;"$",OFFSET(AF3,1,0,$R1-2)))</f>
        <v>#REF!</v>
      </c>
      <c r="AG3" s="533"/>
    </row>
    <row r="4" spans="1:33" ht="15" customHeight="1" x14ac:dyDescent="0.25">
      <c r="S4" s="205" t="str" cm="1">
        <f t="array" ref="S4">IF(TIPOORCAMENTO="licitado","CFF - CRONOGRAMA FÍSICO-FINANCEIRO LICITADO","CFF - CRONOGRAMA FÍSICO-FINANCEIRO")</f>
        <v>CFF - CRONOGRAMA FÍSICO-FINANCEIRO</v>
      </c>
      <c r="AE4" s="703" t="s">
        <v>644</v>
      </c>
      <c r="AF4" s="703"/>
    </row>
    <row r="5" spans="1:33" ht="15" x14ac:dyDescent="0.2">
      <c r="S5" s="82" t="str">
        <f>import.recurso</f>
        <v>OGU</v>
      </c>
      <c r="AE5" s="704" t="s">
        <v>647</v>
      </c>
      <c r="AF5" s="704"/>
    </row>
    <row r="6" spans="1:33" ht="12.75" customHeight="1" x14ac:dyDescent="0.2"/>
    <row r="7" spans="1:33" ht="12.75" customHeight="1" x14ac:dyDescent="0.2">
      <c r="F7" s="206"/>
      <c r="H7" s="773" t="s">
        <v>786</v>
      </c>
      <c r="I7" s="207" t="s">
        <v>650</v>
      </c>
      <c r="J7" s="208"/>
      <c r="K7" s="209" t="s">
        <v>787</v>
      </c>
      <c r="L7" s="210" t="s">
        <v>788</v>
      </c>
      <c r="M7" s="185"/>
      <c r="N7" s="185"/>
      <c r="O7" s="185"/>
      <c r="T7" s="211"/>
      <c r="U7" s="207" t="s">
        <v>758</v>
      </c>
      <c r="Y7" s="208"/>
      <c r="Z7" s="207" t="str" cm="1">
        <f t="array" ref="Z7">IF(TIPOORCAMENTO="Licitado","NOME DA EMPRESA","DESCRIÇÃO DO LOTE")</f>
        <v>DESCRIÇÃO DO LOTE</v>
      </c>
      <c r="AF7" s="212" t="str" cm="1">
        <f t="array" ref="AF7">IF(TIPOORCAMENTO="Licitado","Nº CTEF","")</f>
        <v/>
      </c>
    </row>
    <row r="8" spans="1:33" x14ac:dyDescent="0.2">
      <c r="A8" s="185" t="s">
        <v>974</v>
      </c>
      <c r="E8" s="184"/>
      <c r="F8" s="113"/>
      <c r="G8" s="692" t="s">
        <v>655</v>
      </c>
      <c r="H8" s="773"/>
      <c r="I8" s="764" t="str">
        <f>Import.CR</f>
        <v>SLG</v>
      </c>
      <c r="J8" s="764"/>
      <c r="K8" s="213" t="str">
        <f>Import.TransfereGOV</f>
        <v>SLG</v>
      </c>
      <c r="L8" s="763" t="str">
        <f>Import.Proponente</f>
        <v>MUNICÍPIO DE SÃO LUIZ GONZAGA</v>
      </c>
      <c r="M8" s="763"/>
      <c r="N8" s="763"/>
      <c r="O8" s="763"/>
      <c r="P8" s="763"/>
      <c r="Q8" s="763"/>
      <c r="R8" s="763"/>
      <c r="S8" s="763"/>
      <c r="T8" s="763"/>
      <c r="U8" s="764" t="str">
        <f>Import.Apelido</f>
        <v>CALÇAMENTO PEDRA IRREGULAR</v>
      </c>
      <c r="V8" s="764"/>
      <c r="W8" s="764"/>
      <c r="X8" s="764"/>
      <c r="Y8" s="764"/>
      <c r="Z8" s="774" t="str" cm="1">
        <f t="array" ref="Z8">IF(TIPOORCAMENTO="Licitado",Import.empresa,Import.DescLote)</f>
        <v>CALÇAMENTO - PAVIMENTAÇÃO</v>
      </c>
      <c r="AA8" s="774"/>
      <c r="AB8" s="774"/>
      <c r="AC8" s="774"/>
      <c r="AD8" s="774"/>
      <c r="AE8" s="774"/>
      <c r="AF8" s="202" t="str" cm="1">
        <f t="array" ref="AF8">IF(TIPOORCAMENTO="Licitado",Import.CTEF,"")</f>
        <v/>
      </c>
    </row>
    <row r="9" spans="1:33" x14ac:dyDescent="0.2">
      <c r="A9" s="654">
        <v>2</v>
      </c>
      <c r="F9" s="113"/>
      <c r="G9" s="692"/>
      <c r="H9" s="773"/>
    </row>
    <row r="10" spans="1:33" x14ac:dyDescent="0.2">
      <c r="A10" s="655">
        <v>3</v>
      </c>
      <c r="F10" s="184" cm="1">
        <f t="array" aca="1" ref="F10" ca="1">CRONO.LinhasNecessarias</f>
        <v>7</v>
      </c>
      <c r="G10" s="692"/>
      <c r="H10" s="214">
        <v>2</v>
      </c>
      <c r="K10" s="765" t="str" cm="1">
        <f t="array" aca="1" ref="K10" ca="1">IF(MAX($B$13:$B$35)&lt;CRONO.LinhasNecessarias,"ERRO: NÚMERO DE LINHAS DO CRONOGRAMA INSUFICIENTE. CLIQUE EM ATUALIZAR LINHAS.",IF(AND(ACOMPANHAMENTO="PLE",ROUND(OFFSET($AG$45,0,-1),2)=0),"CRONOGRAMA DEVE SER PREENCHIDO POR EVENTOS",IF(ROUND(OFFSET($AG$45,0,-1),2)&lt;&gt;$R$36,"ERRO: CRONOGRAMA NÃO FECHA 100%","")))</f>
        <v/>
      </c>
      <c r="L10" s="765"/>
      <c r="M10" s="765"/>
      <c r="N10" s="765"/>
      <c r="O10" s="765"/>
      <c r="P10" s="765"/>
      <c r="Q10" s="765"/>
      <c r="R10" s="765"/>
      <c r="S10" s="765"/>
      <c r="T10" s="765"/>
    </row>
    <row r="11" spans="1:33" ht="12.75" customHeight="1" x14ac:dyDescent="0.2">
      <c r="A11" s="656">
        <v>4</v>
      </c>
      <c r="F11" s="184" t="e" cm="1">
        <f t="array" aca="1" ref="F11" ca="1">CRONO.ParcelaFinal</f>
        <v>#N/A</v>
      </c>
      <c r="G11" s="692"/>
      <c r="I11" s="215"/>
      <c r="J11" s="215"/>
      <c r="K11" s="765"/>
      <c r="L11" s="765"/>
      <c r="M11" s="765"/>
      <c r="N11" s="765"/>
      <c r="O11" s="765"/>
      <c r="P11" s="765"/>
      <c r="Q11" s="765"/>
      <c r="R11" s="765"/>
      <c r="S11" s="765"/>
      <c r="T11" s="765"/>
    </row>
    <row r="12" spans="1:33" ht="12.75" customHeight="1" x14ac:dyDescent="0.2">
      <c r="A12" s="185" t="s">
        <v>789</v>
      </c>
      <c r="E12" s="216">
        <f ca="1">OFFSET(E12,0,-1)+1</f>
        <v>1</v>
      </c>
      <c r="G12" s="105" t="s">
        <v>660</v>
      </c>
      <c r="H12" s="767" t="s">
        <v>790</v>
      </c>
      <c r="I12" s="768" t="s">
        <v>735</v>
      </c>
      <c r="J12" s="769" t="s">
        <v>118</v>
      </c>
      <c r="K12" s="217"/>
      <c r="L12" s="217"/>
      <c r="M12" s="218"/>
      <c r="N12" s="218"/>
      <c r="O12" s="218"/>
      <c r="P12" s="218"/>
      <c r="Q12" s="218"/>
      <c r="R12" s="218"/>
      <c r="S12" s="772" t="s">
        <v>791</v>
      </c>
      <c r="T12" s="762" t="s">
        <v>792</v>
      </c>
      <c r="U12" s="219">
        <v>1</v>
      </c>
      <c r="V12" s="216">
        <f ca="1">OFFSET(V12,0,-1)+1</f>
        <v>2</v>
      </c>
      <c r="W12" s="216">
        <f t="shared" ref="W12:AF12" ca="1" si="0">OFFSET(W12,0,-1)+1</f>
        <v>3</v>
      </c>
      <c r="X12" s="216">
        <f t="shared" ca="1" si="0"/>
        <v>4</v>
      </c>
      <c r="Y12" s="216">
        <f t="shared" ca="1" si="0"/>
        <v>5</v>
      </c>
      <c r="Z12" s="216">
        <f t="shared" ca="1" si="0"/>
        <v>6</v>
      </c>
      <c r="AA12" s="216">
        <f t="shared" ca="1" si="0"/>
        <v>7</v>
      </c>
      <c r="AB12" s="216">
        <f t="shared" ca="1" si="0"/>
        <v>8</v>
      </c>
      <c r="AC12" s="216">
        <f t="shared" ca="1" si="0"/>
        <v>9</v>
      </c>
      <c r="AD12" s="216">
        <f t="shared" ca="1" si="0"/>
        <v>10</v>
      </c>
      <c r="AE12" s="216">
        <f t="shared" ca="1" si="0"/>
        <v>11</v>
      </c>
      <c r="AF12" s="536">
        <f t="shared" ca="1" si="0"/>
        <v>12</v>
      </c>
      <c r="AG12" s="533"/>
    </row>
    <row r="13" spans="1:33" ht="24.95" customHeight="1" x14ac:dyDescent="0.2">
      <c r="B13" s="220" t="s">
        <v>793</v>
      </c>
      <c r="C13" s="220" t="s">
        <v>456</v>
      </c>
      <c r="D13" s="220" t="s">
        <v>794</v>
      </c>
      <c r="E13" s="221" t="e">
        <f ca="1">OFFSET(E13,0,-1)+41-DAY(OFFSET(E13,0,-1)+40)</f>
        <v>#VALUE!</v>
      </c>
      <c r="F13" s="220" t="s">
        <v>795</v>
      </c>
      <c r="H13" s="767"/>
      <c r="I13" s="768"/>
      <c r="J13" s="769"/>
      <c r="K13" s="222"/>
      <c r="L13" s="222"/>
      <c r="M13" s="223" t="s">
        <v>733</v>
      </c>
      <c r="N13" s="223">
        <v>1</v>
      </c>
      <c r="O13" s="223">
        <v>2</v>
      </c>
      <c r="P13" s="223">
        <v>3</v>
      </c>
      <c r="Q13" s="223">
        <v>4</v>
      </c>
      <c r="R13" s="224" t="s">
        <v>796</v>
      </c>
      <c r="S13" s="772"/>
      <c r="T13" s="762"/>
      <c r="U13" s="225">
        <v>46266</v>
      </c>
      <c r="V13" s="221">
        <f ca="1">OFFSET(V13,0,-1)+41-DAY(OFFSET(V13,0,-1)+40)</f>
        <v>46296</v>
      </c>
      <c r="W13" s="221">
        <f ca="1">OFFSET(W13,0,-1)+41-DAY(OFFSET(W13,0,-1)+40)</f>
        <v>46327</v>
      </c>
      <c r="X13" s="221">
        <f t="shared" ref="X13:AF13" ca="1" si="1">OFFSET(X13,0,-1)+41-DAY(OFFSET(X13,0,-1)+40)</f>
        <v>46357</v>
      </c>
      <c r="Y13" s="221">
        <f t="shared" ca="1" si="1"/>
        <v>46388</v>
      </c>
      <c r="Z13" s="221">
        <f t="shared" ca="1" si="1"/>
        <v>46419</v>
      </c>
      <c r="AA13" s="221">
        <f t="shared" ca="1" si="1"/>
        <v>46447</v>
      </c>
      <c r="AB13" s="221">
        <f t="shared" ca="1" si="1"/>
        <v>46478</v>
      </c>
      <c r="AC13" s="221">
        <f t="shared" ca="1" si="1"/>
        <v>46508</v>
      </c>
      <c r="AD13" s="221">
        <f t="shared" ca="1" si="1"/>
        <v>46539</v>
      </c>
      <c r="AE13" s="221">
        <f t="shared" ca="1" si="1"/>
        <v>46569</v>
      </c>
      <c r="AF13" s="537">
        <f t="shared" ca="1" si="1"/>
        <v>46600</v>
      </c>
      <c r="AG13" s="533"/>
    </row>
    <row r="14" spans="1:33" x14ac:dyDescent="0.2">
      <c r="A14" s="185" t="str">
        <f t="shared" ref="A14" ca="1" si="2">IF($M14&gt;1,_xlfn.CONCAT($I14," ",$J14),"")</f>
        <v/>
      </c>
      <c r="B14" s="184">
        <f t="shared" ref="B14" ca="1" si="3">OFFSET(B14,-3,0)+1</f>
        <v>1</v>
      </c>
      <c r="C14" s="184">
        <f ca="1">IF($R14&lt;&gt;2,0,IF($S14=0,1,IF(F15&gt;0,OFFSET(QCI!$M$13,SUBSTITUTE(F15,".",""),0),OFFSET(ORÇAMENTO!$AA$15,CRONO!$F14,0))/$S14))</f>
        <v>0</v>
      </c>
      <c r="D14" s="184">
        <f ca="1">IF($R14&lt;&gt;2,0,IF($S14=0,1,IF(F15&gt;0,OFFSET(QCI!$N$13,SUBSTITUTE(F15,".",""),0),OFFSET(ORÇAMENTO!$AB$15,CRONO!$F14,0))/$S14))</f>
        <v>0</v>
      </c>
      <c r="E14" s="187" t="e" cm="1">
        <f t="array" aca="1" ref="E14" ca="1">IF(AND($R14=2,ACOMPANHAMENTO="BM"),ROUND(E15,4),E16/$S14)</f>
        <v>#DIV/0!</v>
      </c>
      <c r="F14" s="184" cm="1">
        <f t="array" aca="1" ref="F14" ca="1">IF(B14&lt;=ORÇAMENTO.MáximoListaCrono,MATCH(B14,ORÇAMENTO.ListaCrono,0),NA())</f>
        <v>1</v>
      </c>
      <c r="G14" s="184" t="str">
        <f t="shared" ref="G14" ca="1" si="4">IF(AND($F15&lt;&gt;-1,$S14&gt;0),"F","")</f>
        <v/>
      </c>
      <c r="H14" s="188" t="str" cm="1">
        <f t="array" aca="1" ref="H14" ca="1">IF(OR(S14=0,S14=""),"Linha",IF(AND(OR(ACOMPANHAMENTO="PLE",$R14&lt;&gt;2),$F15=0),"Linha",ROUND(1-SUM(U14:AG14),4)))</f>
        <v>Linha</v>
      </c>
      <c r="I14" s="189" t="str">
        <f ca="1">IF($F15=0,OFFSET(ORÇAMENTO!O$15,$F14,0),IF($F15&lt;&gt;-1,OFFSET(QCI!$D$13,$F15,0),""))</f>
        <v>1.</v>
      </c>
      <c r="J14" s="190" t="str">
        <f ca="1">IF($F15=0,OFFSET(ORÇAMENTO!R$15,$F14,0),IF($F15&lt;&gt;-1,OFFSET(QCI!$G$13,$F15,0),""))</f>
        <v xml:space="preserve">CALÇAMENTO DE PEDRAS IRREGULARES - RINCÃO DE SANTANA EM FRENTE ESCOLA JOÃO XXIII E SALÃO PAROQUIAL </v>
      </c>
      <c r="K14" s="190"/>
      <c r="L14" s="190"/>
      <c r="M14" s="191">
        <f ca="1">IF($F15=0,OFFSET(ORÇAMENTO!C$15,$F14,0),1)</f>
        <v>1</v>
      </c>
      <c r="N14" s="192">
        <f ca="1">IF($F15=-1,0,IF(N$13&lt;=$M14,IF(ISERROR(MATCH(N$13,OFFSET($M14,1,0,ROW($M$35)-ROW($M14)-1),0)),ROW($M$35)-ROW($M14)-1,MATCH(N$13,OFFSET($M14,1,0,ROW($M$35)-ROW($M14)-1),0)-1),0))</f>
        <v>20</v>
      </c>
      <c r="O14" s="192">
        <f ca="1">IF($F15=-1,0,IF(O$13&lt;=$M14,IF(ISERROR(MATCH(O$13,OFFSET($M14,1,0,ROW($M$35)-ROW($M14)-1),0)),ROW($M$35)-ROW($M14)-1,MATCH(O$13,OFFSET($M14,1,0,ROW($M$35)-ROW($M14)-1),0)-1),0))</f>
        <v>0</v>
      </c>
      <c r="P14" s="192">
        <f ca="1">IF($F15=-1,0,IF(P$13&lt;=$M14,IF(ISERROR(MATCH(P$13,OFFSET($M14,1,0,ROW($M$35)-ROW($M14)-1),0)),ROW($M$35)-ROW($M14)-1,MATCH(P$13,OFFSET($M14,1,0,ROW($M$35)-ROW($M14)-1),0)-1),0))</f>
        <v>0</v>
      </c>
      <c r="Q14" s="192">
        <f ca="1">IF($F15=-1,0,IF(Q$13&lt;=$M14,IF(ISERROR(MATCH(Q$13,OFFSET($M14,1,0,ROW($M$35)-ROW($M14)-1),0)),ROW($M$35)-ROW($M14)-1,MATCH(Q$13,OFFSET($M14,1,0,ROW($M$35)-ROW($M14)-1),0)-1),0))</f>
        <v>0</v>
      </c>
      <c r="R14" s="192">
        <f t="shared" ref="R14" ca="1" si="5">MIN(OFFSET(M14,0,1,,M14))</f>
        <v>20</v>
      </c>
      <c r="S14" s="193">
        <f ca="1">IF($F15=0,OFFSET(ORÇAMENTO!X$15,$F14,0),IF($F15&lt;&gt;-1,OFFSET(QCI!$O$13,$F15,0),""))</f>
        <v>0</v>
      </c>
      <c r="T14" s="194" t="s">
        <v>785</v>
      </c>
      <c r="U14" s="187" t="e" cm="1">
        <f t="array" aca="1" ref="U14" ca="1">IF(AND($R14=2,ACOMPANHAMENTO="BM"),ROUND(U15,4),U16/$S14)</f>
        <v>#DIV/0!</v>
      </c>
      <c r="V14" s="187" t="e" cm="1">
        <f t="array" aca="1" ref="V14" ca="1">IF(AND($R14=2,ACOMPANHAMENTO="BM"),ROUND(V15,4),V16/$S14)</f>
        <v>#DIV/0!</v>
      </c>
      <c r="W14" s="187" t="e" cm="1">
        <f t="array" aca="1" ref="W14" ca="1">IF(AND($R14=2,ACOMPANHAMENTO="BM"),ROUND(W15,4),W16/$S14)</f>
        <v>#DIV/0!</v>
      </c>
      <c r="X14" s="187" t="e" cm="1">
        <f t="array" aca="1" ref="X14" ca="1">IF(AND($R14=2,ACOMPANHAMENTO="BM"),ROUND(X15,4),X16/$S14)</f>
        <v>#DIV/0!</v>
      </c>
      <c r="Y14" s="187" t="e" cm="1">
        <f t="array" aca="1" ref="Y14" ca="1">IF(AND($R14=2,ACOMPANHAMENTO="BM"),ROUND(Y15,4),Y16/$S14)</f>
        <v>#DIV/0!</v>
      </c>
      <c r="Z14" s="187" t="e" cm="1">
        <f t="array" aca="1" ref="Z14" ca="1">IF(AND($R14=2,ACOMPANHAMENTO="BM"),ROUND(Z15,4),Z16/$S14)</f>
        <v>#DIV/0!</v>
      </c>
      <c r="AA14" s="187" t="e" cm="1">
        <f t="array" aca="1" ref="AA14" ca="1">IF(AND($R14=2,ACOMPANHAMENTO="BM"),ROUND(AA15,4),AA16/$S14)</f>
        <v>#DIV/0!</v>
      </c>
      <c r="AB14" s="187" t="e" cm="1">
        <f t="array" aca="1" ref="AB14" ca="1">IF(AND($R14=2,ACOMPANHAMENTO="BM"),ROUND(AB15,4),AB16/$S14)</f>
        <v>#DIV/0!</v>
      </c>
      <c r="AC14" s="187" t="e" cm="1">
        <f t="array" aca="1" ref="AC14" ca="1">IF(AND($R14=2,ACOMPANHAMENTO="BM"),ROUND(AC15,4),AC16/$S14)</f>
        <v>#DIV/0!</v>
      </c>
      <c r="AD14" s="187" t="e" cm="1">
        <f t="array" aca="1" ref="AD14" ca="1">IF(AND($R14=2,ACOMPANHAMENTO="BM"),ROUND(AD15,4),AD16/$S14)</f>
        <v>#DIV/0!</v>
      </c>
      <c r="AE14" s="187" t="e" cm="1">
        <f t="array" aca="1" ref="AE14" ca="1">IF(AND($R14=2,ACOMPANHAMENTO="BM"),ROUND(AE15,4),AE16/$S14)</f>
        <v>#DIV/0!</v>
      </c>
      <c r="AF14" s="187" t="e" cm="1">
        <f t="array" aca="1" ref="AF14" ca="1">IF(AND($R14=2,ACOMPANHAMENTO="BM"),ROUND(AF15,4),AF16/$S14)</f>
        <v>#DIV/0!</v>
      </c>
      <c r="AG14" s="533"/>
    </row>
    <row r="15" spans="1:33" ht="12.75" customHeight="1" x14ac:dyDescent="0.2">
      <c r="E15" s="586"/>
      <c r="F15" s="184">
        <f ca="1">IF(ISERROR(F14),IF(1+COUNTIF($M$13:OFFSET(M14,-1,0),1)&lt;=MAX(QCI!$D$13:$D$24),1+COUNTIF($M$13:OFFSET(M14,-1,0),1),-1),0)</f>
        <v>0</v>
      </c>
      <c r="G15" s="184" t="str" cm="1">
        <f t="array" aca="1" ref="G15" ca="1">IF(ACOMPANHAMENTO="BM",OFFSET(G15,-1,0),"")</f>
        <v/>
      </c>
      <c r="H15" s="195" t="str" cm="1">
        <f t="array" aca="1" ref="H15" ca="1">IF(OR(S14=0,S14=""),"vazia",IF(AND(OR(ACOMPANHAMENTO="PLE",$R14&lt;&gt;2),$F15=0),"calculada","--&gt;"))</f>
        <v>vazia</v>
      </c>
      <c r="I15" s="196"/>
      <c r="J15" s="197" t="str">
        <f t="shared" ref="J15" ca="1" si="6">IF(AND(H14&lt;&gt;0,ISNUMBER(H14)),"PREENCHA ESTA LINHA --&gt;","")</f>
        <v/>
      </c>
      <c r="K15" s="197"/>
      <c r="L15" s="197"/>
      <c r="M15" s="198"/>
      <c r="N15" s="198"/>
      <c r="O15" s="198"/>
      <c r="P15" s="198"/>
      <c r="Q15" s="198"/>
      <c r="R15" s="198"/>
      <c r="S15" s="199"/>
      <c r="T15" s="200"/>
      <c r="U15" s="586"/>
      <c r="V15" s="586"/>
      <c r="W15" s="586"/>
      <c r="X15" s="586"/>
      <c r="Y15" s="586"/>
      <c r="Z15" s="586"/>
      <c r="AA15" s="586"/>
      <c r="AB15" s="586"/>
      <c r="AC15" s="586"/>
      <c r="AD15" s="586"/>
      <c r="AE15" s="586"/>
      <c r="AF15" s="586"/>
      <c r="AG15" s="533"/>
    </row>
    <row r="16" spans="1:33" ht="12.75" hidden="1" customHeight="1" x14ac:dyDescent="0.2">
      <c r="D16" s="532"/>
      <c r="E16" s="201" cm="1">
        <f t="array" aca="1" ref="E16" ca="1">IF($R14=2,
         IF(AND(ACOMPANHAMENTO="PLE",ISNUMBER($F14)),
                SUMIF((OFFSET(CÁLCULO!$AM$15:$AW$15,$F14,0,OFFSET(ORÇAMENTO!$D$15,CRONO!$F14,0))),CRONO!E$12,OFFSET(CÁLCULO!$AB$15:$AL$15,$F14,0,OFFSET(ORÇAMENTO!$D$15,CRONO!$F14,0)))
                +IF(AND($F16&lt;&gt;"",$F16&lt;&gt;0),
                        SUMIF(CÁLCULO!$AM$15:$AW$33,CRONO!E$12,CÁLCULO!$AB$15:$AL$33)/(ORÇAMENTO!$X$15-CÁLCULO.TotalAdmLocal)*CRONO!$F16,
                        0),
                 E15*$S14),
          SUMIF(OFFSET($S16,1,0,$R14-2),($M14+1)&amp;"$",OFFSET(E16,1,0,$R14-2)))</f>
        <v>0</v>
      </c>
      <c r="F16" s="184" t="str">
        <f ca="1">IF(OR($R14&lt;&gt;2,AUTOEVENTO&lt;&gt;"manual",$F15&gt;0),"",
        IF(Import.TipoArredondamento="Tradicional",
              SUMIF(OFFSET(CÁLCULO!$M$15,CRONO!$F14,0,OFFSET(ORÇAMENTO!$D$15,CRONO!$F14,0)),1,OFFSET(ORÇAMENTO!$X$15,CRONO!$F14,0,OFFSET(ORÇAMENTO!$D$15,CRONO!$F14,0))),
              0))</f>
        <v/>
      </c>
      <c r="H16" s="202"/>
      <c r="S16" s="203" t="str">
        <f t="shared" ref="S16" ca="1" si="7">M14&amp;"$"</f>
        <v>1$</v>
      </c>
      <c r="T16" s="204"/>
      <c r="U16" s="201" cm="1">
        <f t="array" aca="1" ref="U16" ca="1">IF($R14=2,
         IF(AND(ACOMPANHAMENTO="PLE",ISNUMBER($F14)),
                SUMIF((OFFSET(CÁLCULO!$AM$15:$AW$15,$F14,0,OFFSET(ORÇAMENTO!$D$15,CRONO!$F14,0))),CRONO!U$12,OFFSET(CÁLCULO!$AB$15:$AL$15,$F14,0,OFFSET(ORÇAMENTO!$D$15,CRONO!$F14,0)))
                +IF(AND($F16&lt;&gt;"",$F16&lt;&gt;0),
                        SUMIF(CÁLCULO!$AM$15:$AW$33,CRONO!U$12,CÁLCULO!$AB$15:$AL$33)/(ORÇAMENTO!$X$15-CÁLCULO.TotalAdmLocal)*CRONO!$F16,
                        0),
                 U15*$S14),
          SUMIF(OFFSET($S16,1,0,$R14-2),($M14+1)&amp;"$",OFFSET(U16,1,0,$R14-2)))</f>
        <v>0</v>
      </c>
      <c r="V16" s="201" cm="1">
        <f t="array" aca="1" ref="V16" ca="1">IF($R14=2,
         IF(AND(ACOMPANHAMENTO="PLE",ISNUMBER($F14)),
                SUMIF((OFFSET(CÁLCULO!$AM$15:$AW$15,$F14,0,OFFSET(ORÇAMENTO!$D$15,CRONO!$F14,0))),CRONO!V$12,OFFSET(CÁLCULO!$AB$15:$AL$15,$F14,0,OFFSET(ORÇAMENTO!$D$15,CRONO!$F14,0)))
                +IF(AND($F16&lt;&gt;"",$F16&lt;&gt;0),
                        SUMIF(CÁLCULO!$AM$15:$AW$33,CRONO!V$12,CÁLCULO!$AB$15:$AL$33)/(ORÇAMENTO!$X$15-CÁLCULO.TotalAdmLocal)*CRONO!$F16,
                        0),
                 V15*$S14),
          SUMIF(OFFSET($S16,1,0,$R14-2),($M14+1)&amp;"$",OFFSET(V16,1,0,$R14-2)))</f>
        <v>0</v>
      </c>
      <c r="W16" s="201" cm="1">
        <f t="array" aca="1" ref="W16" ca="1">IF($R14=2,
         IF(AND(ACOMPANHAMENTO="PLE",ISNUMBER($F14)),
                SUMIF((OFFSET(CÁLCULO!$AM$15:$AW$15,$F14,0,OFFSET(ORÇAMENTO!$D$15,CRONO!$F14,0))),CRONO!W$12,OFFSET(CÁLCULO!$AB$15:$AL$15,$F14,0,OFFSET(ORÇAMENTO!$D$15,CRONO!$F14,0)))
                +IF(AND($F16&lt;&gt;"",$F16&lt;&gt;0),
                        SUMIF(CÁLCULO!$AM$15:$AW$33,CRONO!W$12,CÁLCULO!$AB$15:$AL$33)/(ORÇAMENTO!$X$15-CÁLCULO.TotalAdmLocal)*CRONO!$F16,
                        0),
                 W15*$S14),
          SUMIF(OFFSET($S16,1,0,$R14-2),($M14+1)&amp;"$",OFFSET(W16,1,0,$R14-2)))</f>
        <v>0</v>
      </c>
      <c r="X16" s="201" cm="1">
        <f t="array" aca="1" ref="X16" ca="1">IF($R14=2,
         IF(AND(ACOMPANHAMENTO="PLE",ISNUMBER($F14)),
                SUMIF((OFFSET(CÁLCULO!$AM$15:$AW$15,$F14,0,OFFSET(ORÇAMENTO!$D$15,CRONO!$F14,0))),CRONO!X$12,OFFSET(CÁLCULO!$AB$15:$AL$15,$F14,0,OFFSET(ORÇAMENTO!$D$15,CRONO!$F14,0)))
                +IF(AND($F16&lt;&gt;"",$F16&lt;&gt;0),
                        SUMIF(CÁLCULO!$AM$15:$AW$33,CRONO!X$12,CÁLCULO!$AB$15:$AL$33)/(ORÇAMENTO!$X$15-CÁLCULO.TotalAdmLocal)*CRONO!$F16,
                        0),
                 X15*$S14),
          SUMIF(OFFSET($S16,1,0,$R14-2),($M14+1)&amp;"$",OFFSET(X16,1,0,$R14-2)))</f>
        <v>0</v>
      </c>
      <c r="Y16" s="201" cm="1">
        <f t="array" aca="1" ref="Y16" ca="1">IF($R14=2,
         IF(AND(ACOMPANHAMENTO="PLE",ISNUMBER($F14)),
                SUMIF((OFFSET(CÁLCULO!$AM$15:$AW$15,$F14,0,OFFSET(ORÇAMENTO!$D$15,CRONO!$F14,0))),CRONO!Y$12,OFFSET(CÁLCULO!$AB$15:$AL$15,$F14,0,OFFSET(ORÇAMENTO!$D$15,CRONO!$F14,0)))
                +IF(AND($F16&lt;&gt;"",$F16&lt;&gt;0),
                        SUMIF(CÁLCULO!$AM$15:$AW$33,CRONO!Y$12,CÁLCULO!$AB$15:$AL$33)/(ORÇAMENTO!$X$15-CÁLCULO.TotalAdmLocal)*CRONO!$F16,
                        0),
                 Y15*$S14),
          SUMIF(OFFSET($S16,1,0,$R14-2),($M14+1)&amp;"$",OFFSET(Y16,1,0,$R14-2)))</f>
        <v>0</v>
      </c>
      <c r="Z16" s="201" cm="1">
        <f t="array" aca="1" ref="Z16" ca="1">IF($R14=2,
         IF(AND(ACOMPANHAMENTO="PLE",ISNUMBER($F14)),
                SUMIF((OFFSET(CÁLCULO!$AM$15:$AW$15,$F14,0,OFFSET(ORÇAMENTO!$D$15,CRONO!$F14,0))),CRONO!Z$12,OFFSET(CÁLCULO!$AB$15:$AL$15,$F14,0,OFFSET(ORÇAMENTO!$D$15,CRONO!$F14,0)))
                +IF(AND($F16&lt;&gt;"",$F16&lt;&gt;0),
                        SUMIF(CÁLCULO!$AM$15:$AW$33,CRONO!Z$12,CÁLCULO!$AB$15:$AL$33)/(ORÇAMENTO!$X$15-CÁLCULO.TotalAdmLocal)*CRONO!$F16,
                        0),
                 Z15*$S14),
          SUMIF(OFFSET($S16,1,0,$R14-2),($M14+1)&amp;"$",OFFSET(Z16,1,0,$R14-2)))</f>
        <v>0</v>
      </c>
      <c r="AA16" s="201" cm="1">
        <f t="array" aca="1" ref="AA16" ca="1">IF($R14=2,
         IF(AND(ACOMPANHAMENTO="PLE",ISNUMBER($F14)),
                SUMIF((OFFSET(CÁLCULO!$AM$15:$AW$15,$F14,0,OFFSET(ORÇAMENTO!$D$15,CRONO!$F14,0))),CRONO!AA$12,OFFSET(CÁLCULO!$AB$15:$AL$15,$F14,0,OFFSET(ORÇAMENTO!$D$15,CRONO!$F14,0)))
                +IF(AND($F16&lt;&gt;"",$F16&lt;&gt;0),
                        SUMIF(CÁLCULO!$AM$15:$AW$33,CRONO!AA$12,CÁLCULO!$AB$15:$AL$33)/(ORÇAMENTO!$X$15-CÁLCULO.TotalAdmLocal)*CRONO!$F16,
                        0),
                 AA15*$S14),
          SUMIF(OFFSET($S16,1,0,$R14-2),($M14+1)&amp;"$",OFFSET(AA16,1,0,$R14-2)))</f>
        <v>0</v>
      </c>
      <c r="AB16" s="201" cm="1">
        <f t="array" aca="1" ref="AB16" ca="1">IF($R14=2,
         IF(AND(ACOMPANHAMENTO="PLE",ISNUMBER($F14)),
                SUMIF((OFFSET(CÁLCULO!$AM$15:$AW$15,$F14,0,OFFSET(ORÇAMENTO!$D$15,CRONO!$F14,0))),CRONO!AB$12,OFFSET(CÁLCULO!$AB$15:$AL$15,$F14,0,OFFSET(ORÇAMENTO!$D$15,CRONO!$F14,0)))
                +IF(AND($F16&lt;&gt;"",$F16&lt;&gt;0),
                        SUMIF(CÁLCULO!$AM$15:$AW$33,CRONO!AB$12,CÁLCULO!$AB$15:$AL$33)/(ORÇAMENTO!$X$15-CÁLCULO.TotalAdmLocal)*CRONO!$F16,
                        0),
                 AB15*$S14),
          SUMIF(OFFSET($S16,1,0,$R14-2),($M14+1)&amp;"$",OFFSET(AB16,1,0,$R14-2)))</f>
        <v>0</v>
      </c>
      <c r="AC16" s="201" cm="1">
        <f t="array" aca="1" ref="AC16" ca="1">IF($R14=2,
         IF(AND(ACOMPANHAMENTO="PLE",ISNUMBER($F14)),
                SUMIF((OFFSET(CÁLCULO!$AM$15:$AW$15,$F14,0,OFFSET(ORÇAMENTO!$D$15,CRONO!$F14,0))),CRONO!AC$12,OFFSET(CÁLCULO!$AB$15:$AL$15,$F14,0,OFFSET(ORÇAMENTO!$D$15,CRONO!$F14,0)))
                +IF(AND($F16&lt;&gt;"",$F16&lt;&gt;0),
                        SUMIF(CÁLCULO!$AM$15:$AW$33,CRONO!AC$12,CÁLCULO!$AB$15:$AL$33)/(ORÇAMENTO!$X$15-CÁLCULO.TotalAdmLocal)*CRONO!$F16,
                        0),
                 AC15*$S14),
          SUMIF(OFFSET($S16,1,0,$R14-2),($M14+1)&amp;"$",OFFSET(AC16,1,0,$R14-2)))</f>
        <v>0</v>
      </c>
      <c r="AD16" s="201" cm="1">
        <f t="array" aca="1" ref="AD16" ca="1">IF($R14=2,
         IF(AND(ACOMPANHAMENTO="PLE",ISNUMBER($F14)),
                SUMIF((OFFSET(CÁLCULO!$AM$15:$AW$15,$F14,0,OFFSET(ORÇAMENTO!$D$15,CRONO!$F14,0))),CRONO!AD$12,OFFSET(CÁLCULO!$AB$15:$AL$15,$F14,0,OFFSET(ORÇAMENTO!$D$15,CRONO!$F14,0)))
                +IF(AND($F16&lt;&gt;"",$F16&lt;&gt;0),
                        SUMIF(CÁLCULO!$AM$15:$AW$33,CRONO!AD$12,CÁLCULO!$AB$15:$AL$33)/(ORÇAMENTO!$X$15-CÁLCULO.TotalAdmLocal)*CRONO!$F16,
                        0),
                 AD15*$S14),
          SUMIF(OFFSET($S16,1,0,$R14-2),($M14+1)&amp;"$",OFFSET(AD16,1,0,$R14-2)))</f>
        <v>0</v>
      </c>
      <c r="AE16" s="201" cm="1">
        <f t="array" aca="1" ref="AE16" ca="1">IF($R14=2,
         IF(AND(ACOMPANHAMENTO="PLE",ISNUMBER($F14)),
                SUMIF((OFFSET(CÁLCULO!$AM$15:$AW$15,$F14,0,OFFSET(ORÇAMENTO!$D$15,CRONO!$F14,0))),CRONO!AE$12,OFFSET(CÁLCULO!$AB$15:$AL$15,$F14,0,OFFSET(ORÇAMENTO!$D$15,CRONO!$F14,0)))
                +IF(AND($F16&lt;&gt;"",$F16&lt;&gt;0),
                        SUMIF(CÁLCULO!$AM$15:$AW$33,CRONO!AE$12,CÁLCULO!$AB$15:$AL$33)/(ORÇAMENTO!$X$15-CÁLCULO.TotalAdmLocal)*CRONO!$F16,
                        0),
                 AE15*$S14),
          SUMIF(OFFSET($S16,1,0,$R14-2),($M14+1)&amp;"$",OFFSET(AE16,1,0,$R14-2)))</f>
        <v>0</v>
      </c>
      <c r="AF16" s="201" cm="1">
        <f t="array" aca="1" ref="AF16" ca="1">IF($R14=2,
         IF(AND(ACOMPANHAMENTO="PLE",ISNUMBER($F14)),
                SUMIF((OFFSET(CÁLCULO!$AM$15:$AW$15,$F14,0,OFFSET(ORÇAMENTO!$D$15,CRONO!$F14,0))),CRONO!AF$12,OFFSET(CÁLCULO!$AB$15:$AL$15,$F14,0,OFFSET(ORÇAMENTO!$D$15,CRONO!$F14,0)))
                +IF(AND($F16&lt;&gt;"",$F16&lt;&gt;0),
                        SUMIF(CÁLCULO!$AM$15:$AW$33,CRONO!AF$12,CÁLCULO!$AB$15:$AL$33)/(ORÇAMENTO!$X$15-CÁLCULO.TotalAdmLocal)*CRONO!$F16,
                        0),
                 AF15*$S14),
          SUMIF(OFFSET($S16,1,0,$R14-2),($M14+1)&amp;"$",OFFSET(AF16,1,0,$R14-2)))</f>
        <v>0</v>
      </c>
      <c r="AG16" s="533"/>
    </row>
    <row r="17" spans="1:33" x14ac:dyDescent="0.2">
      <c r="A17" s="185" t="e">
        <f t="shared" ref="A17" ca="1" si="8">IF($M17&gt;1,_xlfn.CONCAT($I17," ",$J17),"")</f>
        <v>#NAME?</v>
      </c>
      <c r="B17" s="184">
        <f t="shared" ref="B17" ca="1" si="9">OFFSET(B17,-3,0)+1</f>
        <v>2</v>
      </c>
      <c r="C17" s="184">
        <f ca="1">IF($R17&lt;&gt;2,0,IF($S17=0,1,IF(F18&gt;0,OFFSET(QCI!$M$13,SUBSTITUTE(F18,".",""),0),OFFSET(ORÇAMENTO!$AA$15,CRONO!$F17,0))/$S17))</f>
        <v>1</v>
      </c>
      <c r="D17" s="184">
        <f ca="1">IF($R17&lt;&gt;2,0,IF($S17=0,1,IF(F18&gt;0,OFFSET(QCI!$N$13,SUBSTITUTE(F18,".",""),0),OFFSET(ORÇAMENTO!$AB$15,CRONO!$F17,0))/$S17))</f>
        <v>1</v>
      </c>
      <c r="E17" s="187" cm="1">
        <f t="array" aca="1" ref="E17" ca="1">IF(AND($R17=2,ACOMPANHAMENTO="BM"),ROUND(E18,4),E19/$S17)</f>
        <v>0</v>
      </c>
      <c r="F17" s="184" cm="1">
        <f t="array" aca="1" ref="F17" ca="1">IF(B17&lt;=ORÇAMENTO.MáximoListaCrono,MATCH(B17,ORÇAMENTO.ListaCrono,0),NA())</f>
        <v>2</v>
      </c>
      <c r="G17" s="184" t="str">
        <f t="shared" ref="G17" ca="1" si="10">IF(AND($F18&lt;&gt;-1,$S17&gt;0),"F","")</f>
        <v/>
      </c>
      <c r="H17" s="188" t="str" cm="1">
        <f t="array" aca="1" ref="H17" ca="1">IF(OR(S17=0,S17=""),"Linha",IF(AND(OR(ACOMPANHAMENTO="PLE",$R17&lt;&gt;2),$F18=0),"Linha",ROUND(1-SUM(U17:AG17),4)))</f>
        <v>Linha</v>
      </c>
      <c r="I17" s="189" t="str">
        <f ca="1">IF($F18=0,OFFSET(ORÇAMENTO!O$15,$F17,0),IF($F18&lt;&gt;-1,OFFSET(QCI!$D$13,$F18,0),""))</f>
        <v>1.1.</v>
      </c>
      <c r="J17" s="190" t="str">
        <f ca="1">IF($F18=0,OFFSET(ORÇAMENTO!R$15,$F17,0),IF($F18&lt;&gt;-1,OFFSET(QCI!$G$13,$F18,0),""))</f>
        <v>PLACA DE OBRA</v>
      </c>
      <c r="K17" s="190"/>
      <c r="L17" s="190"/>
      <c r="M17" s="191">
        <f ca="1">IF($F18=0,OFFSET(ORÇAMENTO!C$15,$F17,0),1)</f>
        <v>2</v>
      </c>
      <c r="N17" s="192">
        <f ca="1">IF($F18=-1,0,IF(N$13&lt;=$M17,IF(ISERROR(MATCH(N$13,OFFSET($M17,1,0,ROW($M$35)-ROW($M17)-1),0)),ROW($M$35)-ROW($M17)-1,MATCH(N$13,OFFSET($M17,1,0,ROW($M$35)-ROW($M17)-1),0)-1),0))</f>
        <v>17</v>
      </c>
      <c r="O17" s="192">
        <f ca="1">IF($F18=-1,0,IF(O$13&lt;=$M17,IF(ISERROR(MATCH(O$13,OFFSET($M17,1,0,ROW($M$35)-ROW($M17)-1),0)),ROW($M$35)-ROW($M17)-1,MATCH(O$13,OFFSET($M17,1,0,ROW($M$35)-ROW($M17)-1),0)-1),0))</f>
        <v>2</v>
      </c>
      <c r="P17" s="192">
        <f ca="1">IF($F18=-1,0,IF(P$13&lt;=$M17,IF(ISERROR(MATCH(P$13,OFFSET($M17,1,0,ROW($M$35)-ROW($M17)-1),0)),ROW($M$35)-ROW($M17)-1,MATCH(P$13,OFFSET($M17,1,0,ROW($M$35)-ROW($M17)-1),0)-1),0))</f>
        <v>0</v>
      </c>
      <c r="Q17" s="192">
        <f ca="1">IF($F18=-1,0,IF(Q$13&lt;=$M17,IF(ISERROR(MATCH(Q$13,OFFSET($M17,1,0,ROW($M$35)-ROW($M17)-1),0)),ROW($M$35)-ROW($M17)-1,MATCH(Q$13,OFFSET($M17,1,0,ROW($M$35)-ROW($M17)-1),0)-1),0))</f>
        <v>0</v>
      </c>
      <c r="R17" s="192">
        <f t="shared" ref="R17" ca="1" si="11">MIN(OFFSET(M17,0,1,,M17))</f>
        <v>2</v>
      </c>
      <c r="S17" s="193">
        <f ca="1">IF($F18=0,OFFSET(ORÇAMENTO!X$15,$F17,0),IF($F18&lt;&gt;-1,OFFSET(QCI!$O$13,$F18,0),""))</f>
        <v>0</v>
      </c>
      <c r="T17" s="194" t="s">
        <v>785</v>
      </c>
      <c r="U17" s="187" cm="1">
        <f t="array" aca="1" ref="U17" ca="1">IF(AND($R17=2,ACOMPANHAMENTO="BM"),ROUND(U18,4),U19/$S17)</f>
        <v>1</v>
      </c>
      <c r="V17" s="187" cm="1">
        <f t="array" aca="1" ref="V17" ca="1">IF(AND($R17=2,ACOMPANHAMENTO="BM"),ROUND(V18,4),V19/$S17)</f>
        <v>0</v>
      </c>
      <c r="W17" s="187" cm="1">
        <f t="array" aca="1" ref="W17" ca="1">IF(AND($R17=2,ACOMPANHAMENTO="BM"),ROUND(W18,4),W19/$S17)</f>
        <v>0</v>
      </c>
      <c r="X17" s="187" cm="1">
        <f t="array" aca="1" ref="X17" ca="1">IF(AND($R17=2,ACOMPANHAMENTO="BM"),ROUND(X18,4),X19/$S17)</f>
        <v>0</v>
      </c>
      <c r="Y17" s="187" cm="1">
        <f t="array" aca="1" ref="Y17" ca="1">IF(AND($R17=2,ACOMPANHAMENTO="BM"),ROUND(Y18,4),Y19/$S17)</f>
        <v>0</v>
      </c>
      <c r="Z17" s="187" cm="1">
        <f t="array" aca="1" ref="Z17" ca="1">IF(AND($R17=2,ACOMPANHAMENTO="BM"),ROUND(Z18,4),Z19/$S17)</f>
        <v>0</v>
      </c>
      <c r="AA17" s="187" cm="1">
        <f t="array" aca="1" ref="AA17" ca="1">IF(AND($R17=2,ACOMPANHAMENTO="BM"),ROUND(AA18,4),AA19/$S17)</f>
        <v>0</v>
      </c>
      <c r="AB17" s="187" cm="1">
        <f t="array" aca="1" ref="AB17" ca="1">IF(AND($R17=2,ACOMPANHAMENTO="BM"),ROUND(AB18,4),AB19/$S17)</f>
        <v>0</v>
      </c>
      <c r="AC17" s="187" cm="1">
        <f t="array" aca="1" ref="AC17" ca="1">IF(AND($R17=2,ACOMPANHAMENTO="BM"),ROUND(AC18,4),AC19/$S17)</f>
        <v>0</v>
      </c>
      <c r="AD17" s="187" cm="1">
        <f t="array" aca="1" ref="AD17" ca="1">IF(AND($R17=2,ACOMPANHAMENTO="BM"),ROUND(AD18,4),AD19/$S17)</f>
        <v>0</v>
      </c>
      <c r="AE17" s="187" cm="1">
        <f t="array" aca="1" ref="AE17" ca="1">IF(AND($R17=2,ACOMPANHAMENTO="BM"),ROUND(AE18,4),AE19/$S17)</f>
        <v>0</v>
      </c>
      <c r="AF17" s="187" cm="1">
        <f t="array" aca="1" ref="AF17" ca="1">IF(AND($R17=2,ACOMPANHAMENTO="BM"),ROUND(AF18,4),AF19/$S17)</f>
        <v>0</v>
      </c>
      <c r="AG17" s="533"/>
    </row>
    <row r="18" spans="1:33" ht="12.75" customHeight="1" x14ac:dyDescent="0.2">
      <c r="E18" s="586"/>
      <c r="F18" s="184">
        <f ca="1">IF(ISERROR(F17),IF(1+COUNTIF($M$13:OFFSET(M17,-1,0),1)&lt;=MAX(QCI!$D$13:$D$24),1+COUNTIF($M$13:OFFSET(M17,-1,0),1),-1),0)</f>
        <v>0</v>
      </c>
      <c r="G18" s="184" t="str" cm="1">
        <f t="array" aca="1" ref="G18" ca="1">IF(ACOMPANHAMENTO="BM",OFFSET(G18,-1,0),"")</f>
        <v/>
      </c>
      <c r="H18" s="195" t="str" cm="1">
        <f t="array" aca="1" ref="H18" ca="1">IF(OR(S17=0,S17=""),"vazia",IF(AND(OR(ACOMPANHAMENTO="PLE",$R17&lt;&gt;2),$F18=0),"calculada","--&gt;"))</f>
        <v>vazia</v>
      </c>
      <c r="I18" s="196"/>
      <c r="J18" s="197" t="str">
        <f t="shared" ref="J18" ca="1" si="12">IF(AND(H17&lt;&gt;0,ISNUMBER(H17)),"PREENCHA ESTA LINHA --&gt;","")</f>
        <v/>
      </c>
      <c r="K18" s="197"/>
      <c r="L18" s="197"/>
      <c r="M18" s="198"/>
      <c r="N18" s="198"/>
      <c r="O18" s="198"/>
      <c r="P18" s="198"/>
      <c r="Q18" s="198"/>
      <c r="R18" s="198"/>
      <c r="S18" s="199"/>
      <c r="T18" s="200"/>
      <c r="U18" s="586">
        <v>1</v>
      </c>
      <c r="V18" s="586"/>
      <c r="W18" s="586"/>
      <c r="X18" s="586"/>
      <c r="Y18" s="586"/>
      <c r="Z18" s="586"/>
      <c r="AA18" s="586"/>
      <c r="AB18" s="586"/>
      <c r="AC18" s="586"/>
      <c r="AD18" s="586"/>
      <c r="AE18" s="586"/>
      <c r="AF18" s="586"/>
      <c r="AG18" s="533"/>
    </row>
    <row r="19" spans="1:33" ht="12.75" hidden="1" customHeight="1" x14ac:dyDescent="0.2">
      <c r="D19" s="532"/>
      <c r="E19" s="201" cm="1">
        <f t="array" aca="1" ref="E19" ca="1">IF($R17=2,
         IF(AND(ACOMPANHAMENTO="PLE",ISNUMBER($F17)),
                SUMIF((OFFSET(CÁLCULO!$AM$15:$AW$15,$F17,0,OFFSET(ORÇAMENTO!$D$15,CRONO!$F17,0))),CRONO!E$12,OFFSET(CÁLCULO!$AB$15:$AL$15,$F17,0,OFFSET(ORÇAMENTO!$D$15,CRONO!$F17,0)))
                +IF(AND($F19&lt;&gt;"",$F19&lt;&gt;0),
                        SUMIF(CÁLCULO!$AM$15:$AW$33,CRONO!E$12,CÁLCULO!$AB$15:$AL$33)/(ORÇAMENTO!$X$15-CÁLCULO.TotalAdmLocal)*CRONO!$F19,
                        0),
                 E18*$S17),
          SUMIF(OFFSET($S19,1,0,$R17-2),($M17+1)&amp;"$",OFFSET(E19,1,0,$R17-2)))</f>
        <v>0</v>
      </c>
      <c r="F19" s="184" t="str">
        <f ca="1">IF(OR($R17&lt;&gt;2,AUTOEVENTO&lt;&gt;"manual",$F18&gt;0),"",
        IF(Import.TipoArredondamento="Tradicional",
              SUMIF(OFFSET(CÁLCULO!$M$15,CRONO!$F17,0,OFFSET(ORÇAMENTO!$D$15,CRONO!$F17,0)),1,OFFSET(ORÇAMENTO!$X$15,CRONO!$F17,0,OFFSET(ORÇAMENTO!$D$15,CRONO!$F17,0))),
              0))</f>
        <v/>
      </c>
      <c r="H19" s="202"/>
      <c r="S19" s="203" t="str">
        <f t="shared" ref="S19" ca="1" si="13">M17&amp;"$"</f>
        <v>2$</v>
      </c>
      <c r="T19" s="204"/>
      <c r="U19" s="201" cm="1">
        <f t="array" aca="1" ref="U19" ca="1">IF($R17=2,
         IF(AND(ACOMPANHAMENTO="PLE",ISNUMBER($F17)),
                SUMIF((OFFSET(CÁLCULO!$AM$15:$AW$15,$F17,0,OFFSET(ORÇAMENTO!$D$15,CRONO!$F17,0))),CRONO!U$12,OFFSET(CÁLCULO!$AB$15:$AL$15,$F17,0,OFFSET(ORÇAMENTO!$D$15,CRONO!$F17,0)))
                +IF(AND($F19&lt;&gt;"",$F19&lt;&gt;0),
                        SUMIF(CÁLCULO!$AM$15:$AW$33,CRONO!U$12,CÁLCULO!$AB$15:$AL$33)/(ORÇAMENTO!$X$15-CÁLCULO.TotalAdmLocal)*CRONO!$F19,
                        0),
                 U18*$S17),
          SUMIF(OFFSET($S19,1,0,$R17-2),($M17+1)&amp;"$",OFFSET(U19,1,0,$R17-2)))</f>
        <v>0</v>
      </c>
      <c r="V19" s="201" cm="1">
        <f t="array" aca="1" ref="V19" ca="1">IF($R17=2,
         IF(AND(ACOMPANHAMENTO="PLE",ISNUMBER($F17)),
                SUMIF((OFFSET(CÁLCULO!$AM$15:$AW$15,$F17,0,OFFSET(ORÇAMENTO!$D$15,CRONO!$F17,0))),CRONO!V$12,OFFSET(CÁLCULO!$AB$15:$AL$15,$F17,0,OFFSET(ORÇAMENTO!$D$15,CRONO!$F17,0)))
                +IF(AND($F19&lt;&gt;"",$F19&lt;&gt;0),
                        SUMIF(CÁLCULO!$AM$15:$AW$33,CRONO!V$12,CÁLCULO!$AB$15:$AL$33)/(ORÇAMENTO!$X$15-CÁLCULO.TotalAdmLocal)*CRONO!$F19,
                        0),
                 V18*$S17),
          SUMIF(OFFSET($S19,1,0,$R17-2),($M17+1)&amp;"$",OFFSET(V19,1,0,$R17-2)))</f>
        <v>0</v>
      </c>
      <c r="W19" s="201" cm="1">
        <f t="array" aca="1" ref="W19" ca="1">IF($R17=2,
         IF(AND(ACOMPANHAMENTO="PLE",ISNUMBER($F17)),
                SUMIF((OFFSET(CÁLCULO!$AM$15:$AW$15,$F17,0,OFFSET(ORÇAMENTO!$D$15,CRONO!$F17,0))),CRONO!W$12,OFFSET(CÁLCULO!$AB$15:$AL$15,$F17,0,OFFSET(ORÇAMENTO!$D$15,CRONO!$F17,0)))
                +IF(AND($F19&lt;&gt;"",$F19&lt;&gt;0),
                        SUMIF(CÁLCULO!$AM$15:$AW$33,CRONO!W$12,CÁLCULO!$AB$15:$AL$33)/(ORÇAMENTO!$X$15-CÁLCULO.TotalAdmLocal)*CRONO!$F19,
                        0),
                 W18*$S17),
          SUMIF(OFFSET($S19,1,0,$R17-2),($M17+1)&amp;"$",OFFSET(W19,1,0,$R17-2)))</f>
        <v>0</v>
      </c>
      <c r="X19" s="201" cm="1">
        <f t="array" aca="1" ref="X19" ca="1">IF($R17=2,
         IF(AND(ACOMPANHAMENTO="PLE",ISNUMBER($F17)),
                SUMIF((OFFSET(CÁLCULO!$AM$15:$AW$15,$F17,0,OFFSET(ORÇAMENTO!$D$15,CRONO!$F17,0))),CRONO!X$12,OFFSET(CÁLCULO!$AB$15:$AL$15,$F17,0,OFFSET(ORÇAMENTO!$D$15,CRONO!$F17,0)))
                +IF(AND($F19&lt;&gt;"",$F19&lt;&gt;0),
                        SUMIF(CÁLCULO!$AM$15:$AW$33,CRONO!X$12,CÁLCULO!$AB$15:$AL$33)/(ORÇAMENTO!$X$15-CÁLCULO.TotalAdmLocal)*CRONO!$F19,
                        0),
                 X18*$S17),
          SUMIF(OFFSET($S19,1,0,$R17-2),($M17+1)&amp;"$",OFFSET(X19,1,0,$R17-2)))</f>
        <v>0</v>
      </c>
      <c r="Y19" s="201" cm="1">
        <f t="array" aca="1" ref="Y19" ca="1">IF($R17=2,
         IF(AND(ACOMPANHAMENTO="PLE",ISNUMBER($F17)),
                SUMIF((OFFSET(CÁLCULO!$AM$15:$AW$15,$F17,0,OFFSET(ORÇAMENTO!$D$15,CRONO!$F17,0))),CRONO!Y$12,OFFSET(CÁLCULO!$AB$15:$AL$15,$F17,0,OFFSET(ORÇAMENTO!$D$15,CRONO!$F17,0)))
                +IF(AND($F19&lt;&gt;"",$F19&lt;&gt;0),
                        SUMIF(CÁLCULO!$AM$15:$AW$33,CRONO!Y$12,CÁLCULO!$AB$15:$AL$33)/(ORÇAMENTO!$X$15-CÁLCULO.TotalAdmLocal)*CRONO!$F19,
                        0),
                 Y18*$S17),
          SUMIF(OFFSET($S19,1,0,$R17-2),($M17+1)&amp;"$",OFFSET(Y19,1,0,$R17-2)))</f>
        <v>0</v>
      </c>
      <c r="Z19" s="201" cm="1">
        <f t="array" aca="1" ref="Z19" ca="1">IF($R17=2,
         IF(AND(ACOMPANHAMENTO="PLE",ISNUMBER($F17)),
                SUMIF((OFFSET(CÁLCULO!$AM$15:$AW$15,$F17,0,OFFSET(ORÇAMENTO!$D$15,CRONO!$F17,0))),CRONO!Z$12,OFFSET(CÁLCULO!$AB$15:$AL$15,$F17,0,OFFSET(ORÇAMENTO!$D$15,CRONO!$F17,0)))
                +IF(AND($F19&lt;&gt;"",$F19&lt;&gt;0),
                        SUMIF(CÁLCULO!$AM$15:$AW$33,CRONO!Z$12,CÁLCULO!$AB$15:$AL$33)/(ORÇAMENTO!$X$15-CÁLCULO.TotalAdmLocal)*CRONO!$F19,
                        0),
                 Z18*$S17),
          SUMIF(OFFSET($S19,1,0,$R17-2),($M17+1)&amp;"$",OFFSET(Z19,1,0,$R17-2)))</f>
        <v>0</v>
      </c>
      <c r="AA19" s="201" cm="1">
        <f t="array" aca="1" ref="AA19" ca="1">IF($R17=2,
         IF(AND(ACOMPANHAMENTO="PLE",ISNUMBER($F17)),
                SUMIF((OFFSET(CÁLCULO!$AM$15:$AW$15,$F17,0,OFFSET(ORÇAMENTO!$D$15,CRONO!$F17,0))),CRONO!AA$12,OFFSET(CÁLCULO!$AB$15:$AL$15,$F17,0,OFFSET(ORÇAMENTO!$D$15,CRONO!$F17,0)))
                +IF(AND($F19&lt;&gt;"",$F19&lt;&gt;0),
                        SUMIF(CÁLCULO!$AM$15:$AW$33,CRONO!AA$12,CÁLCULO!$AB$15:$AL$33)/(ORÇAMENTO!$X$15-CÁLCULO.TotalAdmLocal)*CRONO!$F19,
                        0),
                 AA18*$S17),
          SUMIF(OFFSET($S19,1,0,$R17-2),($M17+1)&amp;"$",OFFSET(AA19,1,0,$R17-2)))</f>
        <v>0</v>
      </c>
      <c r="AB19" s="201" cm="1">
        <f t="array" aca="1" ref="AB19" ca="1">IF($R17=2,
         IF(AND(ACOMPANHAMENTO="PLE",ISNUMBER($F17)),
                SUMIF((OFFSET(CÁLCULO!$AM$15:$AW$15,$F17,0,OFFSET(ORÇAMENTO!$D$15,CRONO!$F17,0))),CRONO!AB$12,OFFSET(CÁLCULO!$AB$15:$AL$15,$F17,0,OFFSET(ORÇAMENTO!$D$15,CRONO!$F17,0)))
                +IF(AND($F19&lt;&gt;"",$F19&lt;&gt;0),
                        SUMIF(CÁLCULO!$AM$15:$AW$33,CRONO!AB$12,CÁLCULO!$AB$15:$AL$33)/(ORÇAMENTO!$X$15-CÁLCULO.TotalAdmLocal)*CRONO!$F19,
                        0),
                 AB18*$S17),
          SUMIF(OFFSET($S19,1,0,$R17-2),($M17+1)&amp;"$",OFFSET(AB19,1,0,$R17-2)))</f>
        <v>0</v>
      </c>
      <c r="AC19" s="201" cm="1">
        <f t="array" aca="1" ref="AC19" ca="1">IF($R17=2,
         IF(AND(ACOMPANHAMENTO="PLE",ISNUMBER($F17)),
                SUMIF((OFFSET(CÁLCULO!$AM$15:$AW$15,$F17,0,OFFSET(ORÇAMENTO!$D$15,CRONO!$F17,0))),CRONO!AC$12,OFFSET(CÁLCULO!$AB$15:$AL$15,$F17,0,OFFSET(ORÇAMENTO!$D$15,CRONO!$F17,0)))
                +IF(AND($F19&lt;&gt;"",$F19&lt;&gt;0),
                        SUMIF(CÁLCULO!$AM$15:$AW$33,CRONO!AC$12,CÁLCULO!$AB$15:$AL$33)/(ORÇAMENTO!$X$15-CÁLCULO.TotalAdmLocal)*CRONO!$F19,
                        0),
                 AC18*$S17),
          SUMIF(OFFSET($S19,1,0,$R17-2),($M17+1)&amp;"$",OFFSET(AC19,1,0,$R17-2)))</f>
        <v>0</v>
      </c>
      <c r="AD19" s="201" cm="1">
        <f t="array" aca="1" ref="AD19" ca="1">IF($R17=2,
         IF(AND(ACOMPANHAMENTO="PLE",ISNUMBER($F17)),
                SUMIF((OFFSET(CÁLCULO!$AM$15:$AW$15,$F17,0,OFFSET(ORÇAMENTO!$D$15,CRONO!$F17,0))),CRONO!AD$12,OFFSET(CÁLCULO!$AB$15:$AL$15,$F17,0,OFFSET(ORÇAMENTO!$D$15,CRONO!$F17,0)))
                +IF(AND($F19&lt;&gt;"",$F19&lt;&gt;0),
                        SUMIF(CÁLCULO!$AM$15:$AW$33,CRONO!AD$12,CÁLCULO!$AB$15:$AL$33)/(ORÇAMENTO!$X$15-CÁLCULO.TotalAdmLocal)*CRONO!$F19,
                        0),
                 AD18*$S17),
          SUMIF(OFFSET($S19,1,0,$R17-2),($M17+1)&amp;"$",OFFSET(AD19,1,0,$R17-2)))</f>
        <v>0</v>
      </c>
      <c r="AE19" s="201" cm="1">
        <f t="array" aca="1" ref="AE19" ca="1">IF($R17=2,
         IF(AND(ACOMPANHAMENTO="PLE",ISNUMBER($F17)),
                SUMIF((OFFSET(CÁLCULO!$AM$15:$AW$15,$F17,0,OFFSET(ORÇAMENTO!$D$15,CRONO!$F17,0))),CRONO!AE$12,OFFSET(CÁLCULO!$AB$15:$AL$15,$F17,0,OFFSET(ORÇAMENTO!$D$15,CRONO!$F17,0)))
                +IF(AND($F19&lt;&gt;"",$F19&lt;&gt;0),
                        SUMIF(CÁLCULO!$AM$15:$AW$33,CRONO!AE$12,CÁLCULO!$AB$15:$AL$33)/(ORÇAMENTO!$X$15-CÁLCULO.TotalAdmLocal)*CRONO!$F19,
                        0),
                 AE18*$S17),
          SUMIF(OFFSET($S19,1,0,$R17-2),($M17+1)&amp;"$",OFFSET(AE19,1,0,$R17-2)))</f>
        <v>0</v>
      </c>
      <c r="AF19" s="201" cm="1">
        <f t="array" aca="1" ref="AF19" ca="1">IF($R17=2,
         IF(AND(ACOMPANHAMENTO="PLE",ISNUMBER($F17)),
                SUMIF((OFFSET(CÁLCULO!$AM$15:$AW$15,$F17,0,OFFSET(ORÇAMENTO!$D$15,CRONO!$F17,0))),CRONO!AF$12,OFFSET(CÁLCULO!$AB$15:$AL$15,$F17,0,OFFSET(ORÇAMENTO!$D$15,CRONO!$F17,0)))
                +IF(AND($F19&lt;&gt;"",$F19&lt;&gt;0),
                        SUMIF(CÁLCULO!$AM$15:$AW$33,CRONO!AF$12,CÁLCULO!$AB$15:$AL$33)/(ORÇAMENTO!$X$15-CÁLCULO.TotalAdmLocal)*CRONO!$F19,
                        0),
                 AF18*$S17),
          SUMIF(OFFSET($S19,1,0,$R17-2),($M17+1)&amp;"$",OFFSET(AF19,1,0,$R17-2)))</f>
        <v>0</v>
      </c>
      <c r="AG19" s="533"/>
    </row>
    <row r="20" spans="1:33" x14ac:dyDescent="0.2">
      <c r="A20" s="185" t="e">
        <f t="shared" ref="A20" ca="1" si="14">IF($M20&gt;1,_xlfn.CONCAT($I20," ",$J20),"")</f>
        <v>#NAME?</v>
      </c>
      <c r="B20" s="184">
        <f t="shared" ref="B20" ca="1" si="15">OFFSET(B20,-3,0)+1</f>
        <v>3</v>
      </c>
      <c r="C20" s="184">
        <f ca="1">IF($R20&lt;&gt;2,0,IF($S20=0,1,IF(F21&gt;0,OFFSET(QCI!$M$13,SUBSTITUTE(F21,".",""),0),OFFSET(ORÇAMENTO!$AA$15,CRONO!$F20,0))/$S20))</f>
        <v>1</v>
      </c>
      <c r="D20" s="184">
        <f ca="1">IF($R20&lt;&gt;2,0,IF($S20=0,1,IF(F21&gt;0,OFFSET(QCI!$N$13,SUBSTITUTE(F21,".",""),0),OFFSET(ORÇAMENTO!$AB$15,CRONO!$F20,0))/$S20))</f>
        <v>1</v>
      </c>
      <c r="E20" s="187" cm="1">
        <f t="array" aca="1" ref="E20" ca="1">IF(AND($R20=2,ACOMPANHAMENTO="BM"),ROUND(E21,4),E22/$S20)</f>
        <v>0</v>
      </c>
      <c r="F20" s="184" cm="1">
        <f t="array" aca="1" ref="F20" ca="1">IF(B20&lt;=ORÇAMENTO.MáximoListaCrono,MATCH(B20,ORÇAMENTO.ListaCrono,0),NA())</f>
        <v>4</v>
      </c>
      <c r="G20" s="184" t="str">
        <f t="shared" ref="G20" ca="1" si="16">IF(AND($F21&lt;&gt;-1,$S20&gt;0),"F","")</f>
        <v/>
      </c>
      <c r="H20" s="188" t="str" cm="1">
        <f t="array" aca="1" ref="H20" ca="1">IF(OR(S20=0,S20=""),"Linha",IF(AND(OR(ACOMPANHAMENTO="PLE",$R20&lt;&gt;2),$F21=0),"Linha",ROUND(1-SUM(U20:AG20),4)))</f>
        <v>Linha</v>
      </c>
      <c r="I20" s="189" t="str">
        <f ca="1">IF($F21=0,OFFSET(ORÇAMENTO!O$15,$F20,0),IF($F21&lt;&gt;-1,OFFSET(QCI!$D$13,$F21,0),""))</f>
        <v>1.2.</v>
      </c>
      <c r="J20" s="190" t="str">
        <f ca="1">IF($F21=0,OFFSET(ORÇAMENTO!R$15,$F20,0),IF($F21&lt;&gt;-1,OFFSET(QCI!$G$13,$F21,0),""))</f>
        <v>SERVIÇOS PRELIMINARES</v>
      </c>
      <c r="K20" s="190"/>
      <c r="L20" s="190"/>
      <c r="M20" s="191">
        <f ca="1">IF($F21=0,OFFSET(ORÇAMENTO!C$15,$F20,0),1)</f>
        <v>2</v>
      </c>
      <c r="N20" s="192">
        <f ca="1">IF($F21=-1,0,IF(N$13&lt;=$M20,IF(ISERROR(MATCH(N$13,OFFSET($M20,1,0,ROW($M$35)-ROW($M20)-1),0)),ROW($M$35)-ROW($M20)-1,MATCH(N$13,OFFSET($M20,1,0,ROW($M$35)-ROW($M20)-1),0)-1),0))</f>
        <v>14</v>
      </c>
      <c r="O20" s="192">
        <f ca="1">IF($F21=-1,0,IF(O$13&lt;=$M20,IF(ISERROR(MATCH(O$13,OFFSET($M20,1,0,ROW($M$35)-ROW($M20)-1),0)),ROW($M$35)-ROW($M20)-1,MATCH(O$13,OFFSET($M20,1,0,ROW($M$35)-ROW($M20)-1),0)-1),0))</f>
        <v>2</v>
      </c>
      <c r="P20" s="192">
        <f ca="1">IF($F21=-1,0,IF(P$13&lt;=$M20,IF(ISERROR(MATCH(P$13,OFFSET($M20,1,0,ROW($M$35)-ROW($M20)-1),0)),ROW($M$35)-ROW($M20)-1,MATCH(P$13,OFFSET($M20,1,0,ROW($M$35)-ROW($M20)-1),0)-1),0))</f>
        <v>0</v>
      </c>
      <c r="Q20" s="192">
        <f ca="1">IF($F21=-1,0,IF(Q$13&lt;=$M20,IF(ISERROR(MATCH(Q$13,OFFSET($M20,1,0,ROW($M$35)-ROW($M20)-1),0)),ROW($M$35)-ROW($M20)-1,MATCH(Q$13,OFFSET($M20,1,0,ROW($M$35)-ROW($M20)-1),0)-1),0))</f>
        <v>0</v>
      </c>
      <c r="R20" s="192">
        <f t="shared" ref="R20" ca="1" si="17">MIN(OFFSET(M20,0,1,,M20))</f>
        <v>2</v>
      </c>
      <c r="S20" s="193">
        <f ca="1">IF($F21=0,OFFSET(ORÇAMENTO!X$15,$F20,0),IF($F21&lt;&gt;-1,OFFSET(QCI!$O$13,$F21,0),""))</f>
        <v>0</v>
      </c>
      <c r="T20" s="194" t="s">
        <v>785</v>
      </c>
      <c r="U20" s="187" cm="1">
        <f t="array" aca="1" ref="U20" ca="1">IF(AND($R20=2,ACOMPANHAMENTO="BM"),ROUND(U21,4),U22/$S20)</f>
        <v>0.5</v>
      </c>
      <c r="V20" s="187" cm="1">
        <f t="array" aca="1" ref="V20" ca="1">IF(AND($R20=2,ACOMPANHAMENTO="BM"),ROUND(V21,4),V22/$S20)</f>
        <v>0.5</v>
      </c>
      <c r="W20" s="187" cm="1">
        <f t="array" aca="1" ref="W20" ca="1">IF(AND($R20=2,ACOMPANHAMENTO="BM"),ROUND(W21,4),W22/$S20)</f>
        <v>0</v>
      </c>
      <c r="X20" s="187" cm="1">
        <f t="array" aca="1" ref="X20" ca="1">IF(AND($R20=2,ACOMPANHAMENTO="BM"),ROUND(X21,4),X22/$S20)</f>
        <v>0</v>
      </c>
      <c r="Y20" s="187" cm="1">
        <f t="array" aca="1" ref="Y20" ca="1">IF(AND($R20=2,ACOMPANHAMENTO="BM"),ROUND(Y21,4),Y22/$S20)</f>
        <v>0</v>
      </c>
      <c r="Z20" s="187" cm="1">
        <f t="array" aca="1" ref="Z20" ca="1">IF(AND($R20=2,ACOMPANHAMENTO="BM"),ROUND(Z21,4),Z22/$S20)</f>
        <v>0</v>
      </c>
      <c r="AA20" s="187" cm="1">
        <f t="array" aca="1" ref="AA20" ca="1">IF(AND($R20=2,ACOMPANHAMENTO="BM"),ROUND(AA21,4),AA22/$S20)</f>
        <v>0</v>
      </c>
      <c r="AB20" s="187" cm="1">
        <f t="array" aca="1" ref="AB20" ca="1">IF(AND($R20=2,ACOMPANHAMENTO="BM"),ROUND(AB21,4),AB22/$S20)</f>
        <v>0</v>
      </c>
      <c r="AC20" s="187" cm="1">
        <f t="array" aca="1" ref="AC20" ca="1">IF(AND($R20=2,ACOMPANHAMENTO="BM"),ROUND(AC21,4),AC22/$S20)</f>
        <v>0</v>
      </c>
      <c r="AD20" s="187" cm="1">
        <f t="array" aca="1" ref="AD20" ca="1">IF(AND($R20=2,ACOMPANHAMENTO="BM"),ROUND(AD21,4),AD22/$S20)</f>
        <v>0</v>
      </c>
      <c r="AE20" s="187" cm="1">
        <f t="array" aca="1" ref="AE20" ca="1">IF(AND($R20=2,ACOMPANHAMENTO="BM"),ROUND(AE21,4),AE22/$S20)</f>
        <v>0</v>
      </c>
      <c r="AF20" s="187" cm="1">
        <f t="array" aca="1" ref="AF20" ca="1">IF(AND($R20=2,ACOMPANHAMENTO="BM"),ROUND(AF21,4),AF22/$S20)</f>
        <v>0</v>
      </c>
      <c r="AG20" s="533"/>
    </row>
    <row r="21" spans="1:33" ht="12.75" customHeight="1" x14ac:dyDescent="0.2">
      <c r="E21" s="586"/>
      <c r="F21" s="184">
        <f ca="1">IF(ISERROR(F20),IF(1+COUNTIF($M$13:OFFSET(M20,-1,0),1)&lt;=MAX(QCI!$D$13:$D$24),1+COUNTIF($M$13:OFFSET(M20,-1,0),1),-1),0)</f>
        <v>0</v>
      </c>
      <c r="G21" s="184" t="str" cm="1">
        <f t="array" aca="1" ref="G21" ca="1">IF(ACOMPANHAMENTO="BM",OFFSET(G21,-1,0),"")</f>
        <v/>
      </c>
      <c r="H21" s="195" t="str" cm="1">
        <f t="array" aca="1" ref="H21" ca="1">IF(OR(S20=0,S20=""),"vazia",IF(AND(OR(ACOMPANHAMENTO="PLE",$R20&lt;&gt;2),$F21=0),"calculada","--&gt;"))</f>
        <v>vazia</v>
      </c>
      <c r="I21" s="196"/>
      <c r="J21" s="197" t="str">
        <f t="shared" ref="J21" ca="1" si="18">IF(AND(H20&lt;&gt;0,ISNUMBER(H20)),"PREENCHA ESTA LINHA --&gt;","")</f>
        <v/>
      </c>
      <c r="K21" s="197"/>
      <c r="L21" s="197"/>
      <c r="M21" s="198"/>
      <c r="N21" s="198"/>
      <c r="O21" s="198"/>
      <c r="P21" s="198"/>
      <c r="Q21" s="198"/>
      <c r="R21" s="198"/>
      <c r="S21" s="199"/>
      <c r="T21" s="200"/>
      <c r="U21" s="586">
        <v>0.5</v>
      </c>
      <c r="V21" s="586">
        <v>0.5</v>
      </c>
      <c r="W21" s="586"/>
      <c r="X21" s="586"/>
      <c r="Y21" s="586"/>
      <c r="Z21" s="586"/>
      <c r="AA21" s="586"/>
      <c r="AB21" s="586"/>
      <c r="AC21" s="586"/>
      <c r="AD21" s="586"/>
      <c r="AE21" s="586"/>
      <c r="AF21" s="586"/>
      <c r="AG21" s="533"/>
    </row>
    <row r="22" spans="1:33" ht="12.75" hidden="1" customHeight="1" x14ac:dyDescent="0.2">
      <c r="D22" s="532"/>
      <c r="E22" s="201" cm="1">
        <f t="array" aca="1" ref="E22" ca="1">IF($R20=2,
         IF(AND(ACOMPANHAMENTO="PLE",ISNUMBER($F20)),
                SUMIF((OFFSET(CÁLCULO!$AM$15:$AW$15,$F20,0,OFFSET(ORÇAMENTO!$D$15,CRONO!$F20,0))),CRONO!E$12,OFFSET(CÁLCULO!$AB$15:$AL$15,$F20,0,OFFSET(ORÇAMENTO!$D$15,CRONO!$F20,0)))
                +IF(AND($F22&lt;&gt;"",$F22&lt;&gt;0),
                        SUMIF(CÁLCULO!$AM$15:$AW$33,CRONO!E$12,CÁLCULO!$AB$15:$AL$33)/(ORÇAMENTO!$X$15-CÁLCULO.TotalAdmLocal)*CRONO!$F22,
                        0),
                 E21*$S20),
          SUMIF(OFFSET($S22,1,0,$R20-2),($M20+1)&amp;"$",OFFSET(E22,1,0,$R20-2)))</f>
        <v>0</v>
      </c>
      <c r="F22" s="184" t="str">
        <f ca="1">IF(OR($R20&lt;&gt;2,AUTOEVENTO&lt;&gt;"manual",$F21&gt;0),"",
        IF(Import.TipoArredondamento="Tradicional",
              SUMIF(OFFSET(CÁLCULO!$M$15,CRONO!$F20,0,OFFSET(ORÇAMENTO!$D$15,CRONO!$F20,0)),1,OFFSET(ORÇAMENTO!$X$15,CRONO!$F20,0,OFFSET(ORÇAMENTO!$D$15,CRONO!$F20,0))),
              0))</f>
        <v/>
      </c>
      <c r="H22" s="202"/>
      <c r="S22" s="203" t="str">
        <f t="shared" ref="S22" ca="1" si="19">M20&amp;"$"</f>
        <v>2$</v>
      </c>
      <c r="T22" s="204"/>
      <c r="U22" s="201" cm="1">
        <f t="array" aca="1" ref="U22" ca="1">IF($R20=2,
         IF(AND(ACOMPANHAMENTO="PLE",ISNUMBER($F20)),
                SUMIF((OFFSET(CÁLCULO!$AM$15:$AW$15,$F20,0,OFFSET(ORÇAMENTO!$D$15,CRONO!$F20,0))),CRONO!U$12,OFFSET(CÁLCULO!$AB$15:$AL$15,$F20,0,OFFSET(ORÇAMENTO!$D$15,CRONO!$F20,0)))
                +IF(AND($F22&lt;&gt;"",$F22&lt;&gt;0),
                        SUMIF(CÁLCULO!$AM$15:$AW$33,CRONO!U$12,CÁLCULO!$AB$15:$AL$33)/(ORÇAMENTO!$X$15-CÁLCULO.TotalAdmLocal)*CRONO!$F22,
                        0),
                 U21*$S20),
          SUMIF(OFFSET($S22,1,0,$R20-2),($M20+1)&amp;"$",OFFSET(U22,1,0,$R20-2)))</f>
        <v>0</v>
      </c>
      <c r="V22" s="201" cm="1">
        <f t="array" aca="1" ref="V22" ca="1">IF($R20=2,
         IF(AND(ACOMPANHAMENTO="PLE",ISNUMBER($F20)),
                SUMIF((OFFSET(CÁLCULO!$AM$15:$AW$15,$F20,0,OFFSET(ORÇAMENTO!$D$15,CRONO!$F20,0))),CRONO!V$12,OFFSET(CÁLCULO!$AB$15:$AL$15,$F20,0,OFFSET(ORÇAMENTO!$D$15,CRONO!$F20,0)))
                +IF(AND($F22&lt;&gt;"",$F22&lt;&gt;0),
                        SUMIF(CÁLCULO!$AM$15:$AW$33,CRONO!V$12,CÁLCULO!$AB$15:$AL$33)/(ORÇAMENTO!$X$15-CÁLCULO.TotalAdmLocal)*CRONO!$F22,
                        0),
                 V21*$S20),
          SUMIF(OFFSET($S22,1,0,$R20-2),($M20+1)&amp;"$",OFFSET(V22,1,0,$R20-2)))</f>
        <v>0</v>
      </c>
      <c r="W22" s="201" cm="1">
        <f t="array" aca="1" ref="W22" ca="1">IF($R20=2,
         IF(AND(ACOMPANHAMENTO="PLE",ISNUMBER($F20)),
                SUMIF((OFFSET(CÁLCULO!$AM$15:$AW$15,$F20,0,OFFSET(ORÇAMENTO!$D$15,CRONO!$F20,0))),CRONO!W$12,OFFSET(CÁLCULO!$AB$15:$AL$15,$F20,0,OFFSET(ORÇAMENTO!$D$15,CRONO!$F20,0)))
                +IF(AND($F22&lt;&gt;"",$F22&lt;&gt;0),
                        SUMIF(CÁLCULO!$AM$15:$AW$33,CRONO!W$12,CÁLCULO!$AB$15:$AL$33)/(ORÇAMENTO!$X$15-CÁLCULO.TotalAdmLocal)*CRONO!$F22,
                        0),
                 W21*$S20),
          SUMIF(OFFSET($S22,1,0,$R20-2),($M20+1)&amp;"$",OFFSET(W22,1,0,$R20-2)))</f>
        <v>0</v>
      </c>
      <c r="X22" s="201" cm="1">
        <f t="array" aca="1" ref="X22" ca="1">IF($R20=2,
         IF(AND(ACOMPANHAMENTO="PLE",ISNUMBER($F20)),
                SUMIF((OFFSET(CÁLCULO!$AM$15:$AW$15,$F20,0,OFFSET(ORÇAMENTO!$D$15,CRONO!$F20,0))),CRONO!X$12,OFFSET(CÁLCULO!$AB$15:$AL$15,$F20,0,OFFSET(ORÇAMENTO!$D$15,CRONO!$F20,0)))
                +IF(AND($F22&lt;&gt;"",$F22&lt;&gt;0),
                        SUMIF(CÁLCULO!$AM$15:$AW$33,CRONO!X$12,CÁLCULO!$AB$15:$AL$33)/(ORÇAMENTO!$X$15-CÁLCULO.TotalAdmLocal)*CRONO!$F22,
                        0),
                 X21*$S20),
          SUMIF(OFFSET($S22,1,0,$R20-2),($M20+1)&amp;"$",OFFSET(X22,1,0,$R20-2)))</f>
        <v>0</v>
      </c>
      <c r="Y22" s="201" cm="1">
        <f t="array" aca="1" ref="Y22" ca="1">IF($R20=2,
         IF(AND(ACOMPANHAMENTO="PLE",ISNUMBER($F20)),
                SUMIF((OFFSET(CÁLCULO!$AM$15:$AW$15,$F20,0,OFFSET(ORÇAMENTO!$D$15,CRONO!$F20,0))),CRONO!Y$12,OFFSET(CÁLCULO!$AB$15:$AL$15,$F20,0,OFFSET(ORÇAMENTO!$D$15,CRONO!$F20,0)))
                +IF(AND($F22&lt;&gt;"",$F22&lt;&gt;0),
                        SUMIF(CÁLCULO!$AM$15:$AW$33,CRONO!Y$12,CÁLCULO!$AB$15:$AL$33)/(ORÇAMENTO!$X$15-CÁLCULO.TotalAdmLocal)*CRONO!$F22,
                        0),
                 Y21*$S20),
          SUMIF(OFFSET($S22,1,0,$R20-2),($M20+1)&amp;"$",OFFSET(Y22,1,0,$R20-2)))</f>
        <v>0</v>
      </c>
      <c r="Z22" s="201" cm="1">
        <f t="array" aca="1" ref="Z22" ca="1">IF($R20=2,
         IF(AND(ACOMPANHAMENTO="PLE",ISNUMBER($F20)),
                SUMIF((OFFSET(CÁLCULO!$AM$15:$AW$15,$F20,0,OFFSET(ORÇAMENTO!$D$15,CRONO!$F20,0))),CRONO!Z$12,OFFSET(CÁLCULO!$AB$15:$AL$15,$F20,0,OFFSET(ORÇAMENTO!$D$15,CRONO!$F20,0)))
                +IF(AND($F22&lt;&gt;"",$F22&lt;&gt;0),
                        SUMIF(CÁLCULO!$AM$15:$AW$33,CRONO!Z$12,CÁLCULO!$AB$15:$AL$33)/(ORÇAMENTO!$X$15-CÁLCULO.TotalAdmLocal)*CRONO!$F22,
                        0),
                 Z21*$S20),
          SUMIF(OFFSET($S22,1,0,$R20-2),($M20+1)&amp;"$",OFFSET(Z22,1,0,$R20-2)))</f>
        <v>0</v>
      </c>
      <c r="AA22" s="201" cm="1">
        <f t="array" aca="1" ref="AA22" ca="1">IF($R20=2,
         IF(AND(ACOMPANHAMENTO="PLE",ISNUMBER($F20)),
                SUMIF((OFFSET(CÁLCULO!$AM$15:$AW$15,$F20,0,OFFSET(ORÇAMENTO!$D$15,CRONO!$F20,0))),CRONO!AA$12,OFFSET(CÁLCULO!$AB$15:$AL$15,$F20,0,OFFSET(ORÇAMENTO!$D$15,CRONO!$F20,0)))
                +IF(AND($F22&lt;&gt;"",$F22&lt;&gt;0),
                        SUMIF(CÁLCULO!$AM$15:$AW$33,CRONO!AA$12,CÁLCULO!$AB$15:$AL$33)/(ORÇAMENTO!$X$15-CÁLCULO.TotalAdmLocal)*CRONO!$F22,
                        0),
                 AA21*$S20),
          SUMIF(OFFSET($S22,1,0,$R20-2),($M20+1)&amp;"$",OFFSET(AA22,1,0,$R20-2)))</f>
        <v>0</v>
      </c>
      <c r="AB22" s="201" cm="1">
        <f t="array" aca="1" ref="AB22" ca="1">IF($R20=2,
         IF(AND(ACOMPANHAMENTO="PLE",ISNUMBER($F20)),
                SUMIF((OFFSET(CÁLCULO!$AM$15:$AW$15,$F20,0,OFFSET(ORÇAMENTO!$D$15,CRONO!$F20,0))),CRONO!AB$12,OFFSET(CÁLCULO!$AB$15:$AL$15,$F20,0,OFFSET(ORÇAMENTO!$D$15,CRONO!$F20,0)))
                +IF(AND($F22&lt;&gt;"",$F22&lt;&gt;0),
                        SUMIF(CÁLCULO!$AM$15:$AW$33,CRONO!AB$12,CÁLCULO!$AB$15:$AL$33)/(ORÇAMENTO!$X$15-CÁLCULO.TotalAdmLocal)*CRONO!$F22,
                        0),
                 AB21*$S20),
          SUMIF(OFFSET($S22,1,0,$R20-2),($M20+1)&amp;"$",OFFSET(AB22,1,0,$R20-2)))</f>
        <v>0</v>
      </c>
      <c r="AC22" s="201" cm="1">
        <f t="array" aca="1" ref="AC22" ca="1">IF($R20=2,
         IF(AND(ACOMPANHAMENTO="PLE",ISNUMBER($F20)),
                SUMIF((OFFSET(CÁLCULO!$AM$15:$AW$15,$F20,0,OFFSET(ORÇAMENTO!$D$15,CRONO!$F20,0))),CRONO!AC$12,OFFSET(CÁLCULO!$AB$15:$AL$15,$F20,0,OFFSET(ORÇAMENTO!$D$15,CRONO!$F20,0)))
                +IF(AND($F22&lt;&gt;"",$F22&lt;&gt;0),
                        SUMIF(CÁLCULO!$AM$15:$AW$33,CRONO!AC$12,CÁLCULO!$AB$15:$AL$33)/(ORÇAMENTO!$X$15-CÁLCULO.TotalAdmLocal)*CRONO!$F22,
                        0),
                 AC21*$S20),
          SUMIF(OFFSET($S22,1,0,$R20-2),($M20+1)&amp;"$",OFFSET(AC22,1,0,$R20-2)))</f>
        <v>0</v>
      </c>
      <c r="AD22" s="201" cm="1">
        <f t="array" aca="1" ref="AD22" ca="1">IF($R20=2,
         IF(AND(ACOMPANHAMENTO="PLE",ISNUMBER($F20)),
                SUMIF((OFFSET(CÁLCULO!$AM$15:$AW$15,$F20,0,OFFSET(ORÇAMENTO!$D$15,CRONO!$F20,0))),CRONO!AD$12,OFFSET(CÁLCULO!$AB$15:$AL$15,$F20,0,OFFSET(ORÇAMENTO!$D$15,CRONO!$F20,0)))
                +IF(AND($F22&lt;&gt;"",$F22&lt;&gt;0),
                        SUMIF(CÁLCULO!$AM$15:$AW$33,CRONO!AD$12,CÁLCULO!$AB$15:$AL$33)/(ORÇAMENTO!$X$15-CÁLCULO.TotalAdmLocal)*CRONO!$F22,
                        0),
                 AD21*$S20),
          SUMIF(OFFSET($S22,1,0,$R20-2),($M20+1)&amp;"$",OFFSET(AD22,1,0,$R20-2)))</f>
        <v>0</v>
      </c>
      <c r="AE22" s="201" cm="1">
        <f t="array" aca="1" ref="AE22" ca="1">IF($R20=2,
         IF(AND(ACOMPANHAMENTO="PLE",ISNUMBER($F20)),
                SUMIF((OFFSET(CÁLCULO!$AM$15:$AW$15,$F20,0,OFFSET(ORÇAMENTO!$D$15,CRONO!$F20,0))),CRONO!AE$12,OFFSET(CÁLCULO!$AB$15:$AL$15,$F20,0,OFFSET(ORÇAMENTO!$D$15,CRONO!$F20,0)))
                +IF(AND($F22&lt;&gt;"",$F22&lt;&gt;0),
                        SUMIF(CÁLCULO!$AM$15:$AW$33,CRONO!AE$12,CÁLCULO!$AB$15:$AL$33)/(ORÇAMENTO!$X$15-CÁLCULO.TotalAdmLocal)*CRONO!$F22,
                        0),
                 AE21*$S20),
          SUMIF(OFFSET($S22,1,0,$R20-2),($M20+1)&amp;"$",OFFSET(AE22,1,0,$R20-2)))</f>
        <v>0</v>
      </c>
      <c r="AF22" s="201" cm="1">
        <f t="array" aca="1" ref="AF22" ca="1">IF($R20=2,
         IF(AND(ACOMPANHAMENTO="PLE",ISNUMBER($F20)),
                SUMIF((OFFSET(CÁLCULO!$AM$15:$AW$15,$F20,0,OFFSET(ORÇAMENTO!$D$15,CRONO!$F20,0))),CRONO!AF$12,OFFSET(CÁLCULO!$AB$15:$AL$15,$F20,0,OFFSET(ORÇAMENTO!$D$15,CRONO!$F20,0)))
                +IF(AND($F22&lt;&gt;"",$F22&lt;&gt;0),
                        SUMIF(CÁLCULO!$AM$15:$AW$33,CRONO!AF$12,CÁLCULO!$AB$15:$AL$33)/(ORÇAMENTO!$X$15-CÁLCULO.TotalAdmLocal)*CRONO!$F22,
                        0),
                 AF21*$S20),
          SUMIF(OFFSET($S22,1,0,$R20-2),($M20+1)&amp;"$",OFFSET(AF22,1,0,$R20-2)))</f>
        <v>0</v>
      </c>
      <c r="AG22" s="533"/>
    </row>
    <row r="23" spans="1:33" x14ac:dyDescent="0.2">
      <c r="A23" s="185" t="e">
        <f t="shared" ref="A23" ca="1" si="20">IF($M23&gt;1,_xlfn.CONCAT($I23," ",$J23),"")</f>
        <v>#NAME?</v>
      </c>
      <c r="B23" s="184">
        <f t="shared" ref="B23" ca="1" si="21">OFFSET(B23,-3,0)+1</f>
        <v>4</v>
      </c>
      <c r="C23" s="184">
        <f ca="1">IF($R23&lt;&gt;2,0,IF($S23=0,1,IF(F24&gt;0,OFFSET(QCI!$M$13,SUBSTITUTE(F24,".",""),0),OFFSET(ORÇAMENTO!$AA$15,CRONO!$F23,0))/$S23))</f>
        <v>1</v>
      </c>
      <c r="D23" s="184">
        <f ca="1">IF($R23&lt;&gt;2,0,IF($S23=0,1,IF(F24&gt;0,OFFSET(QCI!$N$13,SUBSTITUTE(F24,".",""),0),OFFSET(ORÇAMENTO!$AB$15,CRONO!$F23,0))/$S23))</f>
        <v>1</v>
      </c>
      <c r="E23" s="187" cm="1">
        <f t="array" aca="1" ref="E23" ca="1">IF(AND($R23=2,ACOMPANHAMENTO="BM"),ROUND(E24,4),E25/$S23)</f>
        <v>0</v>
      </c>
      <c r="F23" s="184" cm="1">
        <f t="array" aca="1" ref="F23" ca="1">IF(B23&lt;=ORÇAMENTO.MáximoListaCrono,MATCH(B23,ORÇAMENTO.ListaCrono,0),NA())</f>
        <v>6</v>
      </c>
      <c r="G23" s="184" t="str">
        <f t="shared" ref="G23" ca="1" si="22">IF(AND($F24&lt;&gt;-1,$S23&gt;0),"F","")</f>
        <v/>
      </c>
      <c r="H23" s="188" t="str" cm="1">
        <f t="array" aca="1" ref="H23" ca="1">IF(OR(S23=0,S23=""),"Linha",IF(AND(OR(ACOMPANHAMENTO="PLE",$R23&lt;&gt;2),$F24=0),"Linha",ROUND(1-SUM(U23:AG23),4)))</f>
        <v>Linha</v>
      </c>
      <c r="I23" s="189" t="str">
        <f ca="1">IF($F24=0,OFFSET(ORÇAMENTO!O$15,$F23,0),IF($F24&lt;&gt;-1,OFFSET(QCI!$D$13,$F24,0),""))</f>
        <v>1.3.</v>
      </c>
      <c r="J23" s="190" t="str">
        <f ca="1">IF($F24=0,OFFSET(ORÇAMENTO!R$15,$F23,0),IF($F24&lt;&gt;-1,OFFSET(QCI!$G$13,$F24,0),""))</f>
        <v>BASE EM BRITA GRADUADA H=5CM</v>
      </c>
      <c r="K23" s="190"/>
      <c r="L23" s="190"/>
      <c r="M23" s="191">
        <f ca="1">IF($F24=0,OFFSET(ORÇAMENTO!C$15,$F23,0),1)</f>
        <v>2</v>
      </c>
      <c r="N23" s="192">
        <f ca="1">IF($F24=-1,0,IF(N$13&lt;=$M23,IF(ISERROR(MATCH(N$13,OFFSET($M23,1,0,ROW($M$35)-ROW($M23)-1),0)),ROW($M$35)-ROW($M23)-1,MATCH(N$13,OFFSET($M23,1,0,ROW($M$35)-ROW($M23)-1),0)-1),0))</f>
        <v>11</v>
      </c>
      <c r="O23" s="192">
        <f ca="1">IF($F24=-1,0,IF(O$13&lt;=$M23,IF(ISERROR(MATCH(O$13,OFFSET($M23,1,0,ROW($M$35)-ROW($M23)-1),0)),ROW($M$35)-ROW($M23)-1,MATCH(O$13,OFFSET($M23,1,0,ROW($M$35)-ROW($M23)-1),0)-1),0))</f>
        <v>2</v>
      </c>
      <c r="P23" s="192">
        <f ca="1">IF($F24=-1,0,IF(P$13&lt;=$M23,IF(ISERROR(MATCH(P$13,OFFSET($M23,1,0,ROW($M$35)-ROW($M23)-1),0)),ROW($M$35)-ROW($M23)-1,MATCH(P$13,OFFSET($M23,1,0,ROW($M$35)-ROW($M23)-1),0)-1),0))</f>
        <v>0</v>
      </c>
      <c r="Q23" s="192">
        <f ca="1">IF($F24=-1,0,IF(Q$13&lt;=$M23,IF(ISERROR(MATCH(Q$13,OFFSET($M23,1,0,ROW($M$35)-ROW($M23)-1),0)),ROW($M$35)-ROW($M23)-1,MATCH(Q$13,OFFSET($M23,1,0,ROW($M$35)-ROW($M23)-1),0)-1),0))</f>
        <v>0</v>
      </c>
      <c r="R23" s="192">
        <f t="shared" ref="R23" ca="1" si="23">MIN(OFFSET(M23,0,1,,M23))</f>
        <v>2</v>
      </c>
      <c r="S23" s="193">
        <f ca="1">IF($F24=0,OFFSET(ORÇAMENTO!X$15,$F23,0),IF($F24&lt;&gt;-1,OFFSET(QCI!$O$13,$F24,0),""))</f>
        <v>0</v>
      </c>
      <c r="T23" s="194" t="s">
        <v>785</v>
      </c>
      <c r="U23" s="187" cm="1">
        <f t="array" aca="1" ref="U23" ca="1">IF(AND($R23=2,ACOMPANHAMENTO="BM"),ROUND(U24,4),U25/$S23)</f>
        <v>0.5</v>
      </c>
      <c r="V23" s="187" cm="1">
        <f t="array" aca="1" ref="V23" ca="1">IF(AND($R23=2,ACOMPANHAMENTO="BM"),ROUND(V24,4),V25/$S23)</f>
        <v>0.5</v>
      </c>
      <c r="W23" s="187" cm="1">
        <f t="array" aca="1" ref="W23" ca="1">IF(AND($R23=2,ACOMPANHAMENTO="BM"),ROUND(W24,4),W25/$S23)</f>
        <v>0</v>
      </c>
      <c r="X23" s="187" cm="1">
        <f t="array" aca="1" ref="X23" ca="1">IF(AND($R23=2,ACOMPANHAMENTO="BM"),ROUND(X24,4),X25/$S23)</f>
        <v>0</v>
      </c>
      <c r="Y23" s="187" cm="1">
        <f t="array" aca="1" ref="Y23" ca="1">IF(AND($R23=2,ACOMPANHAMENTO="BM"),ROUND(Y24,4),Y25/$S23)</f>
        <v>0</v>
      </c>
      <c r="Z23" s="187" cm="1">
        <f t="array" aca="1" ref="Z23" ca="1">IF(AND($R23=2,ACOMPANHAMENTO="BM"),ROUND(Z24,4),Z25/$S23)</f>
        <v>0</v>
      </c>
      <c r="AA23" s="187" cm="1">
        <f t="array" aca="1" ref="AA23" ca="1">IF(AND($R23=2,ACOMPANHAMENTO="BM"),ROUND(AA24,4),AA25/$S23)</f>
        <v>0</v>
      </c>
      <c r="AB23" s="187" cm="1">
        <f t="array" aca="1" ref="AB23" ca="1">IF(AND($R23=2,ACOMPANHAMENTO="BM"),ROUND(AB24,4),AB25/$S23)</f>
        <v>0</v>
      </c>
      <c r="AC23" s="187" cm="1">
        <f t="array" aca="1" ref="AC23" ca="1">IF(AND($R23=2,ACOMPANHAMENTO="BM"),ROUND(AC24,4),AC25/$S23)</f>
        <v>0</v>
      </c>
      <c r="AD23" s="187" cm="1">
        <f t="array" aca="1" ref="AD23" ca="1">IF(AND($R23=2,ACOMPANHAMENTO="BM"),ROUND(AD24,4),AD25/$S23)</f>
        <v>0</v>
      </c>
      <c r="AE23" s="187" cm="1">
        <f t="array" aca="1" ref="AE23" ca="1">IF(AND($R23=2,ACOMPANHAMENTO="BM"),ROUND(AE24,4),AE25/$S23)</f>
        <v>0</v>
      </c>
      <c r="AF23" s="187" cm="1">
        <f t="array" aca="1" ref="AF23" ca="1">IF(AND($R23=2,ACOMPANHAMENTO="BM"),ROUND(AF24,4),AF25/$S23)</f>
        <v>0</v>
      </c>
      <c r="AG23" s="533"/>
    </row>
    <row r="24" spans="1:33" ht="12.75" customHeight="1" x14ac:dyDescent="0.2">
      <c r="E24" s="586"/>
      <c r="F24" s="184">
        <f ca="1">IF(ISERROR(F23),IF(1+COUNTIF($M$13:OFFSET(M23,-1,0),1)&lt;=MAX(QCI!$D$13:$D$24),1+COUNTIF($M$13:OFFSET(M23,-1,0),1),-1),0)</f>
        <v>0</v>
      </c>
      <c r="G24" s="184" t="str" cm="1">
        <f t="array" aca="1" ref="G24" ca="1">IF(ACOMPANHAMENTO="BM",OFFSET(G24,-1,0),"")</f>
        <v/>
      </c>
      <c r="H24" s="195" t="str" cm="1">
        <f t="array" aca="1" ref="H24" ca="1">IF(OR(S23=0,S23=""),"vazia",IF(AND(OR(ACOMPANHAMENTO="PLE",$R23&lt;&gt;2),$F24=0),"calculada","--&gt;"))</f>
        <v>vazia</v>
      </c>
      <c r="I24" s="196"/>
      <c r="J24" s="197" t="str">
        <f t="shared" ref="J24" ca="1" si="24">IF(AND(H23&lt;&gt;0,ISNUMBER(H23)),"PREENCHA ESTA LINHA --&gt;","")</f>
        <v/>
      </c>
      <c r="K24" s="197"/>
      <c r="L24" s="197"/>
      <c r="M24" s="198"/>
      <c r="N24" s="198"/>
      <c r="O24" s="198"/>
      <c r="P24" s="198"/>
      <c r="Q24" s="198"/>
      <c r="R24" s="198"/>
      <c r="S24" s="199"/>
      <c r="T24" s="200"/>
      <c r="U24" s="586">
        <v>0.5</v>
      </c>
      <c r="V24" s="586">
        <v>0.5</v>
      </c>
      <c r="W24" s="586"/>
      <c r="X24" s="586"/>
      <c r="Y24" s="586"/>
      <c r="Z24" s="586"/>
      <c r="AA24" s="586"/>
      <c r="AB24" s="586"/>
      <c r="AC24" s="586"/>
      <c r="AD24" s="586"/>
      <c r="AE24" s="586"/>
      <c r="AF24" s="586"/>
      <c r="AG24" s="533"/>
    </row>
    <row r="25" spans="1:33" ht="12.75" hidden="1" customHeight="1" x14ac:dyDescent="0.2">
      <c r="D25" s="532"/>
      <c r="E25" s="201" cm="1">
        <f t="array" aca="1" ref="E25" ca="1">IF($R23=2,
         IF(AND(ACOMPANHAMENTO="PLE",ISNUMBER($F23)),
                SUMIF((OFFSET(CÁLCULO!$AM$15:$AW$15,$F23,0,OFFSET(ORÇAMENTO!$D$15,CRONO!$F23,0))),CRONO!E$12,OFFSET(CÁLCULO!$AB$15:$AL$15,$F23,0,OFFSET(ORÇAMENTO!$D$15,CRONO!$F23,0)))
                +IF(AND($F25&lt;&gt;"",$F25&lt;&gt;0),
                        SUMIF(CÁLCULO!$AM$15:$AW$33,CRONO!E$12,CÁLCULO!$AB$15:$AL$33)/(ORÇAMENTO!$X$15-CÁLCULO.TotalAdmLocal)*CRONO!$F25,
                        0),
                 E24*$S23),
          SUMIF(OFFSET($S25,1,0,$R23-2),($M23+1)&amp;"$",OFFSET(E25,1,0,$R23-2)))</f>
        <v>0</v>
      </c>
      <c r="F25" s="184" t="str">
        <f ca="1">IF(OR($R23&lt;&gt;2,AUTOEVENTO&lt;&gt;"manual",$F24&gt;0),"",
        IF(Import.TipoArredondamento="Tradicional",
              SUMIF(OFFSET(CÁLCULO!$M$15,CRONO!$F23,0,OFFSET(ORÇAMENTO!$D$15,CRONO!$F23,0)),1,OFFSET(ORÇAMENTO!$X$15,CRONO!$F23,0,OFFSET(ORÇAMENTO!$D$15,CRONO!$F23,0))),
              0))</f>
        <v/>
      </c>
      <c r="H25" s="202"/>
      <c r="S25" s="203" t="str">
        <f t="shared" ref="S25" ca="1" si="25">M23&amp;"$"</f>
        <v>2$</v>
      </c>
      <c r="T25" s="204"/>
      <c r="U25" s="201" cm="1">
        <f t="array" aca="1" ref="U25" ca="1">IF($R23=2,
         IF(AND(ACOMPANHAMENTO="PLE",ISNUMBER($F23)),
                SUMIF((OFFSET(CÁLCULO!$AM$15:$AW$15,$F23,0,OFFSET(ORÇAMENTO!$D$15,CRONO!$F23,0))),CRONO!U$12,OFFSET(CÁLCULO!$AB$15:$AL$15,$F23,0,OFFSET(ORÇAMENTO!$D$15,CRONO!$F23,0)))
                +IF(AND($F25&lt;&gt;"",$F25&lt;&gt;0),
                        SUMIF(CÁLCULO!$AM$15:$AW$33,CRONO!U$12,CÁLCULO!$AB$15:$AL$33)/(ORÇAMENTO!$X$15-CÁLCULO.TotalAdmLocal)*CRONO!$F25,
                        0),
                 U24*$S23),
          SUMIF(OFFSET($S25,1,0,$R23-2),($M23+1)&amp;"$",OFFSET(U25,1,0,$R23-2)))</f>
        <v>0</v>
      </c>
      <c r="V25" s="201" cm="1">
        <f t="array" aca="1" ref="V25" ca="1">IF($R23=2,
         IF(AND(ACOMPANHAMENTO="PLE",ISNUMBER($F23)),
                SUMIF((OFFSET(CÁLCULO!$AM$15:$AW$15,$F23,0,OFFSET(ORÇAMENTO!$D$15,CRONO!$F23,0))),CRONO!V$12,OFFSET(CÁLCULO!$AB$15:$AL$15,$F23,0,OFFSET(ORÇAMENTO!$D$15,CRONO!$F23,0)))
                +IF(AND($F25&lt;&gt;"",$F25&lt;&gt;0),
                        SUMIF(CÁLCULO!$AM$15:$AW$33,CRONO!V$12,CÁLCULO!$AB$15:$AL$33)/(ORÇAMENTO!$X$15-CÁLCULO.TotalAdmLocal)*CRONO!$F25,
                        0),
                 V24*$S23),
          SUMIF(OFFSET($S25,1,0,$R23-2),($M23+1)&amp;"$",OFFSET(V25,1,0,$R23-2)))</f>
        <v>0</v>
      </c>
      <c r="W25" s="201" cm="1">
        <f t="array" aca="1" ref="W25" ca="1">IF($R23=2,
         IF(AND(ACOMPANHAMENTO="PLE",ISNUMBER($F23)),
                SUMIF((OFFSET(CÁLCULO!$AM$15:$AW$15,$F23,0,OFFSET(ORÇAMENTO!$D$15,CRONO!$F23,0))),CRONO!W$12,OFFSET(CÁLCULO!$AB$15:$AL$15,$F23,0,OFFSET(ORÇAMENTO!$D$15,CRONO!$F23,0)))
                +IF(AND($F25&lt;&gt;"",$F25&lt;&gt;0),
                        SUMIF(CÁLCULO!$AM$15:$AW$33,CRONO!W$12,CÁLCULO!$AB$15:$AL$33)/(ORÇAMENTO!$X$15-CÁLCULO.TotalAdmLocal)*CRONO!$F25,
                        0),
                 W24*$S23),
          SUMIF(OFFSET($S25,1,0,$R23-2),($M23+1)&amp;"$",OFFSET(W25,1,0,$R23-2)))</f>
        <v>0</v>
      </c>
      <c r="X25" s="201" cm="1">
        <f t="array" aca="1" ref="X25" ca="1">IF($R23=2,
         IF(AND(ACOMPANHAMENTO="PLE",ISNUMBER($F23)),
                SUMIF((OFFSET(CÁLCULO!$AM$15:$AW$15,$F23,0,OFFSET(ORÇAMENTO!$D$15,CRONO!$F23,0))),CRONO!X$12,OFFSET(CÁLCULO!$AB$15:$AL$15,$F23,0,OFFSET(ORÇAMENTO!$D$15,CRONO!$F23,0)))
                +IF(AND($F25&lt;&gt;"",$F25&lt;&gt;0),
                        SUMIF(CÁLCULO!$AM$15:$AW$33,CRONO!X$12,CÁLCULO!$AB$15:$AL$33)/(ORÇAMENTO!$X$15-CÁLCULO.TotalAdmLocal)*CRONO!$F25,
                        0),
                 X24*$S23),
          SUMIF(OFFSET($S25,1,0,$R23-2),($M23+1)&amp;"$",OFFSET(X25,1,0,$R23-2)))</f>
        <v>0</v>
      </c>
      <c r="Y25" s="201" cm="1">
        <f t="array" aca="1" ref="Y25" ca="1">IF($R23=2,
         IF(AND(ACOMPANHAMENTO="PLE",ISNUMBER($F23)),
                SUMIF((OFFSET(CÁLCULO!$AM$15:$AW$15,$F23,0,OFFSET(ORÇAMENTO!$D$15,CRONO!$F23,0))),CRONO!Y$12,OFFSET(CÁLCULO!$AB$15:$AL$15,$F23,0,OFFSET(ORÇAMENTO!$D$15,CRONO!$F23,0)))
                +IF(AND($F25&lt;&gt;"",$F25&lt;&gt;0),
                        SUMIF(CÁLCULO!$AM$15:$AW$33,CRONO!Y$12,CÁLCULO!$AB$15:$AL$33)/(ORÇAMENTO!$X$15-CÁLCULO.TotalAdmLocal)*CRONO!$F25,
                        0),
                 Y24*$S23),
          SUMIF(OFFSET($S25,1,0,$R23-2),($M23+1)&amp;"$",OFFSET(Y25,1,0,$R23-2)))</f>
        <v>0</v>
      </c>
      <c r="Z25" s="201" cm="1">
        <f t="array" aca="1" ref="Z25" ca="1">IF($R23=2,
         IF(AND(ACOMPANHAMENTO="PLE",ISNUMBER($F23)),
                SUMIF((OFFSET(CÁLCULO!$AM$15:$AW$15,$F23,0,OFFSET(ORÇAMENTO!$D$15,CRONO!$F23,0))),CRONO!Z$12,OFFSET(CÁLCULO!$AB$15:$AL$15,$F23,0,OFFSET(ORÇAMENTO!$D$15,CRONO!$F23,0)))
                +IF(AND($F25&lt;&gt;"",$F25&lt;&gt;0),
                        SUMIF(CÁLCULO!$AM$15:$AW$33,CRONO!Z$12,CÁLCULO!$AB$15:$AL$33)/(ORÇAMENTO!$X$15-CÁLCULO.TotalAdmLocal)*CRONO!$F25,
                        0),
                 Z24*$S23),
          SUMIF(OFFSET($S25,1,0,$R23-2),($M23+1)&amp;"$",OFFSET(Z25,1,0,$R23-2)))</f>
        <v>0</v>
      </c>
      <c r="AA25" s="201" cm="1">
        <f t="array" aca="1" ref="AA25" ca="1">IF($R23=2,
         IF(AND(ACOMPANHAMENTO="PLE",ISNUMBER($F23)),
                SUMIF((OFFSET(CÁLCULO!$AM$15:$AW$15,$F23,0,OFFSET(ORÇAMENTO!$D$15,CRONO!$F23,0))),CRONO!AA$12,OFFSET(CÁLCULO!$AB$15:$AL$15,$F23,0,OFFSET(ORÇAMENTO!$D$15,CRONO!$F23,0)))
                +IF(AND($F25&lt;&gt;"",$F25&lt;&gt;0),
                        SUMIF(CÁLCULO!$AM$15:$AW$33,CRONO!AA$12,CÁLCULO!$AB$15:$AL$33)/(ORÇAMENTO!$X$15-CÁLCULO.TotalAdmLocal)*CRONO!$F25,
                        0),
                 AA24*$S23),
          SUMIF(OFFSET($S25,1,0,$R23-2),($M23+1)&amp;"$",OFFSET(AA25,1,0,$R23-2)))</f>
        <v>0</v>
      </c>
      <c r="AB25" s="201" cm="1">
        <f t="array" aca="1" ref="AB25" ca="1">IF($R23=2,
         IF(AND(ACOMPANHAMENTO="PLE",ISNUMBER($F23)),
                SUMIF((OFFSET(CÁLCULO!$AM$15:$AW$15,$F23,0,OFFSET(ORÇAMENTO!$D$15,CRONO!$F23,0))),CRONO!AB$12,OFFSET(CÁLCULO!$AB$15:$AL$15,$F23,0,OFFSET(ORÇAMENTO!$D$15,CRONO!$F23,0)))
                +IF(AND($F25&lt;&gt;"",$F25&lt;&gt;0),
                        SUMIF(CÁLCULO!$AM$15:$AW$33,CRONO!AB$12,CÁLCULO!$AB$15:$AL$33)/(ORÇAMENTO!$X$15-CÁLCULO.TotalAdmLocal)*CRONO!$F25,
                        0),
                 AB24*$S23),
          SUMIF(OFFSET($S25,1,0,$R23-2),($M23+1)&amp;"$",OFFSET(AB25,1,0,$R23-2)))</f>
        <v>0</v>
      </c>
      <c r="AC25" s="201" cm="1">
        <f t="array" aca="1" ref="AC25" ca="1">IF($R23=2,
         IF(AND(ACOMPANHAMENTO="PLE",ISNUMBER($F23)),
                SUMIF((OFFSET(CÁLCULO!$AM$15:$AW$15,$F23,0,OFFSET(ORÇAMENTO!$D$15,CRONO!$F23,0))),CRONO!AC$12,OFFSET(CÁLCULO!$AB$15:$AL$15,$F23,0,OFFSET(ORÇAMENTO!$D$15,CRONO!$F23,0)))
                +IF(AND($F25&lt;&gt;"",$F25&lt;&gt;0),
                        SUMIF(CÁLCULO!$AM$15:$AW$33,CRONO!AC$12,CÁLCULO!$AB$15:$AL$33)/(ORÇAMENTO!$X$15-CÁLCULO.TotalAdmLocal)*CRONO!$F25,
                        0),
                 AC24*$S23),
          SUMIF(OFFSET($S25,1,0,$R23-2),($M23+1)&amp;"$",OFFSET(AC25,1,0,$R23-2)))</f>
        <v>0</v>
      </c>
      <c r="AD25" s="201" cm="1">
        <f t="array" aca="1" ref="AD25" ca="1">IF($R23=2,
         IF(AND(ACOMPANHAMENTO="PLE",ISNUMBER($F23)),
                SUMIF((OFFSET(CÁLCULO!$AM$15:$AW$15,$F23,0,OFFSET(ORÇAMENTO!$D$15,CRONO!$F23,0))),CRONO!AD$12,OFFSET(CÁLCULO!$AB$15:$AL$15,$F23,0,OFFSET(ORÇAMENTO!$D$15,CRONO!$F23,0)))
                +IF(AND($F25&lt;&gt;"",$F25&lt;&gt;0),
                        SUMIF(CÁLCULO!$AM$15:$AW$33,CRONO!AD$12,CÁLCULO!$AB$15:$AL$33)/(ORÇAMENTO!$X$15-CÁLCULO.TotalAdmLocal)*CRONO!$F25,
                        0),
                 AD24*$S23),
          SUMIF(OFFSET($S25,1,0,$R23-2),($M23+1)&amp;"$",OFFSET(AD25,1,0,$R23-2)))</f>
        <v>0</v>
      </c>
      <c r="AE25" s="201" cm="1">
        <f t="array" aca="1" ref="AE25" ca="1">IF($R23=2,
         IF(AND(ACOMPANHAMENTO="PLE",ISNUMBER($F23)),
                SUMIF((OFFSET(CÁLCULO!$AM$15:$AW$15,$F23,0,OFFSET(ORÇAMENTO!$D$15,CRONO!$F23,0))),CRONO!AE$12,OFFSET(CÁLCULO!$AB$15:$AL$15,$F23,0,OFFSET(ORÇAMENTO!$D$15,CRONO!$F23,0)))
                +IF(AND($F25&lt;&gt;"",$F25&lt;&gt;0),
                        SUMIF(CÁLCULO!$AM$15:$AW$33,CRONO!AE$12,CÁLCULO!$AB$15:$AL$33)/(ORÇAMENTO!$X$15-CÁLCULO.TotalAdmLocal)*CRONO!$F25,
                        0),
                 AE24*$S23),
          SUMIF(OFFSET($S25,1,0,$R23-2),($M23+1)&amp;"$",OFFSET(AE25,1,0,$R23-2)))</f>
        <v>0</v>
      </c>
      <c r="AF25" s="201" cm="1">
        <f t="array" aca="1" ref="AF25" ca="1">IF($R23=2,
         IF(AND(ACOMPANHAMENTO="PLE",ISNUMBER($F23)),
                SUMIF((OFFSET(CÁLCULO!$AM$15:$AW$15,$F23,0,OFFSET(ORÇAMENTO!$D$15,CRONO!$F23,0))),CRONO!AF$12,OFFSET(CÁLCULO!$AB$15:$AL$15,$F23,0,OFFSET(ORÇAMENTO!$D$15,CRONO!$F23,0)))
                +IF(AND($F25&lt;&gt;"",$F25&lt;&gt;0),
                        SUMIF(CÁLCULO!$AM$15:$AW$33,CRONO!AF$12,CÁLCULO!$AB$15:$AL$33)/(ORÇAMENTO!$X$15-CÁLCULO.TotalAdmLocal)*CRONO!$F25,
                        0),
                 AF24*$S23),
          SUMIF(OFFSET($S25,1,0,$R23-2),($M23+1)&amp;"$",OFFSET(AF25,1,0,$R23-2)))</f>
        <v>0</v>
      </c>
      <c r="AG25" s="533"/>
    </row>
    <row r="26" spans="1:33" x14ac:dyDescent="0.2">
      <c r="A26" s="185" t="e">
        <f t="shared" ref="A26" ca="1" si="26">IF($M26&gt;1,_xlfn.CONCAT($I26," ",$J26),"")</f>
        <v>#NAME?</v>
      </c>
      <c r="B26" s="184">
        <f t="shared" ref="B26" ca="1" si="27">OFFSET(B26,-3,0)+1</f>
        <v>5</v>
      </c>
      <c r="C26" s="184">
        <f ca="1">IF($R26&lt;&gt;2,0,IF($S26=0,1,IF(F27&gt;0,OFFSET(QCI!$M$13,SUBSTITUTE(F27,".",""),0),OFFSET(ORÇAMENTO!$AA$15,CRONO!$F26,0))/$S26))</f>
        <v>1</v>
      </c>
      <c r="D26" s="184">
        <f ca="1">IF($R26&lt;&gt;2,0,IF($S26=0,1,IF(F27&gt;0,OFFSET(QCI!$N$13,SUBSTITUTE(F27,".",""),0),OFFSET(ORÇAMENTO!$AB$15,CRONO!$F26,0))/$S26))</f>
        <v>1</v>
      </c>
      <c r="E26" s="187" cm="1">
        <f t="array" aca="1" ref="E26" ca="1">IF(AND($R26=2,ACOMPANHAMENTO="BM"),ROUND(E27,4),E28/$S26)</f>
        <v>0</v>
      </c>
      <c r="F26" s="184" cm="1">
        <f t="array" aca="1" ref="F26" ca="1">IF(B26&lt;=ORÇAMENTO.MáximoListaCrono,MATCH(B26,ORÇAMENTO.ListaCrono,0),NA())</f>
        <v>10</v>
      </c>
      <c r="G26" s="184" t="str">
        <f t="shared" ref="G26" ca="1" si="28">IF(AND($F27&lt;&gt;-1,$S26&gt;0),"F","")</f>
        <v/>
      </c>
      <c r="H26" s="188" t="str" cm="1">
        <f t="array" aca="1" ref="H26" ca="1">IF(OR(S26=0,S26=""),"Linha",IF(AND(OR(ACOMPANHAMENTO="PLE",$R26&lt;&gt;2),$F27=0),"Linha",ROUND(1-SUM(U26:AG26),4)))</f>
        <v>Linha</v>
      </c>
      <c r="I26" s="189" t="str">
        <f ca="1">IF($F27=0,OFFSET(ORÇAMENTO!O$15,$F26,0),IF($F27&lt;&gt;-1,OFFSET(QCI!$D$13,$F27,0),""))</f>
        <v>1.4.</v>
      </c>
      <c r="J26" s="190" t="str">
        <f ca="1">IF($F27=0,OFFSET(ORÇAMENTO!R$15,$F26,0),IF($F27&lt;&gt;-1,OFFSET(QCI!$G$13,$F27,0),""))</f>
        <v>PAVIMENTAÇÃO EM PEDRA IRREGULAR ASSENTADAS SOBRE COLCHÃO DE PÓ DE PEDRA E REJUNTADAS COM PÓ DE PEDRA</v>
      </c>
      <c r="K26" s="190"/>
      <c r="L26" s="190"/>
      <c r="M26" s="191">
        <f ca="1">IF($F27=0,OFFSET(ORÇAMENTO!C$15,$F26,0),1)</f>
        <v>2</v>
      </c>
      <c r="N26" s="192">
        <f ca="1">IF($F27=-1,0,IF(N$13&lt;=$M26,IF(ISERROR(MATCH(N$13,OFFSET($M26,1,0,ROW($M$35)-ROW($M26)-1),0)),ROW($M$35)-ROW($M26)-1,MATCH(N$13,OFFSET($M26,1,0,ROW($M$35)-ROW($M26)-1),0)-1),0))</f>
        <v>8</v>
      </c>
      <c r="O26" s="192">
        <f ca="1">IF($F27=-1,0,IF(O$13&lt;=$M26,IF(ISERROR(MATCH(O$13,OFFSET($M26,1,0,ROW($M$35)-ROW($M26)-1),0)),ROW($M$35)-ROW($M26)-1,MATCH(O$13,OFFSET($M26,1,0,ROW($M$35)-ROW($M26)-1),0)-1),0))</f>
        <v>2</v>
      </c>
      <c r="P26" s="192">
        <f ca="1">IF($F27=-1,0,IF(P$13&lt;=$M26,IF(ISERROR(MATCH(P$13,OFFSET($M26,1,0,ROW($M$35)-ROW($M26)-1),0)),ROW($M$35)-ROW($M26)-1,MATCH(P$13,OFFSET($M26,1,0,ROW($M$35)-ROW($M26)-1),0)-1),0))</f>
        <v>0</v>
      </c>
      <c r="Q26" s="192">
        <f ca="1">IF($F27=-1,0,IF(Q$13&lt;=$M26,IF(ISERROR(MATCH(Q$13,OFFSET($M26,1,0,ROW($M$35)-ROW($M26)-1),0)),ROW($M$35)-ROW($M26)-1,MATCH(Q$13,OFFSET($M26,1,0,ROW($M$35)-ROW($M26)-1),0)-1),0))</f>
        <v>0</v>
      </c>
      <c r="R26" s="192">
        <f t="shared" ref="R26" ca="1" si="29">MIN(OFFSET(M26,0,1,,M26))</f>
        <v>2</v>
      </c>
      <c r="S26" s="193">
        <f ca="1">IF($F27=0,OFFSET(ORÇAMENTO!X$15,$F26,0),IF($F27&lt;&gt;-1,OFFSET(QCI!$O$13,$F27,0),""))</f>
        <v>0</v>
      </c>
      <c r="T26" s="194" t="s">
        <v>785</v>
      </c>
      <c r="U26" s="187" cm="1">
        <f t="array" aca="1" ref="U26" ca="1">IF(AND($R26=2,ACOMPANHAMENTO="BM"),ROUND(U27,4),U28/$S26)</f>
        <v>0.5</v>
      </c>
      <c r="V26" s="187" cm="1">
        <f t="array" aca="1" ref="V26" ca="1">IF(AND($R26=2,ACOMPANHAMENTO="BM"),ROUND(V27,4),V28/$S26)</f>
        <v>0.5</v>
      </c>
      <c r="W26" s="187" cm="1">
        <f t="array" aca="1" ref="W26" ca="1">IF(AND($R26=2,ACOMPANHAMENTO="BM"),ROUND(W27,4),W28/$S26)</f>
        <v>0</v>
      </c>
      <c r="X26" s="187" cm="1">
        <f t="array" aca="1" ref="X26" ca="1">IF(AND($R26=2,ACOMPANHAMENTO="BM"),ROUND(X27,4),X28/$S26)</f>
        <v>0</v>
      </c>
      <c r="Y26" s="187" cm="1">
        <f t="array" aca="1" ref="Y26" ca="1">IF(AND($R26=2,ACOMPANHAMENTO="BM"),ROUND(Y27,4),Y28/$S26)</f>
        <v>0</v>
      </c>
      <c r="Z26" s="187" cm="1">
        <f t="array" aca="1" ref="Z26" ca="1">IF(AND($R26=2,ACOMPANHAMENTO="BM"),ROUND(Z27,4),Z28/$S26)</f>
        <v>0</v>
      </c>
      <c r="AA26" s="187" cm="1">
        <f t="array" aca="1" ref="AA26" ca="1">IF(AND($R26=2,ACOMPANHAMENTO="BM"),ROUND(AA27,4),AA28/$S26)</f>
        <v>0</v>
      </c>
      <c r="AB26" s="187" cm="1">
        <f t="array" aca="1" ref="AB26" ca="1">IF(AND($R26=2,ACOMPANHAMENTO="BM"),ROUND(AB27,4),AB28/$S26)</f>
        <v>0</v>
      </c>
      <c r="AC26" s="187" cm="1">
        <f t="array" aca="1" ref="AC26" ca="1">IF(AND($R26=2,ACOMPANHAMENTO="BM"),ROUND(AC27,4),AC28/$S26)</f>
        <v>0</v>
      </c>
      <c r="AD26" s="187" cm="1">
        <f t="array" aca="1" ref="AD26" ca="1">IF(AND($R26=2,ACOMPANHAMENTO="BM"),ROUND(AD27,4),AD28/$S26)</f>
        <v>0</v>
      </c>
      <c r="AE26" s="187" cm="1">
        <f t="array" aca="1" ref="AE26" ca="1">IF(AND($R26=2,ACOMPANHAMENTO="BM"),ROUND(AE27,4),AE28/$S26)</f>
        <v>0</v>
      </c>
      <c r="AF26" s="187" cm="1">
        <f t="array" aca="1" ref="AF26" ca="1">IF(AND($R26=2,ACOMPANHAMENTO="BM"),ROUND(AF27,4),AF28/$S26)</f>
        <v>0</v>
      </c>
      <c r="AG26" s="533"/>
    </row>
    <row r="27" spans="1:33" ht="12.75" customHeight="1" x14ac:dyDescent="0.2">
      <c r="E27" s="586"/>
      <c r="F27" s="184">
        <f ca="1">IF(ISERROR(F26),IF(1+COUNTIF($M$13:OFFSET(M26,-1,0),1)&lt;=MAX(QCI!$D$13:$D$24),1+COUNTIF($M$13:OFFSET(M26,-1,0),1),-1),0)</f>
        <v>0</v>
      </c>
      <c r="G27" s="184" t="str" cm="1">
        <f t="array" aca="1" ref="G27" ca="1">IF(ACOMPANHAMENTO="BM",OFFSET(G27,-1,0),"")</f>
        <v/>
      </c>
      <c r="H27" s="195" t="str" cm="1">
        <f t="array" aca="1" ref="H27" ca="1">IF(OR(S26=0,S26=""),"vazia",IF(AND(OR(ACOMPANHAMENTO="PLE",$R26&lt;&gt;2),$F27=0),"calculada","--&gt;"))</f>
        <v>vazia</v>
      </c>
      <c r="I27" s="196"/>
      <c r="J27" s="197" t="str">
        <f t="shared" ref="J27" ca="1" si="30">IF(AND(H26&lt;&gt;0,ISNUMBER(H26)),"PREENCHA ESTA LINHA --&gt;","")</f>
        <v/>
      </c>
      <c r="K27" s="197"/>
      <c r="L27" s="197"/>
      <c r="M27" s="198"/>
      <c r="N27" s="198"/>
      <c r="O27" s="198"/>
      <c r="P27" s="198"/>
      <c r="Q27" s="198"/>
      <c r="R27" s="198"/>
      <c r="S27" s="199"/>
      <c r="T27" s="200"/>
      <c r="U27" s="586">
        <v>0.5</v>
      </c>
      <c r="V27" s="586">
        <v>0.5</v>
      </c>
      <c r="W27" s="586"/>
      <c r="X27" s="586"/>
      <c r="Y27" s="586"/>
      <c r="Z27" s="586"/>
      <c r="AA27" s="586"/>
      <c r="AB27" s="586"/>
      <c r="AC27" s="586"/>
      <c r="AD27" s="586"/>
      <c r="AE27" s="586"/>
      <c r="AF27" s="586"/>
      <c r="AG27" s="533"/>
    </row>
    <row r="28" spans="1:33" ht="12.75" hidden="1" customHeight="1" x14ac:dyDescent="0.2">
      <c r="D28" s="532"/>
      <c r="E28" s="201" cm="1">
        <f t="array" aca="1" ref="E28" ca="1">IF($R26=2,
         IF(AND(ACOMPANHAMENTO="PLE",ISNUMBER($F26)),
                SUMIF((OFFSET(CÁLCULO!$AM$15:$AW$15,$F26,0,OFFSET(ORÇAMENTO!$D$15,CRONO!$F26,0))),CRONO!E$12,OFFSET(CÁLCULO!$AB$15:$AL$15,$F26,0,OFFSET(ORÇAMENTO!$D$15,CRONO!$F26,0)))
                +IF(AND($F28&lt;&gt;"",$F28&lt;&gt;0),
                        SUMIF(CÁLCULO!$AM$15:$AW$33,CRONO!E$12,CÁLCULO!$AB$15:$AL$33)/(ORÇAMENTO!$X$15-CÁLCULO.TotalAdmLocal)*CRONO!$F28,
                        0),
                 E27*$S26),
          SUMIF(OFFSET($S28,1,0,$R26-2),($M26+1)&amp;"$",OFFSET(E28,1,0,$R26-2)))</f>
        <v>0</v>
      </c>
      <c r="F28" s="184" t="str">
        <f ca="1">IF(OR($R26&lt;&gt;2,AUTOEVENTO&lt;&gt;"manual",$F27&gt;0),"",
        IF(Import.TipoArredondamento="Tradicional",
              SUMIF(OFFSET(CÁLCULO!$M$15,CRONO!$F26,0,OFFSET(ORÇAMENTO!$D$15,CRONO!$F26,0)),1,OFFSET(ORÇAMENTO!$X$15,CRONO!$F26,0,OFFSET(ORÇAMENTO!$D$15,CRONO!$F26,0))),
              0))</f>
        <v/>
      </c>
      <c r="H28" s="202"/>
      <c r="S28" s="203" t="str">
        <f t="shared" ref="S28" ca="1" si="31">M26&amp;"$"</f>
        <v>2$</v>
      </c>
      <c r="T28" s="204"/>
      <c r="U28" s="201" cm="1">
        <f t="array" aca="1" ref="U28" ca="1">IF($R26=2,
         IF(AND(ACOMPANHAMENTO="PLE",ISNUMBER($F26)),
                SUMIF((OFFSET(CÁLCULO!$AM$15:$AW$15,$F26,0,OFFSET(ORÇAMENTO!$D$15,CRONO!$F26,0))),CRONO!U$12,OFFSET(CÁLCULO!$AB$15:$AL$15,$F26,0,OFFSET(ORÇAMENTO!$D$15,CRONO!$F26,0)))
                +IF(AND($F28&lt;&gt;"",$F28&lt;&gt;0),
                        SUMIF(CÁLCULO!$AM$15:$AW$33,CRONO!U$12,CÁLCULO!$AB$15:$AL$33)/(ORÇAMENTO!$X$15-CÁLCULO.TotalAdmLocal)*CRONO!$F28,
                        0),
                 U27*$S26),
          SUMIF(OFFSET($S28,1,0,$R26-2),($M26+1)&amp;"$",OFFSET(U28,1,0,$R26-2)))</f>
        <v>0</v>
      </c>
      <c r="V28" s="201" cm="1">
        <f t="array" aca="1" ref="V28" ca="1">IF($R26=2,
         IF(AND(ACOMPANHAMENTO="PLE",ISNUMBER($F26)),
                SUMIF((OFFSET(CÁLCULO!$AM$15:$AW$15,$F26,0,OFFSET(ORÇAMENTO!$D$15,CRONO!$F26,0))),CRONO!V$12,OFFSET(CÁLCULO!$AB$15:$AL$15,$F26,0,OFFSET(ORÇAMENTO!$D$15,CRONO!$F26,0)))
                +IF(AND($F28&lt;&gt;"",$F28&lt;&gt;0),
                        SUMIF(CÁLCULO!$AM$15:$AW$33,CRONO!V$12,CÁLCULO!$AB$15:$AL$33)/(ORÇAMENTO!$X$15-CÁLCULO.TotalAdmLocal)*CRONO!$F28,
                        0),
                 V27*$S26),
          SUMIF(OFFSET($S28,1,0,$R26-2),($M26+1)&amp;"$",OFFSET(V28,1,0,$R26-2)))</f>
        <v>0</v>
      </c>
      <c r="W28" s="201" cm="1">
        <f t="array" aca="1" ref="W28" ca="1">IF($R26=2,
         IF(AND(ACOMPANHAMENTO="PLE",ISNUMBER($F26)),
                SUMIF((OFFSET(CÁLCULO!$AM$15:$AW$15,$F26,0,OFFSET(ORÇAMENTO!$D$15,CRONO!$F26,0))),CRONO!W$12,OFFSET(CÁLCULO!$AB$15:$AL$15,$F26,0,OFFSET(ORÇAMENTO!$D$15,CRONO!$F26,0)))
                +IF(AND($F28&lt;&gt;"",$F28&lt;&gt;0),
                        SUMIF(CÁLCULO!$AM$15:$AW$33,CRONO!W$12,CÁLCULO!$AB$15:$AL$33)/(ORÇAMENTO!$X$15-CÁLCULO.TotalAdmLocal)*CRONO!$F28,
                        0),
                 W27*$S26),
          SUMIF(OFFSET($S28,1,0,$R26-2),($M26+1)&amp;"$",OFFSET(W28,1,0,$R26-2)))</f>
        <v>0</v>
      </c>
      <c r="X28" s="201" cm="1">
        <f t="array" aca="1" ref="X28" ca="1">IF($R26=2,
         IF(AND(ACOMPANHAMENTO="PLE",ISNUMBER($F26)),
                SUMIF((OFFSET(CÁLCULO!$AM$15:$AW$15,$F26,0,OFFSET(ORÇAMENTO!$D$15,CRONO!$F26,0))),CRONO!X$12,OFFSET(CÁLCULO!$AB$15:$AL$15,$F26,0,OFFSET(ORÇAMENTO!$D$15,CRONO!$F26,0)))
                +IF(AND($F28&lt;&gt;"",$F28&lt;&gt;0),
                        SUMIF(CÁLCULO!$AM$15:$AW$33,CRONO!X$12,CÁLCULO!$AB$15:$AL$33)/(ORÇAMENTO!$X$15-CÁLCULO.TotalAdmLocal)*CRONO!$F28,
                        0),
                 X27*$S26),
          SUMIF(OFFSET($S28,1,0,$R26-2),($M26+1)&amp;"$",OFFSET(X28,1,0,$R26-2)))</f>
        <v>0</v>
      </c>
      <c r="Y28" s="201" cm="1">
        <f t="array" aca="1" ref="Y28" ca="1">IF($R26=2,
         IF(AND(ACOMPANHAMENTO="PLE",ISNUMBER($F26)),
                SUMIF((OFFSET(CÁLCULO!$AM$15:$AW$15,$F26,0,OFFSET(ORÇAMENTO!$D$15,CRONO!$F26,0))),CRONO!Y$12,OFFSET(CÁLCULO!$AB$15:$AL$15,$F26,0,OFFSET(ORÇAMENTO!$D$15,CRONO!$F26,0)))
                +IF(AND($F28&lt;&gt;"",$F28&lt;&gt;0),
                        SUMIF(CÁLCULO!$AM$15:$AW$33,CRONO!Y$12,CÁLCULO!$AB$15:$AL$33)/(ORÇAMENTO!$X$15-CÁLCULO.TotalAdmLocal)*CRONO!$F28,
                        0),
                 Y27*$S26),
          SUMIF(OFFSET($S28,1,0,$R26-2),($M26+1)&amp;"$",OFFSET(Y28,1,0,$R26-2)))</f>
        <v>0</v>
      </c>
      <c r="Z28" s="201" cm="1">
        <f t="array" aca="1" ref="Z28" ca="1">IF($R26=2,
         IF(AND(ACOMPANHAMENTO="PLE",ISNUMBER($F26)),
                SUMIF((OFFSET(CÁLCULO!$AM$15:$AW$15,$F26,0,OFFSET(ORÇAMENTO!$D$15,CRONO!$F26,0))),CRONO!Z$12,OFFSET(CÁLCULO!$AB$15:$AL$15,$F26,0,OFFSET(ORÇAMENTO!$D$15,CRONO!$F26,0)))
                +IF(AND($F28&lt;&gt;"",$F28&lt;&gt;0),
                        SUMIF(CÁLCULO!$AM$15:$AW$33,CRONO!Z$12,CÁLCULO!$AB$15:$AL$33)/(ORÇAMENTO!$X$15-CÁLCULO.TotalAdmLocal)*CRONO!$F28,
                        0),
                 Z27*$S26),
          SUMIF(OFFSET($S28,1,0,$R26-2),($M26+1)&amp;"$",OFFSET(Z28,1,0,$R26-2)))</f>
        <v>0</v>
      </c>
      <c r="AA28" s="201" cm="1">
        <f t="array" aca="1" ref="AA28" ca="1">IF($R26=2,
         IF(AND(ACOMPANHAMENTO="PLE",ISNUMBER($F26)),
                SUMIF((OFFSET(CÁLCULO!$AM$15:$AW$15,$F26,0,OFFSET(ORÇAMENTO!$D$15,CRONO!$F26,0))),CRONO!AA$12,OFFSET(CÁLCULO!$AB$15:$AL$15,$F26,0,OFFSET(ORÇAMENTO!$D$15,CRONO!$F26,0)))
                +IF(AND($F28&lt;&gt;"",$F28&lt;&gt;0),
                        SUMIF(CÁLCULO!$AM$15:$AW$33,CRONO!AA$12,CÁLCULO!$AB$15:$AL$33)/(ORÇAMENTO!$X$15-CÁLCULO.TotalAdmLocal)*CRONO!$F28,
                        0),
                 AA27*$S26),
          SUMIF(OFFSET($S28,1,0,$R26-2),($M26+1)&amp;"$",OFFSET(AA28,1,0,$R26-2)))</f>
        <v>0</v>
      </c>
      <c r="AB28" s="201" cm="1">
        <f t="array" aca="1" ref="AB28" ca="1">IF($R26=2,
         IF(AND(ACOMPANHAMENTO="PLE",ISNUMBER($F26)),
                SUMIF((OFFSET(CÁLCULO!$AM$15:$AW$15,$F26,0,OFFSET(ORÇAMENTO!$D$15,CRONO!$F26,0))),CRONO!AB$12,OFFSET(CÁLCULO!$AB$15:$AL$15,$F26,0,OFFSET(ORÇAMENTO!$D$15,CRONO!$F26,0)))
                +IF(AND($F28&lt;&gt;"",$F28&lt;&gt;0),
                        SUMIF(CÁLCULO!$AM$15:$AW$33,CRONO!AB$12,CÁLCULO!$AB$15:$AL$33)/(ORÇAMENTO!$X$15-CÁLCULO.TotalAdmLocal)*CRONO!$F28,
                        0),
                 AB27*$S26),
          SUMIF(OFFSET($S28,1,0,$R26-2),($M26+1)&amp;"$",OFFSET(AB28,1,0,$R26-2)))</f>
        <v>0</v>
      </c>
      <c r="AC28" s="201" cm="1">
        <f t="array" aca="1" ref="AC28" ca="1">IF($R26=2,
         IF(AND(ACOMPANHAMENTO="PLE",ISNUMBER($F26)),
                SUMIF((OFFSET(CÁLCULO!$AM$15:$AW$15,$F26,0,OFFSET(ORÇAMENTO!$D$15,CRONO!$F26,0))),CRONO!AC$12,OFFSET(CÁLCULO!$AB$15:$AL$15,$F26,0,OFFSET(ORÇAMENTO!$D$15,CRONO!$F26,0)))
                +IF(AND($F28&lt;&gt;"",$F28&lt;&gt;0),
                        SUMIF(CÁLCULO!$AM$15:$AW$33,CRONO!AC$12,CÁLCULO!$AB$15:$AL$33)/(ORÇAMENTO!$X$15-CÁLCULO.TotalAdmLocal)*CRONO!$F28,
                        0),
                 AC27*$S26),
          SUMIF(OFFSET($S28,1,0,$R26-2),($M26+1)&amp;"$",OFFSET(AC28,1,0,$R26-2)))</f>
        <v>0</v>
      </c>
      <c r="AD28" s="201" cm="1">
        <f t="array" aca="1" ref="AD28" ca="1">IF($R26=2,
         IF(AND(ACOMPANHAMENTO="PLE",ISNUMBER($F26)),
                SUMIF((OFFSET(CÁLCULO!$AM$15:$AW$15,$F26,0,OFFSET(ORÇAMENTO!$D$15,CRONO!$F26,0))),CRONO!AD$12,OFFSET(CÁLCULO!$AB$15:$AL$15,$F26,0,OFFSET(ORÇAMENTO!$D$15,CRONO!$F26,0)))
                +IF(AND($F28&lt;&gt;"",$F28&lt;&gt;0),
                        SUMIF(CÁLCULO!$AM$15:$AW$33,CRONO!AD$12,CÁLCULO!$AB$15:$AL$33)/(ORÇAMENTO!$X$15-CÁLCULO.TotalAdmLocal)*CRONO!$F28,
                        0),
                 AD27*$S26),
          SUMIF(OFFSET($S28,1,0,$R26-2),($M26+1)&amp;"$",OFFSET(AD28,1,0,$R26-2)))</f>
        <v>0</v>
      </c>
      <c r="AE28" s="201" cm="1">
        <f t="array" aca="1" ref="AE28" ca="1">IF($R26=2,
         IF(AND(ACOMPANHAMENTO="PLE",ISNUMBER($F26)),
                SUMIF((OFFSET(CÁLCULO!$AM$15:$AW$15,$F26,0,OFFSET(ORÇAMENTO!$D$15,CRONO!$F26,0))),CRONO!AE$12,OFFSET(CÁLCULO!$AB$15:$AL$15,$F26,0,OFFSET(ORÇAMENTO!$D$15,CRONO!$F26,0)))
                +IF(AND($F28&lt;&gt;"",$F28&lt;&gt;0),
                        SUMIF(CÁLCULO!$AM$15:$AW$33,CRONO!AE$12,CÁLCULO!$AB$15:$AL$33)/(ORÇAMENTO!$X$15-CÁLCULO.TotalAdmLocal)*CRONO!$F28,
                        0),
                 AE27*$S26),
          SUMIF(OFFSET($S28,1,0,$R26-2),($M26+1)&amp;"$",OFFSET(AE28,1,0,$R26-2)))</f>
        <v>0</v>
      </c>
      <c r="AF28" s="201" cm="1">
        <f t="array" aca="1" ref="AF28" ca="1">IF($R26=2,
         IF(AND(ACOMPANHAMENTO="PLE",ISNUMBER($F26)),
                SUMIF((OFFSET(CÁLCULO!$AM$15:$AW$15,$F26,0,OFFSET(ORÇAMENTO!$D$15,CRONO!$F26,0))),CRONO!AF$12,OFFSET(CÁLCULO!$AB$15:$AL$15,$F26,0,OFFSET(ORÇAMENTO!$D$15,CRONO!$F26,0)))
                +IF(AND($F28&lt;&gt;"",$F28&lt;&gt;0),
                        SUMIF(CÁLCULO!$AM$15:$AW$33,CRONO!AF$12,CÁLCULO!$AB$15:$AL$33)/(ORÇAMENTO!$X$15-CÁLCULO.TotalAdmLocal)*CRONO!$F28,
                        0),
                 AF27*$S26),
          SUMIF(OFFSET($S28,1,0,$R26-2),($M26+1)&amp;"$",OFFSET(AF28,1,0,$R26-2)))</f>
        <v>0</v>
      </c>
      <c r="AG28" s="533"/>
    </row>
    <row r="29" spans="1:33" x14ac:dyDescent="0.2">
      <c r="A29" s="185" t="e">
        <f t="shared" ref="A29" ca="1" si="32">IF($M29&gt;1,_xlfn.CONCAT($I29," ",$J29),"")</f>
        <v>#NAME?</v>
      </c>
      <c r="B29" s="184">
        <f t="shared" ref="B29" ca="1" si="33">OFFSET(B29,-3,0)+1</f>
        <v>6</v>
      </c>
      <c r="C29" s="184">
        <f ca="1">IF($R29&lt;&gt;2,0,IF($S29=0,1,IF(F30&gt;0,OFFSET(QCI!$M$13,SUBSTITUTE(F30,".",""),0),OFFSET(ORÇAMENTO!$AA$15,CRONO!$F29,0))/$S29))</f>
        <v>1</v>
      </c>
      <c r="D29" s="184">
        <f ca="1">IF($R29&lt;&gt;2,0,IF($S29=0,1,IF(F30&gt;0,OFFSET(QCI!$N$13,SUBSTITUTE(F30,".",""),0),OFFSET(ORÇAMENTO!$AB$15,CRONO!$F29,0))/$S29))</f>
        <v>1</v>
      </c>
      <c r="E29" s="187" cm="1">
        <f t="array" aca="1" ref="E29" ca="1">IF(AND($R29=2,ACOMPANHAMENTO="BM"),ROUND(E30,4),E31/$S29)</f>
        <v>0</v>
      </c>
      <c r="F29" s="184" cm="1">
        <f t="array" aca="1" ref="F29" ca="1">IF(B29&lt;=ORÇAMENTO.MáximoListaCrono,MATCH(B29,ORÇAMENTO.ListaCrono,0),NA())</f>
        <v>14</v>
      </c>
      <c r="G29" s="184" t="str">
        <f t="shared" ref="G29" ca="1" si="34">IF(AND($F30&lt;&gt;-1,$S29&gt;0),"F","")</f>
        <v/>
      </c>
      <c r="H29" s="188" t="str" cm="1">
        <f t="array" aca="1" ref="H29" ca="1">IF(OR(S29=0,S29=""),"Linha",IF(AND(OR(ACOMPANHAMENTO="PLE",$R29&lt;&gt;2),$F30=0),"Linha",ROUND(1-SUM(U29:AG29),4)))</f>
        <v>Linha</v>
      </c>
      <c r="I29" s="189" t="str">
        <f ca="1">IF($F30=0,OFFSET(ORÇAMENTO!O$15,$F29,0),IF($F30&lt;&gt;-1,OFFSET(QCI!$D$13,$F30,0),""))</f>
        <v>1.5.</v>
      </c>
      <c r="J29" s="190" t="str">
        <f ca="1">IF($F30=0,OFFSET(ORÇAMENTO!R$15,$F29,0),IF($F30&lt;&gt;-1,OFFSET(QCI!$G$13,$F30,0),""))</f>
        <v>MEIO-FIO</v>
      </c>
      <c r="K29" s="190"/>
      <c r="L29" s="190"/>
      <c r="M29" s="191">
        <f ca="1">IF($F30=0,OFFSET(ORÇAMENTO!C$15,$F29,0),1)</f>
        <v>2</v>
      </c>
      <c r="N29" s="192">
        <f ca="1">IF($F30=-1,0,IF(N$13&lt;=$M29,IF(ISERROR(MATCH(N$13,OFFSET($M29,1,0,ROW($M$35)-ROW($M29)-1),0)),ROW($M$35)-ROW($M29)-1,MATCH(N$13,OFFSET($M29,1,0,ROW($M$35)-ROW($M29)-1),0)-1),0))</f>
        <v>5</v>
      </c>
      <c r="O29" s="192">
        <f ca="1">IF($F30=-1,0,IF(O$13&lt;=$M29,IF(ISERROR(MATCH(O$13,OFFSET($M29,1,0,ROW($M$35)-ROW($M29)-1),0)),ROW($M$35)-ROW($M29)-1,MATCH(O$13,OFFSET($M29,1,0,ROW($M$35)-ROW($M29)-1),0)-1),0))</f>
        <v>2</v>
      </c>
      <c r="P29" s="192">
        <f ca="1">IF($F30=-1,0,IF(P$13&lt;=$M29,IF(ISERROR(MATCH(P$13,OFFSET($M29,1,0,ROW($M$35)-ROW($M29)-1),0)),ROW($M$35)-ROW($M29)-1,MATCH(P$13,OFFSET($M29,1,0,ROW($M$35)-ROW($M29)-1),0)-1),0))</f>
        <v>0</v>
      </c>
      <c r="Q29" s="192">
        <f ca="1">IF($F30=-1,0,IF(Q$13&lt;=$M29,IF(ISERROR(MATCH(Q$13,OFFSET($M29,1,0,ROW($M$35)-ROW($M29)-1),0)),ROW($M$35)-ROW($M29)-1,MATCH(Q$13,OFFSET($M29,1,0,ROW($M$35)-ROW($M29)-1),0)-1),0))</f>
        <v>0</v>
      </c>
      <c r="R29" s="192">
        <f t="shared" ref="R29" ca="1" si="35">MIN(OFFSET(M29,0,1,,M29))</f>
        <v>2</v>
      </c>
      <c r="S29" s="193">
        <f ca="1">IF($F30=0,OFFSET(ORÇAMENTO!X$15,$F29,0),IF($F30&lt;&gt;-1,OFFSET(QCI!$O$13,$F30,0),""))</f>
        <v>0</v>
      </c>
      <c r="T29" s="194" t="s">
        <v>785</v>
      </c>
      <c r="U29" s="187" cm="1">
        <f t="array" aca="1" ref="U29" ca="1">IF(AND($R29=2,ACOMPANHAMENTO="BM"),ROUND(U30,4),U31/$S29)</f>
        <v>0.5</v>
      </c>
      <c r="V29" s="187" cm="1">
        <f t="array" aca="1" ref="V29" ca="1">IF(AND($R29=2,ACOMPANHAMENTO="BM"),ROUND(V30,4),V31/$S29)</f>
        <v>0.5</v>
      </c>
      <c r="W29" s="187" cm="1">
        <f t="array" aca="1" ref="W29" ca="1">IF(AND($R29=2,ACOMPANHAMENTO="BM"),ROUND(W30,4),W31/$S29)</f>
        <v>0</v>
      </c>
      <c r="X29" s="187" cm="1">
        <f t="array" aca="1" ref="X29" ca="1">IF(AND($R29=2,ACOMPANHAMENTO="BM"),ROUND(X30,4),X31/$S29)</f>
        <v>0</v>
      </c>
      <c r="Y29" s="187" cm="1">
        <f t="array" aca="1" ref="Y29" ca="1">IF(AND($R29=2,ACOMPANHAMENTO="BM"),ROUND(Y30,4),Y31/$S29)</f>
        <v>0</v>
      </c>
      <c r="Z29" s="187" cm="1">
        <f t="array" aca="1" ref="Z29" ca="1">IF(AND($R29=2,ACOMPANHAMENTO="BM"),ROUND(Z30,4),Z31/$S29)</f>
        <v>0</v>
      </c>
      <c r="AA29" s="187" cm="1">
        <f t="array" aca="1" ref="AA29" ca="1">IF(AND($R29=2,ACOMPANHAMENTO="BM"),ROUND(AA30,4),AA31/$S29)</f>
        <v>0</v>
      </c>
      <c r="AB29" s="187" cm="1">
        <f t="array" aca="1" ref="AB29" ca="1">IF(AND($R29=2,ACOMPANHAMENTO="BM"),ROUND(AB30,4),AB31/$S29)</f>
        <v>0</v>
      </c>
      <c r="AC29" s="187" cm="1">
        <f t="array" aca="1" ref="AC29" ca="1">IF(AND($R29=2,ACOMPANHAMENTO="BM"),ROUND(AC30,4),AC31/$S29)</f>
        <v>0</v>
      </c>
      <c r="AD29" s="187" cm="1">
        <f t="array" aca="1" ref="AD29" ca="1">IF(AND($R29=2,ACOMPANHAMENTO="BM"),ROUND(AD30,4),AD31/$S29)</f>
        <v>0</v>
      </c>
      <c r="AE29" s="187" cm="1">
        <f t="array" aca="1" ref="AE29" ca="1">IF(AND($R29=2,ACOMPANHAMENTO="BM"),ROUND(AE30,4),AE31/$S29)</f>
        <v>0</v>
      </c>
      <c r="AF29" s="187" cm="1">
        <f t="array" aca="1" ref="AF29" ca="1">IF(AND($R29=2,ACOMPANHAMENTO="BM"),ROUND(AF30,4),AF31/$S29)</f>
        <v>0</v>
      </c>
      <c r="AG29" s="533"/>
    </row>
    <row r="30" spans="1:33" ht="12.75" customHeight="1" x14ac:dyDescent="0.2">
      <c r="E30" s="586"/>
      <c r="F30" s="184">
        <f ca="1">IF(ISERROR(F29),IF(1+COUNTIF($M$13:OFFSET(M29,-1,0),1)&lt;=MAX(QCI!$D$13:$D$24),1+COUNTIF($M$13:OFFSET(M29,-1,0),1),-1),0)</f>
        <v>0</v>
      </c>
      <c r="G30" s="184" t="str" cm="1">
        <f t="array" aca="1" ref="G30" ca="1">IF(ACOMPANHAMENTO="BM",OFFSET(G30,-1,0),"")</f>
        <v/>
      </c>
      <c r="H30" s="195" t="str" cm="1">
        <f t="array" aca="1" ref="H30" ca="1">IF(OR(S29=0,S29=""),"vazia",IF(AND(OR(ACOMPANHAMENTO="PLE",$R29&lt;&gt;2),$F30=0),"calculada","--&gt;"))</f>
        <v>vazia</v>
      </c>
      <c r="I30" s="196"/>
      <c r="J30" s="197" t="str">
        <f t="shared" ref="J30" ca="1" si="36">IF(AND(H29&lt;&gt;0,ISNUMBER(H29)),"PREENCHA ESTA LINHA --&gt;","")</f>
        <v/>
      </c>
      <c r="K30" s="197"/>
      <c r="L30" s="197"/>
      <c r="M30" s="198"/>
      <c r="N30" s="198"/>
      <c r="O30" s="198"/>
      <c r="P30" s="198"/>
      <c r="Q30" s="198"/>
      <c r="R30" s="198"/>
      <c r="S30" s="199"/>
      <c r="T30" s="200"/>
      <c r="U30" s="586">
        <v>0.5</v>
      </c>
      <c r="V30" s="586">
        <v>0.5</v>
      </c>
      <c r="W30" s="586"/>
      <c r="X30" s="586"/>
      <c r="Y30" s="586"/>
      <c r="Z30" s="586"/>
      <c r="AA30" s="586"/>
      <c r="AB30" s="586"/>
      <c r="AC30" s="586"/>
      <c r="AD30" s="586"/>
      <c r="AE30" s="586"/>
      <c r="AF30" s="586"/>
      <c r="AG30" s="533"/>
    </row>
    <row r="31" spans="1:33" ht="12.75" hidden="1" customHeight="1" x14ac:dyDescent="0.2">
      <c r="D31" s="532"/>
      <c r="E31" s="201" cm="1">
        <f t="array" aca="1" ref="E31" ca="1">IF($R29=2,
         IF(AND(ACOMPANHAMENTO="PLE",ISNUMBER($F29)),
                SUMIF((OFFSET(CÁLCULO!$AM$15:$AW$15,$F29,0,OFFSET(ORÇAMENTO!$D$15,CRONO!$F29,0))),CRONO!E$12,OFFSET(CÁLCULO!$AB$15:$AL$15,$F29,0,OFFSET(ORÇAMENTO!$D$15,CRONO!$F29,0)))
                +IF(AND($F31&lt;&gt;"",$F31&lt;&gt;0),
                        SUMIF(CÁLCULO!$AM$15:$AW$33,CRONO!E$12,CÁLCULO!$AB$15:$AL$33)/(ORÇAMENTO!$X$15-CÁLCULO.TotalAdmLocal)*CRONO!$F31,
                        0),
                 E30*$S29),
          SUMIF(OFFSET($S31,1,0,$R29-2),($M29+1)&amp;"$",OFFSET(E31,1,0,$R29-2)))</f>
        <v>0</v>
      </c>
      <c r="F31" s="184" t="str">
        <f ca="1">IF(OR($R29&lt;&gt;2,AUTOEVENTO&lt;&gt;"manual",$F30&gt;0),"",
        IF(Import.TipoArredondamento="Tradicional",
              SUMIF(OFFSET(CÁLCULO!$M$15,CRONO!$F29,0,OFFSET(ORÇAMENTO!$D$15,CRONO!$F29,0)),1,OFFSET(ORÇAMENTO!$X$15,CRONO!$F29,0,OFFSET(ORÇAMENTO!$D$15,CRONO!$F29,0))),
              0))</f>
        <v/>
      </c>
      <c r="H31" s="202"/>
      <c r="S31" s="203" t="str">
        <f t="shared" ref="S31" ca="1" si="37">M29&amp;"$"</f>
        <v>2$</v>
      </c>
      <c r="T31" s="204"/>
      <c r="U31" s="201" cm="1">
        <f t="array" aca="1" ref="U31" ca="1">IF($R29=2,
         IF(AND(ACOMPANHAMENTO="PLE",ISNUMBER($F29)),
                SUMIF((OFFSET(CÁLCULO!$AM$15:$AW$15,$F29,0,OFFSET(ORÇAMENTO!$D$15,CRONO!$F29,0))),CRONO!U$12,OFFSET(CÁLCULO!$AB$15:$AL$15,$F29,0,OFFSET(ORÇAMENTO!$D$15,CRONO!$F29,0)))
                +IF(AND($F31&lt;&gt;"",$F31&lt;&gt;0),
                        SUMIF(CÁLCULO!$AM$15:$AW$33,CRONO!U$12,CÁLCULO!$AB$15:$AL$33)/(ORÇAMENTO!$X$15-CÁLCULO.TotalAdmLocal)*CRONO!$F31,
                        0),
                 U30*$S29),
          SUMIF(OFFSET($S31,1,0,$R29-2),($M29+1)&amp;"$",OFFSET(U31,1,0,$R29-2)))</f>
        <v>0</v>
      </c>
      <c r="V31" s="201" cm="1">
        <f t="array" aca="1" ref="V31" ca="1">IF($R29=2,
         IF(AND(ACOMPANHAMENTO="PLE",ISNUMBER($F29)),
                SUMIF((OFFSET(CÁLCULO!$AM$15:$AW$15,$F29,0,OFFSET(ORÇAMENTO!$D$15,CRONO!$F29,0))),CRONO!V$12,OFFSET(CÁLCULO!$AB$15:$AL$15,$F29,0,OFFSET(ORÇAMENTO!$D$15,CRONO!$F29,0)))
                +IF(AND($F31&lt;&gt;"",$F31&lt;&gt;0),
                        SUMIF(CÁLCULO!$AM$15:$AW$33,CRONO!V$12,CÁLCULO!$AB$15:$AL$33)/(ORÇAMENTO!$X$15-CÁLCULO.TotalAdmLocal)*CRONO!$F31,
                        0),
                 V30*$S29),
          SUMIF(OFFSET($S31,1,0,$R29-2),($M29+1)&amp;"$",OFFSET(V31,1,0,$R29-2)))</f>
        <v>0</v>
      </c>
      <c r="W31" s="201" cm="1">
        <f t="array" aca="1" ref="W31" ca="1">IF($R29=2,
         IF(AND(ACOMPANHAMENTO="PLE",ISNUMBER($F29)),
                SUMIF((OFFSET(CÁLCULO!$AM$15:$AW$15,$F29,0,OFFSET(ORÇAMENTO!$D$15,CRONO!$F29,0))),CRONO!W$12,OFFSET(CÁLCULO!$AB$15:$AL$15,$F29,0,OFFSET(ORÇAMENTO!$D$15,CRONO!$F29,0)))
                +IF(AND($F31&lt;&gt;"",$F31&lt;&gt;0),
                        SUMIF(CÁLCULO!$AM$15:$AW$33,CRONO!W$12,CÁLCULO!$AB$15:$AL$33)/(ORÇAMENTO!$X$15-CÁLCULO.TotalAdmLocal)*CRONO!$F31,
                        0),
                 W30*$S29),
          SUMIF(OFFSET($S31,1,0,$R29-2),($M29+1)&amp;"$",OFFSET(W31,1,0,$R29-2)))</f>
        <v>0</v>
      </c>
      <c r="X31" s="201" cm="1">
        <f t="array" aca="1" ref="X31" ca="1">IF($R29=2,
         IF(AND(ACOMPANHAMENTO="PLE",ISNUMBER($F29)),
                SUMIF((OFFSET(CÁLCULO!$AM$15:$AW$15,$F29,0,OFFSET(ORÇAMENTO!$D$15,CRONO!$F29,0))),CRONO!X$12,OFFSET(CÁLCULO!$AB$15:$AL$15,$F29,0,OFFSET(ORÇAMENTO!$D$15,CRONO!$F29,0)))
                +IF(AND($F31&lt;&gt;"",$F31&lt;&gt;0),
                        SUMIF(CÁLCULO!$AM$15:$AW$33,CRONO!X$12,CÁLCULO!$AB$15:$AL$33)/(ORÇAMENTO!$X$15-CÁLCULO.TotalAdmLocal)*CRONO!$F31,
                        0),
                 X30*$S29),
          SUMIF(OFFSET($S31,1,0,$R29-2),($M29+1)&amp;"$",OFFSET(X31,1,0,$R29-2)))</f>
        <v>0</v>
      </c>
      <c r="Y31" s="201" cm="1">
        <f t="array" aca="1" ref="Y31" ca="1">IF($R29=2,
         IF(AND(ACOMPANHAMENTO="PLE",ISNUMBER($F29)),
                SUMIF((OFFSET(CÁLCULO!$AM$15:$AW$15,$F29,0,OFFSET(ORÇAMENTO!$D$15,CRONO!$F29,0))),CRONO!Y$12,OFFSET(CÁLCULO!$AB$15:$AL$15,$F29,0,OFFSET(ORÇAMENTO!$D$15,CRONO!$F29,0)))
                +IF(AND($F31&lt;&gt;"",$F31&lt;&gt;0),
                        SUMIF(CÁLCULO!$AM$15:$AW$33,CRONO!Y$12,CÁLCULO!$AB$15:$AL$33)/(ORÇAMENTO!$X$15-CÁLCULO.TotalAdmLocal)*CRONO!$F31,
                        0),
                 Y30*$S29),
          SUMIF(OFFSET($S31,1,0,$R29-2),($M29+1)&amp;"$",OFFSET(Y31,1,0,$R29-2)))</f>
        <v>0</v>
      </c>
      <c r="Z31" s="201" cm="1">
        <f t="array" aca="1" ref="Z31" ca="1">IF($R29=2,
         IF(AND(ACOMPANHAMENTO="PLE",ISNUMBER($F29)),
                SUMIF((OFFSET(CÁLCULO!$AM$15:$AW$15,$F29,0,OFFSET(ORÇAMENTO!$D$15,CRONO!$F29,0))),CRONO!Z$12,OFFSET(CÁLCULO!$AB$15:$AL$15,$F29,0,OFFSET(ORÇAMENTO!$D$15,CRONO!$F29,0)))
                +IF(AND($F31&lt;&gt;"",$F31&lt;&gt;0),
                        SUMIF(CÁLCULO!$AM$15:$AW$33,CRONO!Z$12,CÁLCULO!$AB$15:$AL$33)/(ORÇAMENTO!$X$15-CÁLCULO.TotalAdmLocal)*CRONO!$F31,
                        0),
                 Z30*$S29),
          SUMIF(OFFSET($S31,1,0,$R29-2),($M29+1)&amp;"$",OFFSET(Z31,1,0,$R29-2)))</f>
        <v>0</v>
      </c>
      <c r="AA31" s="201" cm="1">
        <f t="array" aca="1" ref="AA31" ca="1">IF($R29=2,
         IF(AND(ACOMPANHAMENTO="PLE",ISNUMBER($F29)),
                SUMIF((OFFSET(CÁLCULO!$AM$15:$AW$15,$F29,0,OFFSET(ORÇAMENTO!$D$15,CRONO!$F29,0))),CRONO!AA$12,OFFSET(CÁLCULO!$AB$15:$AL$15,$F29,0,OFFSET(ORÇAMENTO!$D$15,CRONO!$F29,0)))
                +IF(AND($F31&lt;&gt;"",$F31&lt;&gt;0),
                        SUMIF(CÁLCULO!$AM$15:$AW$33,CRONO!AA$12,CÁLCULO!$AB$15:$AL$33)/(ORÇAMENTO!$X$15-CÁLCULO.TotalAdmLocal)*CRONO!$F31,
                        0),
                 AA30*$S29),
          SUMIF(OFFSET($S31,1,0,$R29-2),($M29+1)&amp;"$",OFFSET(AA31,1,0,$R29-2)))</f>
        <v>0</v>
      </c>
      <c r="AB31" s="201" cm="1">
        <f t="array" aca="1" ref="AB31" ca="1">IF($R29=2,
         IF(AND(ACOMPANHAMENTO="PLE",ISNUMBER($F29)),
                SUMIF((OFFSET(CÁLCULO!$AM$15:$AW$15,$F29,0,OFFSET(ORÇAMENTO!$D$15,CRONO!$F29,0))),CRONO!AB$12,OFFSET(CÁLCULO!$AB$15:$AL$15,$F29,0,OFFSET(ORÇAMENTO!$D$15,CRONO!$F29,0)))
                +IF(AND($F31&lt;&gt;"",$F31&lt;&gt;0),
                        SUMIF(CÁLCULO!$AM$15:$AW$33,CRONO!AB$12,CÁLCULO!$AB$15:$AL$33)/(ORÇAMENTO!$X$15-CÁLCULO.TotalAdmLocal)*CRONO!$F31,
                        0),
                 AB30*$S29),
          SUMIF(OFFSET($S31,1,0,$R29-2),($M29+1)&amp;"$",OFFSET(AB31,1,0,$R29-2)))</f>
        <v>0</v>
      </c>
      <c r="AC31" s="201" cm="1">
        <f t="array" aca="1" ref="AC31" ca="1">IF($R29=2,
         IF(AND(ACOMPANHAMENTO="PLE",ISNUMBER($F29)),
                SUMIF((OFFSET(CÁLCULO!$AM$15:$AW$15,$F29,0,OFFSET(ORÇAMENTO!$D$15,CRONO!$F29,0))),CRONO!AC$12,OFFSET(CÁLCULO!$AB$15:$AL$15,$F29,0,OFFSET(ORÇAMENTO!$D$15,CRONO!$F29,0)))
                +IF(AND($F31&lt;&gt;"",$F31&lt;&gt;0),
                        SUMIF(CÁLCULO!$AM$15:$AW$33,CRONO!AC$12,CÁLCULO!$AB$15:$AL$33)/(ORÇAMENTO!$X$15-CÁLCULO.TotalAdmLocal)*CRONO!$F31,
                        0),
                 AC30*$S29),
          SUMIF(OFFSET($S31,1,0,$R29-2),($M29+1)&amp;"$",OFFSET(AC31,1,0,$R29-2)))</f>
        <v>0</v>
      </c>
      <c r="AD31" s="201" cm="1">
        <f t="array" aca="1" ref="AD31" ca="1">IF($R29=2,
         IF(AND(ACOMPANHAMENTO="PLE",ISNUMBER($F29)),
                SUMIF((OFFSET(CÁLCULO!$AM$15:$AW$15,$F29,0,OFFSET(ORÇAMENTO!$D$15,CRONO!$F29,0))),CRONO!AD$12,OFFSET(CÁLCULO!$AB$15:$AL$15,$F29,0,OFFSET(ORÇAMENTO!$D$15,CRONO!$F29,0)))
                +IF(AND($F31&lt;&gt;"",$F31&lt;&gt;0),
                        SUMIF(CÁLCULO!$AM$15:$AW$33,CRONO!AD$12,CÁLCULO!$AB$15:$AL$33)/(ORÇAMENTO!$X$15-CÁLCULO.TotalAdmLocal)*CRONO!$F31,
                        0),
                 AD30*$S29),
          SUMIF(OFFSET($S31,1,0,$R29-2),($M29+1)&amp;"$",OFFSET(AD31,1,0,$R29-2)))</f>
        <v>0</v>
      </c>
      <c r="AE31" s="201" cm="1">
        <f t="array" aca="1" ref="AE31" ca="1">IF($R29=2,
         IF(AND(ACOMPANHAMENTO="PLE",ISNUMBER($F29)),
                SUMIF((OFFSET(CÁLCULO!$AM$15:$AW$15,$F29,0,OFFSET(ORÇAMENTO!$D$15,CRONO!$F29,0))),CRONO!AE$12,OFFSET(CÁLCULO!$AB$15:$AL$15,$F29,0,OFFSET(ORÇAMENTO!$D$15,CRONO!$F29,0)))
                +IF(AND($F31&lt;&gt;"",$F31&lt;&gt;0),
                        SUMIF(CÁLCULO!$AM$15:$AW$33,CRONO!AE$12,CÁLCULO!$AB$15:$AL$33)/(ORÇAMENTO!$X$15-CÁLCULO.TotalAdmLocal)*CRONO!$F31,
                        0),
                 AE30*$S29),
          SUMIF(OFFSET($S31,1,0,$R29-2),($M29+1)&amp;"$",OFFSET(AE31,1,0,$R29-2)))</f>
        <v>0</v>
      </c>
      <c r="AF31" s="201" cm="1">
        <f t="array" aca="1" ref="AF31" ca="1">IF($R29=2,
         IF(AND(ACOMPANHAMENTO="PLE",ISNUMBER($F29)),
                SUMIF((OFFSET(CÁLCULO!$AM$15:$AW$15,$F29,0,OFFSET(ORÇAMENTO!$D$15,CRONO!$F29,0))),CRONO!AF$12,OFFSET(CÁLCULO!$AB$15:$AL$15,$F29,0,OFFSET(ORÇAMENTO!$D$15,CRONO!$F29,0)))
                +IF(AND($F31&lt;&gt;"",$F31&lt;&gt;0),
                        SUMIF(CÁLCULO!$AM$15:$AW$33,CRONO!AF$12,CÁLCULO!$AB$15:$AL$33)/(ORÇAMENTO!$X$15-CÁLCULO.TotalAdmLocal)*CRONO!$F31,
                        0),
                 AF30*$S29),
          SUMIF(OFFSET($S31,1,0,$R29-2),($M29+1)&amp;"$",OFFSET(AF31,1,0,$R29-2)))</f>
        <v>0</v>
      </c>
      <c r="AG31" s="533"/>
    </row>
    <row r="32" spans="1:33" x14ac:dyDescent="0.2">
      <c r="A32" s="185" t="e">
        <f t="shared" ref="A32" ca="1" si="38">IF($M32&gt;1,_xlfn.CONCAT($I32," ",$J32),"")</f>
        <v>#NAME?</v>
      </c>
      <c r="B32" s="184">
        <f t="shared" ref="B32" ca="1" si="39">OFFSET(B32,-3,0)+1</f>
        <v>7</v>
      </c>
      <c r="C32" s="184">
        <f ca="1">IF($R32&lt;&gt;2,0,IF($S32=0,1,IF(F33&gt;0,OFFSET(QCI!$M$13,SUBSTITUTE(F33,".",""),0),OFFSET(ORÇAMENTO!$AA$15,CRONO!$F32,0))/$S32))</f>
        <v>1</v>
      </c>
      <c r="D32" s="184">
        <f ca="1">IF($R32&lt;&gt;2,0,IF($S32=0,1,IF(F33&gt;0,OFFSET(QCI!$N$13,SUBSTITUTE(F33,".",""),0),OFFSET(ORÇAMENTO!$AB$15,CRONO!$F32,0))/$S32))</f>
        <v>1</v>
      </c>
      <c r="E32" s="187" cm="1">
        <f t="array" aca="1" ref="E32" ca="1">IF(AND($R32=2,ACOMPANHAMENTO="BM"),ROUND(E33,4),E34/$S32)</f>
        <v>0</v>
      </c>
      <c r="F32" s="184" cm="1">
        <f t="array" aca="1" ref="F32" ca="1">IF(B32&lt;=ORÇAMENTO.MáximoListaCrono,MATCH(B32,ORÇAMENTO.ListaCrono,0),NA())</f>
        <v>16</v>
      </c>
      <c r="G32" s="184" t="str">
        <f t="shared" ref="G32" ca="1" si="40">IF(AND($F33&lt;&gt;-1,$S32&gt;0),"F","")</f>
        <v/>
      </c>
      <c r="H32" s="188" t="str" cm="1">
        <f t="array" aca="1" ref="H32" ca="1">IF(OR(S32=0,S32=""),"Linha",IF(AND(OR(ACOMPANHAMENTO="PLE",$R32&lt;&gt;2),$F33=0),"Linha",ROUND(1-SUM(U32:AG32),4)))</f>
        <v>Linha</v>
      </c>
      <c r="I32" s="189" t="str">
        <f ca="1">IF($F33=0,OFFSET(ORÇAMENTO!O$15,$F32,0),IF($F33&lt;&gt;-1,OFFSET(QCI!$D$13,$F33,0),""))</f>
        <v>1.6.</v>
      </c>
      <c r="J32" s="190" t="str">
        <f ca="1">IF($F33=0,OFFSET(ORÇAMENTO!R$15,$F32,0),IF($F33&lt;&gt;-1,OFFSET(QCI!$G$13,$F33,0),""))</f>
        <v>LIMPEZAS E AJUSTES DO TRECHO</v>
      </c>
      <c r="K32" s="190"/>
      <c r="L32" s="190"/>
      <c r="M32" s="191">
        <f ca="1">IF($F33=0,OFFSET(ORÇAMENTO!C$15,$F32,0),1)</f>
        <v>2</v>
      </c>
      <c r="N32" s="192">
        <f ca="1">IF($F33=-1,0,IF(N$13&lt;=$M32,IF(ISERROR(MATCH(N$13,OFFSET($M32,1,0,ROW($M$35)-ROW($M32)-1),0)),ROW($M$35)-ROW($M32)-1,MATCH(N$13,OFFSET($M32,1,0,ROW($M$35)-ROW($M32)-1),0)-1),0))</f>
        <v>2</v>
      </c>
      <c r="O32" s="192">
        <f ca="1">IF($F33=-1,0,IF(O$13&lt;=$M32,IF(ISERROR(MATCH(O$13,OFFSET($M32,1,0,ROW($M$35)-ROW($M32)-1),0)),ROW($M$35)-ROW($M32)-1,MATCH(O$13,OFFSET($M32,1,0,ROW($M$35)-ROW($M32)-1),0)-1),0))</f>
        <v>2</v>
      </c>
      <c r="P32" s="192">
        <f ca="1">IF($F33=-1,0,IF(P$13&lt;=$M32,IF(ISERROR(MATCH(P$13,OFFSET($M32,1,0,ROW($M$35)-ROW($M32)-1),0)),ROW($M$35)-ROW($M32)-1,MATCH(P$13,OFFSET($M32,1,0,ROW($M$35)-ROW($M32)-1),0)-1),0))</f>
        <v>0</v>
      </c>
      <c r="Q32" s="192">
        <f ca="1">IF($F33=-1,0,IF(Q$13&lt;=$M32,IF(ISERROR(MATCH(Q$13,OFFSET($M32,1,0,ROW($M$35)-ROW($M32)-1),0)),ROW($M$35)-ROW($M32)-1,MATCH(Q$13,OFFSET($M32,1,0,ROW($M$35)-ROW($M32)-1),0)-1),0))</f>
        <v>0</v>
      </c>
      <c r="R32" s="192">
        <f t="shared" ref="R32" ca="1" si="41">MIN(OFFSET(M32,0,1,,M32))</f>
        <v>2</v>
      </c>
      <c r="S32" s="193">
        <f ca="1">IF($F33=0,OFFSET(ORÇAMENTO!X$15,$F32,0),IF($F33&lt;&gt;-1,OFFSET(QCI!$O$13,$F33,0),""))</f>
        <v>0</v>
      </c>
      <c r="T32" s="194" t="s">
        <v>785</v>
      </c>
      <c r="U32" s="187" cm="1">
        <f t="array" aca="1" ref="U32" ca="1">IF(AND($R32=2,ACOMPANHAMENTO="BM"),ROUND(U33,4),U34/$S32)</f>
        <v>1</v>
      </c>
      <c r="V32" s="187" cm="1">
        <f t="array" aca="1" ref="V32" ca="1">IF(AND($R32=2,ACOMPANHAMENTO="BM"),ROUND(V33,4),V34/$S32)</f>
        <v>0</v>
      </c>
      <c r="W32" s="187" cm="1">
        <f t="array" aca="1" ref="W32" ca="1">IF(AND($R32=2,ACOMPANHAMENTO="BM"),ROUND(W33,4),W34/$S32)</f>
        <v>0</v>
      </c>
      <c r="X32" s="187" cm="1">
        <f t="array" aca="1" ref="X32" ca="1">IF(AND($R32=2,ACOMPANHAMENTO="BM"),ROUND(X33,4),X34/$S32)</f>
        <v>0</v>
      </c>
      <c r="Y32" s="187" cm="1">
        <f t="array" aca="1" ref="Y32" ca="1">IF(AND($R32=2,ACOMPANHAMENTO="BM"),ROUND(Y33,4),Y34/$S32)</f>
        <v>0</v>
      </c>
      <c r="Z32" s="187" cm="1">
        <f t="array" aca="1" ref="Z32" ca="1">IF(AND($R32=2,ACOMPANHAMENTO="BM"),ROUND(Z33,4),Z34/$S32)</f>
        <v>0</v>
      </c>
      <c r="AA32" s="187" cm="1">
        <f t="array" aca="1" ref="AA32" ca="1">IF(AND($R32=2,ACOMPANHAMENTO="BM"),ROUND(AA33,4),AA34/$S32)</f>
        <v>0</v>
      </c>
      <c r="AB32" s="187" cm="1">
        <f t="array" aca="1" ref="AB32" ca="1">IF(AND($R32=2,ACOMPANHAMENTO="BM"),ROUND(AB33,4),AB34/$S32)</f>
        <v>0</v>
      </c>
      <c r="AC32" s="187" cm="1">
        <f t="array" aca="1" ref="AC32" ca="1">IF(AND($R32=2,ACOMPANHAMENTO="BM"),ROUND(AC33,4),AC34/$S32)</f>
        <v>0</v>
      </c>
      <c r="AD32" s="187" cm="1">
        <f t="array" aca="1" ref="AD32" ca="1">IF(AND($R32=2,ACOMPANHAMENTO="BM"),ROUND(AD33,4),AD34/$S32)</f>
        <v>0</v>
      </c>
      <c r="AE32" s="187" cm="1">
        <f t="array" aca="1" ref="AE32" ca="1">IF(AND($R32=2,ACOMPANHAMENTO="BM"),ROUND(AE33,4),AE34/$S32)</f>
        <v>0</v>
      </c>
      <c r="AF32" s="187" cm="1">
        <f t="array" aca="1" ref="AF32" ca="1">IF(AND($R32=2,ACOMPANHAMENTO="BM"),ROUND(AF33,4),AF34/$S32)</f>
        <v>0</v>
      </c>
      <c r="AG32" s="533"/>
    </row>
    <row r="33" spans="4:33" ht="12.75" customHeight="1" x14ac:dyDescent="0.2">
      <c r="E33" s="586"/>
      <c r="F33" s="184">
        <f ca="1">IF(ISERROR(F32),IF(1+COUNTIF($M$13:OFFSET(M32,-1,0),1)&lt;=MAX(QCI!$D$13:$D$24),1+COUNTIF($M$13:OFFSET(M32,-1,0),1),-1),0)</f>
        <v>0</v>
      </c>
      <c r="G33" s="184" t="str" cm="1">
        <f t="array" aca="1" ref="G33" ca="1">IF(ACOMPANHAMENTO="BM",OFFSET(G33,-1,0),"")</f>
        <v/>
      </c>
      <c r="H33" s="195" t="str" cm="1">
        <f t="array" aca="1" ref="H33" ca="1">IF(OR(S32=0,S32=""),"vazia",IF(AND(OR(ACOMPANHAMENTO="PLE",$R32&lt;&gt;2),$F33=0),"calculada","--&gt;"))</f>
        <v>vazia</v>
      </c>
      <c r="I33" s="196"/>
      <c r="J33" s="197" t="str">
        <f t="shared" ref="J33" ca="1" si="42">IF(AND(H32&lt;&gt;0,ISNUMBER(H32)),"PREENCHA ESTA LINHA --&gt;","")</f>
        <v/>
      </c>
      <c r="K33" s="197"/>
      <c r="L33" s="197"/>
      <c r="M33" s="198"/>
      <c r="N33" s="198"/>
      <c r="O33" s="198"/>
      <c r="P33" s="198"/>
      <c r="Q33" s="198"/>
      <c r="R33" s="198"/>
      <c r="S33" s="199"/>
      <c r="T33" s="200"/>
      <c r="U33" s="586">
        <v>1</v>
      </c>
      <c r="V33" s="586"/>
      <c r="W33" s="586"/>
      <c r="X33" s="586"/>
      <c r="Y33" s="586"/>
      <c r="Z33" s="586"/>
      <c r="AA33" s="586"/>
      <c r="AB33" s="586"/>
      <c r="AC33" s="586"/>
      <c r="AD33" s="586"/>
      <c r="AE33" s="586"/>
      <c r="AF33" s="586"/>
      <c r="AG33" s="533"/>
    </row>
    <row r="34" spans="4:33" ht="12.75" hidden="1" customHeight="1" x14ac:dyDescent="0.2">
      <c r="D34" s="532"/>
      <c r="E34" s="201" cm="1">
        <f t="array" aca="1" ref="E34" ca="1">IF($R32=2,
         IF(AND(ACOMPANHAMENTO="PLE",ISNUMBER($F32)),
                SUMIF((OFFSET(CÁLCULO!$AM$15:$AW$15,$F32,0,OFFSET(ORÇAMENTO!$D$15,CRONO!$F32,0))),CRONO!E$12,OFFSET(CÁLCULO!$AB$15:$AL$15,$F32,0,OFFSET(ORÇAMENTO!$D$15,CRONO!$F32,0)))
                +IF(AND($F34&lt;&gt;"",$F34&lt;&gt;0),
                        SUMIF(CÁLCULO!$AM$15:$AW$33,CRONO!E$12,CÁLCULO!$AB$15:$AL$33)/(ORÇAMENTO!$X$15-CÁLCULO.TotalAdmLocal)*CRONO!$F34,
                        0),
                 E33*$S32),
          SUMIF(OFFSET($S34,1,0,$R32-2),($M32+1)&amp;"$",OFFSET(E34,1,0,$R32-2)))</f>
        <v>0</v>
      </c>
      <c r="F34" s="184" t="str">
        <f ca="1">IF(OR($R32&lt;&gt;2,AUTOEVENTO&lt;&gt;"manual",$F33&gt;0),"",
        IF(Import.TipoArredondamento="Tradicional",
              SUMIF(OFFSET(CÁLCULO!$M$15,CRONO!$F32,0,OFFSET(ORÇAMENTO!$D$15,CRONO!$F32,0)),1,OFFSET(ORÇAMENTO!$X$15,CRONO!$F32,0,OFFSET(ORÇAMENTO!$D$15,CRONO!$F32,0))),
              0))</f>
        <v/>
      </c>
      <c r="H34" s="202"/>
      <c r="S34" s="203" t="str">
        <f t="shared" ref="S34" ca="1" si="43">M32&amp;"$"</f>
        <v>2$</v>
      </c>
      <c r="T34" s="204"/>
      <c r="U34" s="201" cm="1">
        <f t="array" aca="1" ref="U34" ca="1">IF($R32=2,
         IF(AND(ACOMPANHAMENTO="PLE",ISNUMBER($F32)),
                SUMIF((OFFSET(CÁLCULO!$AM$15:$AW$15,$F32,0,OFFSET(ORÇAMENTO!$D$15,CRONO!$F32,0))),CRONO!U$12,OFFSET(CÁLCULO!$AB$15:$AL$15,$F32,0,OFFSET(ORÇAMENTO!$D$15,CRONO!$F32,0)))
                +IF(AND($F34&lt;&gt;"",$F34&lt;&gt;0),
                        SUMIF(CÁLCULO!$AM$15:$AW$33,CRONO!U$12,CÁLCULO!$AB$15:$AL$33)/(ORÇAMENTO!$X$15-CÁLCULO.TotalAdmLocal)*CRONO!$F34,
                        0),
                 U33*$S32),
          SUMIF(OFFSET($S34,1,0,$R32-2),($M32+1)&amp;"$",OFFSET(U34,1,0,$R32-2)))</f>
        <v>0</v>
      </c>
      <c r="V34" s="201" cm="1">
        <f t="array" aca="1" ref="V34" ca="1">IF($R32=2,
         IF(AND(ACOMPANHAMENTO="PLE",ISNUMBER($F32)),
                SUMIF((OFFSET(CÁLCULO!$AM$15:$AW$15,$F32,0,OFFSET(ORÇAMENTO!$D$15,CRONO!$F32,0))),CRONO!V$12,OFFSET(CÁLCULO!$AB$15:$AL$15,$F32,0,OFFSET(ORÇAMENTO!$D$15,CRONO!$F32,0)))
                +IF(AND($F34&lt;&gt;"",$F34&lt;&gt;0),
                        SUMIF(CÁLCULO!$AM$15:$AW$33,CRONO!V$12,CÁLCULO!$AB$15:$AL$33)/(ORÇAMENTO!$X$15-CÁLCULO.TotalAdmLocal)*CRONO!$F34,
                        0),
                 V33*$S32),
          SUMIF(OFFSET($S34,1,0,$R32-2),($M32+1)&amp;"$",OFFSET(V34,1,0,$R32-2)))</f>
        <v>0</v>
      </c>
      <c r="W34" s="201" cm="1">
        <f t="array" aca="1" ref="W34" ca="1">IF($R32=2,
         IF(AND(ACOMPANHAMENTO="PLE",ISNUMBER($F32)),
                SUMIF((OFFSET(CÁLCULO!$AM$15:$AW$15,$F32,0,OFFSET(ORÇAMENTO!$D$15,CRONO!$F32,0))),CRONO!W$12,OFFSET(CÁLCULO!$AB$15:$AL$15,$F32,0,OFFSET(ORÇAMENTO!$D$15,CRONO!$F32,0)))
                +IF(AND($F34&lt;&gt;"",$F34&lt;&gt;0),
                        SUMIF(CÁLCULO!$AM$15:$AW$33,CRONO!W$12,CÁLCULO!$AB$15:$AL$33)/(ORÇAMENTO!$X$15-CÁLCULO.TotalAdmLocal)*CRONO!$F34,
                        0),
                 W33*$S32),
          SUMIF(OFFSET($S34,1,0,$R32-2),($M32+1)&amp;"$",OFFSET(W34,1,0,$R32-2)))</f>
        <v>0</v>
      </c>
      <c r="X34" s="201" cm="1">
        <f t="array" aca="1" ref="X34" ca="1">IF($R32=2,
         IF(AND(ACOMPANHAMENTO="PLE",ISNUMBER($F32)),
                SUMIF((OFFSET(CÁLCULO!$AM$15:$AW$15,$F32,0,OFFSET(ORÇAMENTO!$D$15,CRONO!$F32,0))),CRONO!X$12,OFFSET(CÁLCULO!$AB$15:$AL$15,$F32,0,OFFSET(ORÇAMENTO!$D$15,CRONO!$F32,0)))
                +IF(AND($F34&lt;&gt;"",$F34&lt;&gt;0),
                        SUMIF(CÁLCULO!$AM$15:$AW$33,CRONO!X$12,CÁLCULO!$AB$15:$AL$33)/(ORÇAMENTO!$X$15-CÁLCULO.TotalAdmLocal)*CRONO!$F34,
                        0),
                 X33*$S32),
          SUMIF(OFFSET($S34,1,0,$R32-2),($M32+1)&amp;"$",OFFSET(X34,1,0,$R32-2)))</f>
        <v>0</v>
      </c>
      <c r="Y34" s="201" cm="1">
        <f t="array" aca="1" ref="Y34" ca="1">IF($R32=2,
         IF(AND(ACOMPANHAMENTO="PLE",ISNUMBER($F32)),
                SUMIF((OFFSET(CÁLCULO!$AM$15:$AW$15,$F32,0,OFFSET(ORÇAMENTO!$D$15,CRONO!$F32,0))),CRONO!Y$12,OFFSET(CÁLCULO!$AB$15:$AL$15,$F32,0,OFFSET(ORÇAMENTO!$D$15,CRONO!$F32,0)))
                +IF(AND($F34&lt;&gt;"",$F34&lt;&gt;0),
                        SUMIF(CÁLCULO!$AM$15:$AW$33,CRONO!Y$12,CÁLCULO!$AB$15:$AL$33)/(ORÇAMENTO!$X$15-CÁLCULO.TotalAdmLocal)*CRONO!$F34,
                        0),
                 Y33*$S32),
          SUMIF(OFFSET($S34,1,0,$R32-2),($M32+1)&amp;"$",OFFSET(Y34,1,0,$R32-2)))</f>
        <v>0</v>
      </c>
      <c r="Z34" s="201" cm="1">
        <f t="array" aca="1" ref="Z34" ca="1">IF($R32=2,
         IF(AND(ACOMPANHAMENTO="PLE",ISNUMBER($F32)),
                SUMIF((OFFSET(CÁLCULO!$AM$15:$AW$15,$F32,0,OFFSET(ORÇAMENTO!$D$15,CRONO!$F32,0))),CRONO!Z$12,OFFSET(CÁLCULO!$AB$15:$AL$15,$F32,0,OFFSET(ORÇAMENTO!$D$15,CRONO!$F32,0)))
                +IF(AND($F34&lt;&gt;"",$F34&lt;&gt;0),
                        SUMIF(CÁLCULO!$AM$15:$AW$33,CRONO!Z$12,CÁLCULO!$AB$15:$AL$33)/(ORÇAMENTO!$X$15-CÁLCULO.TotalAdmLocal)*CRONO!$F34,
                        0),
                 Z33*$S32),
          SUMIF(OFFSET($S34,1,0,$R32-2),($M32+1)&amp;"$",OFFSET(Z34,1,0,$R32-2)))</f>
        <v>0</v>
      </c>
      <c r="AA34" s="201" cm="1">
        <f t="array" aca="1" ref="AA34" ca="1">IF($R32=2,
         IF(AND(ACOMPANHAMENTO="PLE",ISNUMBER($F32)),
                SUMIF((OFFSET(CÁLCULO!$AM$15:$AW$15,$F32,0,OFFSET(ORÇAMENTO!$D$15,CRONO!$F32,0))),CRONO!AA$12,OFFSET(CÁLCULO!$AB$15:$AL$15,$F32,0,OFFSET(ORÇAMENTO!$D$15,CRONO!$F32,0)))
                +IF(AND($F34&lt;&gt;"",$F34&lt;&gt;0),
                        SUMIF(CÁLCULO!$AM$15:$AW$33,CRONO!AA$12,CÁLCULO!$AB$15:$AL$33)/(ORÇAMENTO!$X$15-CÁLCULO.TotalAdmLocal)*CRONO!$F34,
                        0),
                 AA33*$S32),
          SUMIF(OFFSET($S34,1,0,$R32-2),($M32+1)&amp;"$",OFFSET(AA34,1,0,$R32-2)))</f>
        <v>0</v>
      </c>
      <c r="AB34" s="201" cm="1">
        <f t="array" aca="1" ref="AB34" ca="1">IF($R32=2,
         IF(AND(ACOMPANHAMENTO="PLE",ISNUMBER($F32)),
                SUMIF((OFFSET(CÁLCULO!$AM$15:$AW$15,$F32,0,OFFSET(ORÇAMENTO!$D$15,CRONO!$F32,0))),CRONO!AB$12,OFFSET(CÁLCULO!$AB$15:$AL$15,$F32,0,OFFSET(ORÇAMENTO!$D$15,CRONO!$F32,0)))
                +IF(AND($F34&lt;&gt;"",$F34&lt;&gt;0),
                        SUMIF(CÁLCULO!$AM$15:$AW$33,CRONO!AB$12,CÁLCULO!$AB$15:$AL$33)/(ORÇAMENTO!$X$15-CÁLCULO.TotalAdmLocal)*CRONO!$F34,
                        0),
                 AB33*$S32),
          SUMIF(OFFSET($S34,1,0,$R32-2),($M32+1)&amp;"$",OFFSET(AB34,1,0,$R32-2)))</f>
        <v>0</v>
      </c>
      <c r="AC34" s="201" cm="1">
        <f t="array" aca="1" ref="AC34" ca="1">IF($R32=2,
         IF(AND(ACOMPANHAMENTO="PLE",ISNUMBER($F32)),
                SUMIF((OFFSET(CÁLCULO!$AM$15:$AW$15,$F32,0,OFFSET(ORÇAMENTO!$D$15,CRONO!$F32,0))),CRONO!AC$12,OFFSET(CÁLCULO!$AB$15:$AL$15,$F32,0,OFFSET(ORÇAMENTO!$D$15,CRONO!$F32,0)))
                +IF(AND($F34&lt;&gt;"",$F34&lt;&gt;0),
                        SUMIF(CÁLCULO!$AM$15:$AW$33,CRONO!AC$12,CÁLCULO!$AB$15:$AL$33)/(ORÇAMENTO!$X$15-CÁLCULO.TotalAdmLocal)*CRONO!$F34,
                        0),
                 AC33*$S32),
          SUMIF(OFFSET($S34,1,0,$R32-2),($M32+1)&amp;"$",OFFSET(AC34,1,0,$R32-2)))</f>
        <v>0</v>
      </c>
      <c r="AD34" s="201" cm="1">
        <f t="array" aca="1" ref="AD34" ca="1">IF($R32=2,
         IF(AND(ACOMPANHAMENTO="PLE",ISNUMBER($F32)),
                SUMIF((OFFSET(CÁLCULO!$AM$15:$AW$15,$F32,0,OFFSET(ORÇAMENTO!$D$15,CRONO!$F32,0))),CRONO!AD$12,OFFSET(CÁLCULO!$AB$15:$AL$15,$F32,0,OFFSET(ORÇAMENTO!$D$15,CRONO!$F32,0)))
                +IF(AND($F34&lt;&gt;"",$F34&lt;&gt;0),
                        SUMIF(CÁLCULO!$AM$15:$AW$33,CRONO!AD$12,CÁLCULO!$AB$15:$AL$33)/(ORÇAMENTO!$X$15-CÁLCULO.TotalAdmLocal)*CRONO!$F34,
                        0),
                 AD33*$S32),
          SUMIF(OFFSET($S34,1,0,$R32-2),($M32+1)&amp;"$",OFFSET(AD34,1,0,$R32-2)))</f>
        <v>0</v>
      </c>
      <c r="AE34" s="201" cm="1">
        <f t="array" aca="1" ref="AE34" ca="1">IF($R32=2,
         IF(AND(ACOMPANHAMENTO="PLE",ISNUMBER($F32)),
                SUMIF((OFFSET(CÁLCULO!$AM$15:$AW$15,$F32,0,OFFSET(ORÇAMENTO!$D$15,CRONO!$F32,0))),CRONO!AE$12,OFFSET(CÁLCULO!$AB$15:$AL$15,$F32,0,OFFSET(ORÇAMENTO!$D$15,CRONO!$F32,0)))
                +IF(AND($F34&lt;&gt;"",$F34&lt;&gt;0),
                        SUMIF(CÁLCULO!$AM$15:$AW$33,CRONO!AE$12,CÁLCULO!$AB$15:$AL$33)/(ORÇAMENTO!$X$15-CÁLCULO.TotalAdmLocal)*CRONO!$F34,
                        0),
                 AE33*$S32),
          SUMIF(OFFSET($S34,1,0,$R32-2),($M32+1)&amp;"$",OFFSET(AE34,1,0,$R32-2)))</f>
        <v>0</v>
      </c>
      <c r="AF34" s="201" cm="1">
        <f t="array" aca="1" ref="AF34" ca="1">IF($R32=2,
         IF(AND(ACOMPANHAMENTO="PLE",ISNUMBER($F32)),
                SUMIF((OFFSET(CÁLCULO!$AM$15:$AW$15,$F32,0,OFFSET(ORÇAMENTO!$D$15,CRONO!$F32,0))),CRONO!AF$12,OFFSET(CÁLCULO!$AB$15:$AL$15,$F32,0,OFFSET(ORÇAMENTO!$D$15,CRONO!$F32,0)))
                +IF(AND($F34&lt;&gt;"",$F34&lt;&gt;0),
                        SUMIF(CÁLCULO!$AM$15:$AW$33,CRONO!AF$12,CÁLCULO!$AB$15:$AL$33)/(ORÇAMENTO!$X$15-CÁLCULO.TotalAdmLocal)*CRONO!$F34,
                        0),
                 AF33*$S32),
          SUMIF(OFFSET($S34,1,0,$R32-2),($M32+1)&amp;"$",OFFSET(AF34,1,0,$R32-2)))</f>
        <v>0</v>
      </c>
      <c r="AG34" s="533"/>
    </row>
    <row r="35" spans="4:33" ht="5.0999999999999996" customHeight="1" x14ac:dyDescent="0.2">
      <c r="E35" s="639"/>
      <c r="G35" s="184" t="s">
        <v>536</v>
      </c>
      <c r="H35" s="431"/>
      <c r="I35" s="640"/>
      <c r="J35" s="641"/>
      <c r="K35" s="641"/>
      <c r="L35" s="641"/>
      <c r="M35" s="642" t="s">
        <v>797</v>
      </c>
      <c r="N35" s="642"/>
      <c r="O35" s="642"/>
      <c r="P35" s="642"/>
      <c r="Q35" s="642"/>
      <c r="R35" s="642"/>
      <c r="S35" s="643"/>
      <c r="T35" s="643"/>
      <c r="U35" s="641"/>
      <c r="V35" s="641"/>
      <c r="W35" s="641"/>
      <c r="X35" s="641"/>
      <c r="Y35" s="641"/>
      <c r="Z35" s="641"/>
      <c r="AA35" s="641"/>
      <c r="AB35" s="641"/>
      <c r="AC35" s="641"/>
      <c r="AD35" s="641"/>
      <c r="AE35" s="641"/>
      <c r="AF35" s="641"/>
      <c r="AG35" s="533"/>
    </row>
    <row r="36" spans="4:33" ht="12.75" customHeight="1" x14ac:dyDescent="0.2">
      <c r="E36" s="527" t="e">
        <f ca="1">E40/$R$36</f>
        <v>#DIV/0!</v>
      </c>
      <c r="G36" s="184" t="s">
        <v>536</v>
      </c>
      <c r="I36" s="766" t="str">
        <f ca="1">"Total:    R$ "&amp;TEXT(R36,"#.##0,00")</f>
        <v>Total:    R$ 0,00</v>
      </c>
      <c r="J36" s="766"/>
      <c r="K36" s="766"/>
      <c r="L36" s="226"/>
      <c r="R36" s="227">
        <f ca="1">SUMIF(M12:M35,1,S12:S35)</f>
        <v>0</v>
      </c>
      <c r="S36" s="228"/>
      <c r="T36" s="229" t="s">
        <v>798</v>
      </c>
      <c r="U36" s="527" t="e">
        <f t="shared" ref="U36:AF36" ca="1" si="44">ROUND(U40,2)/$R$36</f>
        <v>#DIV/0!</v>
      </c>
      <c r="V36" s="527" t="e">
        <f t="shared" ca="1" si="44"/>
        <v>#DIV/0!</v>
      </c>
      <c r="W36" s="527" t="e">
        <f t="shared" ca="1" si="44"/>
        <v>#DIV/0!</v>
      </c>
      <c r="X36" s="527" t="e">
        <f t="shared" ca="1" si="44"/>
        <v>#DIV/0!</v>
      </c>
      <c r="Y36" s="527" t="e">
        <f t="shared" ca="1" si="44"/>
        <v>#DIV/0!</v>
      </c>
      <c r="Z36" s="527" t="e">
        <f t="shared" ca="1" si="44"/>
        <v>#DIV/0!</v>
      </c>
      <c r="AA36" s="527" t="e">
        <f t="shared" ca="1" si="44"/>
        <v>#DIV/0!</v>
      </c>
      <c r="AB36" s="527" t="e">
        <f t="shared" ca="1" si="44"/>
        <v>#DIV/0!</v>
      </c>
      <c r="AC36" s="527" t="e">
        <f t="shared" ca="1" si="44"/>
        <v>#DIV/0!</v>
      </c>
      <c r="AD36" s="527" t="e">
        <f t="shared" ca="1" si="44"/>
        <v>#DIV/0!</v>
      </c>
      <c r="AE36" s="527" t="e">
        <f t="shared" ca="1" si="44"/>
        <v>#DIV/0!</v>
      </c>
      <c r="AF36" s="538" t="e">
        <f t="shared" ca="1" si="44"/>
        <v>#DIV/0!</v>
      </c>
      <c r="AG36" s="533"/>
    </row>
    <row r="37" spans="4:33" ht="15" customHeight="1" x14ac:dyDescent="0.2">
      <c r="E37" s="230">
        <f ca="1">IF(E$12=1,ROUND(E42,2),ROUND(E42,2)-ROUND(D42,2))</f>
        <v>0</v>
      </c>
      <c r="G37" s="184" t="s">
        <v>536</v>
      </c>
      <c r="I37" s="766"/>
      <c r="J37" s="766"/>
      <c r="K37" s="766"/>
      <c r="L37" s="231"/>
      <c r="R37" s="227"/>
      <c r="S37" s="232"/>
      <c r="T37" s="233" t="str">
        <f>IF(import.recurso="FGTS","Financiamento:","Repasse:")</f>
        <v>Repasse:</v>
      </c>
      <c r="U37" s="230">
        <f t="shared" ref="U37:AF37" ca="1" si="45">IF(U$12=1,ROUND(U42,2),ROUND(U42,2)-ROUND(T42,2))</f>
        <v>0</v>
      </c>
      <c r="V37" s="230">
        <f t="shared" ca="1" si="45"/>
        <v>0</v>
      </c>
      <c r="W37" s="230">
        <f t="shared" ca="1" si="45"/>
        <v>0</v>
      </c>
      <c r="X37" s="230">
        <f t="shared" ca="1" si="45"/>
        <v>0</v>
      </c>
      <c r="Y37" s="230">
        <f t="shared" ca="1" si="45"/>
        <v>0</v>
      </c>
      <c r="Z37" s="230">
        <f t="shared" ca="1" si="45"/>
        <v>0</v>
      </c>
      <c r="AA37" s="230">
        <f t="shared" ca="1" si="45"/>
        <v>0</v>
      </c>
      <c r="AB37" s="230">
        <f t="shared" ca="1" si="45"/>
        <v>0</v>
      </c>
      <c r="AC37" s="230">
        <f t="shared" ca="1" si="45"/>
        <v>0</v>
      </c>
      <c r="AD37" s="230">
        <f t="shared" ca="1" si="45"/>
        <v>0</v>
      </c>
      <c r="AE37" s="230">
        <f t="shared" ca="1" si="45"/>
        <v>0</v>
      </c>
      <c r="AF37" s="230">
        <f t="shared" ca="1" si="45"/>
        <v>0</v>
      </c>
      <c r="AG37" s="533"/>
    </row>
    <row r="38" spans="4:33" ht="12.75" customHeight="1" x14ac:dyDescent="0.2">
      <c r="E38" s="528">
        <f ca="1">IF(E$12=1,ROUND(E43,2),ROUND(E43,2)-ROUND(D43,2))</f>
        <v>0</v>
      </c>
      <c r="G38" s="184" t="s">
        <v>536</v>
      </c>
      <c r="I38" s="234"/>
      <c r="L38" s="235" t="s">
        <v>799</v>
      </c>
      <c r="R38" s="227"/>
      <c r="S38" s="236"/>
      <c r="T38" s="237" t="s">
        <v>800</v>
      </c>
      <c r="U38" s="528">
        <f t="shared" ref="U38:AF38" ca="1" si="46">IF(U$12=1,ROUND(U43,2),ROUND(U43,2)-ROUND(T43,2))</f>
        <v>0</v>
      </c>
      <c r="V38" s="528">
        <f t="shared" ca="1" si="46"/>
        <v>0</v>
      </c>
      <c r="W38" s="528">
        <f t="shared" ca="1" si="46"/>
        <v>0</v>
      </c>
      <c r="X38" s="528">
        <f t="shared" ca="1" si="46"/>
        <v>0</v>
      </c>
      <c r="Y38" s="528">
        <f t="shared" ca="1" si="46"/>
        <v>0</v>
      </c>
      <c r="Z38" s="528">
        <f t="shared" ca="1" si="46"/>
        <v>0</v>
      </c>
      <c r="AA38" s="528">
        <f t="shared" ca="1" si="46"/>
        <v>0</v>
      </c>
      <c r="AB38" s="528">
        <f t="shared" ca="1" si="46"/>
        <v>0</v>
      </c>
      <c r="AC38" s="528">
        <f t="shared" ca="1" si="46"/>
        <v>0</v>
      </c>
      <c r="AD38" s="528">
        <f t="shared" ca="1" si="46"/>
        <v>0</v>
      </c>
      <c r="AE38" s="528">
        <f t="shared" ca="1" si="46"/>
        <v>0</v>
      </c>
      <c r="AF38" s="528">
        <f t="shared" ca="1" si="46"/>
        <v>0</v>
      </c>
      <c r="AG38" s="533"/>
    </row>
    <row r="39" spans="4:33" x14ac:dyDescent="0.2">
      <c r="E39" s="238">
        <f ca="1">IF(E$12=1,ROUND(E44,2),ROUND(E44,2)-ROUND(D44,2))</f>
        <v>0</v>
      </c>
      <c r="G39" s="184" t="s">
        <v>536</v>
      </c>
      <c r="I39" s="234"/>
      <c r="L39" s="235"/>
      <c r="R39" s="227"/>
      <c r="S39" s="239"/>
      <c r="T39" s="240" t="s">
        <v>801</v>
      </c>
      <c r="U39" s="238">
        <f t="shared" ref="U39:AF39" ca="1" si="47">IF(U$12=1,ROUND(U44,2),ROUND(U44,2)-ROUND(T44,2))</f>
        <v>0</v>
      </c>
      <c r="V39" s="238">
        <f t="shared" ca="1" si="47"/>
        <v>0</v>
      </c>
      <c r="W39" s="238">
        <f t="shared" ca="1" si="47"/>
        <v>0</v>
      </c>
      <c r="X39" s="238">
        <f t="shared" ca="1" si="47"/>
        <v>0</v>
      </c>
      <c r="Y39" s="238">
        <f t="shared" ca="1" si="47"/>
        <v>0</v>
      </c>
      <c r="Z39" s="238">
        <f t="shared" ca="1" si="47"/>
        <v>0</v>
      </c>
      <c r="AA39" s="238">
        <f t="shared" ca="1" si="47"/>
        <v>0</v>
      </c>
      <c r="AB39" s="238">
        <f t="shared" ca="1" si="47"/>
        <v>0</v>
      </c>
      <c r="AC39" s="238">
        <f t="shared" ca="1" si="47"/>
        <v>0</v>
      </c>
      <c r="AD39" s="238">
        <f t="shared" ca="1" si="47"/>
        <v>0</v>
      </c>
      <c r="AE39" s="238">
        <f t="shared" ca="1" si="47"/>
        <v>0</v>
      </c>
      <c r="AF39" s="238">
        <f t="shared" ca="1" si="47"/>
        <v>0</v>
      </c>
      <c r="AG39" s="533"/>
    </row>
    <row r="40" spans="4:33" x14ac:dyDescent="0.2">
      <c r="E40" s="529">
        <f ca="1">IF(E$12=1,ROUND(E45,2),ROUND(E45,2)-ROUND(D45,2))</f>
        <v>0</v>
      </c>
      <c r="G40" s="184" t="s">
        <v>536</v>
      </c>
      <c r="H40" s="535"/>
      <c r="L40" s="241"/>
      <c r="S40" s="242"/>
      <c r="T40" s="243" t="s">
        <v>802</v>
      </c>
      <c r="U40" s="529">
        <f t="shared" ref="U40:AF40" ca="1" si="48">IF(U$12=1,ROUND(U45,2),ROUND(U45,2)-ROUND(T45,2))</f>
        <v>0</v>
      </c>
      <c r="V40" s="529">
        <f t="shared" ca="1" si="48"/>
        <v>0</v>
      </c>
      <c r="W40" s="529">
        <f t="shared" ca="1" si="48"/>
        <v>0</v>
      </c>
      <c r="X40" s="529">
        <f t="shared" ca="1" si="48"/>
        <v>0</v>
      </c>
      <c r="Y40" s="529">
        <f t="shared" ca="1" si="48"/>
        <v>0</v>
      </c>
      <c r="Z40" s="529">
        <f t="shared" ca="1" si="48"/>
        <v>0</v>
      </c>
      <c r="AA40" s="529">
        <f t="shared" ca="1" si="48"/>
        <v>0</v>
      </c>
      <c r="AB40" s="529">
        <f t="shared" ca="1" si="48"/>
        <v>0</v>
      </c>
      <c r="AC40" s="529">
        <f t="shared" ca="1" si="48"/>
        <v>0</v>
      </c>
      <c r="AD40" s="529">
        <f t="shared" ca="1" si="48"/>
        <v>0</v>
      </c>
      <c r="AE40" s="529">
        <f t="shared" ca="1" si="48"/>
        <v>0</v>
      </c>
      <c r="AF40" s="529">
        <f t="shared" ca="1" si="48"/>
        <v>0</v>
      </c>
      <c r="AG40" s="533"/>
    </row>
    <row r="41" spans="4:33" x14ac:dyDescent="0.2">
      <c r="E41" s="527" t="e">
        <f ca="1">ROUND(ROUND(E45,2)/$R$36,4)</f>
        <v>#DIV/0!</v>
      </c>
      <c r="G41" s="184" t="s">
        <v>536</v>
      </c>
      <c r="L41" s="226"/>
      <c r="S41" s="228"/>
      <c r="T41" s="229" t="s">
        <v>798</v>
      </c>
      <c r="U41" s="527" t="e">
        <f t="shared" ref="U41:AF41" ca="1" si="49">ROUND(ROUND(U45,2)/$R$36,4)</f>
        <v>#DIV/0!</v>
      </c>
      <c r="V41" s="527" t="e">
        <f t="shared" ca="1" si="49"/>
        <v>#DIV/0!</v>
      </c>
      <c r="W41" s="527" t="e">
        <f t="shared" ca="1" si="49"/>
        <v>#DIV/0!</v>
      </c>
      <c r="X41" s="527" t="e">
        <f t="shared" ca="1" si="49"/>
        <v>#DIV/0!</v>
      </c>
      <c r="Y41" s="527" t="e">
        <f t="shared" ca="1" si="49"/>
        <v>#DIV/0!</v>
      </c>
      <c r="Z41" s="527" t="e">
        <f t="shared" ca="1" si="49"/>
        <v>#DIV/0!</v>
      </c>
      <c r="AA41" s="527" t="e">
        <f t="shared" ca="1" si="49"/>
        <v>#DIV/0!</v>
      </c>
      <c r="AB41" s="527" t="e">
        <f t="shared" ca="1" si="49"/>
        <v>#DIV/0!</v>
      </c>
      <c r="AC41" s="527" t="e">
        <f t="shared" ca="1" si="49"/>
        <v>#DIV/0!</v>
      </c>
      <c r="AD41" s="527" t="e">
        <f t="shared" ca="1" si="49"/>
        <v>#DIV/0!</v>
      </c>
      <c r="AE41" s="527" t="e">
        <f t="shared" ca="1" si="49"/>
        <v>#DIV/0!</v>
      </c>
      <c r="AF41" s="527" t="e">
        <f t="shared" ca="1" si="49"/>
        <v>#DIV/0!</v>
      </c>
      <c r="AG41" s="533"/>
    </row>
    <row r="42" spans="4:33" x14ac:dyDescent="0.2">
      <c r="E42" s="230">
        <f ca="1">ROUND(E45-E44-E43,2)</f>
        <v>0</v>
      </c>
      <c r="G42" s="184" t="s">
        <v>536</v>
      </c>
      <c r="L42" s="231"/>
      <c r="S42" s="232"/>
      <c r="T42" s="233" t="str">
        <f>IF(import.recurso="FGTS","Financiamento:","Repasse:")</f>
        <v>Repasse:</v>
      </c>
      <c r="U42" s="230">
        <f t="shared" ref="U42:AF42" ca="1" si="50">ROUND(U45-U44-U43,2)</f>
        <v>0</v>
      </c>
      <c r="V42" s="230">
        <f t="shared" ca="1" si="50"/>
        <v>0</v>
      </c>
      <c r="W42" s="230">
        <f t="shared" ca="1" si="50"/>
        <v>0</v>
      </c>
      <c r="X42" s="230">
        <f t="shared" ca="1" si="50"/>
        <v>0</v>
      </c>
      <c r="Y42" s="230">
        <f t="shared" ca="1" si="50"/>
        <v>0</v>
      </c>
      <c r="Z42" s="230">
        <f t="shared" ca="1" si="50"/>
        <v>0</v>
      </c>
      <c r="AA42" s="230">
        <f t="shared" ca="1" si="50"/>
        <v>0</v>
      </c>
      <c r="AB42" s="230">
        <f t="shared" ca="1" si="50"/>
        <v>0</v>
      </c>
      <c r="AC42" s="230">
        <f t="shared" ca="1" si="50"/>
        <v>0</v>
      </c>
      <c r="AD42" s="230">
        <f t="shared" ca="1" si="50"/>
        <v>0</v>
      </c>
      <c r="AE42" s="230">
        <f t="shared" ca="1" si="50"/>
        <v>0</v>
      </c>
      <c r="AF42" s="230">
        <f t="shared" ca="1" si="50"/>
        <v>0</v>
      </c>
      <c r="AG42" s="533"/>
    </row>
    <row r="43" spans="4:33" x14ac:dyDescent="0.2">
      <c r="E43" s="528" cm="1">
        <f t="array" aca="1" ref="E43" ca="1">IF(E$12=1,0,OFFSET(E43,0,-1))+SUM((OFFSET($C$13,1,0):OFFSET($C$35,-3,0))*IF(ISNUMBER(OFFSET(E$11,5,0):OFFSET(E$35,-1,0)),OFFSET(E$11,5,0):OFFSET(E$35,-1,0),0))</f>
        <v>0</v>
      </c>
      <c r="G43" s="184" t="s">
        <v>536</v>
      </c>
      <c r="L43" s="235" t="s">
        <v>803</v>
      </c>
      <c r="S43" s="236"/>
      <c r="T43" s="237" t="s">
        <v>800</v>
      </c>
      <c r="U43" s="528" cm="1">
        <f t="array" aca="1" ref="U43" ca="1">IF(U$12=1,0,OFFSET(U43,0,-1))+SUM((OFFSET($C$13,1,0):OFFSET($C$35,-3,0))*IF(ISNUMBER(OFFSET(U$11,5,0):OFFSET(U$35,-1,0)),OFFSET(U$11,5,0):OFFSET(U$35,-1,0),0))</f>
        <v>0</v>
      </c>
      <c r="V43" s="528" cm="1">
        <f t="array" aca="1" ref="V43" ca="1">IF(V$12=1,0,OFFSET(V43,0,-1))+SUM((OFFSET($C$13,1,0):OFFSET($C$35,-3,0))*IF(ISNUMBER(OFFSET(V$11,5,0):OFFSET(V$35,-1,0)),OFFSET(V$11,5,0):OFFSET(V$35,-1,0),0))</f>
        <v>0</v>
      </c>
      <c r="W43" s="528" cm="1">
        <f t="array" aca="1" ref="W43" ca="1">IF(W$12=1,0,OFFSET(W43,0,-1))+SUM((OFFSET($C$13,1,0):OFFSET($C$35,-3,0))*IF(ISNUMBER(OFFSET(W$11,5,0):OFFSET(W$35,-1,0)),OFFSET(W$11,5,0):OFFSET(W$35,-1,0),0))</f>
        <v>0</v>
      </c>
      <c r="X43" s="528" cm="1">
        <f t="array" aca="1" ref="X43" ca="1">IF(X$12=1,0,OFFSET(X43,0,-1))+SUM((OFFSET($C$13,1,0):OFFSET($C$35,-3,0))*IF(ISNUMBER(OFFSET(X$11,5,0):OFFSET(X$35,-1,0)),OFFSET(X$11,5,0):OFFSET(X$35,-1,0),0))</f>
        <v>0</v>
      </c>
      <c r="Y43" s="528" cm="1">
        <f t="array" aca="1" ref="Y43" ca="1">IF(Y$12=1,0,OFFSET(Y43,0,-1))+SUM((OFFSET($C$13,1,0):OFFSET($C$35,-3,0))*IF(ISNUMBER(OFFSET(Y$11,5,0):OFFSET(Y$35,-1,0)),OFFSET(Y$11,5,0):OFFSET(Y$35,-1,0),0))</f>
        <v>0</v>
      </c>
      <c r="Z43" s="528" cm="1">
        <f t="array" aca="1" ref="Z43" ca="1">IF(Z$12=1,0,OFFSET(Z43,0,-1))+SUM((OFFSET($C$13,1,0):OFFSET($C$35,-3,0))*IF(ISNUMBER(OFFSET(Z$11,5,0):OFFSET(Z$35,-1,0)),OFFSET(Z$11,5,0):OFFSET(Z$35,-1,0),0))</f>
        <v>0</v>
      </c>
      <c r="AA43" s="528" cm="1">
        <f t="array" aca="1" ref="AA43" ca="1">IF(AA$12=1,0,OFFSET(AA43,0,-1))+SUM((OFFSET($C$13,1,0):OFFSET($C$35,-3,0))*IF(ISNUMBER(OFFSET(AA$11,5,0):OFFSET(AA$35,-1,0)),OFFSET(AA$11,5,0):OFFSET(AA$35,-1,0),0))</f>
        <v>0</v>
      </c>
      <c r="AB43" s="528" cm="1">
        <f t="array" aca="1" ref="AB43" ca="1">IF(AB$12=1,0,OFFSET(AB43,0,-1))+SUM((OFFSET($C$13,1,0):OFFSET($C$35,-3,0))*IF(ISNUMBER(OFFSET(AB$11,5,0):OFFSET(AB$35,-1,0)),OFFSET(AB$11,5,0):OFFSET(AB$35,-1,0),0))</f>
        <v>0</v>
      </c>
      <c r="AC43" s="528" cm="1">
        <f t="array" aca="1" ref="AC43" ca="1">IF(AC$12=1,0,OFFSET(AC43,0,-1))+SUM((OFFSET($C$13,1,0):OFFSET($C$35,-3,0))*IF(ISNUMBER(OFFSET(AC$11,5,0):OFFSET(AC$35,-1,0)),OFFSET(AC$11,5,0):OFFSET(AC$35,-1,0),0))</f>
        <v>0</v>
      </c>
      <c r="AD43" s="528" cm="1">
        <f t="array" aca="1" ref="AD43" ca="1">IF(AD$12=1,0,OFFSET(AD43,0,-1))+SUM((OFFSET($C$13,1,0):OFFSET($C$35,-3,0))*IF(ISNUMBER(OFFSET(AD$11,5,0):OFFSET(AD$35,-1,0)),OFFSET(AD$11,5,0):OFFSET(AD$35,-1,0),0))</f>
        <v>0</v>
      </c>
      <c r="AE43" s="528" cm="1">
        <f t="array" aca="1" ref="AE43" ca="1">IF(AE$12=1,0,OFFSET(AE43,0,-1))+SUM((OFFSET($C$13,1,0):OFFSET($C$35,-3,0))*IF(ISNUMBER(OFFSET(AE$11,5,0):OFFSET(AE$35,-1,0)),OFFSET(AE$11,5,0):OFFSET(AE$35,-1,0),0))</f>
        <v>0</v>
      </c>
      <c r="AF43" s="528" cm="1">
        <f t="array" aca="1" ref="AF43" ca="1">IF(AF$12=1,0,OFFSET(AF43,0,-1))+SUM((OFFSET($C$13,1,0):OFFSET($C$35,-3,0))*IF(ISNUMBER(OFFSET(AF$11,5,0):OFFSET(AF$35,-1,0)),OFFSET(AF$11,5,0):OFFSET(AF$35,-1,0),0))</f>
        <v>0</v>
      </c>
      <c r="AG43" s="533"/>
    </row>
    <row r="44" spans="4:33" x14ac:dyDescent="0.2">
      <c r="E44" s="238" cm="1">
        <f t="array" aca="1" ref="E44" ca="1">IF(E$12=1,0,OFFSET(E44,0,-1))+SUM((OFFSET($D$13,1,0):OFFSET($D$35,-3,0))*IF(ISNUMBER(OFFSET(E$11,5,0):OFFSET(E$35,-1,0)),OFFSET(E$11,5,0):OFFSET(E$35,-1,0),0))</f>
        <v>0</v>
      </c>
      <c r="G44" s="184" t="s">
        <v>536</v>
      </c>
      <c r="L44" s="235"/>
      <c r="S44" s="239"/>
      <c r="T44" s="240" t="s">
        <v>801</v>
      </c>
      <c r="U44" s="238" cm="1">
        <f t="array" aca="1" ref="U44" ca="1">IF(U$12=1,0,OFFSET(U44,0,-1))+SUM((OFFSET($D$13,1,0):OFFSET($D$35,-3,0))*IF(ISNUMBER(OFFSET(U$11,5,0):OFFSET(U$35,-1,0)),OFFSET(U$11,5,0):OFFSET(U$35,-1,0),0))</f>
        <v>0</v>
      </c>
      <c r="V44" s="238" cm="1">
        <f t="array" aca="1" ref="V44" ca="1">IF(V$12=1,0,OFFSET(V44,0,-1))+SUM((OFFSET($D$13,1,0):OFFSET($D$35,-3,0))*IF(ISNUMBER(OFFSET(V$11,5,0):OFFSET(V$35,-1,0)),OFFSET(V$11,5,0):OFFSET(V$35,-1,0),0))</f>
        <v>0</v>
      </c>
      <c r="W44" s="238" cm="1">
        <f t="array" aca="1" ref="W44" ca="1">IF(W$12=1,0,OFFSET(W44,0,-1))+SUM((OFFSET($D$13,1,0):OFFSET($D$35,-3,0))*IF(ISNUMBER(OFFSET(W$11,5,0):OFFSET(W$35,-1,0)),OFFSET(W$11,5,0):OFFSET(W$35,-1,0),0))</f>
        <v>0</v>
      </c>
      <c r="X44" s="238" cm="1">
        <f t="array" aca="1" ref="X44" ca="1">IF(X$12=1,0,OFFSET(X44,0,-1))+SUM((OFFSET($D$13,1,0):OFFSET($D$35,-3,0))*IF(ISNUMBER(OFFSET(X$11,5,0):OFFSET(X$35,-1,0)),OFFSET(X$11,5,0):OFFSET(X$35,-1,0),0))</f>
        <v>0</v>
      </c>
      <c r="Y44" s="238" cm="1">
        <f t="array" aca="1" ref="Y44" ca="1">IF(Y$12=1,0,OFFSET(Y44,0,-1))+SUM((OFFSET($D$13,1,0):OFFSET($D$35,-3,0))*IF(ISNUMBER(OFFSET(Y$11,5,0):OFFSET(Y$35,-1,0)),OFFSET(Y$11,5,0):OFFSET(Y$35,-1,0),0))</f>
        <v>0</v>
      </c>
      <c r="Z44" s="238" cm="1">
        <f t="array" aca="1" ref="Z44" ca="1">IF(Z$12=1,0,OFFSET(Z44,0,-1))+SUM((OFFSET($D$13,1,0):OFFSET($D$35,-3,0))*IF(ISNUMBER(OFFSET(Z$11,5,0):OFFSET(Z$35,-1,0)),OFFSET(Z$11,5,0):OFFSET(Z$35,-1,0),0))</f>
        <v>0</v>
      </c>
      <c r="AA44" s="238" cm="1">
        <f t="array" aca="1" ref="AA44" ca="1">IF(AA$12=1,0,OFFSET(AA44,0,-1))+SUM((OFFSET($D$13,1,0):OFFSET($D$35,-3,0))*IF(ISNUMBER(OFFSET(AA$11,5,0):OFFSET(AA$35,-1,0)),OFFSET(AA$11,5,0):OFFSET(AA$35,-1,0),0))</f>
        <v>0</v>
      </c>
      <c r="AB44" s="238" cm="1">
        <f t="array" aca="1" ref="AB44" ca="1">IF(AB$12=1,0,OFFSET(AB44,0,-1))+SUM((OFFSET($D$13,1,0):OFFSET($D$35,-3,0))*IF(ISNUMBER(OFFSET(AB$11,5,0):OFFSET(AB$35,-1,0)),OFFSET(AB$11,5,0):OFFSET(AB$35,-1,0),0))</f>
        <v>0</v>
      </c>
      <c r="AC44" s="238" cm="1">
        <f t="array" aca="1" ref="AC44" ca="1">IF(AC$12=1,0,OFFSET(AC44,0,-1))+SUM((OFFSET($D$13,1,0):OFFSET($D$35,-3,0))*IF(ISNUMBER(OFFSET(AC$11,5,0):OFFSET(AC$35,-1,0)),OFFSET(AC$11,5,0):OFFSET(AC$35,-1,0),0))</f>
        <v>0</v>
      </c>
      <c r="AD44" s="238" cm="1">
        <f t="array" aca="1" ref="AD44" ca="1">IF(AD$12=1,0,OFFSET(AD44,0,-1))+SUM((OFFSET($D$13,1,0):OFFSET($D$35,-3,0))*IF(ISNUMBER(OFFSET(AD$11,5,0):OFFSET(AD$35,-1,0)),OFFSET(AD$11,5,0):OFFSET(AD$35,-1,0),0))</f>
        <v>0</v>
      </c>
      <c r="AE44" s="238" cm="1">
        <f t="array" aca="1" ref="AE44" ca="1">IF(AE$12=1,0,OFFSET(AE44,0,-1))+SUM((OFFSET($D$13,1,0):OFFSET($D$35,-3,0))*IF(ISNUMBER(OFFSET(AE$11,5,0):OFFSET(AE$35,-1,0)),OFFSET(AE$11,5,0):OFFSET(AE$35,-1,0),0))</f>
        <v>0</v>
      </c>
      <c r="AF44" s="238" cm="1">
        <f t="array" aca="1" ref="AF44" ca="1">IF(AF$12=1,0,OFFSET(AF44,0,-1))+SUM((OFFSET($D$13,1,0):OFFSET($D$35,-3,0))*IF(ISNUMBER(OFFSET(AF$11,5,0):OFFSET(AF$35,-1,0)),OFFSET(AF$11,5,0):OFFSET(AF$35,-1,0),0))</f>
        <v>0</v>
      </c>
      <c r="AG44" s="533"/>
    </row>
    <row r="45" spans="4:33" ht="13.5" thickBot="1" x14ac:dyDescent="0.25">
      <c r="D45" s="532"/>
      <c r="E45" s="530">
        <f ca="1">SUMIF($S$12:$S$35,"1$",E12:E35)+IF(E$12&gt;1,OFFSET(E45,0,-1),0)</f>
        <v>0</v>
      </c>
      <c r="G45" s="184" t="s">
        <v>536</v>
      </c>
      <c r="H45" s="521" t="str" cm="1">
        <f t="array" ref="H45">IF(ACOMPANHAMENTO="BM","Selecione o Macrosserviço da Administração Local:","")</f>
        <v>Selecione o Macrosserviço da Administração Local:</v>
      </c>
      <c r="I45"/>
      <c r="L45" s="235"/>
      <c r="S45" s="236"/>
      <c r="T45" s="525" t="s">
        <v>802</v>
      </c>
      <c r="U45" s="530">
        <f t="shared" ref="U45:AF45" ca="1" si="51">SUMIF($S$12:$S$35,"1$",U12:U35)+IF(U$12&gt;1,OFFSET(U45,0,-1),0)</f>
        <v>0</v>
      </c>
      <c r="V45" s="530">
        <f t="shared" ca="1" si="51"/>
        <v>0</v>
      </c>
      <c r="W45" s="530">
        <f t="shared" ca="1" si="51"/>
        <v>0</v>
      </c>
      <c r="X45" s="530">
        <f t="shared" ca="1" si="51"/>
        <v>0</v>
      </c>
      <c r="Y45" s="530">
        <f t="shared" ca="1" si="51"/>
        <v>0</v>
      </c>
      <c r="Z45" s="530">
        <f t="shared" ca="1" si="51"/>
        <v>0</v>
      </c>
      <c r="AA45" s="530">
        <f t="shared" ca="1" si="51"/>
        <v>0</v>
      </c>
      <c r="AB45" s="530">
        <f t="shared" ca="1" si="51"/>
        <v>0</v>
      </c>
      <c r="AC45" s="530">
        <f t="shared" ca="1" si="51"/>
        <v>0</v>
      </c>
      <c r="AD45" s="530">
        <f t="shared" ca="1" si="51"/>
        <v>0</v>
      </c>
      <c r="AE45" s="530">
        <f t="shared" ca="1" si="51"/>
        <v>0</v>
      </c>
      <c r="AF45" s="539">
        <f t="shared" ca="1" si="51"/>
        <v>0</v>
      </c>
      <c r="AG45" s="533"/>
    </row>
    <row r="46" spans="4:33" ht="13.5" thickBot="1" x14ac:dyDescent="0.25">
      <c r="D46" s="532"/>
      <c r="E46" s="531" t="e">
        <f ca="1">IF($F$46="","",
  IF(ACOMPANHAMENTO="PLE",
     IF(AUTOEVENTO="Manual",
         IF(AdmLocal="Automática",
              E41,
              SUMIF(OFFSET(CRONOPLE!$F$14,CRONOPLE!$A$8+1,1,1,OFFSET(CRONOPLE!$AF$12,0,-1)),"&lt;="&amp;E$12,OFFSET(EVENTOS!$G$14,CRONOPLE!$A$8+1,1,1,OFFSET(CRONOPLE!$AF$12,0,-1)))/OFFSET(EVENTOS!$G$14,CRONOPLE!$A$8+1,-1)),
         SUMIFS(OFFSET(CÁLCULO!$AA$15,$F$46,1,OFFSET(ORÇAMENTO!$D$15,$F$46,0),CÁLCULO.FrentesPreenchidas),OFFSET(CÁLCULO!$AL$15,$F$46,1,OFFSET(ORÇAMENTO!$D$15,$F$46,0),CÁLCULO.FrentesPreenchidas),"&lt;="&amp;E$12)/OFFSET(ORÇAMENTO!$X$15,$F$46,0)),
     IF(ACOMPANHAMENTO="BM",SUM(OFFSET($T$13,$F$46+2,1,1,E$12))/OFFSET($S$13,$F$46,0),"")))</f>
        <v>#N/A</v>
      </c>
      <c r="F46" s="184" t="e">
        <f ca="1">IF(ACOMPANHAMENTO="PLE",
    IF(AUTOEVENTO="Manual",
        IF(AdmLocal="Automática",1,IF(CRONOPLE!$D$8&lt;&gt;"","",MATCH(Import.EventoAdmLocal,EVENTOS!$B$15:$B$65,0))),
        IF(CRONOPLE!$D$8&lt;&gt;"","",CRONOPLE!$A$10)),
    IF($H$47&lt;&gt;"","",MATCH(Import.MacrosserviçoAdmLocal,$A$13:$A$35,0)-1))</f>
        <v>#N/A</v>
      </c>
      <c r="G46" s="184" t="s">
        <v>536</v>
      </c>
      <c r="H46" s="731" t="s">
        <v>1032</v>
      </c>
      <c r="I46" s="771"/>
      <c r="J46" s="732"/>
      <c r="L46" s="241"/>
      <c r="S46" s="524"/>
      <c r="T46" s="526" t="s">
        <v>804</v>
      </c>
      <c r="U46" s="531" t="e">
        <f ca="1">IF($F$46="","",
  IF(ACOMPANHAMENTO="PLE",
     IF(AUTOEVENTO="Manual",
         IF(AdmLocal="Automática",
              U41,
              SUMIF(OFFSET(CRONOPLE!$F$14,CRONOPLE!$A$8+1,1,1,OFFSET(CRONOPLE!$AF$12,0,-1)),"&lt;="&amp;U$12,OFFSET(EVENTOS!$G$14,CRONOPLE!$A$8+1,1,1,OFFSET(CRONOPLE!$AF$12,0,-1)))/OFFSET(EVENTOS!$G$14,CRONOPLE!$A$8+1,-1)),
         SUMIFS(OFFSET(CÁLCULO!$AA$15,$F$46,1,OFFSET(ORÇAMENTO!$D$15,$F$46,0),CÁLCULO.FrentesPreenchidas),OFFSET(CÁLCULO!$AL$15,$F$46,1,OFFSET(ORÇAMENTO!$D$15,$F$46,0),CÁLCULO.FrentesPreenchidas),"&lt;="&amp;U$12)/OFFSET(ORÇAMENTO!$X$15,$F$46,0)),
     IF(ACOMPANHAMENTO="BM",SUM(OFFSET($T$13,$F$46+2,1,1,U$12))/OFFSET($S$13,$F$46,0),"")))</f>
        <v>#N/A</v>
      </c>
      <c r="V46" s="531" t="e">
        <f ca="1">IF($F$46="","",
  IF(ACOMPANHAMENTO="PLE",
     IF(AUTOEVENTO="Manual",
         IF(AdmLocal="Automática",
              V41,
              SUMIF(OFFSET(CRONOPLE!$F$14,CRONOPLE!$A$8+1,1,1,OFFSET(CRONOPLE!$AF$12,0,-1)),"&lt;="&amp;V$12,OFFSET(EVENTOS!$G$14,CRONOPLE!$A$8+1,1,1,OFFSET(CRONOPLE!$AF$12,0,-1)))/OFFSET(EVENTOS!$G$14,CRONOPLE!$A$8+1,-1)),
         SUMIFS(OFFSET(CÁLCULO!$AA$15,$F$46,1,OFFSET(ORÇAMENTO!$D$15,$F$46,0),CÁLCULO.FrentesPreenchidas),OFFSET(CÁLCULO!$AL$15,$F$46,1,OFFSET(ORÇAMENTO!$D$15,$F$46,0),CÁLCULO.FrentesPreenchidas),"&lt;="&amp;V$12)/OFFSET(ORÇAMENTO!$X$15,$F$46,0)),
     IF(ACOMPANHAMENTO="BM",SUM(OFFSET($T$13,$F$46+2,1,1,V$12))/OFFSET($S$13,$F$46,0),"")))</f>
        <v>#N/A</v>
      </c>
      <c r="W46" s="531" t="e">
        <f ca="1">IF($F$46="","",
  IF(ACOMPANHAMENTO="PLE",
     IF(AUTOEVENTO="Manual",
         IF(AdmLocal="Automática",
              W41,
              SUMIF(OFFSET(CRONOPLE!$F$14,CRONOPLE!$A$8+1,1,1,OFFSET(CRONOPLE!$AF$12,0,-1)),"&lt;="&amp;W$12,OFFSET(EVENTOS!$G$14,CRONOPLE!$A$8+1,1,1,OFFSET(CRONOPLE!$AF$12,0,-1)))/OFFSET(EVENTOS!$G$14,CRONOPLE!$A$8+1,-1)),
         SUMIFS(OFFSET(CÁLCULO!$AA$15,$F$46,1,OFFSET(ORÇAMENTO!$D$15,$F$46,0),CÁLCULO.FrentesPreenchidas),OFFSET(CÁLCULO!$AL$15,$F$46,1,OFFSET(ORÇAMENTO!$D$15,$F$46,0),CÁLCULO.FrentesPreenchidas),"&lt;="&amp;W$12)/OFFSET(ORÇAMENTO!$X$15,$F$46,0)),
     IF(ACOMPANHAMENTO="BM",SUM(OFFSET($T$13,$F$46+2,1,1,W$12))/OFFSET($S$13,$F$46,0),"")))</f>
        <v>#N/A</v>
      </c>
      <c r="X46" s="531" t="e">
        <f ca="1">IF($F$46="","",
  IF(ACOMPANHAMENTO="PLE",
     IF(AUTOEVENTO="Manual",
         IF(AdmLocal="Automática",
              X41,
              SUMIF(OFFSET(CRONOPLE!$F$14,CRONOPLE!$A$8+1,1,1,OFFSET(CRONOPLE!$AF$12,0,-1)),"&lt;="&amp;X$12,OFFSET(EVENTOS!$G$14,CRONOPLE!$A$8+1,1,1,OFFSET(CRONOPLE!$AF$12,0,-1)))/OFFSET(EVENTOS!$G$14,CRONOPLE!$A$8+1,-1)),
         SUMIFS(OFFSET(CÁLCULO!$AA$15,$F$46,1,OFFSET(ORÇAMENTO!$D$15,$F$46,0),CÁLCULO.FrentesPreenchidas),OFFSET(CÁLCULO!$AL$15,$F$46,1,OFFSET(ORÇAMENTO!$D$15,$F$46,0),CÁLCULO.FrentesPreenchidas),"&lt;="&amp;X$12)/OFFSET(ORÇAMENTO!$X$15,$F$46,0)),
     IF(ACOMPANHAMENTO="BM",SUM(OFFSET($T$13,$F$46+2,1,1,X$12))/OFFSET($S$13,$F$46,0),"")))</f>
        <v>#N/A</v>
      </c>
      <c r="Y46" s="531" t="e">
        <f ca="1">IF($F$46="","",
  IF(ACOMPANHAMENTO="PLE",
     IF(AUTOEVENTO="Manual",
         IF(AdmLocal="Automática",
              Y41,
              SUMIF(OFFSET(CRONOPLE!$F$14,CRONOPLE!$A$8+1,1,1,OFFSET(CRONOPLE!$AF$12,0,-1)),"&lt;="&amp;Y$12,OFFSET(EVENTOS!$G$14,CRONOPLE!$A$8+1,1,1,OFFSET(CRONOPLE!$AF$12,0,-1)))/OFFSET(EVENTOS!$G$14,CRONOPLE!$A$8+1,-1)),
         SUMIFS(OFFSET(CÁLCULO!$AA$15,$F$46,1,OFFSET(ORÇAMENTO!$D$15,$F$46,0),CÁLCULO.FrentesPreenchidas),OFFSET(CÁLCULO!$AL$15,$F$46,1,OFFSET(ORÇAMENTO!$D$15,$F$46,0),CÁLCULO.FrentesPreenchidas),"&lt;="&amp;Y$12)/OFFSET(ORÇAMENTO!$X$15,$F$46,0)),
     IF(ACOMPANHAMENTO="BM",SUM(OFFSET($T$13,$F$46+2,1,1,Y$12))/OFFSET($S$13,$F$46,0),"")))</f>
        <v>#N/A</v>
      </c>
      <c r="Z46" s="531" t="e">
        <f ca="1">IF($F$46="","",
  IF(ACOMPANHAMENTO="PLE",
     IF(AUTOEVENTO="Manual",
         IF(AdmLocal="Automática",
              Z41,
              SUMIF(OFFSET(CRONOPLE!$F$14,CRONOPLE!$A$8+1,1,1,OFFSET(CRONOPLE!$AF$12,0,-1)),"&lt;="&amp;Z$12,OFFSET(EVENTOS!$G$14,CRONOPLE!$A$8+1,1,1,OFFSET(CRONOPLE!$AF$12,0,-1)))/OFFSET(EVENTOS!$G$14,CRONOPLE!$A$8+1,-1)),
         SUMIFS(OFFSET(CÁLCULO!$AA$15,$F$46,1,OFFSET(ORÇAMENTO!$D$15,$F$46,0),CÁLCULO.FrentesPreenchidas),OFFSET(CÁLCULO!$AL$15,$F$46,1,OFFSET(ORÇAMENTO!$D$15,$F$46,0),CÁLCULO.FrentesPreenchidas),"&lt;="&amp;Z$12)/OFFSET(ORÇAMENTO!$X$15,$F$46,0)),
     IF(ACOMPANHAMENTO="BM",SUM(OFFSET($T$13,$F$46+2,1,1,Z$12))/OFFSET($S$13,$F$46,0),"")))</f>
        <v>#N/A</v>
      </c>
      <c r="AA46" s="531" t="e">
        <f ca="1">IF($F$46="","",
  IF(ACOMPANHAMENTO="PLE",
     IF(AUTOEVENTO="Manual",
         IF(AdmLocal="Automática",
              AA41,
              SUMIF(OFFSET(CRONOPLE!$F$14,CRONOPLE!$A$8+1,1,1,OFFSET(CRONOPLE!$AF$12,0,-1)),"&lt;="&amp;AA$12,OFFSET(EVENTOS!$G$14,CRONOPLE!$A$8+1,1,1,OFFSET(CRONOPLE!$AF$12,0,-1)))/OFFSET(EVENTOS!$G$14,CRONOPLE!$A$8+1,-1)),
         SUMIFS(OFFSET(CÁLCULO!$AA$15,$F$46,1,OFFSET(ORÇAMENTO!$D$15,$F$46,0),CÁLCULO.FrentesPreenchidas),OFFSET(CÁLCULO!$AL$15,$F$46,1,OFFSET(ORÇAMENTO!$D$15,$F$46,0),CÁLCULO.FrentesPreenchidas),"&lt;="&amp;AA$12)/OFFSET(ORÇAMENTO!$X$15,$F$46,0)),
     IF(ACOMPANHAMENTO="BM",SUM(OFFSET($T$13,$F$46+2,1,1,AA$12))/OFFSET($S$13,$F$46,0),"")))</f>
        <v>#N/A</v>
      </c>
      <c r="AB46" s="531" t="e">
        <f ca="1">IF($F$46="","",
  IF(ACOMPANHAMENTO="PLE",
     IF(AUTOEVENTO="Manual",
         IF(AdmLocal="Automática",
              AB41,
              SUMIF(OFFSET(CRONOPLE!$F$14,CRONOPLE!$A$8+1,1,1,OFFSET(CRONOPLE!$AF$12,0,-1)),"&lt;="&amp;AB$12,OFFSET(EVENTOS!$G$14,CRONOPLE!$A$8+1,1,1,OFFSET(CRONOPLE!$AF$12,0,-1)))/OFFSET(EVENTOS!$G$14,CRONOPLE!$A$8+1,-1)),
         SUMIFS(OFFSET(CÁLCULO!$AA$15,$F$46,1,OFFSET(ORÇAMENTO!$D$15,$F$46,0),CÁLCULO.FrentesPreenchidas),OFFSET(CÁLCULO!$AL$15,$F$46,1,OFFSET(ORÇAMENTO!$D$15,$F$46,0),CÁLCULO.FrentesPreenchidas),"&lt;="&amp;AB$12)/OFFSET(ORÇAMENTO!$X$15,$F$46,0)),
     IF(ACOMPANHAMENTO="BM",SUM(OFFSET($T$13,$F$46+2,1,1,AB$12))/OFFSET($S$13,$F$46,0),"")))</f>
        <v>#N/A</v>
      </c>
      <c r="AC46" s="531" t="e">
        <f ca="1">IF($F$46="","",
  IF(ACOMPANHAMENTO="PLE",
     IF(AUTOEVENTO="Manual",
         IF(AdmLocal="Automática",
              AC41,
              SUMIF(OFFSET(CRONOPLE!$F$14,CRONOPLE!$A$8+1,1,1,OFFSET(CRONOPLE!$AF$12,0,-1)),"&lt;="&amp;AC$12,OFFSET(EVENTOS!$G$14,CRONOPLE!$A$8+1,1,1,OFFSET(CRONOPLE!$AF$12,0,-1)))/OFFSET(EVENTOS!$G$14,CRONOPLE!$A$8+1,-1)),
         SUMIFS(OFFSET(CÁLCULO!$AA$15,$F$46,1,OFFSET(ORÇAMENTO!$D$15,$F$46,0),CÁLCULO.FrentesPreenchidas),OFFSET(CÁLCULO!$AL$15,$F$46,1,OFFSET(ORÇAMENTO!$D$15,$F$46,0),CÁLCULO.FrentesPreenchidas),"&lt;="&amp;AC$12)/OFFSET(ORÇAMENTO!$X$15,$F$46,0)),
     IF(ACOMPANHAMENTO="BM",SUM(OFFSET($T$13,$F$46+2,1,1,AC$12))/OFFSET($S$13,$F$46,0),"")))</f>
        <v>#N/A</v>
      </c>
      <c r="AD46" s="531" t="e">
        <f ca="1">IF($F$46="","",
  IF(ACOMPANHAMENTO="PLE",
     IF(AUTOEVENTO="Manual",
         IF(AdmLocal="Automática",
              AD41,
              SUMIF(OFFSET(CRONOPLE!$F$14,CRONOPLE!$A$8+1,1,1,OFFSET(CRONOPLE!$AF$12,0,-1)),"&lt;="&amp;AD$12,OFFSET(EVENTOS!$G$14,CRONOPLE!$A$8+1,1,1,OFFSET(CRONOPLE!$AF$12,0,-1)))/OFFSET(EVENTOS!$G$14,CRONOPLE!$A$8+1,-1)),
         SUMIFS(OFFSET(CÁLCULO!$AA$15,$F$46,1,OFFSET(ORÇAMENTO!$D$15,$F$46,0),CÁLCULO.FrentesPreenchidas),OFFSET(CÁLCULO!$AL$15,$F$46,1,OFFSET(ORÇAMENTO!$D$15,$F$46,0),CÁLCULO.FrentesPreenchidas),"&lt;="&amp;AD$12)/OFFSET(ORÇAMENTO!$X$15,$F$46,0)),
     IF(ACOMPANHAMENTO="BM",SUM(OFFSET($T$13,$F$46+2,1,1,AD$12))/OFFSET($S$13,$F$46,0),"")))</f>
        <v>#N/A</v>
      </c>
      <c r="AE46" s="531" t="e">
        <f ca="1">IF($F$46="","",
  IF(ACOMPANHAMENTO="PLE",
     IF(AUTOEVENTO="Manual",
         IF(AdmLocal="Automática",
              AE41,
              SUMIF(OFFSET(CRONOPLE!$F$14,CRONOPLE!$A$8+1,1,1,OFFSET(CRONOPLE!$AF$12,0,-1)),"&lt;="&amp;AE$12,OFFSET(EVENTOS!$G$14,CRONOPLE!$A$8+1,1,1,OFFSET(CRONOPLE!$AF$12,0,-1)))/OFFSET(EVENTOS!$G$14,CRONOPLE!$A$8+1,-1)),
         SUMIFS(OFFSET(CÁLCULO!$AA$15,$F$46,1,OFFSET(ORÇAMENTO!$D$15,$F$46,0),CÁLCULO.FrentesPreenchidas),OFFSET(CÁLCULO!$AL$15,$F$46,1,OFFSET(ORÇAMENTO!$D$15,$F$46,0),CÁLCULO.FrentesPreenchidas),"&lt;="&amp;AE$12)/OFFSET(ORÇAMENTO!$X$15,$F$46,0)),
     IF(ACOMPANHAMENTO="BM",SUM(OFFSET($T$13,$F$46+2,1,1,AE$12))/OFFSET($S$13,$F$46,0),"")))</f>
        <v>#N/A</v>
      </c>
      <c r="AF46" s="531" t="e">
        <f ca="1">IF($F$46="","",
  IF(ACOMPANHAMENTO="PLE",
     IF(AUTOEVENTO="Manual",
         IF(AdmLocal="Automática",
              AF41,
              SUMIF(OFFSET(CRONOPLE!$F$14,CRONOPLE!$A$8+1,1,1,OFFSET(CRONOPLE!$AF$12,0,-1)),"&lt;="&amp;AF$12,OFFSET(EVENTOS!$G$14,CRONOPLE!$A$8+1,1,1,OFFSET(CRONOPLE!$AF$12,0,-1)))/OFFSET(EVENTOS!$G$14,CRONOPLE!$A$8+1,-1)),
         SUMIFS(OFFSET(CÁLCULO!$AA$15,$F$46,1,OFFSET(ORÇAMENTO!$D$15,$F$46,0),CÁLCULO.FrentesPreenchidas),OFFSET(CÁLCULO!$AL$15,$F$46,1,OFFSET(ORÇAMENTO!$D$15,$F$46,0),CÁLCULO.FrentesPreenchidas),"&lt;="&amp;AF$12)/OFFSET(ORÇAMENTO!$X$15,$F$46,0)),
     IF(ACOMPANHAMENTO="BM",SUM(OFFSET($T$13,$F$46+2,1,1,AF$12))/OFFSET($S$13,$F$46,0),"")))</f>
        <v>#N/A</v>
      </c>
      <c r="AG46" s="533"/>
    </row>
    <row r="47" spans="4:33" ht="17.100000000000001" customHeight="1" x14ac:dyDescent="0.25">
      <c r="G47" s="184" t="s">
        <v>536</v>
      </c>
      <c r="H47" s="570" t="str" cm="1">
        <f t="array" ref="H47">IF(AND(ACOMPANHAMENTO="BM",$H$46=""),"↑ Não foi indicado o Macrosserviço de Administração Local","")</f>
        <v/>
      </c>
      <c r="T47" s="582" t="str">
        <f ca="1">IF(COUNTIF(U47:AG47,"%Adm&gt;%Global")&gt;0,"Verificar proporcionalidade da Administração Local","")</f>
        <v/>
      </c>
      <c r="U47" s="534" t="e">
        <f ca="1">IF(U46="","",IF(ROUND(U46,4)&gt;ROUND(U41,4),"%Adm&gt;%Global",""))</f>
        <v>#N/A</v>
      </c>
      <c r="V47" s="534" t="e">
        <f t="shared" ref="V47:AG47" ca="1" si="52">IF(V46="","",IF(ROUND(V46,4)&gt;ROUND(V41,4),"%Adm&gt;%Global",""))</f>
        <v>#N/A</v>
      </c>
      <c r="W47" s="534" t="e">
        <f t="shared" ca="1" si="52"/>
        <v>#N/A</v>
      </c>
      <c r="X47" s="534" t="e">
        <f t="shared" ca="1" si="52"/>
        <v>#N/A</v>
      </c>
      <c r="Y47" s="534" t="e">
        <f t="shared" ca="1" si="52"/>
        <v>#N/A</v>
      </c>
      <c r="Z47" s="534" t="e">
        <f t="shared" ca="1" si="52"/>
        <v>#N/A</v>
      </c>
      <c r="AA47" s="534" t="e">
        <f t="shared" ca="1" si="52"/>
        <v>#N/A</v>
      </c>
      <c r="AB47" s="534" t="e">
        <f t="shared" ca="1" si="52"/>
        <v>#N/A</v>
      </c>
      <c r="AC47" s="534" t="e">
        <f t="shared" ca="1" si="52"/>
        <v>#N/A</v>
      </c>
      <c r="AD47" s="534" t="e">
        <f t="shared" ca="1" si="52"/>
        <v>#N/A</v>
      </c>
      <c r="AE47" s="534" t="e">
        <f t="shared" ca="1" si="52"/>
        <v>#N/A</v>
      </c>
      <c r="AF47" s="534" t="e">
        <f t="shared" ca="1" si="52"/>
        <v>#N/A</v>
      </c>
      <c r="AG47" s="534" t="str">
        <f t="shared" si="52"/>
        <v/>
      </c>
    </row>
    <row r="48" spans="4:33" ht="32.25" customHeight="1" x14ac:dyDescent="0.2">
      <c r="G48" s="184" t="s">
        <v>536</v>
      </c>
      <c r="I48" s="722" t="str">
        <f>Import.Município</f>
        <v>RS</v>
      </c>
      <c r="J48" s="722"/>
      <c r="K48" s="722"/>
      <c r="L48" s="722"/>
      <c r="M48" s="722"/>
      <c r="N48" s="722"/>
      <c r="O48" s="722"/>
      <c r="P48" s="722"/>
      <c r="Q48" s="722"/>
      <c r="R48" s="722"/>
      <c r="S48" s="722"/>
      <c r="AA48" s="459"/>
      <c r="AB48" s="459"/>
      <c r="AC48" s="459"/>
      <c r="AD48" s="459"/>
      <c r="AE48" s="461"/>
      <c r="AF48" s="461"/>
    </row>
    <row r="49" spans="7:32" x14ac:dyDescent="0.2">
      <c r="G49" s="184" t="s">
        <v>536</v>
      </c>
      <c r="I49" s="9" t="s">
        <v>693</v>
      </c>
      <c r="J49"/>
      <c r="K49"/>
      <c r="L49"/>
      <c r="AA49" s="180" t="s">
        <v>696</v>
      </c>
      <c r="AB49" s="180"/>
      <c r="AC49" s="180"/>
      <c r="AD49" s="180"/>
      <c r="AE49" s="184"/>
      <c r="AF49" s="184"/>
    </row>
    <row r="50" spans="7:32" x14ac:dyDescent="0.2">
      <c r="G50" s="184" t="s">
        <v>536</v>
      </c>
      <c r="I50"/>
      <c r="J50"/>
      <c r="K50"/>
      <c r="L50"/>
      <c r="AA50" s="397" t="str">
        <f t="array" aca="1" ref="AA50:AA52" ca="1">OFFSET(Import.RespOrçamento,0,-1) &amp; " " &amp; Import.RespOrçamento</f>
        <v>Nome: GABRIEL ADAMS DOMINGUES</v>
      </c>
      <c r="AC50"/>
      <c r="AD50" s="78"/>
      <c r="AE50" s="184"/>
      <c r="AF50" s="184"/>
    </row>
    <row r="51" spans="7:32" x14ac:dyDescent="0.2">
      <c r="G51" s="184" t="s">
        <v>536</v>
      </c>
      <c r="I51" s="770">
        <f>DADOS!$C$25</f>
        <v>46252</v>
      </c>
      <c r="J51" s="770"/>
      <c r="K51" s="770"/>
      <c r="L51" s="179"/>
      <c r="M51" s="244"/>
      <c r="N51" s="244"/>
      <c r="O51" s="244"/>
      <c r="P51" s="244"/>
      <c r="Q51" s="244"/>
      <c r="R51" s="244"/>
      <c r="S51" s="245"/>
      <c r="AA51" s="397" t="str">
        <f ca="1"/>
        <v>CREA/CAU: CREA RS 247738</v>
      </c>
      <c r="AC51" s="78"/>
      <c r="AD51" s="78"/>
      <c r="AE51" s="184"/>
      <c r="AF51" s="184"/>
    </row>
    <row r="52" spans="7:32" x14ac:dyDescent="0.2">
      <c r="G52" s="184" t="s">
        <v>536</v>
      </c>
      <c r="I52" s="9" t="s">
        <v>694</v>
      </c>
      <c r="J52"/>
      <c r="K52"/>
      <c r="L52"/>
      <c r="AA52" s="397" t="str">
        <f ca="1"/>
        <v>ART/RRT: 14574615</v>
      </c>
      <c r="AC52" s="78"/>
      <c r="AD52" s="78"/>
      <c r="AE52" s="184"/>
      <c r="AF52" s="184"/>
    </row>
  </sheetData>
  <sheetProtection algorithmName="SHA-512" hashValue="zYMLS8QbxqiQ51qG/4lUAMrZDhomOey0UL7mD5SB56jDXBIT+RvIOuD9uYkmispZ7GslAgjm5ekhhNBN+CKl/g==" saltValue="Ut365xiCr3Af+quOFtRUhg==" spinCount="100000" sheet="1" objects="1" scenarios="1" autoFilter="0"/>
  <autoFilter ref="G13:G52">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51:K51"/>
    <mergeCell ref="I48:S48"/>
    <mergeCell ref="H46:J46"/>
    <mergeCell ref="S12:S13"/>
    <mergeCell ref="T12:T13"/>
    <mergeCell ref="L8:T8"/>
    <mergeCell ref="U8:Y8"/>
    <mergeCell ref="K10:T11"/>
    <mergeCell ref="I36:K37"/>
  </mergeCells>
  <phoneticPr fontId="38" type="noConversion"/>
  <conditionalFormatting sqref="U12:U13">
    <cfRule type="expression" dxfId="188" priority="16739" stopIfTrue="1">
      <formula>NOT(ISNUMBER(T$12))</formula>
    </cfRule>
  </conditionalFormatting>
  <conditionalFormatting sqref="E2 U2:AF2">
    <cfRule type="expression" dxfId="187" priority="16740" stopIfTrue="1">
      <formula>AND(ISNUMBER($H1),$H1&lt;&gt;0)</formula>
    </cfRule>
  </conditionalFormatting>
  <conditionalFormatting sqref="I2:S2">
    <cfRule type="expression" dxfId="186" priority="16741" stopIfTrue="1">
      <formula>$M1=2</formula>
    </cfRule>
    <cfRule type="expression" dxfId="185" priority="16742" stopIfTrue="1">
      <formula>AND($M1=1,$S1&lt;&gt;"")</formula>
    </cfRule>
  </conditionalFormatting>
  <conditionalFormatting sqref="I1:S1">
    <cfRule type="expression" dxfId="184" priority="16743" stopIfTrue="1">
      <formula>$M1=2</formula>
    </cfRule>
    <cfRule type="expression" dxfId="183" priority="16744" stopIfTrue="1">
      <formula>AND($M1=1,$S1&lt;&gt;"")</formula>
    </cfRule>
  </conditionalFormatting>
  <conditionalFormatting sqref="E36 E38 E40:E41 E43 E45 U45:AF45 U36:AF36 U38:AF38 U40:AF41 U43:AF43">
    <cfRule type="expression" dxfId="182" priority="16745" stopIfTrue="1">
      <formula>D$41=1</formula>
    </cfRule>
  </conditionalFormatting>
  <conditionalFormatting sqref="E37 E39 E42 E44 E46 U37:AF37 U39:AF39 U42:AF42 U44:AF44 U46:AF46">
    <cfRule type="expression" dxfId="181" priority="16746" stopIfTrue="1">
      <formula>D$41=1</formula>
    </cfRule>
  </conditionalFormatting>
  <conditionalFormatting sqref="AF7:AF8">
    <cfRule type="expression" dxfId="180" priority="16750" stopIfTrue="1">
      <formula>OR(TIPOORCAMENTO&lt;&gt;"Licitado",QCI.ExisteManual)</formula>
    </cfRule>
  </conditionalFormatting>
  <conditionalFormatting sqref="Z7:AE8">
    <cfRule type="expression" dxfId="179" priority="16738" stopIfTrue="1">
      <formula>QCI.ExisteManual</formula>
    </cfRule>
  </conditionalFormatting>
  <conditionalFormatting sqref="H2">
    <cfRule type="expression" dxfId="178" priority="12884">
      <formula>AND(H1&lt;&gt;0,ISNUMBER(H1))</formula>
    </cfRule>
  </conditionalFormatting>
  <conditionalFormatting sqref="E46 U46:AF46">
    <cfRule type="expression" dxfId="177" priority="12875">
      <formula>ROUND(E46,4)&gt;ROUND(E41,4)</formula>
    </cfRule>
  </conditionalFormatting>
  <conditionalFormatting sqref="H1">
    <cfRule type="expression" dxfId="176" priority="12874">
      <formula>AND(H1&lt;&gt;0,ISNUMBER(H1))</formula>
    </cfRule>
  </conditionalFormatting>
  <conditionalFormatting sqref="H46:J46">
    <cfRule type="expression" dxfId="175" priority="12873">
      <formula>$H$45=""</formula>
    </cfRule>
  </conditionalFormatting>
  <conditionalFormatting sqref="E46">
    <cfRule type="expression" dxfId="174" priority="12866" stopIfTrue="1">
      <formula>D$41=1</formula>
    </cfRule>
  </conditionalFormatting>
  <conditionalFormatting sqref="E1">
    <cfRule type="expression" dxfId="173" priority="12863" stopIfTrue="1">
      <formula>E1&lt;&gt;0</formula>
    </cfRule>
  </conditionalFormatting>
  <conditionalFormatting sqref="E2">
    <cfRule type="expression" dxfId="172" priority="12862">
      <formula>AND(_xlfn.SINGLE(ACOMPANHAMENTO)="BM",E2&gt;ROUND(E2,4))</formula>
    </cfRule>
  </conditionalFormatting>
  <conditionalFormatting sqref="E46">
    <cfRule type="expression" dxfId="171" priority="12861" stopIfTrue="1">
      <formula>D$41=1</formula>
    </cfRule>
  </conditionalFormatting>
  <conditionalFormatting sqref="U1:AF1">
    <cfRule type="expression" dxfId="170" priority="2817" stopIfTrue="1">
      <formula>U1&lt;&gt;0</formula>
    </cfRule>
  </conditionalFormatting>
  <conditionalFormatting sqref="U2:AF2">
    <cfRule type="expression" dxfId="169" priority="2816">
      <formula>AND(_xlfn.SINGLE(ACOMPANHAMENTO)="BM",U2&gt;ROUND(U2,4))</formula>
    </cfRule>
  </conditionalFormatting>
  <conditionalFormatting sqref="E15 E18 E21 U15:AF15 U18:AF18 U21:AF21">
    <cfRule type="expression" dxfId="168" priority="116" stopIfTrue="1">
      <formula>AND(ISNUMBER($H14),$H14&lt;&gt;0)</formula>
    </cfRule>
  </conditionalFormatting>
  <conditionalFormatting sqref="I15:S15 I18:S18 I21:S21">
    <cfRule type="expression" dxfId="167" priority="117" stopIfTrue="1">
      <formula>$M14=2</formula>
    </cfRule>
    <cfRule type="expression" dxfId="166" priority="118" stopIfTrue="1">
      <formula>AND($M14=1,$S14&lt;&gt;"")</formula>
    </cfRule>
  </conditionalFormatting>
  <conditionalFormatting sqref="I14:S14 I17:S17 I20:S20">
    <cfRule type="expression" dxfId="165" priority="119" stopIfTrue="1">
      <formula>$M14=2</formula>
    </cfRule>
    <cfRule type="expression" dxfId="164" priority="120" stopIfTrue="1">
      <formula>AND($M14=1,$S14&lt;&gt;"")</formula>
    </cfRule>
  </conditionalFormatting>
  <conditionalFormatting sqref="H15 H18 H21">
    <cfRule type="expression" dxfId="163" priority="115">
      <formula>AND(H14&lt;&gt;0,ISNUMBER(H14))</formula>
    </cfRule>
  </conditionalFormatting>
  <conditionalFormatting sqref="H14 H17 H20">
    <cfRule type="expression" dxfId="162" priority="114">
      <formula>AND(H14&lt;&gt;0,ISNUMBER(H14))</formula>
    </cfRule>
  </conditionalFormatting>
  <conditionalFormatting sqref="E14 E17 E20">
    <cfRule type="expression" dxfId="161" priority="113" stopIfTrue="1">
      <formula>E14&lt;&gt;0</formula>
    </cfRule>
  </conditionalFormatting>
  <conditionalFormatting sqref="E15 E18 E21">
    <cfRule type="expression" dxfId="160" priority="112">
      <formula>AND(_xlfn.SINGLE(ACOMPANHAMENTO)="BM",E15&gt;ROUND(E15,4))</formula>
    </cfRule>
  </conditionalFormatting>
  <conditionalFormatting sqref="U14:AF14 U17:AF17 U20:AF20">
    <cfRule type="expression" dxfId="159" priority="111" stopIfTrue="1">
      <formula>U14&lt;&gt;0</formula>
    </cfRule>
  </conditionalFormatting>
  <conditionalFormatting sqref="U15:AF15 U18:AF18 U21:AF21">
    <cfRule type="expression" dxfId="158" priority="110">
      <formula>AND(_xlfn.SINGLE(ACOMPANHAMENTO)="BM",U15&gt;ROUND(U15,4))</formula>
    </cfRule>
  </conditionalFormatting>
  <conditionalFormatting sqref="E24 E27 E30 U24:AF24 U27:AF27 U30:AF30">
    <cfRule type="expression" dxfId="157" priority="105" stopIfTrue="1">
      <formula>AND(ISNUMBER($H23),$H23&lt;&gt;0)</formula>
    </cfRule>
  </conditionalFormatting>
  <conditionalFormatting sqref="I24:S24 I27:S27 I30:S30">
    <cfRule type="expression" dxfId="156" priority="106" stopIfTrue="1">
      <formula>$M23=2</formula>
    </cfRule>
    <cfRule type="expression" dxfId="155" priority="107" stopIfTrue="1">
      <formula>AND($M23=1,$S23&lt;&gt;"")</formula>
    </cfRule>
  </conditionalFormatting>
  <conditionalFormatting sqref="I23:S23 I26:S26 I29:S29">
    <cfRule type="expression" dxfId="154" priority="108" stopIfTrue="1">
      <formula>$M23=2</formula>
    </cfRule>
    <cfRule type="expression" dxfId="153" priority="109" stopIfTrue="1">
      <formula>AND($M23=1,$S23&lt;&gt;"")</formula>
    </cfRule>
  </conditionalFormatting>
  <conditionalFormatting sqref="H24 H27 H30">
    <cfRule type="expression" dxfId="152" priority="104">
      <formula>AND(H23&lt;&gt;0,ISNUMBER(H23))</formula>
    </cfRule>
  </conditionalFormatting>
  <conditionalFormatting sqref="H23 H26 H29">
    <cfRule type="expression" dxfId="151" priority="103">
      <formula>AND(H23&lt;&gt;0,ISNUMBER(H23))</formula>
    </cfRule>
  </conditionalFormatting>
  <conditionalFormatting sqref="E23 E26 E29">
    <cfRule type="expression" dxfId="150" priority="102" stopIfTrue="1">
      <formula>E23&lt;&gt;0</formula>
    </cfRule>
  </conditionalFormatting>
  <conditionalFormatting sqref="E24 E27 E30">
    <cfRule type="expression" dxfId="149" priority="101">
      <formula>AND(_xlfn.SINGLE(ACOMPANHAMENTO)="BM",E24&gt;ROUND(E24,4))</formula>
    </cfRule>
  </conditionalFormatting>
  <conditionalFormatting sqref="U23:AF23 U26:AF26 U29:AF29">
    <cfRule type="expression" dxfId="148" priority="100" stopIfTrue="1">
      <formula>U23&lt;&gt;0</formula>
    </cfRule>
  </conditionalFormatting>
  <conditionalFormatting sqref="U24:AF24 U27:AF27 U30:AF30">
    <cfRule type="expression" dxfId="147" priority="99">
      <formula>AND(_xlfn.SINGLE(ACOMPANHAMENTO)="BM",U24&gt;ROUND(U24,4))</formula>
    </cfRule>
  </conditionalFormatting>
  <conditionalFormatting sqref="E33 V33:AF33">
    <cfRule type="expression" dxfId="146" priority="94" stopIfTrue="1">
      <formula>AND(ISNUMBER($H32),$H32&lt;&gt;0)</formula>
    </cfRule>
  </conditionalFormatting>
  <conditionalFormatting sqref="I33:S33">
    <cfRule type="expression" dxfId="145" priority="95" stopIfTrue="1">
      <formula>$M32=2</formula>
    </cfRule>
    <cfRule type="expression" dxfId="144" priority="96" stopIfTrue="1">
      <formula>AND($M32=1,$S32&lt;&gt;"")</formula>
    </cfRule>
  </conditionalFormatting>
  <conditionalFormatting sqref="I32:S32">
    <cfRule type="expression" dxfId="143" priority="97" stopIfTrue="1">
      <formula>$M32=2</formula>
    </cfRule>
    <cfRule type="expression" dxfId="142" priority="98" stopIfTrue="1">
      <formula>AND($M32=1,$S32&lt;&gt;"")</formula>
    </cfRule>
  </conditionalFormatting>
  <conditionalFormatting sqref="H33">
    <cfRule type="expression" dxfId="141" priority="93">
      <formula>AND(H32&lt;&gt;0,ISNUMBER(H32))</formula>
    </cfRule>
  </conditionalFormatting>
  <conditionalFormatting sqref="H32">
    <cfRule type="expression" dxfId="140" priority="92">
      <formula>AND(H32&lt;&gt;0,ISNUMBER(H32))</formula>
    </cfRule>
  </conditionalFormatting>
  <conditionalFormatting sqref="E32">
    <cfRule type="expression" dxfId="139" priority="91" stopIfTrue="1">
      <formula>E32&lt;&gt;0</formula>
    </cfRule>
  </conditionalFormatting>
  <conditionalFormatting sqref="E33">
    <cfRule type="expression" dxfId="138" priority="90">
      <formula>AND(_xlfn.SINGLE(ACOMPANHAMENTO)="BM",E33&gt;ROUND(E33,4))</formula>
    </cfRule>
  </conditionalFormatting>
  <conditionalFormatting sqref="U32:AF32">
    <cfRule type="expression" dxfId="137" priority="89" stopIfTrue="1">
      <formula>U32&lt;&gt;0</formula>
    </cfRule>
  </conditionalFormatting>
  <conditionalFormatting sqref="V33:AF33">
    <cfRule type="expression" dxfId="136" priority="88">
      <formula>AND(_xlfn.SINGLE(ACOMPANHAMENTO)="BM",V33&gt;ROUND(V33,4))</formula>
    </cfRule>
  </conditionalFormatting>
  <conditionalFormatting sqref="U33">
    <cfRule type="expression" dxfId="135" priority="10" stopIfTrue="1">
      <formula>AND(ISNUMBER($H32),$H32&lt;&gt;0)</formula>
    </cfRule>
  </conditionalFormatting>
  <conditionalFormatting sqref="U33">
    <cfRule type="expression" dxfId="134" priority="9">
      <formula>AND(_xlfn.SINGLE(ACOMPANHAMENTO)="BM",U33&gt;ROUND(U33,4))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U32:AF32"/>
    <dataValidation type="whole" operator="greaterThan" allowBlank="1" showErrorMessage="1" sqref="U12">
      <formula1>0</formula1>
      <formula2>0</formula2>
    </dataValidation>
    <dataValidation type="decimal" allowBlank="1" showErrorMessage="1" error="Porcentagem Acumulada &gt; 100%." sqref="E2 U2:AG2 E15 E18 E21 U15:AG15 U18:AG18 U21:AG21 E24 E27 E30 U24:AG24 U27:AG27 U30:AG30 E33 U33:AG33">
      <formula1>0</formula1>
      <formula2>CRONO.MaxParc</formula2>
    </dataValidation>
    <dataValidation type="date" operator="greaterThan" allowBlank="1" showInputMessage="1" showErrorMessage="1" errorTitle="Erro" error="Digite somente datas." sqref="U13">
      <formula1>36526</formula1>
    </dataValidation>
    <dataValidation type="list" allowBlank="1" showErrorMessage="1" errorTitle="Atenção" error="Selecione uma opção da lista." sqref="H46:J46">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3" t="s">
        <v>980</v>
      </c>
      <c r="F1" s="271" t="s">
        <v>805</v>
      </c>
      <c r="I1" s="8"/>
      <c r="J1" s="8"/>
      <c r="O1" s="491" t="s">
        <v>757</v>
      </c>
      <c r="P1" s="85"/>
    </row>
    <row r="2" spans="1:31" x14ac:dyDescent="0.2">
      <c r="A2" t="s">
        <v>975</v>
      </c>
      <c r="Z2" t="s">
        <v>806</v>
      </c>
      <c r="AA2" s="87" t="s">
        <v>807</v>
      </c>
      <c r="AB2" s="76"/>
    </row>
    <row r="3" spans="1:31" x14ac:dyDescent="0.2">
      <c r="A3" t="s">
        <v>976</v>
      </c>
      <c r="D3" s="699" t="s">
        <v>650</v>
      </c>
      <c r="E3" s="699"/>
      <c r="F3" s="86" t="s">
        <v>707</v>
      </c>
      <c r="G3" s="699" t="s">
        <v>652</v>
      </c>
      <c r="H3" s="699"/>
      <c r="I3" s="699"/>
      <c r="J3" s="780" t="s">
        <v>808</v>
      </c>
      <c r="K3" s="780"/>
      <c r="L3" s="780"/>
      <c r="M3" s="781" t="s">
        <v>809</v>
      </c>
      <c r="N3" s="781"/>
      <c r="O3" s="781"/>
      <c r="Z3" s="101">
        <f ca="1">MAX(Z7:AB7)</f>
        <v>0</v>
      </c>
      <c r="AA3" s="272" cm="1">
        <f t="array" aca="1" ref="AA3" ca="1">IF(OR($O$24=ORÇAMENTO.SumINVMANUAL+QCI.SumINVMANUAL,$O$24=0),0,MIN(MAX(0,($Z$3*$O$24-ORÇAMENTO.SumCPMANUAL-QCI.SumCPMANUAL)/($O$24-ORÇAMENTO.SumINVMANUAL-QCI.SumINVMANUAL)),1))</f>
        <v>0</v>
      </c>
      <c r="AB3" s="91"/>
    </row>
    <row r="4" spans="1:31" x14ac:dyDescent="0.2">
      <c r="A4" t="s">
        <v>977</v>
      </c>
      <c r="D4" s="702" t="str">
        <f>Import.CR</f>
        <v>SLG</v>
      </c>
      <c r="E4" s="702"/>
      <c r="F4" s="55" t="str">
        <f>Import.TransfereGOV</f>
        <v>SLG</v>
      </c>
      <c r="G4" s="702" t="str">
        <f>Import.Proponente</f>
        <v>MUNICÍPIO DE SÃO LUIZ GONZAGA</v>
      </c>
      <c r="H4" s="702"/>
      <c r="I4" s="702"/>
      <c r="J4" s="782" t="str">
        <f>Import.Município</f>
        <v>RS</v>
      </c>
      <c r="K4" s="782"/>
      <c r="L4" s="782"/>
      <c r="M4" s="781"/>
      <c r="N4" s="781"/>
      <c r="O4" s="781"/>
      <c r="R4" s="128"/>
      <c r="Z4" s="91"/>
      <c r="AA4" s="91"/>
      <c r="AB4" s="91"/>
    </row>
    <row r="5" spans="1:31" ht="5.0999999999999996" customHeight="1" x14ac:dyDescent="0.2">
      <c r="A5" t="s">
        <v>978</v>
      </c>
      <c r="M5" s="264"/>
      <c r="O5" s="4"/>
    </row>
    <row r="6" spans="1:31" x14ac:dyDescent="0.2">
      <c r="A6" t="s">
        <v>979</v>
      </c>
      <c r="D6" s="699" t="s">
        <v>708</v>
      </c>
      <c r="E6" s="699"/>
      <c r="F6" s="699"/>
      <c r="G6" s="699"/>
      <c r="H6" s="699"/>
      <c r="I6" s="699"/>
      <c r="J6" s="699"/>
      <c r="K6" s="699"/>
      <c r="L6" s="273" t="s">
        <v>715</v>
      </c>
      <c r="M6" s="86" t="str">
        <f>IF(import.recurso="FGTS","FINANCIAMENTO","REPASSE")</f>
        <v>REPASSE</v>
      </c>
      <c r="N6" s="86" t="s">
        <v>810</v>
      </c>
      <c r="O6" s="86" t="s">
        <v>811</v>
      </c>
      <c r="Z6" t="s">
        <v>812</v>
      </c>
      <c r="AA6" t="s">
        <v>813</v>
      </c>
      <c r="AB6" t="s">
        <v>814</v>
      </c>
    </row>
    <row r="7" spans="1:31" ht="12.75" customHeight="1" x14ac:dyDescent="0.2">
      <c r="A7" s="657" t="s">
        <v>982</v>
      </c>
      <c r="C7" s="692" t="s">
        <v>655</v>
      </c>
      <c r="D7" s="702" t="str">
        <f>Import.Apelido</f>
        <v>CALÇAMENTO PEDRA IRREGULAR</v>
      </c>
      <c r="E7" s="702"/>
      <c r="F7" s="702"/>
      <c r="G7" s="702"/>
      <c r="H7" s="702"/>
      <c r="I7" s="702"/>
      <c r="J7" s="702"/>
      <c r="K7" s="702"/>
      <c r="L7" s="274" t="str">
        <f>import.recurso</f>
        <v>OGU</v>
      </c>
      <c r="M7" s="275">
        <f>Import.Repasse</f>
        <v>0</v>
      </c>
      <c r="N7" s="275">
        <f>Import.Contrapartida</f>
        <v>0</v>
      </c>
      <c r="O7" s="275">
        <f>M7+N7</f>
        <v>0</v>
      </c>
      <c r="Z7" s="101">
        <f>ROUND(Import.CPMinPerc,4)</f>
        <v>0</v>
      </c>
      <c r="AA7" s="101">
        <f ca="1">IF($O$24=0,0,Import.CPMinAbsoluta/$O$24)</f>
        <v>0</v>
      </c>
      <c r="AB7" s="101">
        <f ca="1">IF($O$24=0,0,($O$24-$AB$24-Import.Repasse)/($O$24))</f>
        <v>0</v>
      </c>
    </row>
    <row r="8" spans="1:31" x14ac:dyDescent="0.2">
      <c r="A8" t="s">
        <v>819</v>
      </c>
      <c r="C8" s="692"/>
      <c r="D8" s="91"/>
      <c r="E8" s="91"/>
      <c r="F8" s="276"/>
      <c r="G8" s="91"/>
      <c r="H8" s="91"/>
      <c r="I8" s="91"/>
      <c r="J8" s="91"/>
      <c r="K8" s="91"/>
      <c r="L8" s="91"/>
      <c r="M8" s="91"/>
      <c r="N8" s="91"/>
      <c r="O8" s="91"/>
    </row>
    <row r="9" spans="1:31" ht="12.75" customHeight="1" x14ac:dyDescent="0.2">
      <c r="A9" t="s">
        <v>981</v>
      </c>
      <c r="C9" s="692"/>
      <c r="G9" s="779"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IF(OFFSET($A$24,-1,0)&lt;OFFSET(ORÇAMENTO!$E$33,-1,0),"ERRO: NÚMERO DE LINHAS DO QCI INSUFICIENTE. CLIQUE NO BOTÃO ADICIONAR LINHAS",
  "")))))))</f>
        <v/>
      </c>
      <c r="H9" s="779"/>
      <c r="I9" s="511"/>
      <c r="J9" s="510"/>
      <c r="K9" s="778" t="s">
        <v>815</v>
      </c>
      <c r="L9" s="277" t="str">
        <f>$L$13</f>
        <v>Repasse (R$)</v>
      </c>
      <c r="M9" s="277" t="s">
        <v>741</v>
      </c>
      <c r="AD9" s="776"/>
      <c r="AE9" s="776"/>
    </row>
    <row r="10" spans="1:31" ht="12.75" customHeight="1" x14ac:dyDescent="0.2">
      <c r="A10" s="775" t="s">
        <v>816</v>
      </c>
      <c r="C10" s="692"/>
      <c r="G10" s="779"/>
      <c r="H10" s="779"/>
      <c r="I10" s="511"/>
      <c r="J10" s="510"/>
      <c r="K10" s="778"/>
      <c r="L10" s="278">
        <f ca="1">Import.Repasse-L24</f>
        <v>0</v>
      </c>
      <c r="M10" s="279">
        <f ca="1">Import.Contrapartida-M24</f>
        <v>0</v>
      </c>
      <c r="Z10" s="712" t="s">
        <v>721</v>
      </c>
      <c r="AA10" s="712"/>
      <c r="AB10" s="712"/>
      <c r="AD10" s="776" t="s">
        <v>817</v>
      </c>
      <c r="AE10" s="776"/>
    </row>
    <row r="11" spans="1:31" ht="20.100000000000001" customHeight="1" x14ac:dyDescent="0.25">
      <c r="A11" s="775"/>
      <c r="C11" s="692"/>
      <c r="G11" s="581"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0"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09" t="s">
        <v>818</v>
      </c>
      <c r="AA11" s="109" t="s">
        <v>741</v>
      </c>
      <c r="AB11" s="110" t="s">
        <v>742</v>
      </c>
    </row>
    <row r="12" spans="1:31" ht="30" hidden="1" customHeight="1" x14ac:dyDescent="0.2">
      <c r="A12">
        <f ca="1">IF(NOT(ISBLANK(QCI.DescManual)),OFFSET(A12,-1,0),D12)</f>
        <v>-1</v>
      </c>
      <c r="B12" t="str">
        <f ca="1">IF(NOT(ISBLANK(QCI.DescManual)),IF(QCI.Divisao="Calculado","Manual","SemiAuto"),IF(ISERROR(MATCH($A12,ORÇAMENTO!$E$15:$E$33,0)),"Branco","Automático"))</f>
        <v>Branco</v>
      </c>
      <c r="C12" t="str">
        <f ca="1">IF(O12&gt;0,"F","")</f>
        <v/>
      </c>
      <c r="D12" s="280">
        <f>ROW()-ROW($D$13)</f>
        <v>-1</v>
      </c>
      <c r="E12" s="117"/>
      <c r="F12" s="117"/>
      <c r="G12" s="162" t="str">
        <f ca="1">IF(OR($B12="Manual",$B12="SemiAuto"),QCI.DescManual,IF($B12="Automático",INDEX(ORÇAMENTO!$R$15:$R$33,MATCH($A12,ORÇAMENTO!$E$15:$E$33,0)),""))</f>
        <v/>
      </c>
      <c r="H12" s="117"/>
      <c r="I12" s="463"/>
      <c r="J12" s="281" t="str">
        <f ca="1">IF(AND(ISBLANK(E12),ISBLANK(F12)),"",VLOOKUP($F12,OFFSET(DADOS!$A$2,1,MATCH(QCI!$E12,DADOS!$2:$2,0)-1,100,50),2,FALSE))</f>
        <v/>
      </c>
      <c r="K12" s="462" t="str" cm="1">
        <f t="array" aca="1" ref="K12" ca="1">IF(OR($B12="Manual",$B12="SemiAuto"),QCI.LoteManual,IF($B12="Automático",IF(TIPOORCAMENTO="Licitado",Import.CTEF,"LOTE 1"),""))</f>
        <v/>
      </c>
      <c r="L12" s="282">
        <f ca="1">ROUND($O12,2)-ROUND($M12,2)-ROUND($N12,2)</f>
        <v>0</v>
      </c>
      <c r="M12" s="283">
        <f ca="1">ROUND($AA12,2)-ROUND($AE12,2)</f>
        <v>0</v>
      </c>
      <c r="N12" s="284">
        <f ca="1">ROUND($AB12,2)</f>
        <v>0</v>
      </c>
      <c r="O12" s="285" cm="1">
        <f t="array" aca="1" ref="O12" ca="1">IF($B12="Branco",0,IF(OR($B12="Manual",$B12="SemiAuto"),QCI.InvManual,INDEX(ORÇAMENTO!X$15:X$33,MATCH($A12,ORÇAMENTO!$E$15:$E$33,0))))</f>
        <v>0</v>
      </c>
      <c r="P12" s="576" t="str">
        <f ca="1">IF(O12=0,"",
  IF(E12="","ITEM",
  IF(F12="","SUBITEM",
  IF(H12="","SITUAÇÃO",
  IF(I12=0,"QUANT.","")))))</f>
        <v/>
      </c>
      <c r="R12" s="464"/>
      <c r="S12" s="577" t="str">
        <f>IF(R12="","",
  IF(T12=0,"► LOTE",
  IF(U12=0,"► INVEST",
  IF(V12=0,"► DIV",
  IF(AND(V12="Calculado",W12=""),"► CP",
  IF(AND(V12="Calculado",X12=""),"► OU",""))))))</f>
        <v/>
      </c>
      <c r="T12" s="465"/>
      <c r="U12" s="578"/>
      <c r="V12" s="466" t="s">
        <v>819</v>
      </c>
      <c r="W12" s="579"/>
      <c r="X12" s="580"/>
      <c r="Z12">
        <f ca="1">$O12-$AA12-$AB12</f>
        <v>0</v>
      </c>
      <c r="AA12" cm="1">
        <f t="array" aca="1" ref="AA12" ca="1">IF($B12="Branco",0,IF($B12="Manual",QCI.CPManual,IF($B12="SemiAuto",ROUND(QCI!$AA$3*QCI.InvManual,2),INDEX(ORÇAMENTO!$AA$15:$AA$33,MATCH($A12,ORÇAMENTO!$E$15:$E$33,0)))))</f>
        <v>0</v>
      </c>
      <c r="AB12" cm="1">
        <f t="array" aca="1" ref="AB12" ca="1">IF($B12="Branco",0,IF($B12="Manual",QCI.OutrosManual,IF($B12="SemiAuto",0,INDEX(ORÇAMENTO!$AB$15:$AB$33,MATCH($A12,ORÇAMENTO!$E$15:$E$33,0)))))</f>
        <v>0</v>
      </c>
      <c r="AD12" s="288" t="b">
        <f ca="1">AND($AA$3&gt;0,$AA$3&lt;1,$O12&gt;0,OR($B12="Automático",$B12="SemiAuto"),OR(QCI!$Z$3=QCI!$Z$7,QCI!$Z$3=QCI!$AA$7,QCI!$Z$3=QCI!$AB$7))</f>
        <v>0</v>
      </c>
      <c r="AE12" s="288">
        <f ca="1">IF(AND($AD12,$O12&gt;0,COUNTIF(OFFSET($AD12,1,0):$AD$24,TRUE)=0),CHOOSE(1+LOG(1+2*(QCI!$Z$3=QCI!$Z$7)+4*(QCI!$Z$3=QCI!$AA$7)+8*(QCI!$Z$3=QCI!$AB$7),2),0,$AA$24-ROUND(Import.CPMinPerc*$O$24,2),$AA$24-Import.CPMinAbsoluta,Import.Repasse-$Z$24),0)</f>
        <v>0</v>
      </c>
    </row>
    <row r="13" spans="1:31" ht="25.5" customHeight="1" x14ac:dyDescent="0.2">
      <c r="A13" s="85">
        <v>0</v>
      </c>
      <c r="B13" s="289" t="s">
        <v>820</v>
      </c>
      <c r="C13" s="105" t="s">
        <v>660</v>
      </c>
      <c r="D13" s="106" t="s">
        <v>701</v>
      </c>
      <c r="E13" s="106" t="s">
        <v>821</v>
      </c>
      <c r="F13" s="106" t="s">
        <v>822</v>
      </c>
      <c r="G13" s="106" t="s">
        <v>823</v>
      </c>
      <c r="H13" s="106" t="s">
        <v>669</v>
      </c>
      <c r="I13" s="106" t="s">
        <v>712</v>
      </c>
      <c r="J13" s="106" t="s">
        <v>824</v>
      </c>
      <c r="K13" s="106" t="s">
        <v>825</v>
      </c>
      <c r="L13" s="644" t="str">
        <f>IF(import.recurso="FGTS","Financiamento (R$)","Repasse (R$)")</f>
        <v>Repasse (R$)</v>
      </c>
      <c r="M13" s="645" t="s">
        <v>826</v>
      </c>
      <c r="N13" s="290" t="s">
        <v>742</v>
      </c>
      <c r="O13" s="106" t="s">
        <v>827</v>
      </c>
      <c r="R13" s="291" t="s">
        <v>823</v>
      </c>
      <c r="T13" s="291" t="s">
        <v>825</v>
      </c>
      <c r="U13" s="158" t="s">
        <v>827</v>
      </c>
      <c r="V13" s="292" t="s">
        <v>828</v>
      </c>
      <c r="W13" s="157" t="s">
        <v>826</v>
      </c>
      <c r="X13" s="159" t="s">
        <v>742</v>
      </c>
    </row>
    <row r="14" spans="1:31" ht="30" customHeight="1" x14ac:dyDescent="0.2">
      <c r="A14">
        <f t="shared" ref="A14:A23" ca="1" si="0">IF(NOT(ISBLANK(QCI.DescManual)),OFFSET(A14,-1,0),D14)</f>
        <v>1</v>
      </c>
      <c r="B14" t="str">
        <f ca="1">IF(NOT(ISBLANK(QCI.DescManual)),IF(QCI.Divisao="Calculado","Manual","SemiAuto"),IF(ISERROR(MATCH($A14,ORÇAMENTO!$E$15:$E$33,0)),"Branco","Automático"))</f>
        <v>Automático</v>
      </c>
      <c r="C14" t="str">
        <f t="shared" ref="C14:C22" ca="1" si="1">IF(O14&gt;0,"F","")</f>
        <v/>
      </c>
      <c r="D14" s="280">
        <f t="shared" ref="D14:D22" si="2">ROW()-ROW($D$13)</f>
        <v>1</v>
      </c>
      <c r="E14" s="117"/>
      <c r="F14" s="117"/>
      <c r="G14" s="162" t="str">
        <f ca="1">IF(OR($B14="Manual",$B14="SemiAuto"),QCI.DescManual,IF($B14="Automático",INDEX(ORÇAMENTO!$R$15:$R$33,MATCH($A14,ORÇAMENTO!$E$15:$E$33,0)),""))</f>
        <v xml:space="preserve">CALÇAMENTO DE PEDRAS IRREGULARES - RINCÃO DE SANTANA EM FRENTE ESCOLA JOÃO XXIII E SALÃO PAROQUIAL </v>
      </c>
      <c r="H14" s="117"/>
      <c r="I14" s="463"/>
      <c r="J14" s="281" t="str">
        <f ca="1">IF(AND(ISBLANK(E14),ISBLANK(F14)),"",VLOOKUP($F14,OFFSET(DADOS!$A$2,1,MATCH(QCI!$E14,DADOS!$2:$2,0)-1,100,50),2,FALSE))</f>
        <v/>
      </c>
      <c r="K14" s="462" t="str" cm="1">
        <f t="array" aca="1" ref="K14" ca="1">IF(OR($B14="Manual",$B14="SemiAuto"),QCI.LoteManual,IF($B14="Automático",IF(TIPOORCAMENTO="Licitado",Import.CTEF,"LOTE 1"),""))</f>
        <v>LOTE 1</v>
      </c>
      <c r="L14" s="282">
        <f t="shared" ref="L14:L22" ca="1" si="3">ROUND($O14,2)-ROUND($M14,2)-ROUND($N14,2)</f>
        <v>0</v>
      </c>
      <c r="M14" s="283">
        <f t="shared" ref="M14:M22" ca="1" si="4">ROUND($AA14,2)-ROUND($AE14,2)</f>
        <v>0</v>
      </c>
      <c r="N14" s="284">
        <f t="shared" ref="N14:N22" ca="1" si="5">ROUND($AB14,2)</f>
        <v>0</v>
      </c>
      <c r="O14" s="285" cm="1">
        <f t="array" aca="1" ref="O14" ca="1">IF($B14="Branco",0,IF(OR($B14="Manual",$B14="SemiAuto"),QCI.InvManual,INDEX(ORÇAMENTO!X$15:X$33,MATCH($A14,ORÇAMENTO!$E$15:$E$33,0))))</f>
        <v>0</v>
      </c>
      <c r="P14" s="576" t="str">
        <f t="shared" ref="P14:P22" ca="1" si="6">IF(O14=0,"",
  IF(E14="","ITEM",
  IF(F14="","SUBITEM",
  IF(H14="","SITUAÇÃO",
  IF(I14=0,"QUANT.","")))))</f>
        <v/>
      </c>
      <c r="R14" s="464"/>
      <c r="S14" s="577" t="str">
        <f t="shared" ref="S14:S22" si="7">IF(R14="","",
  IF(T14=0,"► LOTE",
  IF(U14=0,"► INVEST",
  IF(V14=0,"► DIV",
  IF(AND(V14="Calculado",W14=""),"► CP",
  IF(AND(V14="Calculado",X14=""),"► OU",""))))))</f>
        <v/>
      </c>
      <c r="T14" s="465"/>
      <c r="U14" s="578"/>
      <c r="V14" s="466" t="s">
        <v>819</v>
      </c>
      <c r="W14" s="579">
        <v>0</v>
      </c>
      <c r="X14" s="580">
        <v>0</v>
      </c>
      <c r="Z14">
        <f t="shared" ref="Z14:Z22" ca="1" si="8">$O14-$AA14-$AB14</f>
        <v>0</v>
      </c>
      <c r="AA14" cm="1">
        <f t="array" aca="1" ref="AA14" ca="1">IF($B14="Branco",0,IF($B14="Manual",QCI.CPManual,IF($B14="SemiAuto",ROUND(QCI!$AA$3*QCI.InvManual,2),INDEX(ORÇAMENTO!$AA$15:$AA$33,MATCH($A14,ORÇAMENTO!$E$15:$E$33,0)))))</f>
        <v>0</v>
      </c>
      <c r="AB14" cm="1">
        <f t="array" aca="1" ref="AB14" ca="1">IF($B14="Branco",0,IF($B14="Manual",QCI.OutrosManual,IF($B14="SemiAuto",0,INDEX(ORÇAMENTO!$AB$15:$AB$33,MATCH($A14,ORÇAMENTO!$E$15:$E$33,0)))))</f>
        <v>0</v>
      </c>
      <c r="AD14" s="288" t="b">
        <f ca="1">AND($AA$3&gt;0,$AA$3&lt;1,$O14&gt;0,OR($B14="Automático",$B14="SemiAuto"),OR(QCI!$Z$3=QCI!$Z$7,QCI!$Z$3=QCI!$AA$7,QCI!$Z$3=QCI!$AB$7))</f>
        <v>0</v>
      </c>
      <c r="AE14" s="288">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IF(NOT(ISBLANK(QCI.DescManual)),IF(QCI.Divisao="Calculado","Manual","SemiAuto"),IF(ISERROR(MATCH($A15,ORÇAMENTO!$E$15:$E$33,0)),"Branco","Automático"))</f>
        <v>Branco</v>
      </c>
      <c r="C15" t="str">
        <f t="shared" ca="1" si="1"/>
        <v/>
      </c>
      <c r="D15" s="280">
        <f t="shared" si="2"/>
        <v>2</v>
      </c>
      <c r="E15" s="117"/>
      <c r="F15" s="117"/>
      <c r="G15" s="162" t="str">
        <f ca="1">IF(OR($B15="Manual",$B15="SemiAuto"),QCI.DescManual,IF($B15="Automático",INDEX(ORÇAMENTO!$R$15:$R$33,MATCH($A15,ORÇAMENTO!$E$15:$E$33,0)),""))</f>
        <v/>
      </c>
      <c r="H15" s="117"/>
      <c r="I15" s="463"/>
      <c r="J15" s="281" t="str">
        <f ca="1">IF(AND(ISBLANK(E15),ISBLANK(F15)),"",VLOOKUP($F15,OFFSET(DADOS!$A$2,1,MATCH(QCI!$E15,DADOS!$2:$2,0)-1,100,50),2,FALSE))</f>
        <v/>
      </c>
      <c r="K15" s="462" t="str" cm="1">
        <f t="array" aca="1" ref="K15" ca="1">IF(OR($B15="Manual",$B15="SemiAuto"),QCI.LoteManual,IF($B15="Automático",IF(TIPOORCAMENTO="Licitado",Import.CTEF,"LOTE 1"),""))</f>
        <v/>
      </c>
      <c r="L15" s="282">
        <f t="shared" ca="1" si="3"/>
        <v>0</v>
      </c>
      <c r="M15" s="283">
        <f t="shared" ca="1" si="4"/>
        <v>0</v>
      </c>
      <c r="N15" s="284">
        <f t="shared" ca="1" si="5"/>
        <v>0</v>
      </c>
      <c r="O15" s="285" cm="1">
        <f t="array" aca="1" ref="O15" ca="1">IF($B15="Branco",0,IF(OR($B15="Manual",$B15="SemiAuto"),QCI.InvManual,INDEX(ORÇAMENTO!X$15:X$33,MATCH($A15,ORÇAMENTO!$E$15:$E$33,0))))</f>
        <v>0</v>
      </c>
      <c r="P15" s="576" t="str">
        <f t="shared" ca="1" si="6"/>
        <v/>
      </c>
      <c r="R15" s="464"/>
      <c r="S15" s="577" t="str">
        <f t="shared" si="7"/>
        <v/>
      </c>
      <c r="T15" s="465"/>
      <c r="U15" s="578"/>
      <c r="V15" s="466" t="s">
        <v>819</v>
      </c>
      <c r="W15" s="579">
        <v>0</v>
      </c>
      <c r="X15" s="580">
        <v>0</v>
      </c>
      <c r="Z15">
        <f t="shared" ca="1" si="8"/>
        <v>0</v>
      </c>
      <c r="AA15" cm="1">
        <f t="array" aca="1" ref="AA15" ca="1">IF($B15="Branco",0,IF($B15="Manual",QCI.CPManual,IF($B15="SemiAuto",ROUND(QCI!$AA$3*QCI.InvManual,2),INDEX(ORÇAMENTO!$AA$15:$AA$33,MATCH($A15,ORÇAMENTO!$E$15:$E$33,0)))))</f>
        <v>0</v>
      </c>
      <c r="AB15" cm="1">
        <f t="array" aca="1" ref="AB15" ca="1">IF($B15="Branco",0,IF($B15="Manual",QCI.OutrosManual,IF($B15="SemiAuto",0,INDEX(ORÇAMENTO!$AB$15:$AB$33,MATCH($A15,ORÇAMENTO!$E$15:$E$33,0)))))</f>
        <v>0</v>
      </c>
      <c r="AD15" s="288" t="b">
        <f ca="1">AND($AA$3&gt;0,$AA$3&lt;1,$O15&gt;0,OR($B15="Automático",$B15="SemiAuto"),OR(QCI!$Z$3=QCI!$Z$7,QCI!$Z$3=QCI!$AA$7,QCI!$Z$3=QCI!$AB$7))</f>
        <v>0</v>
      </c>
      <c r="AE15" s="288">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IF(NOT(ISBLANK(QCI.DescManual)),IF(QCI.Divisao="Calculado","Manual","SemiAuto"),IF(ISERROR(MATCH($A16,ORÇAMENTO!$E$15:$E$33,0)),"Branco","Automático"))</f>
        <v>Branco</v>
      </c>
      <c r="C16" t="str">
        <f t="shared" ca="1" si="1"/>
        <v/>
      </c>
      <c r="D16" s="280">
        <f t="shared" si="2"/>
        <v>3</v>
      </c>
      <c r="E16" s="117"/>
      <c r="F16" s="117"/>
      <c r="G16" s="162" t="str">
        <f ca="1">IF(OR($B16="Manual",$B16="SemiAuto"),QCI.DescManual,IF($B16="Automático",INDEX(ORÇAMENTO!$R$15:$R$33,MATCH($A16,ORÇAMENTO!$E$15:$E$33,0)),""))</f>
        <v/>
      </c>
      <c r="H16" s="117"/>
      <c r="I16" s="463"/>
      <c r="J16" s="281" t="str">
        <f ca="1">IF(AND(ISBLANK(E16),ISBLANK(F16)),"",VLOOKUP($F16,OFFSET(DADOS!$A$2,1,MATCH(QCI!$E16,DADOS!$2:$2,0)-1,100,50),2,FALSE))</f>
        <v/>
      </c>
      <c r="K16" s="462" t="str" cm="1">
        <f t="array" aca="1" ref="K16" ca="1">IF(OR($B16="Manual",$B16="SemiAuto"),QCI.LoteManual,IF($B16="Automático",IF(TIPOORCAMENTO="Licitado",Import.CTEF,"LOTE 1"),""))</f>
        <v/>
      </c>
      <c r="L16" s="282">
        <f t="shared" ca="1" si="3"/>
        <v>0</v>
      </c>
      <c r="M16" s="283">
        <f t="shared" ca="1" si="4"/>
        <v>0</v>
      </c>
      <c r="N16" s="284">
        <f t="shared" ca="1" si="5"/>
        <v>0</v>
      </c>
      <c r="O16" s="285" cm="1">
        <f t="array" aca="1" ref="O16" ca="1">IF($B16="Branco",0,IF(OR($B16="Manual",$B16="SemiAuto"),QCI.InvManual,INDEX(ORÇAMENTO!X$15:X$33,MATCH($A16,ORÇAMENTO!$E$15:$E$33,0))))</f>
        <v>0</v>
      </c>
      <c r="P16" s="576" t="str">
        <f t="shared" ca="1" si="6"/>
        <v/>
      </c>
      <c r="R16" s="464"/>
      <c r="S16" s="577" t="str">
        <f t="shared" si="7"/>
        <v/>
      </c>
      <c r="T16" s="465"/>
      <c r="U16" s="578"/>
      <c r="V16" s="466" t="s">
        <v>819</v>
      </c>
      <c r="W16" s="579">
        <v>0</v>
      </c>
      <c r="X16" s="580">
        <v>0</v>
      </c>
      <c r="Z16">
        <f t="shared" ca="1" si="8"/>
        <v>0</v>
      </c>
      <c r="AA16" cm="1">
        <f t="array" aca="1" ref="AA16" ca="1">IF($B16="Branco",0,IF($B16="Manual",QCI.CPManual,IF($B16="SemiAuto",ROUND(QCI!$AA$3*QCI.InvManual,2),INDEX(ORÇAMENTO!$AA$15:$AA$33,MATCH($A16,ORÇAMENTO!$E$15:$E$33,0)))))</f>
        <v>0</v>
      </c>
      <c r="AB16" cm="1">
        <f t="array" aca="1" ref="AB16" ca="1">IF($B16="Branco",0,IF($B16="Manual",QCI.OutrosManual,IF($B16="SemiAuto",0,INDEX(ORÇAMENTO!$AB$15:$AB$33,MATCH($A16,ORÇAMENTO!$E$15:$E$33,0)))))</f>
        <v>0</v>
      </c>
      <c r="AD16" s="288" t="b">
        <f ca="1">AND($AA$3&gt;0,$AA$3&lt;1,$O16&gt;0,OR($B16="Automático",$B16="SemiAuto"),OR(QCI!$Z$3=QCI!$Z$7,QCI!$Z$3=QCI!$AA$7,QCI!$Z$3=QCI!$AB$7))</f>
        <v>0</v>
      </c>
      <c r="AE16" s="288">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IF(NOT(ISBLANK(QCI.DescManual)),IF(QCI.Divisao="Calculado","Manual","SemiAuto"),IF(ISERROR(MATCH($A17,ORÇAMENTO!$E$15:$E$33,0)),"Branco","Automático"))</f>
        <v>Branco</v>
      </c>
      <c r="C17" t="str">
        <f t="shared" ca="1" si="1"/>
        <v/>
      </c>
      <c r="D17" s="280">
        <f t="shared" si="2"/>
        <v>4</v>
      </c>
      <c r="E17" s="117"/>
      <c r="F17" s="117"/>
      <c r="G17" s="162" t="str">
        <f ca="1">IF(OR($B17="Manual",$B17="SemiAuto"),QCI.DescManual,IF($B17="Automático",INDEX(ORÇAMENTO!$R$15:$R$33,MATCH($A17,ORÇAMENTO!$E$15:$E$33,0)),""))</f>
        <v/>
      </c>
      <c r="H17" s="117"/>
      <c r="I17" s="463"/>
      <c r="J17" s="281" t="str">
        <f ca="1">IF(AND(ISBLANK(E17),ISBLANK(F17)),"",VLOOKUP($F17,OFFSET(DADOS!$A$2,1,MATCH(QCI!$E17,DADOS!$2:$2,0)-1,100,50),2,FALSE))</f>
        <v/>
      </c>
      <c r="K17" s="462" t="str" cm="1">
        <f t="array" aca="1" ref="K17" ca="1">IF(OR($B17="Manual",$B17="SemiAuto"),QCI.LoteManual,IF($B17="Automático",IF(TIPOORCAMENTO="Licitado",Import.CTEF,"LOTE 1"),""))</f>
        <v/>
      </c>
      <c r="L17" s="282">
        <f t="shared" ca="1" si="3"/>
        <v>0</v>
      </c>
      <c r="M17" s="283">
        <f t="shared" ca="1" si="4"/>
        <v>0</v>
      </c>
      <c r="N17" s="284">
        <f t="shared" ca="1" si="5"/>
        <v>0</v>
      </c>
      <c r="O17" s="285" cm="1">
        <f t="array" aca="1" ref="O17" ca="1">IF($B17="Branco",0,IF(OR($B17="Manual",$B17="SemiAuto"),QCI.InvManual,INDEX(ORÇAMENTO!X$15:X$33,MATCH($A17,ORÇAMENTO!$E$15:$E$33,0))))</f>
        <v>0</v>
      </c>
      <c r="P17" s="576" t="str">
        <f t="shared" ca="1" si="6"/>
        <v/>
      </c>
      <c r="R17" s="464"/>
      <c r="S17" s="577" t="str">
        <f t="shared" si="7"/>
        <v/>
      </c>
      <c r="T17" s="465"/>
      <c r="U17" s="578"/>
      <c r="V17" s="466" t="s">
        <v>819</v>
      </c>
      <c r="W17" s="579">
        <v>0</v>
      </c>
      <c r="X17" s="580">
        <v>0</v>
      </c>
      <c r="Z17">
        <f t="shared" ca="1" si="8"/>
        <v>0</v>
      </c>
      <c r="AA17" cm="1">
        <f t="array" aca="1" ref="AA17" ca="1">IF($B17="Branco",0,IF($B17="Manual",QCI.CPManual,IF($B17="SemiAuto",ROUND(QCI!$AA$3*QCI.InvManual,2),INDEX(ORÇAMENTO!$AA$15:$AA$33,MATCH($A17,ORÇAMENTO!$E$15:$E$33,0)))))</f>
        <v>0</v>
      </c>
      <c r="AB17" cm="1">
        <f t="array" aca="1" ref="AB17" ca="1">IF($B17="Branco",0,IF($B17="Manual",QCI.OutrosManual,IF($B17="SemiAuto",0,INDEX(ORÇAMENTO!$AB$15:$AB$33,MATCH($A17,ORÇAMENTO!$E$15:$E$33,0)))))</f>
        <v>0</v>
      </c>
      <c r="AD17" s="288" t="b">
        <f ca="1">AND($AA$3&gt;0,$AA$3&lt;1,$O17&gt;0,OR($B17="Automático",$B17="SemiAuto"),OR(QCI!$Z$3=QCI!$Z$7,QCI!$Z$3=QCI!$AA$7,QCI!$Z$3=QCI!$AB$7))</f>
        <v>0</v>
      </c>
      <c r="AE17" s="288">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IF(NOT(ISBLANK(QCI.DescManual)),IF(QCI.Divisao="Calculado","Manual","SemiAuto"),IF(ISERROR(MATCH($A18,ORÇAMENTO!$E$15:$E$33,0)),"Branco","Automático"))</f>
        <v>Branco</v>
      </c>
      <c r="C18" t="str">
        <f t="shared" ca="1" si="1"/>
        <v/>
      </c>
      <c r="D18" s="280">
        <f t="shared" si="2"/>
        <v>5</v>
      </c>
      <c r="E18" s="117"/>
      <c r="F18" s="117"/>
      <c r="G18" s="162" t="str">
        <f ca="1">IF(OR($B18="Manual",$B18="SemiAuto"),QCI.DescManual,IF($B18="Automático",INDEX(ORÇAMENTO!$R$15:$R$33,MATCH($A18,ORÇAMENTO!$E$15:$E$33,0)),""))</f>
        <v/>
      </c>
      <c r="H18" s="117"/>
      <c r="I18" s="463"/>
      <c r="J18" s="281" t="str">
        <f ca="1">IF(AND(ISBLANK(E18),ISBLANK(F18)),"",VLOOKUP($F18,OFFSET(DADOS!$A$2,1,MATCH(QCI!$E18,DADOS!$2:$2,0)-1,100,50),2,FALSE))</f>
        <v/>
      </c>
      <c r="K18" s="462" t="str" cm="1">
        <f t="array" aca="1" ref="K18" ca="1">IF(OR($B18="Manual",$B18="SemiAuto"),QCI.LoteManual,IF($B18="Automático",IF(TIPOORCAMENTO="Licitado",Import.CTEF,"LOTE 1"),""))</f>
        <v/>
      </c>
      <c r="L18" s="282">
        <f t="shared" ca="1" si="3"/>
        <v>0</v>
      </c>
      <c r="M18" s="283">
        <f t="shared" ca="1" si="4"/>
        <v>0</v>
      </c>
      <c r="N18" s="284">
        <f t="shared" ca="1" si="5"/>
        <v>0</v>
      </c>
      <c r="O18" s="285" cm="1">
        <f t="array" aca="1" ref="O18" ca="1">IF($B18="Branco",0,IF(OR($B18="Manual",$B18="SemiAuto"),QCI.InvManual,INDEX(ORÇAMENTO!X$15:X$33,MATCH($A18,ORÇAMENTO!$E$15:$E$33,0))))</f>
        <v>0</v>
      </c>
      <c r="P18" s="576" t="str">
        <f t="shared" ca="1" si="6"/>
        <v/>
      </c>
      <c r="R18" s="464"/>
      <c r="S18" s="577" t="str">
        <f t="shared" si="7"/>
        <v/>
      </c>
      <c r="T18" s="465"/>
      <c r="U18" s="578"/>
      <c r="V18" s="466" t="s">
        <v>819</v>
      </c>
      <c r="W18" s="579">
        <v>0</v>
      </c>
      <c r="X18" s="580">
        <v>0</v>
      </c>
      <c r="Z18">
        <f t="shared" ca="1" si="8"/>
        <v>0</v>
      </c>
      <c r="AA18" cm="1">
        <f t="array" aca="1" ref="AA18" ca="1">IF($B18="Branco",0,IF($B18="Manual",QCI.CPManual,IF($B18="SemiAuto",ROUND(QCI!$AA$3*QCI.InvManual,2),INDEX(ORÇAMENTO!$AA$15:$AA$33,MATCH($A18,ORÇAMENTO!$E$15:$E$33,0)))))</f>
        <v>0</v>
      </c>
      <c r="AB18" cm="1">
        <f t="array" aca="1" ref="AB18" ca="1">IF($B18="Branco",0,IF($B18="Manual",QCI.OutrosManual,IF($B18="SemiAuto",0,INDEX(ORÇAMENTO!$AB$15:$AB$33,MATCH($A18,ORÇAMENTO!$E$15:$E$33,0)))))</f>
        <v>0</v>
      </c>
      <c r="AD18" s="288" t="b">
        <f ca="1">AND($AA$3&gt;0,$AA$3&lt;1,$O18&gt;0,OR($B18="Automático",$B18="SemiAuto"),OR(QCI!$Z$3=QCI!$Z$7,QCI!$Z$3=QCI!$AA$7,QCI!$Z$3=QCI!$AB$7))</f>
        <v>0</v>
      </c>
      <c r="AE18" s="288">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IF(NOT(ISBLANK(QCI.DescManual)),IF(QCI.Divisao="Calculado","Manual","SemiAuto"),IF(ISERROR(MATCH($A19,ORÇAMENTO!$E$15:$E$33,0)),"Branco","Automático"))</f>
        <v>Branco</v>
      </c>
      <c r="C19" t="str">
        <f t="shared" ca="1" si="1"/>
        <v/>
      </c>
      <c r="D19" s="280">
        <f t="shared" si="2"/>
        <v>6</v>
      </c>
      <c r="E19" s="117"/>
      <c r="F19" s="117"/>
      <c r="G19" s="162" t="str">
        <f ca="1">IF(OR($B19="Manual",$B19="SemiAuto"),QCI.DescManual,IF($B19="Automático",INDEX(ORÇAMENTO!$R$15:$R$33,MATCH($A19,ORÇAMENTO!$E$15:$E$33,0)),""))</f>
        <v/>
      </c>
      <c r="H19" s="117"/>
      <c r="I19" s="463"/>
      <c r="J19" s="281" t="str">
        <f ca="1">IF(AND(ISBLANK(E19),ISBLANK(F19)),"",VLOOKUP($F19,OFFSET(DADOS!$A$2,1,MATCH(QCI!$E19,DADOS!$2:$2,0)-1,100,50),2,FALSE))</f>
        <v/>
      </c>
      <c r="K19" s="462" t="str" cm="1">
        <f t="array" aca="1" ref="K19" ca="1">IF(OR($B19="Manual",$B19="SemiAuto"),QCI.LoteManual,IF($B19="Automático",IF(TIPOORCAMENTO="Licitado",Import.CTEF,"LOTE 1"),""))</f>
        <v/>
      </c>
      <c r="L19" s="282">
        <f t="shared" ca="1" si="3"/>
        <v>0</v>
      </c>
      <c r="M19" s="283">
        <f t="shared" ca="1" si="4"/>
        <v>0</v>
      </c>
      <c r="N19" s="284">
        <f t="shared" ca="1" si="5"/>
        <v>0</v>
      </c>
      <c r="O19" s="285" cm="1">
        <f t="array" aca="1" ref="O19" ca="1">IF($B19="Branco",0,IF(OR($B19="Manual",$B19="SemiAuto"),QCI.InvManual,INDEX(ORÇAMENTO!X$15:X$33,MATCH($A19,ORÇAMENTO!$E$15:$E$33,0))))</f>
        <v>0</v>
      </c>
      <c r="P19" s="576" t="str">
        <f t="shared" ca="1" si="6"/>
        <v/>
      </c>
      <c r="R19" s="464"/>
      <c r="S19" s="577" t="str">
        <f t="shared" si="7"/>
        <v/>
      </c>
      <c r="T19" s="465"/>
      <c r="U19" s="578"/>
      <c r="V19" s="466" t="s">
        <v>819</v>
      </c>
      <c r="W19" s="579">
        <v>0</v>
      </c>
      <c r="X19" s="580">
        <v>0</v>
      </c>
      <c r="Z19">
        <f t="shared" ca="1" si="8"/>
        <v>0</v>
      </c>
      <c r="AA19" cm="1">
        <f t="array" aca="1" ref="AA19" ca="1">IF($B19="Branco",0,IF($B19="Manual",QCI.CPManual,IF($B19="SemiAuto",ROUND(QCI!$AA$3*QCI.InvManual,2),INDEX(ORÇAMENTO!$AA$15:$AA$33,MATCH($A19,ORÇAMENTO!$E$15:$E$33,0)))))</f>
        <v>0</v>
      </c>
      <c r="AB19" cm="1">
        <f t="array" aca="1" ref="AB19" ca="1">IF($B19="Branco",0,IF($B19="Manual",QCI.OutrosManual,IF($B19="SemiAuto",0,INDEX(ORÇAMENTO!$AB$15:$AB$33,MATCH($A19,ORÇAMENTO!$E$15:$E$33,0)))))</f>
        <v>0</v>
      </c>
      <c r="AD19" s="288" t="b">
        <f ca="1">AND($AA$3&gt;0,$AA$3&lt;1,$O19&gt;0,OR($B19="Automático",$B19="SemiAuto"),OR(QCI!$Z$3=QCI!$Z$7,QCI!$Z$3=QCI!$AA$7,QCI!$Z$3=QCI!$AB$7))</f>
        <v>0</v>
      </c>
      <c r="AE19" s="288">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IF(NOT(ISBLANK(QCI.DescManual)),IF(QCI.Divisao="Calculado","Manual","SemiAuto"),IF(ISERROR(MATCH($A20,ORÇAMENTO!$E$15:$E$33,0)),"Branco","Automático"))</f>
        <v>Branco</v>
      </c>
      <c r="C20" t="str">
        <f t="shared" ca="1" si="1"/>
        <v/>
      </c>
      <c r="D20" s="280">
        <f t="shared" si="2"/>
        <v>7</v>
      </c>
      <c r="E20" s="117"/>
      <c r="F20" s="117"/>
      <c r="G20" s="162" t="str">
        <f ca="1">IF(OR($B20="Manual",$B20="SemiAuto"),QCI.DescManual,IF($B20="Automático",INDEX(ORÇAMENTO!$R$15:$R$33,MATCH($A20,ORÇAMENTO!$E$15:$E$33,0)),""))</f>
        <v/>
      </c>
      <c r="H20" s="117"/>
      <c r="I20" s="463"/>
      <c r="J20" s="281" t="str">
        <f ca="1">IF(AND(ISBLANK(E20),ISBLANK(F20)),"",VLOOKUP($F20,OFFSET(DADOS!$A$2,1,MATCH(QCI!$E20,DADOS!$2:$2,0)-1,100,50),2,FALSE))</f>
        <v/>
      </c>
      <c r="K20" s="462" t="str" cm="1">
        <f t="array" aca="1" ref="K20" ca="1">IF(OR($B20="Manual",$B20="SemiAuto"),QCI.LoteManual,IF($B20="Automático",IF(TIPOORCAMENTO="Licitado",Import.CTEF,"LOTE 1"),""))</f>
        <v/>
      </c>
      <c r="L20" s="282">
        <f t="shared" ca="1" si="3"/>
        <v>0</v>
      </c>
      <c r="M20" s="283">
        <f t="shared" ca="1" si="4"/>
        <v>0</v>
      </c>
      <c r="N20" s="284">
        <f t="shared" ca="1" si="5"/>
        <v>0</v>
      </c>
      <c r="O20" s="285" cm="1">
        <f t="array" aca="1" ref="O20" ca="1">IF($B20="Branco",0,IF(OR($B20="Manual",$B20="SemiAuto"),QCI.InvManual,INDEX(ORÇAMENTO!X$15:X$33,MATCH($A20,ORÇAMENTO!$E$15:$E$33,0))))</f>
        <v>0</v>
      </c>
      <c r="P20" s="576" t="str">
        <f t="shared" ca="1" si="6"/>
        <v/>
      </c>
      <c r="R20" s="464"/>
      <c r="S20" s="577" t="str">
        <f t="shared" si="7"/>
        <v/>
      </c>
      <c r="T20" s="465"/>
      <c r="U20" s="578"/>
      <c r="V20" s="466" t="s">
        <v>819</v>
      </c>
      <c r="W20" s="579">
        <v>0</v>
      </c>
      <c r="X20" s="580">
        <v>0</v>
      </c>
      <c r="Z20">
        <f t="shared" ca="1" si="8"/>
        <v>0</v>
      </c>
      <c r="AA20" cm="1">
        <f t="array" aca="1" ref="AA20" ca="1">IF($B20="Branco",0,IF($B20="Manual",QCI.CPManual,IF($B20="SemiAuto",ROUND(QCI!$AA$3*QCI.InvManual,2),INDEX(ORÇAMENTO!$AA$15:$AA$33,MATCH($A20,ORÇAMENTO!$E$15:$E$33,0)))))</f>
        <v>0</v>
      </c>
      <c r="AB20" cm="1">
        <f t="array" aca="1" ref="AB20" ca="1">IF($B20="Branco",0,IF($B20="Manual",QCI.OutrosManual,IF($B20="SemiAuto",0,INDEX(ORÇAMENTO!$AB$15:$AB$33,MATCH($A20,ORÇAMENTO!$E$15:$E$33,0)))))</f>
        <v>0</v>
      </c>
      <c r="AD20" s="288" t="b">
        <f ca="1">AND($AA$3&gt;0,$AA$3&lt;1,$O20&gt;0,OR($B20="Automático",$B20="SemiAuto"),OR(QCI!$Z$3=QCI!$Z$7,QCI!$Z$3=QCI!$AA$7,QCI!$Z$3=QCI!$AB$7))</f>
        <v>0</v>
      </c>
      <c r="AE20" s="288">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IF(NOT(ISBLANK(QCI.DescManual)),IF(QCI.Divisao="Calculado","Manual","SemiAuto"),IF(ISERROR(MATCH($A21,ORÇAMENTO!$E$15:$E$33,0)),"Branco","Automático"))</f>
        <v>Branco</v>
      </c>
      <c r="C21" t="str">
        <f t="shared" ca="1" si="1"/>
        <v/>
      </c>
      <c r="D21" s="280">
        <f t="shared" si="2"/>
        <v>8</v>
      </c>
      <c r="E21" s="117"/>
      <c r="F21" s="117"/>
      <c r="G21" s="162" t="str">
        <f ca="1">IF(OR($B21="Manual",$B21="SemiAuto"),QCI.DescManual,IF($B21="Automático",INDEX(ORÇAMENTO!$R$15:$R$33,MATCH($A21,ORÇAMENTO!$E$15:$E$33,0)),""))</f>
        <v/>
      </c>
      <c r="H21" s="117"/>
      <c r="I21" s="463"/>
      <c r="J21" s="281" t="str">
        <f ca="1">IF(AND(ISBLANK(E21),ISBLANK(F21)),"",VLOOKUP($F21,OFFSET(DADOS!$A$2,1,MATCH(QCI!$E21,DADOS!$2:$2,0)-1,100,50),2,FALSE))</f>
        <v/>
      </c>
      <c r="K21" s="462" t="str" cm="1">
        <f t="array" aca="1" ref="K21" ca="1">IF(OR($B21="Manual",$B21="SemiAuto"),QCI.LoteManual,IF($B21="Automático",IF(TIPOORCAMENTO="Licitado",Import.CTEF,"LOTE 1"),""))</f>
        <v/>
      </c>
      <c r="L21" s="282">
        <f t="shared" ca="1" si="3"/>
        <v>0</v>
      </c>
      <c r="M21" s="283">
        <f t="shared" ca="1" si="4"/>
        <v>0</v>
      </c>
      <c r="N21" s="284">
        <f t="shared" ca="1" si="5"/>
        <v>0</v>
      </c>
      <c r="O21" s="285" cm="1">
        <f t="array" aca="1" ref="O21" ca="1">IF($B21="Branco",0,IF(OR($B21="Manual",$B21="SemiAuto"),QCI.InvManual,INDEX(ORÇAMENTO!X$15:X$33,MATCH($A21,ORÇAMENTO!$E$15:$E$33,0))))</f>
        <v>0</v>
      </c>
      <c r="P21" s="576" t="str">
        <f t="shared" ca="1" si="6"/>
        <v/>
      </c>
      <c r="R21" s="464"/>
      <c r="S21" s="577" t="str">
        <f t="shared" si="7"/>
        <v/>
      </c>
      <c r="T21" s="465"/>
      <c r="U21" s="578"/>
      <c r="V21" s="466" t="s">
        <v>819</v>
      </c>
      <c r="W21" s="579">
        <v>0</v>
      </c>
      <c r="X21" s="580">
        <v>0</v>
      </c>
      <c r="Z21">
        <f t="shared" ca="1" si="8"/>
        <v>0</v>
      </c>
      <c r="AA21" cm="1">
        <f t="array" aca="1" ref="AA21" ca="1">IF($B21="Branco",0,IF($B21="Manual",QCI.CPManual,IF($B21="SemiAuto",ROUND(QCI!$AA$3*QCI.InvManual,2),INDEX(ORÇAMENTO!$AA$15:$AA$33,MATCH($A21,ORÇAMENTO!$E$15:$E$33,0)))))</f>
        <v>0</v>
      </c>
      <c r="AB21" cm="1">
        <f t="array" aca="1" ref="AB21" ca="1">IF($B21="Branco",0,IF($B21="Manual",QCI.OutrosManual,IF($B21="SemiAuto",0,INDEX(ORÇAMENTO!$AB$15:$AB$33,MATCH($A21,ORÇAMENTO!$E$15:$E$33,0)))))</f>
        <v>0</v>
      </c>
      <c r="AD21" s="288" t="b">
        <f ca="1">AND($AA$3&gt;0,$AA$3&lt;1,$O21&gt;0,OR($B21="Automático",$B21="SemiAuto"),OR(QCI!$Z$3=QCI!$Z$7,QCI!$Z$3=QCI!$AA$7,QCI!$Z$3=QCI!$AB$7))</f>
        <v>0</v>
      </c>
      <c r="AE21" s="288">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IF(NOT(ISBLANK(QCI.DescManual)),IF(QCI.Divisao="Calculado","Manual","SemiAuto"),IF(ISERROR(MATCH($A22,ORÇAMENTO!$E$15:$E$33,0)),"Branco","Automático"))</f>
        <v>Branco</v>
      </c>
      <c r="C22" t="str">
        <f t="shared" ca="1" si="1"/>
        <v/>
      </c>
      <c r="D22" s="280">
        <f t="shared" si="2"/>
        <v>9</v>
      </c>
      <c r="E22" s="117"/>
      <c r="F22" s="117"/>
      <c r="G22" s="162" t="str">
        <f ca="1">IF(OR($B22="Manual",$B22="SemiAuto"),QCI.DescManual,IF($B22="Automático",INDEX(ORÇAMENTO!$R$15:$R$33,MATCH($A22,ORÇAMENTO!$E$15:$E$33,0)),""))</f>
        <v/>
      </c>
      <c r="H22" s="117"/>
      <c r="I22" s="463"/>
      <c r="J22" s="281" t="str">
        <f ca="1">IF(AND(ISBLANK(E22),ISBLANK(F22)),"",VLOOKUP($F22,OFFSET(DADOS!$A$2,1,MATCH(QCI!$E22,DADOS!$2:$2,0)-1,100,50),2,FALSE))</f>
        <v/>
      </c>
      <c r="K22" s="462" t="str" cm="1">
        <f t="array" aca="1" ref="K22" ca="1">IF(OR($B22="Manual",$B22="SemiAuto"),QCI.LoteManual,IF($B22="Automático",IF(TIPOORCAMENTO="Licitado",Import.CTEF,"LOTE 1"),""))</f>
        <v/>
      </c>
      <c r="L22" s="282">
        <f t="shared" ca="1" si="3"/>
        <v>0</v>
      </c>
      <c r="M22" s="283">
        <f t="shared" ca="1" si="4"/>
        <v>0</v>
      </c>
      <c r="N22" s="284">
        <f t="shared" ca="1" si="5"/>
        <v>0</v>
      </c>
      <c r="O22" s="285" cm="1">
        <f t="array" aca="1" ref="O22" ca="1">IF($B22="Branco",0,IF(OR($B22="Manual",$B22="SemiAuto"),QCI.InvManual,INDEX(ORÇAMENTO!X$15:X$33,MATCH($A22,ORÇAMENTO!$E$15:$E$33,0))))</f>
        <v>0</v>
      </c>
      <c r="P22" s="576" t="str">
        <f t="shared" ca="1" si="6"/>
        <v/>
      </c>
      <c r="R22" s="464"/>
      <c r="S22" s="577" t="str">
        <f t="shared" si="7"/>
        <v/>
      </c>
      <c r="T22" s="465"/>
      <c r="U22" s="578"/>
      <c r="V22" s="466" t="s">
        <v>819</v>
      </c>
      <c r="W22" s="579">
        <v>0</v>
      </c>
      <c r="X22" s="580">
        <v>0</v>
      </c>
      <c r="Z22">
        <f t="shared" ca="1" si="8"/>
        <v>0</v>
      </c>
      <c r="AA22" cm="1">
        <f t="array" aca="1" ref="AA22" ca="1">IF($B22="Branco",0,IF($B22="Manual",QCI.CPManual,IF($B22="SemiAuto",ROUND(QCI!$AA$3*QCI.InvManual,2),INDEX(ORÇAMENTO!$AA$15:$AA$33,MATCH($A22,ORÇAMENTO!$E$15:$E$33,0)))))</f>
        <v>0</v>
      </c>
      <c r="AB22" cm="1">
        <f t="array" aca="1" ref="AB22" ca="1">IF($B22="Branco",0,IF($B22="Manual",QCI.OutrosManual,IF($B22="SemiAuto",0,INDEX(ORÇAMENTO!$AB$15:$AB$33,MATCH($A22,ORÇAMENTO!$E$15:$E$33,0)))))</f>
        <v>0</v>
      </c>
      <c r="AD22" s="288" t="b">
        <f ca="1">AND($AA$3&gt;0,$AA$3&lt;1,$O22&gt;0,OR($B22="Automático",$B22="SemiAuto"),OR(QCI!$Z$3=QCI!$Z$7,QCI!$Z$3=QCI!$AA$7,QCI!$Z$3=QCI!$AB$7))</f>
        <v>0</v>
      </c>
      <c r="AE22" s="288">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IF(NOT(ISBLANK(QCI.DescManual)),IF(QCI.Divisao="Calculado","Manual","SemiAuto"),IF(ISERROR(MATCH($A23,ORÇAMENTO!$E$15:$E$33,0)),"Branco","Automático"))</f>
        <v>Branco</v>
      </c>
      <c r="C23" t="str">
        <f ca="1">IF(O23&gt;0,"F","")</f>
        <v/>
      </c>
      <c r="D23" s="280">
        <f>ROW()-ROW($D$13)</f>
        <v>10</v>
      </c>
      <c r="E23" s="117"/>
      <c r="F23" s="117"/>
      <c r="G23" s="162" t="str">
        <f ca="1">IF(OR($B23="Manual",$B23="SemiAuto"),QCI.DescManual,IF($B23="Automático",INDEX(ORÇAMENTO!$R$15:$R$33,MATCH($A23,ORÇAMENTO!$E$15:$E$33,0)),""))</f>
        <v/>
      </c>
      <c r="H23" s="117"/>
      <c r="I23" s="463"/>
      <c r="J23" s="281" t="str">
        <f ca="1">IF(AND(ISBLANK(E23),ISBLANK(F23)),"",VLOOKUP($F23,OFFSET(DADOS!$A$2,1,MATCH(QCI!$E23,DADOS!$2:$2,0)-1,100,50),2,FALSE))</f>
        <v/>
      </c>
      <c r="K23" s="462" t="str" cm="1">
        <f t="array" aca="1" ref="K23" ca="1">IF(OR($B23="Manual",$B23="SemiAuto"),QCI.LoteManual,IF($B23="Automático",IF(TIPOORCAMENTO="Licitado",Import.CTEF,"LOTE 1"),""))</f>
        <v/>
      </c>
      <c r="L23" s="282">
        <f ca="1">ROUND($O23,2)-ROUND($M23,2)-ROUND($N23,2)</f>
        <v>0</v>
      </c>
      <c r="M23" s="283">
        <f ca="1">ROUND($AA23,2)-ROUND($AE23,2)</f>
        <v>0</v>
      </c>
      <c r="N23" s="284">
        <f ca="1">ROUND($AB23,2)</f>
        <v>0</v>
      </c>
      <c r="O23" s="285" cm="1">
        <f t="array" aca="1" ref="O23" ca="1">IF($B23="Branco",0,IF(OR($B23="Manual",$B23="SemiAuto"),QCI.InvManual,INDEX(ORÇAMENTO!X$15:X$33,MATCH($A23,ORÇAMENTO!$E$15:$E$33,0))))</f>
        <v>0</v>
      </c>
      <c r="P23" s="576" t="str">
        <f ca="1">IF(O23=0,"",
  IF(E23="","ITEM",
  IF(F23="","SUBITEM",
  IF(H23="","SITUAÇÃO",
  IF(I23=0,"QUANT.","")))))</f>
        <v/>
      </c>
      <c r="R23" s="464"/>
      <c r="S23" s="577" t="str">
        <f>IF(R23="","",
  IF(T23=0,"► LOTE",
  IF(U23=0,"► INVEST",
  IF(V23=0,"► DIV",
  IF(AND(V23="Calculado",W23=""),"► CP",
  IF(AND(V23="Calculado",X23=""),"► OU",""))))))</f>
        <v/>
      </c>
      <c r="T23" s="465"/>
      <c r="U23" s="578"/>
      <c r="V23" s="466" t="s">
        <v>819</v>
      </c>
      <c r="W23" s="579">
        <v>0</v>
      </c>
      <c r="X23" s="580">
        <v>0</v>
      </c>
      <c r="Z23">
        <f ca="1">$O23-$AA23-$AB23</f>
        <v>0</v>
      </c>
      <c r="AA23" cm="1">
        <f t="array" aca="1" ref="AA23" ca="1">IF($B23="Branco",0,IF($B23="Manual",QCI.CPManual,IF($B23="SemiAuto",ROUND(QCI!$AA$3*QCI.InvManual,2),INDEX(ORÇAMENTO!$AA$15:$AA$33,MATCH($A23,ORÇAMENTO!$E$15:$E$33,0)))))</f>
        <v>0</v>
      </c>
      <c r="AB23" cm="1">
        <f t="array" aca="1" ref="AB23" ca="1">IF($B23="Branco",0,IF($B23="Manual",QCI.OutrosManual,IF($B23="SemiAuto",0,INDEX(ORÇAMENTO!$AB$15:$AB$33,MATCH($A23,ORÇAMENTO!$E$15:$E$33,0)))))</f>
        <v>0</v>
      </c>
      <c r="AD23" s="288" t="b">
        <f ca="1">AND($AA$3&gt;0,$AA$3&lt;1,$O23&gt;0,OR($B23="Automático",$B23="SemiAuto"),OR(QCI!$Z$3=QCI!$Z$7,QCI!$Z$3=QCI!$AA$7,QCI!$Z$3=QCI!$AB$7))</f>
        <v>0</v>
      </c>
      <c r="AE23" s="288">
        <f ca="1">IF(AND($AD23,$O23&gt;0,COUNTIF(OFFSET($AD23,1,0):$AD$24,TRUE)=0),CHOOSE(1+LOG(1+2*(QCI!$Z$3=QCI!$Z$7)+4*(QCI!$Z$3=QCI!$AA$7)+8*(QCI!$Z$3=QCI!$AB$7),2),0,$AA$24-ROUND(Import.CPMinPerc*$O$24,2),$AA$24-Import.CPMinAbsoluta,Import.Repasse-$Z$24),0)</f>
        <v>0</v>
      </c>
    </row>
    <row r="24" spans="1:31" ht="15" x14ac:dyDescent="0.2">
      <c r="B24" t="s">
        <v>829</v>
      </c>
      <c r="C24" t="s">
        <v>536</v>
      </c>
      <c r="D24" s="293"/>
      <c r="E24" s="294"/>
      <c r="F24" s="294"/>
      <c r="G24" s="294"/>
      <c r="H24" s="294"/>
      <c r="I24" s="294"/>
      <c r="J24" s="294"/>
      <c r="K24" s="777" t="s">
        <v>830</v>
      </c>
      <c r="L24" s="295">
        <f ca="1">SUM(L13:OFFSET(L24,-1,0))</f>
        <v>0</v>
      </c>
      <c r="M24" s="296">
        <f ca="1">SUM(M13:OFFSET(M24,-1,0))</f>
        <v>0</v>
      </c>
      <c r="N24" s="297">
        <f ca="1">SUM(N13:OFFSET(N24,-1,0))</f>
        <v>0</v>
      </c>
      <c r="O24" s="298">
        <f ca="1">SUM(O13:OFFSET(O24,-1,0))</f>
        <v>0</v>
      </c>
      <c r="R24" s="299"/>
      <c r="T24" s="300"/>
      <c r="U24" s="301"/>
      <c r="V24" s="302"/>
      <c r="W24" s="303"/>
      <c r="X24" s="304"/>
      <c r="Z24" s="87">
        <f ca="1">SUMPRODUCT(ROUND(Z13:OFFSET(Z24,-1,0),2))</f>
        <v>0</v>
      </c>
      <c r="AA24" s="87">
        <f ca="1">SUMPRODUCT(ROUND(AA13:OFFSET(AA24,-1,0),2))</f>
        <v>0</v>
      </c>
      <c r="AB24" s="87">
        <f ca="1">SUM(AB13:OFFSET(AB24,-1,0))</f>
        <v>0</v>
      </c>
    </row>
    <row r="25" spans="1:31" x14ac:dyDescent="0.2">
      <c r="B25" t="s">
        <v>831</v>
      </c>
      <c r="C25" t="s">
        <v>536</v>
      </c>
      <c r="D25" s="305"/>
      <c r="E25" s="306"/>
      <c r="F25" s="306"/>
      <c r="G25" s="306"/>
      <c r="H25" s="306"/>
      <c r="I25" s="306"/>
      <c r="J25" s="306"/>
      <c r="K25" s="777"/>
      <c r="L25" s="307">
        <f ca="1">IF(ISERROR(L24/$O24),0,ROUND(L24/$O24,4))</f>
        <v>0</v>
      </c>
      <c r="M25" s="308">
        <f ca="1">IF(ISERROR(M24/$O24),0,ROUND(M24/$O24,4))</f>
        <v>0</v>
      </c>
      <c r="N25" s="309">
        <f ca="1">IF(ISERROR(N24/$O24),0,ROUND(N24/$O24,4))</f>
        <v>0</v>
      </c>
      <c r="O25" s="310">
        <f ca="1">IF(ISERROR(O24/$O24),0,ROUND(O24/$O24,4))</f>
        <v>0</v>
      </c>
      <c r="R25" s="311"/>
      <c r="T25" s="312"/>
      <c r="U25" s="313"/>
      <c r="V25" s="314"/>
      <c r="W25" s="315"/>
      <c r="X25" s="316"/>
    </row>
    <row r="27" spans="1:31" ht="14.25" x14ac:dyDescent="0.2">
      <c r="D27" s="134" t="s">
        <v>689</v>
      </c>
    </row>
    <row r="28" spans="1:31" ht="12.75" customHeight="1" x14ac:dyDescent="0.2">
      <c r="D28" s="720"/>
      <c r="E28" s="720"/>
      <c r="F28" s="720"/>
      <c r="G28" s="720"/>
      <c r="H28" s="720"/>
      <c r="I28" s="720"/>
      <c r="J28" s="720"/>
      <c r="K28" s="720"/>
      <c r="L28" s="720"/>
      <c r="M28" s="720"/>
      <c r="N28" s="720"/>
      <c r="O28" s="720"/>
    </row>
    <row r="29" spans="1:31" ht="12.75" customHeight="1" x14ac:dyDescent="0.2">
      <c r="D29" s="720"/>
      <c r="E29" s="720"/>
      <c r="F29" s="720"/>
      <c r="G29" s="720"/>
      <c r="H29" s="720"/>
      <c r="I29" s="720"/>
      <c r="J29" s="720"/>
      <c r="K29" s="720"/>
      <c r="L29" s="720"/>
      <c r="M29" s="720"/>
      <c r="N29" s="720"/>
      <c r="O29" s="720"/>
    </row>
    <row r="30" spans="1:31" ht="12.75" customHeight="1" x14ac:dyDescent="0.2">
      <c r="D30" s="720"/>
      <c r="E30" s="720"/>
      <c r="F30" s="720"/>
      <c r="G30" s="720"/>
      <c r="H30" s="720"/>
      <c r="I30" s="720"/>
      <c r="J30" s="720"/>
      <c r="K30" s="720"/>
      <c r="L30" s="720"/>
      <c r="M30" s="720"/>
      <c r="N30" s="720"/>
      <c r="O30" s="720"/>
    </row>
    <row r="33" spans="4:12" ht="15" x14ac:dyDescent="0.2">
      <c r="D33" s="722" t="str">
        <f>Import.Município</f>
        <v>RS</v>
      </c>
      <c r="E33" s="722"/>
      <c r="F33" s="722"/>
      <c r="I33" s="138"/>
      <c r="J33" s="138"/>
      <c r="K33" s="179"/>
      <c r="L33" s="179"/>
    </row>
    <row r="34" spans="4:12" x14ac:dyDescent="0.2">
      <c r="D34" s="9" t="s">
        <v>693</v>
      </c>
      <c r="I34" s="180" t="s">
        <v>832</v>
      </c>
      <c r="J34" s="180"/>
    </row>
    <row r="35" spans="4:12" x14ac:dyDescent="0.2">
      <c r="I35" s="76" t="str">
        <f>"Nome:" &amp;  " " &amp; DADOS!C28</f>
        <v>Nome: JOSÉ ANTÔNIO FLACH WERLE</v>
      </c>
    </row>
    <row r="36" spans="4:12" x14ac:dyDescent="0.2">
      <c r="D36" s="716">
        <f>DADOS!$C$25</f>
        <v>46252</v>
      </c>
      <c r="E36" s="716"/>
      <c r="F36" s="716"/>
      <c r="I36" s="76" t="str">
        <f>"Cargo:"  &amp; " " &amp; DADOS!C29</f>
        <v>Cargo: PREFEITO MUNICIPAL</v>
      </c>
    </row>
    <row r="37" spans="4:12" x14ac:dyDescent="0.2">
      <c r="D37" s="139" t="s">
        <v>694</v>
      </c>
      <c r="E37" s="1"/>
      <c r="F37" s="1"/>
      <c r="K37" s="76"/>
      <c r="L37" s="77"/>
    </row>
  </sheetData>
  <sheetProtection algorithmName="SHA-512" hashValue="ESKtAbNpIVYbrrJyrn6BBh4tznvn+yxB69X4fFD/xwvhBTQPppjrHYRSrN851S+JoaKoXDOLaUPxVV7s3yvydw==" saltValue="9pkaSz88zTeusZP1LD/NFg==" spinCount="100000" sheet="1" objects="1" scenarios="1" autoFilter="0"/>
  <autoFilter ref="C13:C25"/>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33" priority="977" stopIfTrue="1">
      <formula>OR($B12="Automático",$B12="Branco")</formula>
    </cfRule>
  </conditionalFormatting>
  <conditionalFormatting sqref="L12">
    <cfRule type="expression" dxfId="132" priority="978"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31" priority="979" stopIfTrue="1">
      <formula>OR($B12="Automático",$B12="Branco",$V12&lt;&gt;"Calculado")</formula>
    </cfRule>
  </conditionalFormatting>
  <conditionalFormatting sqref="M25">
    <cfRule type="expression" dxfId="130" priority="981" stopIfTrue="1">
      <formula>AND($G$9&lt;&gt;"",OR($M$25&lt;Import.CPMinPerc,$M$25&gt;Import.CPMaxPerc))</formula>
    </cfRule>
  </conditionalFormatting>
  <conditionalFormatting sqref="M24">
    <cfRule type="expression" dxfId="129" priority="982" stopIfTrue="1">
      <formula>AND($G$9&lt;&gt;"",$M$24&lt;Import.CPMinAbsoluta)</formula>
    </cfRule>
  </conditionalFormatting>
  <conditionalFormatting sqref="L10:M10">
    <cfRule type="cellIs" dxfId="128" priority="983" stopIfTrue="1" operator="lessThan">
      <formula>0</formula>
    </cfRule>
  </conditionalFormatting>
  <conditionalFormatting sqref="G12">
    <cfRule type="cellIs" dxfId="127" priority="984" stopIfTrue="1" operator="equal">
      <formula>"(digite a descrição aqui)"</formula>
    </cfRule>
  </conditionalFormatting>
  <conditionalFormatting sqref="T14:V22">
    <cfRule type="expression" dxfId="126" priority="5" stopIfTrue="1">
      <formula>OR($B14="Automático",$B14="Branco")</formula>
    </cfRule>
  </conditionalFormatting>
  <conditionalFormatting sqref="L14:L22">
    <cfRule type="expression" dxfId="12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24" priority="7" stopIfTrue="1">
      <formula>OR($B14="Automático",$B14="Branco",$V14&lt;&gt;"Calculado")</formula>
    </cfRule>
  </conditionalFormatting>
  <conditionalFormatting sqref="G14:G22">
    <cfRule type="cellIs" dxfId="123" priority="8" stopIfTrue="1" operator="equal">
      <formula>"(digite a descrição aqui)"</formula>
    </cfRule>
  </conditionalFormatting>
  <conditionalFormatting sqref="T23:V23">
    <cfRule type="expression" dxfId="122" priority="1" stopIfTrue="1">
      <formula>OR($B23="Automático",$B23="Branco")</formula>
    </cfRule>
  </conditionalFormatting>
  <conditionalFormatting sqref="L23">
    <cfRule type="expression" dxfId="12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20" priority="3" stopIfTrue="1">
      <formula>OR($B23="Automático",$B23="Branco",$V23&lt;&gt;"Calculado")</formula>
    </cfRule>
  </conditionalFormatting>
  <conditionalFormatting sqref="G23">
    <cfRule type="cellIs" dxfId="119" priority="4" stopIfTrue="1" operator="equal">
      <formula>"(digite a descrição aqui)"</formula>
    </cfRule>
  </conditionalFormatting>
  <dataValidations count="9">
    <dataValidation type="decimal" operator="greaterThan" allowBlank="1" showErrorMessage="1" error="Digite apenas números decimais maiores do que 0." sqref="U12 U14:U23">
      <formula1>0</formula1>
      <formula2>0</formula2>
    </dataValidation>
    <dataValidation type="decimal" operator="greaterThan" allowBlank="1" showErrorMessage="1" errorTitle="Erro" error="Digite valores maiores do que 0." sqref="I12 I14:I23">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formula1>0</formula1>
      <formula2>QCI.MaxOUManual</formula2>
    </dataValidation>
    <dataValidation allowBlank="1" showInputMessage="1" showErrorMessage="1" prompt="Preencha somente se a meta não fizer parte do Orçamento desta Plan. Mult." sqref="R12 R14:R23"/>
    <dataValidation type="list" allowBlank="1" showInputMessage="1" showErrorMessage="1" errorTitle="Erro:" error="Selecione uma opção da lista." prompt="Selecione uma opção da lista." sqref="H12 H14:H23">
      <formula1>QCI.Lista.Situação</formula1>
    </dataValidation>
    <dataValidation type="list" allowBlank="1" showInputMessage="1" showErrorMessage="1" errorTitle="Erro:" error="Selecione uma opção da lista." prompt="Selecione uma opção da lista." sqref="F12 F14:F23">
      <formula1>QCI.SubItemInvestimento</formula1>
    </dataValidation>
    <dataValidation type="list" allowBlank="1" showInputMessage="1" showErrorMessage="1" errorTitle="Erro:" error="Selecione uma opção da lista." prompt="Selecione uma opção da lista." sqref="E12 E14:E23">
      <formula1>QCI.ItemInvestimento</formula1>
    </dataValidation>
    <dataValidation type="list" allowBlank="1" showInputMessage="1" showErrorMessage="1" errorTitle="Erro:" error="Selecione uma opção da lista." prompt="Selecione uma opção da lista." sqref="V12 V14:V23">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6" t="e">
        <f ca="1">OFFSET(B1,-1,0)+1</f>
        <v>#REF!</v>
      </c>
      <c r="C1" s="790" t="e">
        <f ca="1">IF(AUTOEVENTO="Manual",OFFSET(EVENTOS!$D$15,$B1-$B$15,0),IF(B1&lt;=MAX(CÁLCULO!$M$15:$M$33),VLOOKUP($B1,CÁLCULO!$M$15:$N$33,2,FALSE),0))</f>
        <v>#REF!</v>
      </c>
      <c r="D1" s="790"/>
      <c r="F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row>
    <row r="2" spans="1:33" ht="16.5" hidden="1" customHeight="1" x14ac:dyDescent="0.2">
      <c r="A2" s="7"/>
      <c r="B2" s="7"/>
      <c r="C2" s="12"/>
      <c r="D2" s="12"/>
      <c r="F2" s="437"/>
    </row>
    <row r="3" spans="1:33" ht="15.75" x14ac:dyDescent="0.25">
      <c r="H3" s="205" t="s">
        <v>833</v>
      </c>
      <c r="AD3" s="703" t="s">
        <v>644</v>
      </c>
      <c r="AE3" s="703"/>
      <c r="AF3" s="703"/>
    </row>
    <row r="4" spans="1:33" ht="15.75" x14ac:dyDescent="0.2">
      <c r="B4" s="81"/>
      <c r="C4" s="81"/>
      <c r="H4" s="82" t="str">
        <f>import.recurso</f>
        <v>OGU</v>
      </c>
      <c r="AD4" s="704" t="s">
        <v>647</v>
      </c>
      <c r="AE4" s="704"/>
      <c r="AF4" s="704"/>
    </row>
    <row r="6" spans="1:33" x14ac:dyDescent="0.2">
      <c r="B6" s="207" t="s">
        <v>650</v>
      </c>
      <c r="C6" s="262"/>
      <c r="D6" s="209" t="s">
        <v>707</v>
      </c>
      <c r="E6" s="4"/>
      <c r="H6" s="210" t="s">
        <v>788</v>
      </c>
      <c r="I6" s="185"/>
      <c r="J6" s="185"/>
      <c r="K6" s="185"/>
      <c r="L6" s="184"/>
      <c r="M6" s="184"/>
      <c r="N6" s="263"/>
      <c r="O6" s="207" t="s">
        <v>758</v>
      </c>
      <c r="P6" s="211"/>
      <c r="R6" s="185"/>
      <c r="S6" s="185"/>
      <c r="T6" s="185"/>
      <c r="U6" s="208"/>
      <c r="V6" s="207" t="str" cm="1">
        <f t="array" ref="V6">IF(TIPOORCAMENTO="Licitado","NOME DA EMPRESA","DESCRIÇÃO DO LOTE")</f>
        <v>DESCRIÇÃO DO LOTE</v>
      </c>
      <c r="W6" s="185"/>
      <c r="X6" s="185"/>
      <c r="Y6" s="185"/>
      <c r="AD6" s="4"/>
      <c r="AE6" s="795" t="str" cm="1">
        <f t="array" ref="AE6">IF(TIPOORCAMENTO="Licitado","Nº CTEF","")</f>
        <v/>
      </c>
      <c r="AF6" s="795"/>
    </row>
    <row r="7" spans="1:33" x14ac:dyDescent="0.2">
      <c r="B7" s="764" t="str">
        <f>Import.CR</f>
        <v>SLG</v>
      </c>
      <c r="C7" s="764"/>
      <c r="D7" s="213" t="str">
        <f>Import.TransfereGOV</f>
        <v>SLG</v>
      </c>
      <c r="E7" s="41"/>
      <c r="H7" s="763" t="str">
        <f>Import.Proponente</f>
        <v>MUNICÍPIO DE SÃO LUIZ GONZAGA</v>
      </c>
      <c r="I7" s="763"/>
      <c r="J7" s="763"/>
      <c r="K7" s="763"/>
      <c r="L7" s="763"/>
      <c r="M7" s="763"/>
      <c r="N7" s="763"/>
      <c r="O7" s="764" t="str">
        <f>Import.Apelido</f>
        <v>CALÇAMENTO PEDRA IRREGULAR</v>
      </c>
      <c r="P7" s="764"/>
      <c r="Q7" s="764"/>
      <c r="R7" s="764"/>
      <c r="S7" s="764"/>
      <c r="T7" s="764"/>
      <c r="U7" s="764"/>
      <c r="V7" s="764" t="str" cm="1">
        <f t="array" ref="V7">IF(TIPOORCAMENTO="Licitado",Import.empresa,Import.DescLote)</f>
        <v>CALÇAMENTO - PAVIMENTAÇÃO</v>
      </c>
      <c r="W7" s="764"/>
      <c r="X7" s="764"/>
      <c r="Y7" s="764"/>
      <c r="Z7" s="764"/>
      <c r="AA7" s="764"/>
      <c r="AB7" s="764"/>
      <c r="AC7" s="764"/>
      <c r="AD7" s="764"/>
      <c r="AE7" s="796" t="str" cm="1">
        <f t="array" ref="AE7">IF(TIPOORCAMENTO="Licitado",Import.CTEF,"")</f>
        <v/>
      </c>
      <c r="AF7" s="796"/>
      <c r="AG7" s="264"/>
    </row>
    <row r="9" spans="1:33" ht="15.75" x14ac:dyDescent="0.25">
      <c r="A9" s="164">
        <v>0</v>
      </c>
      <c r="B9" s="265"/>
      <c r="C9" s="265"/>
      <c r="I9" s="266" t="s">
        <v>834</v>
      </c>
      <c r="J9" s="798">
        <v>1</v>
      </c>
      <c r="K9" s="798"/>
      <c r="M9" s="266" t="s">
        <v>799</v>
      </c>
      <c r="N9" s="799" t="str">
        <f ca="1">TEXT(IF(PLE.Medicao=1,Import.DataInicioObra,OFFSET($H$68,0,1+(PLE.Medicao-$I$69)*2-2)+1),"dd/mm/aaaa")&amp;" a "&amp;TEXT(OFFSET($H$68,0,1+(PLE.Medicao-$I$69)*2),"dd/mm/aaaa")</f>
        <v>00/01/1900 a 00/01/1900</v>
      </c>
      <c r="O9" s="799"/>
      <c r="P9" s="799"/>
      <c r="Q9" s="799"/>
      <c r="R9" s="799"/>
      <c r="S9" s="799"/>
      <c r="T9" s="799"/>
      <c r="U9" s="267"/>
      <c r="X9" s="266" t="s">
        <v>835</v>
      </c>
      <c r="Y9" s="797" t="e">
        <f ca="1">OFFSET($I$69,1+8*(ROUNDUP(($J$9-0)/((COLUMN($AG$14)-COLUMN($G$14)-1)/25*12),0)-1),ROUNDDOWN((($J$9-0)-OFFSET($I$69,8*(ROUNDUP(($J$9-0)/((COLUMN($AG$14)-COLUMN($G$14)-1)/25*12),0)-1),0))*(2+1/12),0))</f>
        <v>#DIV/0!</v>
      </c>
      <c r="Z9" s="797"/>
      <c r="AD9" s="266" t="s">
        <v>836</v>
      </c>
      <c r="AE9" s="797" t="e">
        <f ca="1">OFFSET($I$69,3+8*(ROUNDUP(($J$9-0)/((COLUMN($AG$14)-COLUMN($G$14)-1)/25*12),0)-1),ROUNDDOWN((($J$9-0)-OFFSET($I$69,8*(ROUNDUP(($J$9-0)/((COLUMN($AG$14)-COLUMN($G$14)-1)/25*12),0)-1),0))*(2+1/12),0))</f>
        <v>#DIV/0!</v>
      </c>
      <c r="AF9" s="797"/>
    </row>
    <row r="11" spans="1:33" ht="65.25" customHeight="1" x14ac:dyDescent="0.2">
      <c r="A11" s="249" t="s">
        <v>837</v>
      </c>
      <c r="C11" s="791"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1"/>
      <c r="F11" s="251" cm="1">
        <f t="array" aca="1" ref="F11" ca="1">IF(F$12&gt;CÁLCULO.NúmeroDeFrentes,"",OFFSET(CÁLCULO!$P$12,0,F$12))</f>
        <v>0</v>
      </c>
      <c r="H11" s="251" cm="1">
        <f t="array" aca="1" ref="H11" ca="1">IF(H$12&gt;CÁLCULO.NúmeroDeFrentes,"",OFFSET(CÁLCULO!$P$12,0,H$12))</f>
        <v>0</v>
      </c>
      <c r="I11" s="251" cm="1">
        <f t="array" aca="1" ref="I11" ca="1">IF(I$12&gt;CÁLCULO.NúmeroDeFrentes,"",OFFSET(CÁLCULO!$P$12,0,I$12))</f>
        <v>0</v>
      </c>
      <c r="J11" s="251" cm="1">
        <f t="array" aca="1" ref="J11" ca="1">IF(J$12&gt;CÁLCULO.NúmeroDeFrentes,"",OFFSET(CÁLCULO!$P$12,0,J$12))</f>
        <v>0</v>
      </c>
      <c r="K11" s="251" cm="1">
        <f t="array" aca="1" ref="K11" ca="1">IF(K$12&gt;CÁLCULO.NúmeroDeFrentes,"",OFFSET(CÁLCULO!$P$12,0,K$12))</f>
        <v>0</v>
      </c>
      <c r="L11" s="251" cm="1">
        <f t="array" aca="1" ref="L11" ca="1">IF(L$12&gt;CÁLCULO.NúmeroDeFrentes,"",OFFSET(CÁLCULO!$P$12,0,L$12))</f>
        <v>0</v>
      </c>
      <c r="M11" s="251" cm="1">
        <f t="array" aca="1" ref="M11" ca="1">IF(M$12&gt;CÁLCULO.NúmeroDeFrentes,"",OFFSET(CÁLCULO!$P$12,0,M$12))</f>
        <v>0</v>
      </c>
      <c r="N11" s="251" cm="1">
        <f t="array" aca="1" ref="N11" ca="1">IF(N$12&gt;CÁLCULO.NúmeroDeFrentes,"",OFFSET(CÁLCULO!$P$12,0,N$12))</f>
        <v>0</v>
      </c>
      <c r="O11" s="251" cm="1">
        <f t="array" aca="1" ref="O11" ca="1">IF(O$12&gt;CÁLCULO.NúmeroDeFrentes,"",OFFSET(CÁLCULO!$P$12,0,O$12))</f>
        <v>0</v>
      </c>
      <c r="P11" s="251" cm="1">
        <f t="array" aca="1" ref="P11" ca="1">IF(P$12&gt;CÁLCULO.NúmeroDeFrentes,"",OFFSET(CÁLCULO!$P$12,0,P$12))</f>
        <v>0</v>
      </c>
      <c r="Q11" s="251" cm="1">
        <f t="array" aca="1" ref="Q11" ca="1">IF(Q$12&gt;CÁLCULO.NúmeroDeFrentes,"",OFFSET(CÁLCULO!$P$12,0,Q$12))</f>
        <v>0</v>
      </c>
      <c r="R11" s="251" t="str" cm="1">
        <f t="array" aca="1" ref="R11" ca="1">IF(R$12&gt;CÁLCULO.NúmeroDeFrentes,"",OFFSET(CÁLCULO!$P$12,0,R$12))</f>
        <v/>
      </c>
      <c r="S11" s="251" t="str" cm="1">
        <f t="array" aca="1" ref="S11" ca="1">IF(S$12&gt;CÁLCULO.NúmeroDeFrentes,"",OFFSET(CÁLCULO!$P$12,0,S$12))</f>
        <v/>
      </c>
      <c r="T11" s="251" t="str" cm="1">
        <f t="array" aca="1" ref="T11" ca="1">IF(T$12&gt;CÁLCULO.NúmeroDeFrentes,"",OFFSET(CÁLCULO!$P$12,0,T$12))</f>
        <v/>
      </c>
      <c r="U11" s="251" t="str" cm="1">
        <f t="array" aca="1" ref="U11" ca="1">IF(U$12&gt;CÁLCULO.NúmeroDeFrentes,"",OFFSET(CÁLCULO!$P$12,0,U$12))</f>
        <v/>
      </c>
      <c r="V11" s="251" t="str" cm="1">
        <f t="array" aca="1" ref="V11" ca="1">IF(V$12&gt;CÁLCULO.NúmeroDeFrentes,"",OFFSET(CÁLCULO!$P$12,0,V$12))</f>
        <v/>
      </c>
      <c r="W11" s="251" t="str" cm="1">
        <f t="array" aca="1" ref="W11" ca="1">IF(W$12&gt;CÁLCULO.NúmeroDeFrentes,"",OFFSET(CÁLCULO!$P$12,0,W$12))</f>
        <v/>
      </c>
      <c r="X11" s="251" t="str" cm="1">
        <f t="array" aca="1" ref="X11" ca="1">IF(X$12&gt;CÁLCULO.NúmeroDeFrentes,"",OFFSET(CÁLCULO!$P$12,0,X$12))</f>
        <v/>
      </c>
      <c r="Y11" s="251" t="str" cm="1">
        <f t="array" aca="1" ref="Y11" ca="1">IF(Y$12&gt;CÁLCULO.NúmeroDeFrentes,"",OFFSET(CÁLCULO!$P$12,0,Y$12))</f>
        <v/>
      </c>
      <c r="Z11" s="251" t="str" cm="1">
        <f t="array" aca="1" ref="Z11" ca="1">IF(Z$12&gt;CÁLCULO.NúmeroDeFrentes,"",OFFSET(CÁLCULO!$P$12,0,Z$12))</f>
        <v/>
      </c>
      <c r="AA11" s="251" t="str" cm="1">
        <f t="array" aca="1" ref="AA11" ca="1">IF(AA$12&gt;CÁLCULO.NúmeroDeFrentes,"",OFFSET(CÁLCULO!$P$12,0,AA$12))</f>
        <v/>
      </c>
      <c r="AB11" s="251" t="str" cm="1">
        <f t="array" aca="1" ref="AB11" ca="1">IF(AB$12&gt;CÁLCULO.NúmeroDeFrentes,"",OFFSET(CÁLCULO!$P$12,0,AB$12))</f>
        <v/>
      </c>
      <c r="AC11" s="251" t="str" cm="1">
        <f t="array" aca="1" ref="AC11" ca="1">IF(AC$12&gt;CÁLCULO.NúmeroDeFrentes,"",OFFSET(CÁLCULO!$P$12,0,AC$12))</f>
        <v/>
      </c>
      <c r="AD11" s="251" t="str" cm="1">
        <f t="array" aca="1" ref="AD11" ca="1">IF(AD$12&gt;CÁLCULO.NúmeroDeFrentes,"",OFFSET(CÁLCULO!$P$12,0,AD$12))</f>
        <v/>
      </c>
      <c r="AE11" s="251" t="str" cm="1">
        <f t="array" aca="1" ref="AE11" ca="1">IF(AE$12&gt;CÁLCULO.NúmeroDeFrentes,"",OFFSET(CÁLCULO!$P$12,0,AE$12))</f>
        <v/>
      </c>
      <c r="AF11" s="251" t="str" cm="1">
        <f t="array" aca="1" ref="AF11" ca="1">IF(AF$12&gt;CÁLCULO.NúmeroDeFrentes,"",OFFSET(CÁLCULO!$P$12,0,AF$12))</f>
        <v/>
      </c>
    </row>
    <row r="12" spans="1:33" ht="12.75" customHeight="1" x14ac:dyDescent="0.2">
      <c r="A12" s="105" t="s">
        <v>660</v>
      </c>
      <c r="B12" s="755" t="s">
        <v>760</v>
      </c>
      <c r="C12" s="755" t="s">
        <v>778</v>
      </c>
      <c r="D12" s="755"/>
      <c r="F12" s="252">
        <f ca="1">OFFSET(F12,0,-1)+1</f>
        <v>1</v>
      </c>
      <c r="H12" s="252">
        <f ca="1">OFFSET(H12,0,-1)+1</f>
        <v>1</v>
      </c>
      <c r="I12" s="252">
        <f ca="1">OFFSET(I12,0,-1)+1</f>
        <v>2</v>
      </c>
      <c r="J12" s="252">
        <f t="shared" ref="J12:AF12" ca="1" si="0">OFFSET(J12,0,-1)+1</f>
        <v>3</v>
      </c>
      <c r="K12" s="252">
        <f t="shared" ca="1" si="0"/>
        <v>4</v>
      </c>
      <c r="L12" s="252">
        <f t="shared" ca="1" si="0"/>
        <v>5</v>
      </c>
      <c r="M12" s="252">
        <f t="shared" ca="1" si="0"/>
        <v>6</v>
      </c>
      <c r="N12" s="252">
        <f t="shared" ca="1" si="0"/>
        <v>7</v>
      </c>
      <c r="O12" s="252">
        <f t="shared" ca="1" si="0"/>
        <v>8</v>
      </c>
      <c r="P12" s="252">
        <f t="shared" ca="1" si="0"/>
        <v>9</v>
      </c>
      <c r="Q12" s="252">
        <f t="shared" ca="1" si="0"/>
        <v>10</v>
      </c>
      <c r="R12" s="252">
        <f t="shared" ca="1" si="0"/>
        <v>11</v>
      </c>
      <c r="S12" s="252">
        <f t="shared" ca="1" si="0"/>
        <v>12</v>
      </c>
      <c r="T12" s="252">
        <f t="shared" ca="1" si="0"/>
        <v>13</v>
      </c>
      <c r="U12" s="252">
        <f t="shared" ca="1" si="0"/>
        <v>14</v>
      </c>
      <c r="V12" s="252">
        <f t="shared" ca="1" si="0"/>
        <v>15</v>
      </c>
      <c r="W12" s="252">
        <f t="shared" ca="1" si="0"/>
        <v>16</v>
      </c>
      <c r="X12" s="252">
        <f t="shared" ca="1" si="0"/>
        <v>17</v>
      </c>
      <c r="Y12" s="252">
        <f t="shared" ca="1" si="0"/>
        <v>18</v>
      </c>
      <c r="Z12" s="252">
        <f t="shared" ca="1" si="0"/>
        <v>19</v>
      </c>
      <c r="AA12" s="252">
        <f t="shared" ca="1" si="0"/>
        <v>20</v>
      </c>
      <c r="AB12" s="252">
        <f t="shared" ca="1" si="0"/>
        <v>21</v>
      </c>
      <c r="AC12" s="252">
        <f t="shared" ca="1" si="0"/>
        <v>22</v>
      </c>
      <c r="AD12" s="252">
        <f t="shared" ca="1" si="0"/>
        <v>23</v>
      </c>
      <c r="AE12" s="252">
        <f t="shared" ca="1" si="0"/>
        <v>24</v>
      </c>
      <c r="AF12" s="252">
        <f t="shared" ca="1" si="0"/>
        <v>25</v>
      </c>
    </row>
    <row r="13" spans="1:33" x14ac:dyDescent="0.2">
      <c r="B13" s="755"/>
      <c r="C13" s="755"/>
      <c r="D13" s="755"/>
      <c r="F13" s="254"/>
      <c r="H13" s="254"/>
      <c r="I13" s="253"/>
      <c r="J13" s="253"/>
      <c r="K13" s="253"/>
      <c r="L13" s="253"/>
      <c r="M13" s="253"/>
      <c r="N13" s="253" t="s">
        <v>838</v>
      </c>
      <c r="O13" s="253"/>
      <c r="P13" s="253"/>
      <c r="Q13" s="253"/>
      <c r="R13" s="253"/>
      <c r="S13" s="253"/>
      <c r="T13" s="253"/>
      <c r="U13" s="253"/>
      <c r="V13" s="253"/>
      <c r="W13" s="253"/>
      <c r="X13" s="253"/>
      <c r="Y13" s="253"/>
      <c r="Z13" s="253"/>
      <c r="AA13" s="253"/>
      <c r="AB13" s="253"/>
      <c r="AC13" s="253"/>
      <c r="AD13" s="253"/>
      <c r="AE13" s="253"/>
      <c r="AF13" s="255"/>
    </row>
    <row r="14" spans="1:33" ht="3.95" customHeight="1" x14ac:dyDescent="0.2">
      <c r="A14" s="7" t="s">
        <v>536</v>
      </c>
    </row>
    <row r="15" spans="1:33" x14ac:dyDescent="0.2">
      <c r="A15" s="7" t="str">
        <f>IF(B15=0,"","F")</f>
        <v/>
      </c>
      <c r="B15" s="256">
        <f>EVENTOS!$C$15</f>
        <v>0</v>
      </c>
      <c r="C15" s="800" t="str">
        <f>EVENTOS!$D$15</f>
        <v/>
      </c>
      <c r="D15" s="800"/>
      <c r="F15" s="259"/>
      <c r="H15" s="259"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60"/>
    </row>
    <row r="16" spans="1:33" ht="19.5" customHeight="1" x14ac:dyDescent="0.2">
      <c r="A16" s="7" t="str">
        <f t="shared" ref="A16:A64" ca="1" si="1">IF(C16=0,"","F")</f>
        <v>F</v>
      </c>
      <c r="B16" s="246">
        <f t="shared" ref="B16:B64" ca="1" si="2">OFFSET(B16,-1,0)+1</f>
        <v>1</v>
      </c>
      <c r="C16" s="790" t="str">
        <f ca="1">IF(AUTOEVENTO="Manual",OFFSET(EVENTOS!$D$15,$B16-$B$15,0),IF(B16&lt;=MAX(CÁLCULO!$M$15:$M$33),VLOOKUP($B16,CÁLCULO!$M$15:$N$33,2,FALSE),0))</f>
        <v>PLACA DE OBRA</v>
      </c>
      <c r="D16" s="790"/>
      <c r="F16" s="247"/>
      <c r="H16" s="247"/>
      <c r="I16" s="247"/>
      <c r="J16" s="247"/>
      <c r="K16" s="247"/>
      <c r="L16" s="247"/>
      <c r="M16" s="247"/>
      <c r="N16" s="247"/>
      <c r="O16" s="247"/>
      <c r="P16" s="247"/>
      <c r="Q16" s="247"/>
      <c r="R16" s="247"/>
      <c r="S16" s="247"/>
      <c r="T16" s="247"/>
      <c r="U16" s="247"/>
      <c r="V16" s="247"/>
      <c r="W16" s="247"/>
      <c r="X16" s="247"/>
      <c r="Y16" s="247"/>
      <c r="Z16" s="247"/>
      <c r="AA16" s="247"/>
      <c r="AB16" s="247"/>
      <c r="AC16" s="247"/>
      <c r="AD16" s="247"/>
      <c r="AE16" s="247"/>
      <c r="AF16" s="247"/>
    </row>
    <row r="17" spans="1:32" ht="19.5" customHeight="1" x14ac:dyDescent="0.2">
      <c r="A17" s="7" t="str">
        <f t="shared" ca="1" si="1"/>
        <v>F</v>
      </c>
      <c r="B17" s="246">
        <f t="shared" ca="1" si="2"/>
        <v>2</v>
      </c>
      <c r="C17" s="790" t="str">
        <f ca="1">IF(AUTOEVENTO="Manual",OFFSET(EVENTOS!$D$15,$B17-$B$15,0),IF(B17&lt;=MAX(CÁLCULO!$M$15:$M$33),VLOOKUP($B17,CÁLCULO!$M$15:$N$33,2,FALSE),0))</f>
        <v>SERVIÇOS PRELIMINARES</v>
      </c>
      <c r="D17" s="790"/>
      <c r="F17" s="247"/>
      <c r="H17" s="247"/>
      <c r="I17" s="247"/>
      <c r="J17" s="247"/>
      <c r="K17" s="247"/>
      <c r="L17" s="247"/>
      <c r="M17" s="247"/>
      <c r="N17" s="247"/>
      <c r="O17" s="247"/>
      <c r="P17" s="247"/>
      <c r="Q17" s="247"/>
      <c r="R17" s="247"/>
      <c r="S17" s="247"/>
      <c r="T17" s="247"/>
      <c r="U17" s="247"/>
      <c r="V17" s="247"/>
      <c r="W17" s="247"/>
      <c r="X17" s="247"/>
      <c r="Y17" s="247"/>
      <c r="Z17" s="247"/>
      <c r="AA17" s="247"/>
      <c r="AB17" s="247"/>
      <c r="AC17" s="247"/>
      <c r="AD17" s="247"/>
      <c r="AE17" s="247"/>
      <c r="AF17" s="247"/>
    </row>
    <row r="18" spans="1:32" ht="19.5" customHeight="1" x14ac:dyDescent="0.2">
      <c r="A18" s="7" t="str">
        <f t="shared" ca="1" si="1"/>
        <v>F</v>
      </c>
      <c r="B18" s="246">
        <f t="shared" ca="1" si="2"/>
        <v>3</v>
      </c>
      <c r="C18" s="790" t="str">
        <f ca="1">IF(AUTOEVENTO="Manual",OFFSET(EVENTOS!$D$15,$B18-$B$15,0),IF(B18&lt;=MAX(CÁLCULO!$M$15:$M$33),VLOOKUP($B18,CÁLCULO!$M$15:$N$33,2,FALSE),0))</f>
        <v>BASE EM BRITA GRADUADA H=5CM</v>
      </c>
      <c r="D18" s="790"/>
      <c r="F18" s="247"/>
      <c r="H18" s="247"/>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row>
    <row r="19" spans="1:32" ht="19.5" customHeight="1" x14ac:dyDescent="0.2">
      <c r="A19" s="7" t="str">
        <f t="shared" ca="1" si="1"/>
        <v>F</v>
      </c>
      <c r="B19" s="246">
        <f t="shared" ca="1" si="2"/>
        <v>4</v>
      </c>
      <c r="C19" s="790" t="str">
        <f ca="1">IF(AUTOEVENTO="Manual",OFFSET(EVENTOS!$D$15,$B19-$B$15,0),IF(B19&lt;=MAX(CÁLCULO!$M$15:$M$33),VLOOKUP($B19,CÁLCULO!$M$15:$N$33,2,FALSE),0))</f>
        <v>PAVIMENTAÇÃO EM PEDRA IRREGULAR ASSENTADAS SOBRE COLCHÃO DE PÓ DE PEDRA E REJUNTADAS COM PÓ DE PEDRA</v>
      </c>
      <c r="D19" s="790"/>
      <c r="F19" s="247"/>
      <c r="H19" s="247"/>
      <c r="I19" s="247"/>
      <c r="J19" s="247"/>
      <c r="K19" s="247"/>
      <c r="L19" s="247"/>
      <c r="M19" s="247"/>
      <c r="N19" s="247"/>
      <c r="O19" s="247"/>
      <c r="P19" s="247"/>
      <c r="Q19" s="247"/>
      <c r="R19" s="247"/>
      <c r="S19" s="247"/>
      <c r="T19" s="247"/>
      <c r="U19" s="247"/>
      <c r="V19" s="247"/>
      <c r="W19" s="247"/>
      <c r="X19" s="247"/>
      <c r="Y19" s="247"/>
      <c r="Z19" s="247"/>
      <c r="AA19" s="247"/>
      <c r="AB19" s="247"/>
      <c r="AC19" s="247"/>
      <c r="AD19" s="247"/>
      <c r="AE19" s="247"/>
      <c r="AF19" s="247"/>
    </row>
    <row r="20" spans="1:32" ht="19.5" customHeight="1" x14ac:dyDescent="0.2">
      <c r="A20" s="7" t="str">
        <f t="shared" ca="1" si="1"/>
        <v>F</v>
      </c>
      <c r="B20" s="246">
        <f t="shared" ca="1" si="2"/>
        <v>5</v>
      </c>
      <c r="C20" s="790" t="str">
        <f ca="1">IF(AUTOEVENTO="Manual",OFFSET(EVENTOS!$D$15,$B20-$B$15,0),IF(B20&lt;=MAX(CÁLCULO!$M$15:$M$33),VLOOKUP($B20,CÁLCULO!$M$15:$N$33,2,FALSE),0))</f>
        <v>MEIO-FIO</v>
      </c>
      <c r="D20" s="790"/>
      <c r="F20" s="247"/>
      <c r="H20" s="247"/>
      <c r="I20" s="247"/>
      <c r="J20" s="247"/>
      <c r="K20" s="247"/>
      <c r="L20" s="247"/>
      <c r="M20" s="247"/>
      <c r="N20" s="247"/>
      <c r="O20" s="247"/>
      <c r="P20" s="247"/>
      <c r="Q20" s="247"/>
      <c r="R20" s="247"/>
      <c r="S20" s="247"/>
      <c r="T20" s="247"/>
      <c r="U20" s="247"/>
      <c r="V20" s="247"/>
      <c r="W20" s="247"/>
      <c r="X20" s="247"/>
      <c r="Y20" s="247"/>
      <c r="Z20" s="247"/>
      <c r="AA20" s="247"/>
      <c r="AB20" s="247"/>
      <c r="AC20" s="247"/>
      <c r="AD20" s="247"/>
      <c r="AE20" s="247"/>
      <c r="AF20" s="247"/>
    </row>
    <row r="21" spans="1:32" ht="19.5" customHeight="1" x14ac:dyDescent="0.2">
      <c r="A21" s="7" t="str">
        <f t="shared" ca="1" si="1"/>
        <v>F</v>
      </c>
      <c r="B21" s="246">
        <f t="shared" ca="1" si="2"/>
        <v>6</v>
      </c>
      <c r="C21" s="790" t="str">
        <f ca="1">IF(AUTOEVENTO="Manual",OFFSET(EVENTOS!$D$15,$B21-$B$15,0),IF(B21&lt;=MAX(CÁLCULO!$M$15:$M$33),VLOOKUP($B21,CÁLCULO!$M$15:$N$33,2,FALSE),0))</f>
        <v>LIMPEZAS E AJUSTES DO TRECHO</v>
      </c>
      <c r="D21" s="790"/>
      <c r="F21" s="247"/>
      <c r="H21" s="247"/>
      <c r="I21" s="247"/>
      <c r="J21" s="247"/>
      <c r="K21" s="247"/>
      <c r="L21" s="247"/>
      <c r="M21" s="247"/>
      <c r="N21" s="247"/>
      <c r="O21" s="247"/>
      <c r="P21" s="247"/>
      <c r="Q21" s="247"/>
      <c r="R21" s="247"/>
      <c r="S21" s="247"/>
      <c r="T21" s="247"/>
      <c r="U21" s="247"/>
      <c r="V21" s="247"/>
      <c r="W21" s="247"/>
      <c r="X21" s="247"/>
      <c r="Y21" s="247"/>
      <c r="Z21" s="247"/>
      <c r="AA21" s="247"/>
      <c r="AB21" s="247"/>
      <c r="AC21" s="247"/>
      <c r="AD21" s="247"/>
      <c r="AE21" s="247"/>
      <c r="AF21" s="247"/>
    </row>
    <row r="22" spans="1:32" ht="19.5" customHeight="1" x14ac:dyDescent="0.2">
      <c r="A22" s="7" t="str">
        <f t="shared" ca="1" si="1"/>
        <v/>
      </c>
      <c r="B22" s="246">
        <f t="shared" ca="1" si="2"/>
        <v>7</v>
      </c>
      <c r="C22" s="790">
        <f ca="1">IF(AUTOEVENTO="Manual",OFFSET(EVENTOS!$D$15,$B22-$B$15,0),IF(B22&lt;=MAX(CÁLCULO!$M$15:$M$33),VLOOKUP($B22,CÁLCULO!$M$15:$N$33,2,FALSE),0))</f>
        <v>0</v>
      </c>
      <c r="D22" s="790"/>
      <c r="F22" s="247"/>
      <c r="H22" s="247"/>
      <c r="I22" s="247"/>
      <c r="J22" s="247"/>
      <c r="K22" s="247"/>
      <c r="L22" s="247"/>
      <c r="M22" s="247"/>
      <c r="N22" s="247"/>
      <c r="O22" s="247"/>
      <c r="P22" s="247"/>
      <c r="Q22" s="247"/>
      <c r="R22" s="247"/>
      <c r="S22" s="247"/>
      <c r="T22" s="247"/>
      <c r="U22" s="247"/>
      <c r="V22" s="247"/>
      <c r="W22" s="247"/>
      <c r="X22" s="247"/>
      <c r="Y22" s="247"/>
      <c r="Z22" s="247"/>
      <c r="AA22" s="247"/>
      <c r="AB22" s="247"/>
      <c r="AC22" s="247"/>
      <c r="AD22" s="247"/>
      <c r="AE22" s="247"/>
      <c r="AF22" s="247"/>
    </row>
    <row r="23" spans="1:32" ht="19.5" customHeight="1" x14ac:dyDescent="0.2">
      <c r="A23" s="7" t="str">
        <f t="shared" ca="1" si="1"/>
        <v/>
      </c>
      <c r="B23" s="246">
        <f t="shared" ca="1" si="2"/>
        <v>8</v>
      </c>
      <c r="C23" s="790">
        <f ca="1">IF(AUTOEVENTO="Manual",OFFSET(EVENTOS!$D$15,$B23-$B$15,0),IF(B23&lt;=MAX(CÁLCULO!$M$15:$M$33),VLOOKUP($B23,CÁLCULO!$M$15:$N$33,2,FALSE),0))</f>
        <v>0</v>
      </c>
      <c r="D23" s="790"/>
      <c r="F23" s="247"/>
      <c r="H23" s="247"/>
      <c r="I23" s="247"/>
      <c r="J23" s="247"/>
      <c r="K23" s="247"/>
      <c r="L23" s="247"/>
      <c r="M23" s="247"/>
      <c r="N23" s="247"/>
      <c r="O23" s="247"/>
      <c r="P23" s="247"/>
      <c r="Q23" s="247"/>
      <c r="R23" s="247"/>
      <c r="S23" s="247"/>
      <c r="T23" s="247"/>
      <c r="U23" s="247"/>
      <c r="V23" s="247"/>
      <c r="W23" s="247"/>
      <c r="X23" s="247"/>
      <c r="Y23" s="247"/>
      <c r="Z23" s="247"/>
      <c r="AA23" s="247"/>
      <c r="AB23" s="247"/>
      <c r="AC23" s="247"/>
      <c r="AD23" s="247"/>
      <c r="AE23" s="247"/>
      <c r="AF23" s="247"/>
    </row>
    <row r="24" spans="1:32" ht="19.5" customHeight="1" x14ac:dyDescent="0.2">
      <c r="A24" s="7" t="str">
        <f t="shared" ca="1" si="1"/>
        <v/>
      </c>
      <c r="B24" s="246">
        <f t="shared" ca="1" si="2"/>
        <v>9</v>
      </c>
      <c r="C24" s="790">
        <f ca="1">IF(AUTOEVENTO="Manual",OFFSET(EVENTOS!$D$15,$B24-$B$15,0),IF(B24&lt;=MAX(CÁLCULO!$M$15:$M$33),VLOOKUP($B24,CÁLCULO!$M$15:$N$33,2,FALSE),0))</f>
        <v>0</v>
      </c>
      <c r="D24" s="790"/>
      <c r="F24" s="247"/>
      <c r="H24" s="247"/>
      <c r="I24" s="247"/>
      <c r="J24" s="247"/>
      <c r="K24" s="247"/>
      <c r="L24" s="247"/>
      <c r="M24" s="247"/>
      <c r="N24" s="247"/>
      <c r="O24" s="247"/>
      <c r="P24" s="247"/>
      <c r="Q24" s="247"/>
      <c r="R24" s="247"/>
      <c r="S24" s="247"/>
      <c r="T24" s="247"/>
      <c r="U24" s="247"/>
      <c r="V24" s="247"/>
      <c r="W24" s="247"/>
      <c r="X24" s="247"/>
      <c r="Y24" s="247"/>
      <c r="Z24" s="247"/>
      <c r="AA24" s="247"/>
      <c r="AB24" s="247"/>
      <c r="AC24" s="247"/>
      <c r="AD24" s="247"/>
      <c r="AE24" s="247"/>
      <c r="AF24" s="247"/>
    </row>
    <row r="25" spans="1:32" ht="19.5" customHeight="1" x14ac:dyDescent="0.2">
      <c r="A25" s="7" t="str">
        <f t="shared" ca="1" si="1"/>
        <v/>
      </c>
      <c r="B25" s="246">
        <f t="shared" ca="1" si="2"/>
        <v>10</v>
      </c>
      <c r="C25" s="790">
        <f ca="1">IF(AUTOEVENTO="Manual",OFFSET(EVENTOS!$D$15,$B25-$B$15,0),IF(B25&lt;=MAX(CÁLCULO!$M$15:$M$33),VLOOKUP($B25,CÁLCULO!$M$15:$N$33,2,FALSE),0))</f>
        <v>0</v>
      </c>
      <c r="D25" s="790"/>
      <c r="F25" s="247"/>
      <c r="H25" s="247"/>
      <c r="I25" s="247"/>
      <c r="J25" s="247"/>
      <c r="K25" s="247"/>
      <c r="L25" s="247"/>
      <c r="M25" s="247"/>
      <c r="N25" s="247"/>
      <c r="O25" s="247"/>
      <c r="P25" s="247"/>
      <c r="Q25" s="247"/>
      <c r="R25" s="247"/>
      <c r="S25" s="247"/>
      <c r="T25" s="247"/>
      <c r="U25" s="247"/>
      <c r="V25" s="247"/>
      <c r="W25" s="247"/>
      <c r="X25" s="247"/>
      <c r="Y25" s="247"/>
      <c r="Z25" s="247"/>
      <c r="AA25" s="247"/>
      <c r="AB25" s="247"/>
      <c r="AC25" s="247"/>
      <c r="AD25" s="247"/>
      <c r="AE25" s="247"/>
      <c r="AF25" s="247"/>
    </row>
    <row r="26" spans="1:32" ht="19.5" customHeight="1" x14ac:dyDescent="0.2">
      <c r="A26" s="7" t="str">
        <f t="shared" ca="1" si="1"/>
        <v/>
      </c>
      <c r="B26" s="246">
        <f t="shared" ca="1" si="2"/>
        <v>11</v>
      </c>
      <c r="C26" s="790">
        <f ca="1">IF(AUTOEVENTO="Manual",OFFSET(EVENTOS!$D$15,$B26-$B$15,0),IF(B26&lt;=MAX(CÁLCULO!$M$15:$M$33),VLOOKUP($B26,CÁLCULO!$M$15:$N$33,2,FALSE),0))</f>
        <v>0</v>
      </c>
      <c r="D26" s="790"/>
      <c r="F26" s="247"/>
      <c r="H26" s="247"/>
      <c r="I26" s="247"/>
      <c r="J26" s="247"/>
      <c r="K26" s="247"/>
      <c r="L26" s="247"/>
      <c r="M26" s="247"/>
      <c r="N26" s="247"/>
      <c r="O26" s="247"/>
      <c r="P26" s="247"/>
      <c r="Q26" s="247"/>
      <c r="R26" s="247"/>
      <c r="S26" s="247"/>
      <c r="T26" s="247"/>
      <c r="U26" s="247"/>
      <c r="V26" s="247"/>
      <c r="W26" s="247"/>
      <c r="X26" s="247"/>
      <c r="Y26" s="247"/>
      <c r="Z26" s="247"/>
      <c r="AA26" s="247"/>
      <c r="AB26" s="247"/>
      <c r="AC26" s="247"/>
      <c r="AD26" s="247"/>
      <c r="AE26" s="247"/>
      <c r="AF26" s="247"/>
    </row>
    <row r="27" spans="1:32" ht="19.5" customHeight="1" x14ac:dyDescent="0.2">
      <c r="A27" s="7" t="str">
        <f t="shared" ca="1" si="1"/>
        <v/>
      </c>
      <c r="B27" s="246">
        <f t="shared" ca="1" si="2"/>
        <v>12</v>
      </c>
      <c r="C27" s="790">
        <f ca="1">IF(AUTOEVENTO="Manual",OFFSET(EVENTOS!$D$15,$B27-$B$15,0),IF(B27&lt;=MAX(CÁLCULO!$M$15:$M$33),VLOOKUP($B27,CÁLCULO!$M$15:$N$33,2,FALSE),0))</f>
        <v>0</v>
      </c>
      <c r="D27" s="790"/>
      <c r="F27" s="247"/>
      <c r="H27" s="247"/>
      <c r="I27" s="247"/>
      <c r="J27" s="247"/>
      <c r="K27" s="247"/>
      <c r="L27" s="247"/>
      <c r="M27" s="247"/>
      <c r="N27" s="247"/>
      <c r="O27" s="247"/>
      <c r="P27" s="247"/>
      <c r="Q27" s="247"/>
      <c r="R27" s="247"/>
      <c r="S27" s="247"/>
      <c r="T27" s="247"/>
      <c r="U27" s="247"/>
      <c r="V27" s="247"/>
      <c r="W27" s="247"/>
      <c r="X27" s="247"/>
      <c r="Y27" s="247"/>
      <c r="Z27" s="247"/>
      <c r="AA27" s="247"/>
      <c r="AB27" s="247"/>
      <c r="AC27" s="247"/>
      <c r="AD27" s="247"/>
      <c r="AE27" s="247"/>
      <c r="AF27" s="247"/>
    </row>
    <row r="28" spans="1:32" ht="19.5" customHeight="1" x14ac:dyDescent="0.2">
      <c r="A28" s="7" t="str">
        <f t="shared" ca="1" si="1"/>
        <v/>
      </c>
      <c r="B28" s="246">
        <f t="shared" ca="1" si="2"/>
        <v>13</v>
      </c>
      <c r="C28" s="790">
        <f ca="1">IF(AUTOEVENTO="Manual",OFFSET(EVENTOS!$D$15,$B28-$B$15,0),IF(B28&lt;=MAX(CÁLCULO!$M$15:$M$33),VLOOKUP($B28,CÁLCULO!$M$15:$N$33,2,FALSE),0))</f>
        <v>0</v>
      </c>
      <c r="D28" s="790"/>
      <c r="F28" s="247"/>
      <c r="H28" s="247"/>
      <c r="I28" s="247"/>
      <c r="J28" s="247"/>
      <c r="K28" s="247"/>
      <c r="L28" s="247"/>
      <c r="M28" s="247"/>
      <c r="N28" s="247"/>
      <c r="O28" s="247"/>
      <c r="P28" s="247"/>
      <c r="Q28" s="247"/>
      <c r="R28" s="247"/>
      <c r="S28" s="247"/>
      <c r="T28" s="247"/>
      <c r="U28" s="247"/>
      <c r="V28" s="247"/>
      <c r="W28" s="247"/>
      <c r="X28" s="247"/>
      <c r="Y28" s="247"/>
      <c r="Z28" s="247"/>
      <c r="AA28" s="247"/>
      <c r="AB28" s="247"/>
      <c r="AC28" s="247"/>
      <c r="AD28" s="247"/>
      <c r="AE28" s="247"/>
      <c r="AF28" s="247"/>
    </row>
    <row r="29" spans="1:32" ht="19.5" customHeight="1" x14ac:dyDescent="0.2">
      <c r="A29" s="7" t="str">
        <f t="shared" ca="1" si="1"/>
        <v/>
      </c>
      <c r="B29" s="246">
        <f t="shared" ca="1" si="2"/>
        <v>14</v>
      </c>
      <c r="C29" s="790">
        <f ca="1">IF(AUTOEVENTO="Manual",OFFSET(EVENTOS!$D$15,$B29-$B$15,0),IF(B29&lt;=MAX(CÁLCULO!$M$15:$M$33),VLOOKUP($B29,CÁLCULO!$M$15:$N$33,2,FALSE),0))</f>
        <v>0</v>
      </c>
      <c r="D29" s="790"/>
      <c r="F29" s="247"/>
      <c r="H29" s="247"/>
      <c r="I29" s="247"/>
      <c r="J29" s="247"/>
      <c r="K29" s="247"/>
      <c r="L29" s="247"/>
      <c r="M29" s="247"/>
      <c r="N29" s="247"/>
      <c r="O29" s="247"/>
      <c r="P29" s="247"/>
      <c r="Q29" s="247"/>
      <c r="R29" s="247"/>
      <c r="S29" s="247"/>
      <c r="T29" s="247"/>
      <c r="U29" s="247"/>
      <c r="V29" s="247"/>
      <c r="W29" s="247"/>
      <c r="X29" s="247"/>
      <c r="Y29" s="247"/>
      <c r="Z29" s="247"/>
      <c r="AA29" s="247"/>
      <c r="AB29" s="247"/>
      <c r="AC29" s="247"/>
      <c r="AD29" s="247"/>
      <c r="AE29" s="247"/>
      <c r="AF29" s="247"/>
    </row>
    <row r="30" spans="1:32" ht="19.5" customHeight="1" x14ac:dyDescent="0.2">
      <c r="A30" s="7" t="str">
        <f t="shared" ca="1" si="1"/>
        <v/>
      </c>
      <c r="B30" s="246">
        <f t="shared" ca="1" si="2"/>
        <v>15</v>
      </c>
      <c r="C30" s="790">
        <f ca="1">IF(AUTOEVENTO="Manual",OFFSET(EVENTOS!$D$15,$B30-$B$15,0),IF(B30&lt;=MAX(CÁLCULO!$M$15:$M$33),VLOOKUP($B30,CÁLCULO!$M$15:$N$33,2,FALSE),0))</f>
        <v>0</v>
      </c>
      <c r="D30" s="790"/>
      <c r="F30" s="247"/>
      <c r="H30" s="247"/>
      <c r="I30" s="247"/>
      <c r="J30" s="247"/>
      <c r="K30" s="247"/>
      <c r="L30" s="247"/>
      <c r="M30" s="247"/>
      <c r="N30" s="247"/>
      <c r="O30" s="247"/>
      <c r="P30" s="247"/>
      <c r="Q30" s="247"/>
      <c r="R30" s="247"/>
      <c r="S30" s="247"/>
      <c r="T30" s="247"/>
      <c r="U30" s="247"/>
      <c r="V30" s="247"/>
      <c r="W30" s="247"/>
      <c r="X30" s="247"/>
      <c r="Y30" s="247"/>
      <c r="Z30" s="247"/>
      <c r="AA30" s="247"/>
      <c r="AB30" s="247"/>
      <c r="AC30" s="247"/>
      <c r="AD30" s="247"/>
      <c r="AE30" s="247"/>
      <c r="AF30" s="247"/>
    </row>
    <row r="31" spans="1:32" ht="19.5" customHeight="1" x14ac:dyDescent="0.2">
      <c r="A31" s="7" t="str">
        <f t="shared" ca="1" si="1"/>
        <v/>
      </c>
      <c r="B31" s="246">
        <f t="shared" ca="1" si="2"/>
        <v>16</v>
      </c>
      <c r="C31" s="790">
        <f ca="1">IF(AUTOEVENTO="Manual",OFFSET(EVENTOS!$D$15,$B31-$B$15,0),IF(B31&lt;=MAX(CÁLCULO!$M$15:$M$33),VLOOKUP($B31,CÁLCULO!$M$15:$N$33,2,FALSE),0))</f>
        <v>0</v>
      </c>
      <c r="D31" s="790"/>
      <c r="F31" s="247"/>
      <c r="H31" s="247"/>
      <c r="I31" s="247"/>
      <c r="J31" s="247"/>
      <c r="K31" s="247"/>
      <c r="L31" s="247"/>
      <c r="M31" s="247"/>
      <c r="N31" s="247"/>
      <c r="O31" s="247"/>
      <c r="P31" s="247"/>
      <c r="Q31" s="247"/>
      <c r="R31" s="247"/>
      <c r="S31" s="247"/>
      <c r="T31" s="247"/>
      <c r="U31" s="247"/>
      <c r="V31" s="247"/>
      <c r="W31" s="247"/>
      <c r="X31" s="247"/>
      <c r="Y31" s="247"/>
      <c r="Z31" s="247"/>
      <c r="AA31" s="247"/>
      <c r="AB31" s="247"/>
      <c r="AC31" s="247"/>
      <c r="AD31" s="247"/>
      <c r="AE31" s="247"/>
      <c r="AF31" s="247"/>
    </row>
    <row r="32" spans="1:32" ht="19.5" customHeight="1" x14ac:dyDescent="0.2">
      <c r="A32" s="7" t="str">
        <f t="shared" ca="1" si="1"/>
        <v/>
      </c>
      <c r="B32" s="246">
        <f t="shared" ca="1" si="2"/>
        <v>17</v>
      </c>
      <c r="C32" s="790">
        <f ca="1">IF(AUTOEVENTO="Manual",OFFSET(EVENTOS!$D$15,$B32-$B$15,0),IF(B32&lt;=MAX(CÁLCULO!$M$15:$M$33),VLOOKUP($B32,CÁLCULO!$M$15:$N$33,2,FALSE),0))</f>
        <v>0</v>
      </c>
      <c r="D32" s="790"/>
      <c r="F32" s="247"/>
      <c r="H32" s="247"/>
      <c r="I32" s="247"/>
      <c r="J32" s="247"/>
      <c r="K32" s="247"/>
      <c r="L32" s="247"/>
      <c r="M32" s="247"/>
      <c r="N32" s="247"/>
      <c r="O32" s="247"/>
      <c r="P32" s="247"/>
      <c r="Q32" s="247"/>
      <c r="R32" s="247"/>
      <c r="S32" s="247"/>
      <c r="T32" s="247"/>
      <c r="U32" s="247"/>
      <c r="V32" s="247"/>
      <c r="W32" s="247"/>
      <c r="X32" s="247"/>
      <c r="Y32" s="247"/>
      <c r="Z32" s="247"/>
      <c r="AA32" s="247"/>
      <c r="AB32" s="247"/>
      <c r="AC32" s="247"/>
      <c r="AD32" s="247"/>
      <c r="AE32" s="247"/>
      <c r="AF32" s="247"/>
    </row>
    <row r="33" spans="1:32" ht="19.5" customHeight="1" x14ac:dyDescent="0.2">
      <c r="A33" s="7" t="str">
        <f t="shared" ca="1" si="1"/>
        <v/>
      </c>
      <c r="B33" s="246">
        <f t="shared" ca="1" si="2"/>
        <v>18</v>
      </c>
      <c r="C33" s="790">
        <f ca="1">IF(AUTOEVENTO="Manual",OFFSET(EVENTOS!$D$15,$B33-$B$15,0),IF(B33&lt;=MAX(CÁLCULO!$M$15:$M$33),VLOOKUP($B33,CÁLCULO!$M$15:$N$33,2,FALSE),0))</f>
        <v>0</v>
      </c>
      <c r="D33" s="790"/>
      <c r="F33" s="247"/>
      <c r="H33" s="247"/>
      <c r="I33" s="247"/>
      <c r="J33" s="247"/>
      <c r="K33" s="247"/>
      <c r="L33" s="247"/>
      <c r="M33" s="247"/>
      <c r="N33" s="247"/>
      <c r="O33" s="247"/>
      <c r="P33" s="247"/>
      <c r="Q33" s="247"/>
      <c r="R33" s="247"/>
      <c r="S33" s="247"/>
      <c r="T33" s="247"/>
      <c r="U33" s="247"/>
      <c r="V33" s="247"/>
      <c r="W33" s="247"/>
      <c r="X33" s="247"/>
      <c r="Y33" s="247"/>
      <c r="Z33" s="247"/>
      <c r="AA33" s="247"/>
      <c r="AB33" s="247"/>
      <c r="AC33" s="247"/>
      <c r="AD33" s="247"/>
      <c r="AE33" s="247"/>
      <c r="AF33" s="247"/>
    </row>
    <row r="34" spans="1:32" ht="19.5" customHeight="1" x14ac:dyDescent="0.2">
      <c r="A34" s="7" t="str">
        <f t="shared" ca="1" si="1"/>
        <v/>
      </c>
      <c r="B34" s="246">
        <f t="shared" ca="1" si="2"/>
        <v>19</v>
      </c>
      <c r="C34" s="790">
        <f ca="1">IF(AUTOEVENTO="Manual",OFFSET(EVENTOS!$D$15,$B34-$B$15,0),IF(B34&lt;=MAX(CÁLCULO!$M$15:$M$33),VLOOKUP($B34,CÁLCULO!$M$15:$N$33,2,FALSE),0))</f>
        <v>0</v>
      </c>
      <c r="D34" s="790"/>
      <c r="F34" s="247"/>
      <c r="H34" s="247"/>
      <c r="I34" s="247"/>
      <c r="J34" s="247"/>
      <c r="K34" s="247"/>
      <c r="L34" s="247"/>
      <c r="M34" s="247"/>
      <c r="N34" s="247"/>
      <c r="O34" s="247"/>
      <c r="P34" s="247"/>
      <c r="Q34" s="247"/>
      <c r="R34" s="247"/>
      <c r="S34" s="247"/>
      <c r="T34" s="247"/>
      <c r="U34" s="247"/>
      <c r="V34" s="247"/>
      <c r="W34" s="247"/>
      <c r="X34" s="247"/>
      <c r="Y34" s="247"/>
      <c r="Z34" s="247"/>
      <c r="AA34" s="247"/>
      <c r="AB34" s="247"/>
      <c r="AC34" s="247"/>
      <c r="AD34" s="247"/>
      <c r="AE34" s="247"/>
      <c r="AF34" s="247"/>
    </row>
    <row r="35" spans="1:32" ht="19.5" customHeight="1" x14ac:dyDescent="0.2">
      <c r="A35" s="7" t="str">
        <f t="shared" ca="1" si="1"/>
        <v/>
      </c>
      <c r="B35" s="246">
        <f t="shared" ca="1" si="2"/>
        <v>20</v>
      </c>
      <c r="C35" s="790">
        <f ca="1">IF(AUTOEVENTO="Manual",OFFSET(EVENTOS!$D$15,$B35-$B$15,0),IF(B35&lt;=MAX(CÁLCULO!$M$15:$M$33),VLOOKUP($B35,CÁLCULO!$M$15:$N$33,2,FALSE),0))</f>
        <v>0</v>
      </c>
      <c r="D35" s="790"/>
      <c r="F35" s="247"/>
      <c r="H35" s="247"/>
      <c r="I35" s="247"/>
      <c r="J35" s="247"/>
      <c r="K35" s="247"/>
      <c r="L35" s="247"/>
      <c r="M35" s="247"/>
      <c r="N35" s="247"/>
      <c r="O35" s="247"/>
      <c r="P35" s="247"/>
      <c r="Q35" s="247"/>
      <c r="R35" s="247"/>
      <c r="S35" s="247"/>
      <c r="T35" s="247"/>
      <c r="U35" s="247"/>
      <c r="V35" s="247"/>
      <c r="W35" s="247"/>
      <c r="X35" s="247"/>
      <c r="Y35" s="247"/>
      <c r="Z35" s="247"/>
      <c r="AA35" s="247"/>
      <c r="AB35" s="247"/>
      <c r="AC35" s="247"/>
      <c r="AD35" s="247"/>
      <c r="AE35" s="247"/>
      <c r="AF35" s="247"/>
    </row>
    <row r="36" spans="1:32" ht="19.5" customHeight="1" x14ac:dyDescent="0.2">
      <c r="A36" s="7" t="str">
        <f t="shared" ca="1" si="1"/>
        <v/>
      </c>
      <c r="B36" s="246">
        <f t="shared" ca="1" si="2"/>
        <v>21</v>
      </c>
      <c r="C36" s="790">
        <f ca="1">IF(AUTOEVENTO="Manual",OFFSET(EVENTOS!$D$15,$B36-$B$15,0),IF(B36&lt;=MAX(CÁLCULO!$M$15:$M$33),VLOOKUP($B36,CÁLCULO!$M$15:$N$33,2,FALSE),0))</f>
        <v>0</v>
      </c>
      <c r="D36" s="790"/>
      <c r="F36" s="247"/>
      <c r="H36" s="247"/>
      <c r="I36" s="247"/>
      <c r="J36" s="247"/>
      <c r="K36" s="247"/>
      <c r="L36" s="247"/>
      <c r="M36" s="247"/>
      <c r="N36" s="247"/>
      <c r="O36" s="247"/>
      <c r="P36" s="247"/>
      <c r="Q36" s="247"/>
      <c r="R36" s="247"/>
      <c r="S36" s="247"/>
      <c r="T36" s="247"/>
      <c r="U36" s="247"/>
      <c r="V36" s="247"/>
      <c r="W36" s="247"/>
      <c r="X36" s="247"/>
      <c r="Y36" s="247"/>
      <c r="Z36" s="247"/>
      <c r="AA36" s="247"/>
      <c r="AB36" s="247"/>
      <c r="AC36" s="247"/>
      <c r="AD36" s="247"/>
      <c r="AE36" s="247"/>
      <c r="AF36" s="247"/>
    </row>
    <row r="37" spans="1:32" ht="19.5" customHeight="1" x14ac:dyDescent="0.2">
      <c r="A37" s="7" t="str">
        <f t="shared" ca="1" si="1"/>
        <v/>
      </c>
      <c r="B37" s="246">
        <f t="shared" ca="1" si="2"/>
        <v>22</v>
      </c>
      <c r="C37" s="790">
        <f ca="1">IF(AUTOEVENTO="Manual",OFFSET(EVENTOS!$D$15,$B37-$B$15,0),IF(B37&lt;=MAX(CÁLCULO!$M$15:$M$33),VLOOKUP($B37,CÁLCULO!$M$15:$N$33,2,FALSE),0))</f>
        <v>0</v>
      </c>
      <c r="D37" s="790"/>
      <c r="F37" s="247"/>
      <c r="H37" s="247"/>
      <c r="I37" s="247"/>
      <c r="J37" s="247"/>
      <c r="K37" s="247"/>
      <c r="L37" s="247"/>
      <c r="M37" s="247"/>
      <c r="N37" s="247"/>
      <c r="O37" s="247"/>
      <c r="P37" s="247"/>
      <c r="Q37" s="247"/>
      <c r="R37" s="247"/>
      <c r="S37" s="247"/>
      <c r="T37" s="247"/>
      <c r="U37" s="247"/>
      <c r="V37" s="247"/>
      <c r="W37" s="247"/>
      <c r="X37" s="247"/>
      <c r="Y37" s="247"/>
      <c r="Z37" s="247"/>
      <c r="AA37" s="247"/>
      <c r="AB37" s="247"/>
      <c r="AC37" s="247"/>
      <c r="AD37" s="247"/>
      <c r="AE37" s="247"/>
      <c r="AF37" s="247"/>
    </row>
    <row r="38" spans="1:32" ht="19.5" customHeight="1" x14ac:dyDescent="0.2">
      <c r="A38" s="7" t="str">
        <f t="shared" ca="1" si="1"/>
        <v/>
      </c>
      <c r="B38" s="246">
        <f t="shared" ca="1" si="2"/>
        <v>23</v>
      </c>
      <c r="C38" s="790">
        <f ca="1">IF(AUTOEVENTO="Manual",OFFSET(EVENTOS!$D$15,$B38-$B$15,0),IF(B38&lt;=MAX(CÁLCULO!$M$15:$M$33),VLOOKUP($B38,CÁLCULO!$M$15:$N$33,2,FALSE),0))</f>
        <v>0</v>
      </c>
      <c r="D38" s="790"/>
      <c r="F38" s="247"/>
      <c r="H38" s="247"/>
      <c r="I38" s="247"/>
      <c r="J38" s="247"/>
      <c r="K38" s="247"/>
      <c r="L38" s="247"/>
      <c r="M38" s="247"/>
      <c r="N38" s="247"/>
      <c r="O38" s="247"/>
      <c r="P38" s="247"/>
      <c r="Q38" s="247"/>
      <c r="R38" s="247"/>
      <c r="S38" s="247"/>
      <c r="T38" s="247"/>
      <c r="U38" s="247"/>
      <c r="V38" s="247"/>
      <c r="W38" s="247"/>
      <c r="X38" s="247"/>
      <c r="Y38" s="247"/>
      <c r="Z38" s="247"/>
      <c r="AA38" s="247"/>
      <c r="AB38" s="247"/>
      <c r="AC38" s="247"/>
      <c r="AD38" s="247"/>
      <c r="AE38" s="247"/>
      <c r="AF38" s="247"/>
    </row>
    <row r="39" spans="1:32" ht="19.5" customHeight="1" x14ac:dyDescent="0.2">
      <c r="A39" s="7" t="str">
        <f t="shared" ca="1" si="1"/>
        <v/>
      </c>
      <c r="B39" s="246">
        <f t="shared" ca="1" si="2"/>
        <v>24</v>
      </c>
      <c r="C39" s="790">
        <f ca="1">IF(AUTOEVENTO="Manual",OFFSET(EVENTOS!$D$15,$B39-$B$15,0),IF(B39&lt;=MAX(CÁLCULO!$M$15:$M$33),VLOOKUP($B39,CÁLCULO!$M$15:$N$33,2,FALSE),0))</f>
        <v>0</v>
      </c>
      <c r="D39" s="790"/>
      <c r="F39" s="247"/>
      <c r="H39" s="247"/>
      <c r="I39" s="247"/>
      <c r="J39" s="247"/>
      <c r="K39" s="247"/>
      <c r="L39" s="247"/>
      <c r="M39" s="247"/>
      <c r="N39" s="247"/>
      <c r="O39" s="247"/>
      <c r="P39" s="247"/>
      <c r="Q39" s="247"/>
      <c r="R39" s="247"/>
      <c r="S39" s="247"/>
      <c r="T39" s="247"/>
      <c r="U39" s="247"/>
      <c r="V39" s="247"/>
      <c r="W39" s="247"/>
      <c r="X39" s="247"/>
      <c r="Y39" s="247"/>
      <c r="Z39" s="247"/>
      <c r="AA39" s="247"/>
      <c r="AB39" s="247"/>
      <c r="AC39" s="247"/>
      <c r="AD39" s="247"/>
      <c r="AE39" s="247"/>
      <c r="AF39" s="247"/>
    </row>
    <row r="40" spans="1:32" ht="19.5" customHeight="1" x14ac:dyDescent="0.2">
      <c r="A40" s="7" t="str">
        <f t="shared" ca="1" si="1"/>
        <v/>
      </c>
      <c r="B40" s="246">
        <f t="shared" ca="1" si="2"/>
        <v>25</v>
      </c>
      <c r="C40" s="790">
        <f ca="1">IF(AUTOEVENTO="Manual",OFFSET(EVENTOS!$D$15,$B40-$B$15,0),IF(B40&lt;=MAX(CÁLCULO!$M$15:$M$33),VLOOKUP($B40,CÁLCULO!$M$15:$N$33,2,FALSE),0))</f>
        <v>0</v>
      </c>
      <c r="D40" s="790"/>
      <c r="F40" s="247"/>
      <c r="H40" s="247"/>
      <c r="I40" s="247"/>
      <c r="J40" s="247"/>
      <c r="K40" s="247"/>
      <c r="L40" s="247"/>
      <c r="M40" s="247"/>
      <c r="N40" s="247"/>
      <c r="O40" s="247"/>
      <c r="P40" s="247"/>
      <c r="Q40" s="247"/>
      <c r="R40" s="247"/>
      <c r="S40" s="247"/>
      <c r="T40" s="247"/>
      <c r="U40" s="247"/>
      <c r="V40" s="247"/>
      <c r="W40" s="247"/>
      <c r="X40" s="247"/>
      <c r="Y40" s="247"/>
      <c r="Z40" s="247"/>
      <c r="AA40" s="247"/>
      <c r="AB40" s="247"/>
      <c r="AC40" s="247"/>
      <c r="AD40" s="247"/>
      <c r="AE40" s="247"/>
      <c r="AF40" s="247"/>
    </row>
    <row r="41" spans="1:32" ht="19.5" customHeight="1" x14ac:dyDescent="0.2">
      <c r="A41" s="7" t="str">
        <f t="shared" ca="1" si="1"/>
        <v/>
      </c>
      <c r="B41" s="246">
        <f t="shared" ca="1" si="2"/>
        <v>26</v>
      </c>
      <c r="C41" s="790">
        <f ca="1">IF(AUTOEVENTO="Manual",OFFSET(EVENTOS!$D$15,$B41-$B$15,0),IF(B41&lt;=MAX(CÁLCULO!$M$15:$M$33),VLOOKUP($B41,CÁLCULO!$M$15:$N$33,2,FALSE),0))</f>
        <v>0</v>
      </c>
      <c r="D41" s="790"/>
      <c r="F41" s="247"/>
      <c r="H41" s="247"/>
      <c r="I41" s="247"/>
      <c r="J41" s="247"/>
      <c r="K41" s="247"/>
      <c r="L41" s="247"/>
      <c r="M41" s="247"/>
      <c r="N41" s="247"/>
      <c r="O41" s="247"/>
      <c r="P41" s="247"/>
      <c r="Q41" s="247"/>
      <c r="R41" s="247"/>
      <c r="S41" s="247"/>
      <c r="T41" s="247"/>
      <c r="U41" s="247"/>
      <c r="V41" s="247"/>
      <c r="W41" s="247"/>
      <c r="X41" s="247"/>
      <c r="Y41" s="247"/>
      <c r="Z41" s="247"/>
      <c r="AA41" s="247"/>
      <c r="AB41" s="247"/>
      <c r="AC41" s="247"/>
      <c r="AD41" s="247"/>
      <c r="AE41" s="247"/>
      <c r="AF41" s="247"/>
    </row>
    <row r="42" spans="1:32" ht="19.5" customHeight="1" x14ac:dyDescent="0.2">
      <c r="A42" s="7" t="str">
        <f t="shared" ca="1" si="1"/>
        <v/>
      </c>
      <c r="B42" s="246">
        <f t="shared" ca="1" si="2"/>
        <v>27</v>
      </c>
      <c r="C42" s="790">
        <f ca="1">IF(AUTOEVENTO="Manual",OFFSET(EVENTOS!$D$15,$B42-$B$15,0),IF(B42&lt;=MAX(CÁLCULO!$M$15:$M$33),VLOOKUP($B42,CÁLCULO!$M$15:$N$33,2,FALSE),0))</f>
        <v>0</v>
      </c>
      <c r="D42" s="790"/>
      <c r="F42" s="247"/>
      <c r="H42" s="247"/>
      <c r="I42" s="247"/>
      <c r="J42" s="247"/>
      <c r="K42" s="247"/>
      <c r="L42" s="247"/>
      <c r="M42" s="247"/>
      <c r="N42" s="247"/>
      <c r="O42" s="247"/>
      <c r="P42" s="247"/>
      <c r="Q42" s="247"/>
      <c r="R42" s="247"/>
      <c r="S42" s="247"/>
      <c r="T42" s="247"/>
      <c r="U42" s="247"/>
      <c r="V42" s="247"/>
      <c r="W42" s="247"/>
      <c r="X42" s="247"/>
      <c r="Y42" s="247"/>
      <c r="Z42" s="247"/>
      <c r="AA42" s="247"/>
      <c r="AB42" s="247"/>
      <c r="AC42" s="247"/>
      <c r="AD42" s="247"/>
      <c r="AE42" s="247"/>
      <c r="AF42" s="247"/>
    </row>
    <row r="43" spans="1:32" ht="19.5" customHeight="1" x14ac:dyDescent="0.2">
      <c r="A43" s="7" t="str">
        <f t="shared" ca="1" si="1"/>
        <v/>
      </c>
      <c r="B43" s="246">
        <f t="shared" ca="1" si="2"/>
        <v>28</v>
      </c>
      <c r="C43" s="790">
        <f ca="1">IF(AUTOEVENTO="Manual",OFFSET(EVENTOS!$D$15,$B43-$B$15,0),IF(B43&lt;=MAX(CÁLCULO!$M$15:$M$33),VLOOKUP($B43,CÁLCULO!$M$15:$N$33,2,FALSE),0))</f>
        <v>0</v>
      </c>
      <c r="D43" s="790"/>
      <c r="F43" s="247"/>
      <c r="H43" s="247"/>
      <c r="I43" s="247"/>
      <c r="J43" s="247"/>
      <c r="K43" s="247"/>
      <c r="L43" s="247"/>
      <c r="M43" s="247"/>
      <c r="N43" s="247"/>
      <c r="O43" s="247"/>
      <c r="P43" s="247"/>
      <c r="Q43" s="247"/>
      <c r="R43" s="247"/>
      <c r="S43" s="247"/>
      <c r="T43" s="247"/>
      <c r="U43" s="247"/>
      <c r="V43" s="247"/>
      <c r="W43" s="247"/>
      <c r="X43" s="247"/>
      <c r="Y43" s="247"/>
      <c r="Z43" s="247"/>
      <c r="AA43" s="247"/>
      <c r="AB43" s="247"/>
      <c r="AC43" s="247"/>
      <c r="AD43" s="247"/>
      <c r="AE43" s="247"/>
      <c r="AF43" s="247"/>
    </row>
    <row r="44" spans="1:32" ht="19.5" customHeight="1" x14ac:dyDescent="0.2">
      <c r="A44" s="7" t="str">
        <f t="shared" ca="1" si="1"/>
        <v/>
      </c>
      <c r="B44" s="246">
        <f t="shared" ca="1" si="2"/>
        <v>29</v>
      </c>
      <c r="C44" s="790">
        <f ca="1">IF(AUTOEVENTO="Manual",OFFSET(EVENTOS!$D$15,$B44-$B$15,0),IF(B44&lt;=MAX(CÁLCULO!$M$15:$M$33),VLOOKUP($B44,CÁLCULO!$M$15:$N$33,2,FALSE),0))</f>
        <v>0</v>
      </c>
      <c r="D44" s="790"/>
      <c r="F44" s="247"/>
      <c r="H44" s="247"/>
      <c r="I44" s="247"/>
      <c r="J44" s="247"/>
      <c r="K44" s="247"/>
      <c r="L44" s="247"/>
      <c r="M44" s="247"/>
      <c r="N44" s="247"/>
      <c r="O44" s="247"/>
      <c r="P44" s="247"/>
      <c r="Q44" s="247"/>
      <c r="R44" s="247"/>
      <c r="S44" s="247"/>
      <c r="T44" s="247"/>
      <c r="U44" s="247"/>
      <c r="V44" s="247"/>
      <c r="W44" s="247"/>
      <c r="X44" s="247"/>
      <c r="Y44" s="247"/>
      <c r="Z44" s="247"/>
      <c r="AA44" s="247"/>
      <c r="AB44" s="247"/>
      <c r="AC44" s="247"/>
      <c r="AD44" s="247"/>
      <c r="AE44" s="247"/>
      <c r="AF44" s="247"/>
    </row>
    <row r="45" spans="1:32" ht="19.5" customHeight="1" x14ac:dyDescent="0.2">
      <c r="A45" s="7" t="str">
        <f t="shared" ca="1" si="1"/>
        <v/>
      </c>
      <c r="B45" s="246">
        <f t="shared" ca="1" si="2"/>
        <v>30</v>
      </c>
      <c r="C45" s="790">
        <f ca="1">IF(AUTOEVENTO="Manual",OFFSET(EVENTOS!$D$15,$B45-$B$15,0),IF(B45&lt;=MAX(CÁLCULO!$M$15:$M$33),VLOOKUP($B45,CÁLCULO!$M$15:$N$33,2,FALSE),0))</f>
        <v>0</v>
      </c>
      <c r="D45" s="790"/>
      <c r="F45" s="247"/>
      <c r="H45" s="247"/>
      <c r="I45" s="247"/>
      <c r="J45" s="247"/>
      <c r="K45" s="247"/>
      <c r="L45" s="247"/>
      <c r="M45" s="247"/>
      <c r="N45" s="247"/>
      <c r="O45" s="247"/>
      <c r="P45" s="247"/>
      <c r="Q45" s="247"/>
      <c r="R45" s="247"/>
      <c r="S45" s="247"/>
      <c r="T45" s="247"/>
      <c r="U45" s="247"/>
      <c r="V45" s="247"/>
      <c r="W45" s="247"/>
      <c r="X45" s="247"/>
      <c r="Y45" s="247"/>
      <c r="Z45" s="247"/>
      <c r="AA45" s="247"/>
      <c r="AB45" s="247"/>
      <c r="AC45" s="247"/>
      <c r="AD45" s="247"/>
      <c r="AE45" s="247"/>
      <c r="AF45" s="247"/>
    </row>
    <row r="46" spans="1:32" ht="19.5" customHeight="1" x14ac:dyDescent="0.2">
      <c r="A46" s="7" t="str">
        <f t="shared" ca="1" si="1"/>
        <v/>
      </c>
      <c r="B46" s="246">
        <f t="shared" ca="1" si="2"/>
        <v>31</v>
      </c>
      <c r="C46" s="790">
        <f ca="1">IF(AUTOEVENTO="Manual",OFFSET(EVENTOS!$D$15,$B46-$B$15,0),IF(B46&lt;=MAX(CÁLCULO!$M$15:$M$33),VLOOKUP($B46,CÁLCULO!$M$15:$N$33,2,FALSE),0))</f>
        <v>0</v>
      </c>
      <c r="D46" s="790"/>
      <c r="F46" s="247"/>
      <c r="H46" s="247"/>
      <c r="I46" s="247"/>
      <c r="J46" s="247"/>
      <c r="K46" s="247"/>
      <c r="L46" s="247"/>
      <c r="M46" s="247"/>
      <c r="N46" s="247"/>
      <c r="O46" s="247"/>
      <c r="P46" s="247"/>
      <c r="Q46" s="247"/>
      <c r="R46" s="247"/>
      <c r="S46" s="247"/>
      <c r="T46" s="247"/>
      <c r="U46" s="247"/>
      <c r="V46" s="247"/>
      <c r="W46" s="247"/>
      <c r="X46" s="247"/>
      <c r="Y46" s="247"/>
      <c r="Z46" s="247"/>
      <c r="AA46" s="247"/>
      <c r="AB46" s="247"/>
      <c r="AC46" s="247"/>
      <c r="AD46" s="247"/>
      <c r="AE46" s="247"/>
      <c r="AF46" s="247"/>
    </row>
    <row r="47" spans="1:32" ht="19.5" customHeight="1" x14ac:dyDescent="0.2">
      <c r="A47" s="7" t="str">
        <f t="shared" ca="1" si="1"/>
        <v/>
      </c>
      <c r="B47" s="246">
        <f t="shared" ca="1" si="2"/>
        <v>32</v>
      </c>
      <c r="C47" s="790">
        <f ca="1">IF(AUTOEVENTO="Manual",OFFSET(EVENTOS!$D$15,$B47-$B$15,0),IF(B47&lt;=MAX(CÁLCULO!$M$15:$M$33),VLOOKUP($B47,CÁLCULO!$M$15:$N$33,2,FALSE),0))</f>
        <v>0</v>
      </c>
      <c r="D47" s="790"/>
      <c r="F47" s="247"/>
      <c r="H47" s="247"/>
      <c r="I47" s="247"/>
      <c r="J47" s="247"/>
      <c r="K47" s="247"/>
      <c r="L47" s="247"/>
      <c r="M47" s="247"/>
      <c r="N47" s="247"/>
      <c r="O47" s="247"/>
      <c r="P47" s="247"/>
      <c r="Q47" s="247"/>
      <c r="R47" s="247"/>
      <c r="S47" s="247"/>
      <c r="T47" s="247"/>
      <c r="U47" s="247"/>
      <c r="V47" s="247"/>
      <c r="W47" s="247"/>
      <c r="X47" s="247"/>
      <c r="Y47" s="247"/>
      <c r="Z47" s="247"/>
      <c r="AA47" s="247"/>
      <c r="AB47" s="247"/>
      <c r="AC47" s="247"/>
      <c r="AD47" s="247"/>
      <c r="AE47" s="247"/>
      <c r="AF47" s="247"/>
    </row>
    <row r="48" spans="1:32" ht="19.5" customHeight="1" x14ac:dyDescent="0.2">
      <c r="A48" s="7" t="str">
        <f t="shared" ca="1" si="1"/>
        <v/>
      </c>
      <c r="B48" s="246">
        <f t="shared" ca="1" si="2"/>
        <v>33</v>
      </c>
      <c r="C48" s="790">
        <f ca="1">IF(AUTOEVENTO="Manual",OFFSET(EVENTOS!$D$15,$B48-$B$15,0),IF(B48&lt;=MAX(CÁLCULO!$M$15:$M$33),VLOOKUP($B48,CÁLCULO!$M$15:$N$33,2,FALSE),0))</f>
        <v>0</v>
      </c>
      <c r="D48" s="790"/>
      <c r="F48" s="247"/>
      <c r="H48" s="247"/>
      <c r="I48" s="247"/>
      <c r="J48" s="247"/>
      <c r="K48" s="247"/>
      <c r="L48" s="247"/>
      <c r="M48" s="247"/>
      <c r="N48" s="247"/>
      <c r="O48" s="247"/>
      <c r="P48" s="247"/>
      <c r="Q48" s="247"/>
      <c r="R48" s="247"/>
      <c r="S48" s="247"/>
      <c r="T48" s="247"/>
      <c r="U48" s="247"/>
      <c r="V48" s="247"/>
      <c r="W48" s="247"/>
      <c r="X48" s="247"/>
      <c r="Y48" s="247"/>
      <c r="Z48" s="247"/>
      <c r="AA48" s="247"/>
      <c r="AB48" s="247"/>
      <c r="AC48" s="247"/>
      <c r="AD48" s="247"/>
      <c r="AE48" s="247"/>
      <c r="AF48" s="247"/>
    </row>
    <row r="49" spans="1:32" ht="19.5" customHeight="1" x14ac:dyDescent="0.2">
      <c r="A49" s="7" t="str">
        <f t="shared" ca="1" si="1"/>
        <v/>
      </c>
      <c r="B49" s="246">
        <f t="shared" ca="1" si="2"/>
        <v>34</v>
      </c>
      <c r="C49" s="790">
        <f ca="1">IF(AUTOEVENTO="Manual",OFFSET(EVENTOS!$D$15,$B49-$B$15,0),IF(B49&lt;=MAX(CÁLCULO!$M$15:$M$33),VLOOKUP($B49,CÁLCULO!$M$15:$N$33,2,FALSE),0))</f>
        <v>0</v>
      </c>
      <c r="D49" s="790"/>
      <c r="F49" s="247"/>
      <c r="H49" s="247"/>
      <c r="I49" s="247"/>
      <c r="J49" s="247"/>
      <c r="K49" s="247"/>
      <c r="L49" s="247"/>
      <c r="M49" s="247"/>
      <c r="N49" s="247"/>
      <c r="O49" s="247"/>
      <c r="P49" s="247"/>
      <c r="Q49" s="247"/>
      <c r="R49" s="247"/>
      <c r="S49" s="247"/>
      <c r="T49" s="247"/>
      <c r="U49" s="247"/>
      <c r="V49" s="247"/>
      <c r="W49" s="247"/>
      <c r="X49" s="247"/>
      <c r="Y49" s="247"/>
      <c r="Z49" s="247"/>
      <c r="AA49" s="247"/>
      <c r="AB49" s="247"/>
      <c r="AC49" s="247"/>
      <c r="AD49" s="247"/>
      <c r="AE49" s="247"/>
      <c r="AF49" s="247"/>
    </row>
    <row r="50" spans="1:32" ht="19.5" customHeight="1" x14ac:dyDescent="0.2">
      <c r="A50" s="7" t="str">
        <f t="shared" ca="1" si="1"/>
        <v/>
      </c>
      <c r="B50" s="246">
        <f t="shared" ca="1" si="2"/>
        <v>35</v>
      </c>
      <c r="C50" s="790">
        <f ca="1">IF(AUTOEVENTO="Manual",OFFSET(EVENTOS!$D$15,$B50-$B$15,0),IF(B50&lt;=MAX(CÁLCULO!$M$15:$M$33),VLOOKUP($B50,CÁLCULO!$M$15:$N$33,2,FALSE),0))</f>
        <v>0</v>
      </c>
      <c r="D50" s="790"/>
      <c r="F50" s="247"/>
      <c r="H50" s="247"/>
      <c r="I50" s="247"/>
      <c r="J50" s="247"/>
      <c r="K50" s="247"/>
      <c r="L50" s="247"/>
      <c r="M50" s="247"/>
      <c r="N50" s="247"/>
      <c r="O50" s="247"/>
      <c r="P50" s="247"/>
      <c r="Q50" s="247"/>
      <c r="R50" s="247"/>
      <c r="S50" s="247"/>
      <c r="T50" s="247"/>
      <c r="U50" s="247"/>
      <c r="V50" s="247"/>
      <c r="W50" s="247"/>
      <c r="X50" s="247"/>
      <c r="Y50" s="247"/>
      <c r="Z50" s="247"/>
      <c r="AA50" s="247"/>
      <c r="AB50" s="247"/>
      <c r="AC50" s="247"/>
      <c r="AD50" s="247"/>
      <c r="AE50" s="247"/>
      <c r="AF50" s="247"/>
    </row>
    <row r="51" spans="1:32" ht="19.5" customHeight="1" x14ac:dyDescent="0.2">
      <c r="A51" s="7" t="str">
        <f t="shared" ca="1" si="1"/>
        <v/>
      </c>
      <c r="B51" s="246">
        <f t="shared" ca="1" si="2"/>
        <v>36</v>
      </c>
      <c r="C51" s="790">
        <f ca="1">IF(AUTOEVENTO="Manual",OFFSET(EVENTOS!$D$15,$B51-$B$15,0),IF(B51&lt;=MAX(CÁLCULO!$M$15:$M$33),VLOOKUP($B51,CÁLCULO!$M$15:$N$33,2,FALSE),0))</f>
        <v>0</v>
      </c>
      <c r="D51" s="790"/>
      <c r="F51" s="247"/>
      <c r="H51" s="247"/>
      <c r="I51" s="247"/>
      <c r="J51" s="247"/>
      <c r="K51" s="247"/>
      <c r="L51" s="247"/>
      <c r="M51" s="247"/>
      <c r="N51" s="247"/>
      <c r="O51" s="247"/>
      <c r="P51" s="247"/>
      <c r="Q51" s="247"/>
      <c r="R51" s="247"/>
      <c r="S51" s="247"/>
      <c r="T51" s="247"/>
      <c r="U51" s="247"/>
      <c r="V51" s="247"/>
      <c r="W51" s="247"/>
      <c r="X51" s="247"/>
      <c r="Y51" s="247"/>
      <c r="Z51" s="247"/>
      <c r="AA51" s="247"/>
      <c r="AB51" s="247"/>
      <c r="AC51" s="247"/>
      <c r="AD51" s="247"/>
      <c r="AE51" s="247"/>
      <c r="AF51" s="247"/>
    </row>
    <row r="52" spans="1:32" ht="19.5" customHeight="1" x14ac:dyDescent="0.2">
      <c r="A52" s="7" t="str">
        <f t="shared" ca="1" si="1"/>
        <v/>
      </c>
      <c r="B52" s="246">
        <f t="shared" ca="1" si="2"/>
        <v>37</v>
      </c>
      <c r="C52" s="790">
        <f ca="1">IF(AUTOEVENTO="Manual",OFFSET(EVENTOS!$D$15,$B52-$B$15,0),IF(B52&lt;=MAX(CÁLCULO!$M$15:$M$33),VLOOKUP($B52,CÁLCULO!$M$15:$N$33,2,FALSE),0))</f>
        <v>0</v>
      </c>
      <c r="D52" s="790"/>
      <c r="F52" s="247"/>
      <c r="H52" s="247"/>
      <c r="I52" s="247"/>
      <c r="J52" s="247"/>
      <c r="K52" s="247"/>
      <c r="L52" s="247"/>
      <c r="M52" s="247"/>
      <c r="N52" s="247"/>
      <c r="O52" s="247"/>
      <c r="P52" s="247"/>
      <c r="Q52" s="247"/>
      <c r="R52" s="247"/>
      <c r="S52" s="247"/>
      <c r="T52" s="247"/>
      <c r="U52" s="247"/>
      <c r="V52" s="247"/>
      <c r="W52" s="247"/>
      <c r="X52" s="247"/>
      <c r="Y52" s="247"/>
      <c r="Z52" s="247"/>
      <c r="AA52" s="247"/>
      <c r="AB52" s="247"/>
      <c r="AC52" s="247"/>
      <c r="AD52" s="247"/>
      <c r="AE52" s="247"/>
      <c r="AF52" s="247"/>
    </row>
    <row r="53" spans="1:32" ht="19.5" customHeight="1" x14ac:dyDescent="0.2">
      <c r="A53" s="7" t="str">
        <f t="shared" ca="1" si="1"/>
        <v/>
      </c>
      <c r="B53" s="246">
        <f t="shared" ca="1" si="2"/>
        <v>38</v>
      </c>
      <c r="C53" s="790">
        <f ca="1">IF(AUTOEVENTO="Manual",OFFSET(EVENTOS!$D$15,$B53-$B$15,0),IF(B53&lt;=MAX(CÁLCULO!$M$15:$M$33),VLOOKUP($B53,CÁLCULO!$M$15:$N$33,2,FALSE),0))</f>
        <v>0</v>
      </c>
      <c r="D53" s="790"/>
      <c r="F53" s="247"/>
      <c r="H53" s="247"/>
      <c r="I53" s="247"/>
      <c r="J53" s="247"/>
      <c r="K53" s="247"/>
      <c r="L53" s="247"/>
      <c r="M53" s="247"/>
      <c r="N53" s="247"/>
      <c r="O53" s="247"/>
      <c r="P53" s="247"/>
      <c r="Q53" s="247"/>
      <c r="R53" s="247"/>
      <c r="S53" s="247"/>
      <c r="T53" s="247"/>
      <c r="U53" s="247"/>
      <c r="V53" s="247"/>
      <c r="W53" s="247"/>
      <c r="X53" s="247"/>
      <c r="Y53" s="247"/>
      <c r="Z53" s="247"/>
      <c r="AA53" s="247"/>
      <c r="AB53" s="247"/>
      <c r="AC53" s="247"/>
      <c r="AD53" s="247"/>
      <c r="AE53" s="247"/>
      <c r="AF53" s="247"/>
    </row>
    <row r="54" spans="1:32" ht="19.5" customHeight="1" x14ac:dyDescent="0.2">
      <c r="A54" s="7" t="str">
        <f t="shared" ca="1" si="1"/>
        <v/>
      </c>
      <c r="B54" s="246">
        <f t="shared" ca="1" si="2"/>
        <v>39</v>
      </c>
      <c r="C54" s="790">
        <f ca="1">IF(AUTOEVENTO="Manual",OFFSET(EVENTOS!$D$15,$B54-$B$15,0),IF(B54&lt;=MAX(CÁLCULO!$M$15:$M$33),VLOOKUP($B54,CÁLCULO!$M$15:$N$33,2,FALSE),0))</f>
        <v>0</v>
      </c>
      <c r="D54" s="790"/>
      <c r="F54" s="247"/>
      <c r="H54" s="247"/>
      <c r="I54" s="247"/>
      <c r="J54" s="247"/>
      <c r="K54" s="247"/>
      <c r="L54" s="247"/>
      <c r="M54" s="247"/>
      <c r="N54" s="247"/>
      <c r="O54" s="247"/>
      <c r="P54" s="247"/>
      <c r="Q54" s="247"/>
      <c r="R54" s="247"/>
      <c r="S54" s="247"/>
      <c r="T54" s="247"/>
      <c r="U54" s="247"/>
      <c r="V54" s="247"/>
      <c r="W54" s="247"/>
      <c r="X54" s="247"/>
      <c r="Y54" s="247"/>
      <c r="Z54" s="247"/>
      <c r="AA54" s="247"/>
      <c r="AB54" s="247"/>
      <c r="AC54" s="247"/>
      <c r="AD54" s="247"/>
      <c r="AE54" s="247"/>
      <c r="AF54" s="247"/>
    </row>
    <row r="55" spans="1:32" ht="19.5" customHeight="1" x14ac:dyDescent="0.2">
      <c r="A55" s="7" t="str">
        <f t="shared" ca="1" si="1"/>
        <v/>
      </c>
      <c r="B55" s="246">
        <f t="shared" ca="1" si="2"/>
        <v>40</v>
      </c>
      <c r="C55" s="790">
        <f ca="1">IF(AUTOEVENTO="Manual",OFFSET(EVENTOS!$D$15,$B55-$B$15,0),IF(B55&lt;=MAX(CÁLCULO!$M$15:$M$33),VLOOKUP($B55,CÁLCULO!$M$15:$N$33,2,FALSE),0))</f>
        <v>0</v>
      </c>
      <c r="D55" s="790"/>
      <c r="F55" s="247"/>
      <c r="H55" s="247"/>
      <c r="I55" s="247"/>
      <c r="J55" s="247"/>
      <c r="K55" s="247"/>
      <c r="L55" s="247"/>
      <c r="M55" s="247"/>
      <c r="N55" s="247"/>
      <c r="O55" s="247"/>
      <c r="P55" s="247"/>
      <c r="Q55" s="247"/>
      <c r="R55" s="247"/>
      <c r="S55" s="247"/>
      <c r="T55" s="247"/>
      <c r="U55" s="247"/>
      <c r="V55" s="247"/>
      <c r="W55" s="247"/>
      <c r="X55" s="247"/>
      <c r="Y55" s="247"/>
      <c r="Z55" s="247"/>
      <c r="AA55" s="247"/>
      <c r="AB55" s="247"/>
      <c r="AC55" s="247"/>
      <c r="AD55" s="247"/>
      <c r="AE55" s="247"/>
      <c r="AF55" s="247"/>
    </row>
    <row r="56" spans="1:32" ht="19.5" customHeight="1" x14ac:dyDescent="0.2">
      <c r="A56" s="7" t="str">
        <f t="shared" ca="1" si="1"/>
        <v/>
      </c>
      <c r="B56" s="246">
        <f t="shared" ca="1" si="2"/>
        <v>41</v>
      </c>
      <c r="C56" s="790">
        <f ca="1">IF(AUTOEVENTO="Manual",OFFSET(EVENTOS!$D$15,$B56-$B$15,0),IF(B56&lt;=MAX(CÁLCULO!$M$15:$M$33),VLOOKUP($B56,CÁLCULO!$M$15:$N$33,2,FALSE),0))</f>
        <v>0</v>
      </c>
      <c r="D56" s="790"/>
      <c r="F56" s="247"/>
      <c r="H56" s="247"/>
      <c r="I56" s="247"/>
      <c r="J56" s="247"/>
      <c r="K56" s="247"/>
      <c r="L56" s="247"/>
      <c r="M56" s="247"/>
      <c r="N56" s="247"/>
      <c r="O56" s="247"/>
      <c r="P56" s="247"/>
      <c r="Q56" s="247"/>
      <c r="R56" s="247"/>
      <c r="S56" s="247"/>
      <c r="T56" s="247"/>
      <c r="U56" s="247"/>
      <c r="V56" s="247"/>
      <c r="W56" s="247"/>
      <c r="X56" s="247"/>
      <c r="Y56" s="247"/>
      <c r="Z56" s="247"/>
      <c r="AA56" s="247"/>
      <c r="AB56" s="247"/>
      <c r="AC56" s="247"/>
      <c r="AD56" s="247"/>
      <c r="AE56" s="247"/>
      <c r="AF56" s="247"/>
    </row>
    <row r="57" spans="1:32" ht="19.5" customHeight="1" x14ac:dyDescent="0.2">
      <c r="A57" s="7" t="str">
        <f t="shared" ca="1" si="1"/>
        <v/>
      </c>
      <c r="B57" s="246">
        <f t="shared" ca="1" si="2"/>
        <v>42</v>
      </c>
      <c r="C57" s="790">
        <f ca="1">IF(AUTOEVENTO="Manual",OFFSET(EVENTOS!$D$15,$B57-$B$15,0),IF(B57&lt;=MAX(CÁLCULO!$M$15:$M$33),VLOOKUP($B57,CÁLCULO!$M$15:$N$33,2,FALSE),0))</f>
        <v>0</v>
      </c>
      <c r="D57" s="790"/>
      <c r="F57" s="247"/>
      <c r="H57" s="247"/>
      <c r="I57" s="247"/>
      <c r="J57" s="247"/>
      <c r="K57" s="247"/>
      <c r="L57" s="247"/>
      <c r="M57" s="247"/>
      <c r="N57" s="247"/>
      <c r="O57" s="247"/>
      <c r="P57" s="247"/>
      <c r="Q57" s="247"/>
      <c r="R57" s="247"/>
      <c r="S57" s="247"/>
      <c r="T57" s="247"/>
      <c r="U57" s="247"/>
      <c r="V57" s="247"/>
      <c r="W57" s="247"/>
      <c r="X57" s="247"/>
      <c r="Y57" s="247"/>
      <c r="Z57" s="247"/>
      <c r="AA57" s="247"/>
      <c r="AB57" s="247"/>
      <c r="AC57" s="247"/>
      <c r="AD57" s="247"/>
      <c r="AE57" s="247"/>
      <c r="AF57" s="247"/>
    </row>
    <row r="58" spans="1:32" ht="19.5" customHeight="1" x14ac:dyDescent="0.2">
      <c r="A58" s="7" t="str">
        <f t="shared" ca="1" si="1"/>
        <v/>
      </c>
      <c r="B58" s="246">
        <f t="shared" ca="1" si="2"/>
        <v>43</v>
      </c>
      <c r="C58" s="790">
        <f ca="1">IF(AUTOEVENTO="Manual",OFFSET(EVENTOS!$D$15,$B58-$B$15,0),IF(B58&lt;=MAX(CÁLCULO!$M$15:$M$33),VLOOKUP($B58,CÁLCULO!$M$15:$N$33,2,FALSE),0))</f>
        <v>0</v>
      </c>
      <c r="D58" s="790"/>
      <c r="F58" s="247"/>
      <c r="H58" s="247"/>
      <c r="I58" s="247"/>
      <c r="J58" s="247"/>
      <c r="K58" s="247"/>
      <c r="L58" s="247"/>
      <c r="M58" s="247"/>
      <c r="N58" s="247"/>
      <c r="O58" s="247"/>
      <c r="P58" s="247"/>
      <c r="Q58" s="247"/>
      <c r="R58" s="247"/>
      <c r="S58" s="247"/>
      <c r="T58" s="247"/>
      <c r="U58" s="247"/>
      <c r="V58" s="247"/>
      <c r="W58" s="247"/>
      <c r="X58" s="247"/>
      <c r="Y58" s="247"/>
      <c r="Z58" s="247"/>
      <c r="AA58" s="247"/>
      <c r="AB58" s="247"/>
      <c r="AC58" s="247"/>
      <c r="AD58" s="247"/>
      <c r="AE58" s="247"/>
      <c r="AF58" s="247"/>
    </row>
    <row r="59" spans="1:32" ht="19.5" customHeight="1" x14ac:dyDescent="0.2">
      <c r="A59" s="7" t="str">
        <f t="shared" ca="1" si="1"/>
        <v/>
      </c>
      <c r="B59" s="246">
        <f t="shared" ca="1" si="2"/>
        <v>44</v>
      </c>
      <c r="C59" s="790">
        <f ca="1">IF(AUTOEVENTO="Manual",OFFSET(EVENTOS!$D$15,$B59-$B$15,0),IF(B59&lt;=MAX(CÁLCULO!$M$15:$M$33),VLOOKUP($B59,CÁLCULO!$M$15:$N$33,2,FALSE),0))</f>
        <v>0</v>
      </c>
      <c r="D59" s="790"/>
      <c r="F59" s="247"/>
      <c r="H59" s="247"/>
      <c r="I59" s="247"/>
      <c r="J59" s="247"/>
      <c r="K59" s="247"/>
      <c r="L59" s="247"/>
      <c r="M59" s="247"/>
      <c r="N59" s="247"/>
      <c r="O59" s="247"/>
      <c r="P59" s="247"/>
      <c r="Q59" s="247"/>
      <c r="R59" s="247"/>
      <c r="S59" s="247"/>
      <c r="T59" s="247"/>
      <c r="U59" s="247"/>
      <c r="V59" s="247"/>
      <c r="W59" s="247"/>
      <c r="X59" s="247"/>
      <c r="Y59" s="247"/>
      <c r="Z59" s="247"/>
      <c r="AA59" s="247"/>
      <c r="AB59" s="247"/>
      <c r="AC59" s="247"/>
      <c r="AD59" s="247"/>
      <c r="AE59" s="247"/>
      <c r="AF59" s="247"/>
    </row>
    <row r="60" spans="1:32" ht="19.5" customHeight="1" x14ac:dyDescent="0.2">
      <c r="A60" s="7" t="str">
        <f t="shared" ca="1" si="1"/>
        <v/>
      </c>
      <c r="B60" s="246">
        <f t="shared" ca="1" si="2"/>
        <v>45</v>
      </c>
      <c r="C60" s="790">
        <f ca="1">IF(AUTOEVENTO="Manual",OFFSET(EVENTOS!$D$15,$B60-$B$15,0),IF(B60&lt;=MAX(CÁLCULO!$M$15:$M$33),VLOOKUP($B60,CÁLCULO!$M$15:$N$33,2,FALSE),0))</f>
        <v>0</v>
      </c>
      <c r="D60" s="790"/>
      <c r="F60" s="247"/>
      <c r="H60" s="247"/>
      <c r="I60" s="247"/>
      <c r="J60" s="247"/>
      <c r="K60" s="247"/>
      <c r="L60" s="247"/>
      <c r="M60" s="247"/>
      <c r="N60" s="247"/>
      <c r="O60" s="247"/>
      <c r="P60" s="247"/>
      <c r="Q60" s="247"/>
      <c r="R60" s="247"/>
      <c r="S60" s="247"/>
      <c r="T60" s="247"/>
      <c r="U60" s="247"/>
      <c r="V60" s="247"/>
      <c r="W60" s="247"/>
      <c r="X60" s="247"/>
      <c r="Y60" s="247"/>
      <c r="Z60" s="247"/>
      <c r="AA60" s="247"/>
      <c r="AB60" s="247"/>
      <c r="AC60" s="247"/>
      <c r="AD60" s="247"/>
      <c r="AE60" s="247"/>
      <c r="AF60" s="247"/>
    </row>
    <row r="61" spans="1:32" ht="19.5" customHeight="1" x14ac:dyDescent="0.2">
      <c r="A61" s="7" t="str">
        <f t="shared" ca="1" si="1"/>
        <v/>
      </c>
      <c r="B61" s="246">
        <f t="shared" ca="1" si="2"/>
        <v>46</v>
      </c>
      <c r="C61" s="790">
        <f ca="1">IF(AUTOEVENTO="Manual",OFFSET(EVENTOS!$D$15,$B61-$B$15,0),IF(B61&lt;=MAX(CÁLCULO!$M$15:$M$33),VLOOKUP($B61,CÁLCULO!$M$15:$N$33,2,FALSE),0))</f>
        <v>0</v>
      </c>
      <c r="D61" s="790"/>
      <c r="F61" s="247"/>
      <c r="H61" s="247"/>
      <c r="I61" s="247"/>
      <c r="J61" s="247"/>
      <c r="K61" s="247"/>
      <c r="L61" s="247"/>
      <c r="M61" s="247"/>
      <c r="N61" s="247"/>
      <c r="O61" s="247"/>
      <c r="P61" s="247"/>
      <c r="Q61" s="247"/>
      <c r="R61" s="247"/>
      <c r="S61" s="247"/>
      <c r="T61" s="247"/>
      <c r="U61" s="247"/>
      <c r="V61" s="247"/>
      <c r="W61" s="247"/>
      <c r="X61" s="247"/>
      <c r="Y61" s="247"/>
      <c r="Z61" s="247"/>
      <c r="AA61" s="247"/>
      <c r="AB61" s="247"/>
      <c r="AC61" s="247"/>
      <c r="AD61" s="247"/>
      <c r="AE61" s="247"/>
      <c r="AF61" s="247"/>
    </row>
    <row r="62" spans="1:32" ht="19.5" customHeight="1" x14ac:dyDescent="0.2">
      <c r="A62" s="7" t="str">
        <f t="shared" ca="1" si="1"/>
        <v/>
      </c>
      <c r="B62" s="246">
        <f t="shared" ca="1" si="2"/>
        <v>47</v>
      </c>
      <c r="C62" s="790">
        <f ca="1">IF(AUTOEVENTO="Manual",OFFSET(EVENTOS!$D$15,$B62-$B$15,0),IF(B62&lt;=MAX(CÁLCULO!$M$15:$M$33),VLOOKUP($B62,CÁLCULO!$M$15:$N$33,2,FALSE),0))</f>
        <v>0</v>
      </c>
      <c r="D62" s="790"/>
      <c r="F62" s="247"/>
      <c r="H62" s="247"/>
      <c r="I62" s="247"/>
      <c r="J62" s="247"/>
      <c r="K62" s="247"/>
      <c r="L62" s="247"/>
      <c r="M62" s="247"/>
      <c r="N62" s="247"/>
      <c r="O62" s="247"/>
      <c r="P62" s="247"/>
      <c r="Q62" s="247"/>
      <c r="R62" s="247"/>
      <c r="S62" s="247"/>
      <c r="T62" s="247"/>
      <c r="U62" s="247"/>
      <c r="V62" s="247"/>
      <c r="W62" s="247"/>
      <c r="X62" s="247"/>
      <c r="Y62" s="247"/>
      <c r="Z62" s="247"/>
      <c r="AA62" s="247"/>
      <c r="AB62" s="247"/>
      <c r="AC62" s="247"/>
      <c r="AD62" s="247"/>
      <c r="AE62" s="247"/>
      <c r="AF62" s="247"/>
    </row>
    <row r="63" spans="1:32" ht="19.5" customHeight="1" x14ac:dyDescent="0.2">
      <c r="A63" s="7" t="str">
        <f t="shared" ca="1" si="1"/>
        <v/>
      </c>
      <c r="B63" s="246">
        <f t="shared" ca="1" si="2"/>
        <v>48</v>
      </c>
      <c r="C63" s="790">
        <f ca="1">IF(AUTOEVENTO="Manual",OFFSET(EVENTOS!$D$15,$B63-$B$15,0),IF(B63&lt;=MAX(CÁLCULO!$M$15:$M$33),VLOOKUP($B63,CÁLCULO!$M$15:$N$33,2,FALSE),0))</f>
        <v>0</v>
      </c>
      <c r="D63" s="790"/>
      <c r="F63" s="247"/>
      <c r="H63" s="247"/>
      <c r="I63" s="247"/>
      <c r="J63" s="247"/>
      <c r="K63" s="247"/>
      <c r="L63" s="247"/>
      <c r="M63" s="247"/>
      <c r="N63" s="247"/>
      <c r="O63" s="247"/>
      <c r="P63" s="247"/>
      <c r="Q63" s="247"/>
      <c r="R63" s="247"/>
      <c r="S63" s="247"/>
      <c r="T63" s="247"/>
      <c r="U63" s="247"/>
      <c r="V63" s="247"/>
      <c r="W63" s="247"/>
      <c r="X63" s="247"/>
      <c r="Y63" s="247"/>
      <c r="Z63" s="247"/>
      <c r="AA63" s="247"/>
      <c r="AB63" s="247"/>
      <c r="AC63" s="247"/>
      <c r="AD63" s="247"/>
      <c r="AE63" s="247"/>
      <c r="AF63" s="247"/>
    </row>
    <row r="64" spans="1:32" ht="19.5" customHeight="1" x14ac:dyDescent="0.2">
      <c r="A64" s="7" t="str">
        <f t="shared" ca="1" si="1"/>
        <v/>
      </c>
      <c r="B64" s="246">
        <f t="shared" ca="1" si="2"/>
        <v>49</v>
      </c>
      <c r="C64" s="790">
        <f ca="1">IF(AUTOEVENTO="Manual",OFFSET(EVENTOS!$D$15,$B64-$B$15,0),IF(B64&lt;=MAX(CÁLCULO!$M$15:$M$33),VLOOKUP($B64,CÁLCULO!$M$15:$N$33,2,FALSE),0))</f>
        <v>0</v>
      </c>
      <c r="D64" s="790"/>
      <c r="F64" s="247"/>
      <c r="H64" s="247"/>
      <c r="I64" s="247"/>
      <c r="J64" s="247"/>
      <c r="K64" s="247"/>
      <c r="L64" s="247"/>
      <c r="M64" s="247"/>
      <c r="N64" s="247"/>
      <c r="O64" s="247"/>
      <c r="P64" s="247"/>
      <c r="Q64" s="247"/>
      <c r="R64" s="247"/>
      <c r="S64" s="247"/>
      <c r="T64" s="247"/>
      <c r="U64" s="247"/>
      <c r="V64" s="247"/>
      <c r="W64" s="247"/>
      <c r="X64" s="247"/>
      <c r="Y64" s="247"/>
      <c r="Z64" s="247"/>
      <c r="AA64" s="247"/>
      <c r="AB64" s="247"/>
      <c r="AC64" s="247"/>
      <c r="AD64" s="247"/>
      <c r="AE64" s="247"/>
      <c r="AF64" s="247"/>
    </row>
    <row r="65" spans="1:32" ht="4.5" customHeight="1" x14ac:dyDescent="0.2">
      <c r="A65" s="7" t="s">
        <v>536</v>
      </c>
      <c r="B65" s="617"/>
      <c r="C65" s="618"/>
      <c r="D65" s="418"/>
      <c r="F65" s="635"/>
      <c r="H65" s="617"/>
      <c r="I65" s="618"/>
      <c r="J65" s="618"/>
      <c r="K65" s="618"/>
      <c r="L65" s="618"/>
      <c r="M65" s="618"/>
      <c r="N65" s="618"/>
      <c r="O65" s="618"/>
      <c r="P65" s="618"/>
      <c r="Q65" s="618"/>
      <c r="R65" s="618"/>
      <c r="S65" s="618"/>
      <c r="T65" s="618"/>
      <c r="U65" s="618"/>
      <c r="V65" s="618"/>
      <c r="W65" s="618"/>
      <c r="X65" s="618"/>
      <c r="Y65" s="618"/>
      <c r="Z65" s="618"/>
      <c r="AA65" s="618"/>
      <c r="AB65" s="618"/>
      <c r="AC65" s="618"/>
      <c r="AD65" s="618"/>
      <c r="AE65" s="618"/>
      <c r="AF65" s="418"/>
    </row>
    <row r="66" spans="1:32" x14ac:dyDescent="0.2">
      <c r="A66" s="7" t="s">
        <v>536</v>
      </c>
    </row>
    <row r="67" spans="1:32" x14ac:dyDescent="0.2">
      <c r="A67" s="7" t="s">
        <v>536</v>
      </c>
      <c r="I67" s="802" t="s">
        <v>839</v>
      </c>
      <c r="J67" s="802"/>
      <c r="K67" s="802"/>
      <c r="L67" s="802"/>
      <c r="M67" s="802"/>
      <c r="N67" s="802"/>
      <c r="O67" s="802"/>
      <c r="P67" s="802"/>
      <c r="Q67" s="802"/>
      <c r="R67" s="802"/>
      <c r="S67" s="802"/>
      <c r="T67" s="802"/>
      <c r="U67" s="802"/>
      <c r="V67" s="802"/>
      <c r="W67" s="802"/>
      <c r="X67" s="802"/>
      <c r="Y67" s="802"/>
      <c r="Z67" s="802"/>
      <c r="AA67" s="802"/>
      <c r="AB67" s="802"/>
      <c r="AC67" s="802"/>
      <c r="AD67" s="802"/>
      <c r="AE67" s="802"/>
      <c r="AF67" s="802"/>
    </row>
    <row r="68" spans="1:32" x14ac:dyDescent="0.2">
      <c r="A68" s="7" t="s">
        <v>536</v>
      </c>
      <c r="H68" s="582" t="str">
        <f>IF(INDEX($I$68:$AG$68,MATCH(PLE.Medicao,$I$69:$AG$69,0))="","Preencher a data da medição "&amp;PLE.Medicao,"")</f>
        <v>Preencher a data da medição 1</v>
      </c>
      <c r="I68" s="793"/>
      <c r="J68" s="789"/>
      <c r="K68" s="789"/>
      <c r="L68" s="789"/>
      <c r="M68" s="789"/>
      <c r="N68" s="789"/>
      <c r="O68" s="789"/>
      <c r="P68" s="789"/>
      <c r="Q68" s="789"/>
      <c r="R68" s="789"/>
      <c r="S68" s="789"/>
      <c r="T68" s="789"/>
      <c r="U68" s="789"/>
      <c r="V68" s="789"/>
      <c r="W68" s="789"/>
      <c r="X68" s="789"/>
      <c r="Y68" s="789"/>
      <c r="Z68" s="789"/>
      <c r="AA68" s="789"/>
      <c r="AB68" s="789"/>
      <c r="AC68" s="789"/>
      <c r="AD68" s="789"/>
      <c r="AE68" s="789"/>
      <c r="AF68" s="803"/>
    </row>
    <row r="69" spans="1:32" x14ac:dyDescent="0.2">
      <c r="A69" s="7" t="s">
        <v>536</v>
      </c>
      <c r="D69" s="268" t="s">
        <v>840</v>
      </c>
      <c r="I69" s="792">
        <f>IF(PLE.Medicao&lt;=12,1,TRUNC((PLE.Medicao - 2)/11,0) * 11 + 1)</f>
        <v>1</v>
      </c>
      <c r="J69" s="792"/>
      <c r="K69" s="792">
        <f>I69+1</f>
        <v>2</v>
      </c>
      <c r="L69" s="792"/>
      <c r="M69" s="792">
        <f>K69+1</f>
        <v>3</v>
      </c>
      <c r="N69" s="792"/>
      <c r="O69" s="792">
        <f>M69+1</f>
        <v>4</v>
      </c>
      <c r="P69" s="792"/>
      <c r="Q69" s="792">
        <f>O69+1</f>
        <v>5</v>
      </c>
      <c r="R69" s="792"/>
      <c r="S69" s="792">
        <f>Q69+1</f>
        <v>6</v>
      </c>
      <c r="T69" s="792"/>
      <c r="U69" s="792">
        <f>S69+1</f>
        <v>7</v>
      </c>
      <c r="V69" s="792"/>
      <c r="W69" s="792">
        <f>U69+1</f>
        <v>8</v>
      </c>
      <c r="X69" s="792"/>
      <c r="Y69" s="792">
        <f>W69+1</f>
        <v>9</v>
      </c>
      <c r="Z69" s="792"/>
      <c r="AA69" s="792">
        <f>Y69+1</f>
        <v>10</v>
      </c>
      <c r="AB69" s="792"/>
      <c r="AC69" s="792">
        <f>AA69+1</f>
        <v>11</v>
      </c>
      <c r="AD69" s="792"/>
      <c r="AE69" s="792">
        <f>AC69+1</f>
        <v>12</v>
      </c>
      <c r="AF69" s="792"/>
    </row>
    <row r="70" spans="1:32" x14ac:dyDescent="0.2">
      <c r="A70" s="7" t="s">
        <v>536</v>
      </c>
      <c r="D70" s="783" t="s">
        <v>799</v>
      </c>
      <c r="H70" s="269" t="s">
        <v>781</v>
      </c>
      <c r="I70" s="794" t="e">
        <f ca="1">ROUND(I71,2)/ORÇAMENTO!$X$15</f>
        <v>#DIV/0!</v>
      </c>
      <c r="J70" s="794"/>
      <c r="K70" s="801" t="e">
        <f ca="1">ROUND(K71,2)/ORÇAMENTO!$X$15</f>
        <v>#DIV/0!</v>
      </c>
      <c r="L70" s="801"/>
      <c r="M70" s="801" t="e">
        <f ca="1">ROUND(M71,2)/ORÇAMENTO!$X$15</f>
        <v>#DIV/0!</v>
      </c>
      <c r="N70" s="801"/>
      <c r="O70" s="801" t="e">
        <f ca="1">ROUND(O71,2)/ORÇAMENTO!$X$15</f>
        <v>#DIV/0!</v>
      </c>
      <c r="P70" s="801"/>
      <c r="Q70" s="801" t="e">
        <f ca="1">ROUND(Q71,2)/ORÇAMENTO!$X$15</f>
        <v>#DIV/0!</v>
      </c>
      <c r="R70" s="801"/>
      <c r="S70" s="801" t="e">
        <f ca="1">ROUND(S71,2)/ORÇAMENTO!$X$15</f>
        <v>#DIV/0!</v>
      </c>
      <c r="T70" s="801"/>
      <c r="U70" s="801" t="e">
        <f ca="1">ROUND(U71,2)/ORÇAMENTO!$X$15</f>
        <v>#DIV/0!</v>
      </c>
      <c r="V70" s="801"/>
      <c r="W70" s="801" t="e">
        <f ca="1">ROUND(W71,2)/ORÇAMENTO!$X$15</f>
        <v>#DIV/0!</v>
      </c>
      <c r="X70" s="801"/>
      <c r="Y70" s="801" t="e">
        <f ca="1">ROUND(Y71,2)/ORÇAMENTO!$X$15</f>
        <v>#DIV/0!</v>
      </c>
      <c r="Z70" s="801"/>
      <c r="AA70" s="801" t="e">
        <f ca="1">ROUND(AA71,2)/ORÇAMENTO!$X$15</f>
        <v>#DIV/0!</v>
      </c>
      <c r="AB70" s="801"/>
      <c r="AC70" s="801" t="e">
        <f ca="1">ROUND(AC71,2)/ORÇAMENTO!$X$15</f>
        <v>#DIV/0!</v>
      </c>
      <c r="AD70" s="801"/>
      <c r="AE70" s="801" t="e">
        <f ca="1">ROUND(AE71,2)/ORÇAMENTO!$X$15</f>
        <v>#DIV/0!</v>
      </c>
      <c r="AF70" s="801"/>
    </row>
    <row r="71" spans="1:32" x14ac:dyDescent="0.2">
      <c r="A71" s="7" t="s">
        <v>536</v>
      </c>
      <c r="D71" s="783"/>
      <c r="H71" s="11" t="s">
        <v>782</v>
      </c>
      <c r="I71" s="785" cm="1">
        <f t="array" aca="1" ref="I71" ca="1">IF(I69=1,I73,ROUND(I73,2)-ROUND(SUMIF(CÁLCULO!$AX$15:$BH$33,"&lt;="&amp;PLE!I69-1,CÁLCULO!$AB$15:$AL$33)*IF(AdmLocal="Automática",(1+CÁLCULO.TotalAdmLocal/(ORÇAMENTO!$X$15-CÁLCULO.TotalAdmLocal)),1),2))</f>
        <v>0</v>
      </c>
      <c r="J71" s="785"/>
      <c r="K71" s="785">
        <f ca="1">ROUND(K73,2)-ROUND(I73,2)</f>
        <v>0</v>
      </c>
      <c r="L71" s="785"/>
      <c r="M71" s="785">
        <f t="shared" ref="M71" ca="1" si="3">ROUND(M73,2)-ROUND(K73,2)</f>
        <v>0</v>
      </c>
      <c r="N71" s="785"/>
      <c r="O71" s="785">
        <f t="shared" ref="O71" ca="1" si="4">ROUND(O73,2)-ROUND(M73,2)</f>
        <v>0</v>
      </c>
      <c r="P71" s="785"/>
      <c r="Q71" s="785">
        <f t="shared" ref="Q71" ca="1" si="5">ROUND(Q73,2)-ROUND(O73,2)</f>
        <v>0</v>
      </c>
      <c r="R71" s="785"/>
      <c r="S71" s="785">
        <f t="shared" ref="S71" ca="1" si="6">ROUND(S73,2)-ROUND(Q73,2)</f>
        <v>0</v>
      </c>
      <c r="T71" s="785"/>
      <c r="U71" s="785">
        <f t="shared" ref="U71" ca="1" si="7">ROUND(U73,2)-ROUND(S73,2)</f>
        <v>0</v>
      </c>
      <c r="V71" s="785"/>
      <c r="W71" s="785">
        <f t="shared" ref="W71" ca="1" si="8">ROUND(W73,2)-ROUND(U73,2)</f>
        <v>0</v>
      </c>
      <c r="X71" s="785"/>
      <c r="Y71" s="785">
        <f t="shared" ref="Y71" ca="1" si="9">ROUND(Y73,2)-ROUND(W73,2)</f>
        <v>0</v>
      </c>
      <c r="Z71" s="785"/>
      <c r="AA71" s="785">
        <f t="shared" ref="AA71" ca="1" si="10">ROUND(AA73,2)-ROUND(Y73,2)</f>
        <v>0</v>
      </c>
      <c r="AB71" s="785"/>
      <c r="AC71" s="785">
        <f t="shared" ref="AC71" ca="1" si="11">ROUND(AC73,2)-ROUND(AA73,2)</f>
        <v>0</v>
      </c>
      <c r="AD71" s="785"/>
      <c r="AE71" s="785">
        <f t="shared" ref="AE71" ca="1" si="12">ROUND(AE73,2)-ROUND(AC73,2)</f>
        <v>0</v>
      </c>
      <c r="AF71" s="785"/>
    </row>
    <row r="72" spans="1:32" x14ac:dyDescent="0.2">
      <c r="A72" s="7" t="s">
        <v>536</v>
      </c>
      <c r="D72" s="783" t="s">
        <v>803</v>
      </c>
      <c r="H72" s="269" t="s">
        <v>781</v>
      </c>
      <c r="I72" s="787" t="e">
        <f ca="1">ROUND(I73,2)/ORÇAMENTO!$X$15</f>
        <v>#DIV/0!</v>
      </c>
      <c r="J72" s="787"/>
      <c r="K72" s="784" t="e">
        <f ca="1">ROUND(K73,2)/ORÇAMENTO!$X$15</f>
        <v>#DIV/0!</v>
      </c>
      <c r="L72" s="784"/>
      <c r="M72" s="784" t="e">
        <f ca="1">ROUND(M73,2)/ORÇAMENTO!$X$15</f>
        <v>#DIV/0!</v>
      </c>
      <c r="N72" s="784"/>
      <c r="O72" s="784" t="e">
        <f ca="1">ROUND(O73,2)/ORÇAMENTO!$X$15</f>
        <v>#DIV/0!</v>
      </c>
      <c r="P72" s="784"/>
      <c r="Q72" s="784" t="e">
        <f ca="1">ROUND(Q73,2)/ORÇAMENTO!$X$15</f>
        <v>#DIV/0!</v>
      </c>
      <c r="R72" s="784"/>
      <c r="S72" s="784" t="e">
        <f ca="1">ROUND(S73,2)/ORÇAMENTO!$X$15</f>
        <v>#DIV/0!</v>
      </c>
      <c r="T72" s="784"/>
      <c r="U72" s="784" t="e">
        <f ca="1">ROUND(U73,2)/ORÇAMENTO!$X$15</f>
        <v>#DIV/0!</v>
      </c>
      <c r="V72" s="784"/>
      <c r="W72" s="784" t="e">
        <f ca="1">ROUND(W73,2)/ORÇAMENTO!$X$15</f>
        <v>#DIV/0!</v>
      </c>
      <c r="X72" s="784"/>
      <c r="Y72" s="784" t="e">
        <f ca="1">ROUND(Y73,2)/ORÇAMENTO!$X$15</f>
        <v>#DIV/0!</v>
      </c>
      <c r="Z72" s="784"/>
      <c r="AA72" s="784" t="e">
        <f ca="1">ROUND(AA73,2)/ORÇAMENTO!$X$15</f>
        <v>#DIV/0!</v>
      </c>
      <c r="AB72" s="784"/>
      <c r="AC72" s="784" t="e">
        <f ca="1">ROUND(AC73,2)/ORÇAMENTO!$X$15</f>
        <v>#DIV/0!</v>
      </c>
      <c r="AD72" s="784"/>
      <c r="AE72" s="784" t="e">
        <f ca="1">ROUND(AE73,2)/ORÇAMENTO!$X$15</f>
        <v>#DIV/0!</v>
      </c>
      <c r="AF72" s="784"/>
    </row>
    <row r="73" spans="1:32" x14ac:dyDescent="0.2">
      <c r="A73" s="7" t="s">
        <v>536</v>
      </c>
      <c r="D73" s="783"/>
      <c r="H73" s="11" t="s">
        <v>782</v>
      </c>
      <c r="I73" s="786" cm="1">
        <f t="array" aca="1" ref="I73" ca="1">SUMIF(CÁLCULO!$AX$15:$BH$33,"&lt;="&amp;PLE!I69,CÁLCULO!$AB$15:$AL$33)*IF(AdmLocal="Automática",(1+CÁLCULO.TotalAdmLocal/(ORÇAMENTO!$X$15-CÁLCULO.TotalAdmLocal)),1)</f>
        <v>0</v>
      </c>
      <c r="J73" s="786"/>
      <c r="K73" s="785" cm="1">
        <f t="array" aca="1" ref="K73" ca="1">SUMIF(CÁLCULO!$AX$15:$BH$33,"&lt;="&amp;PLE!K69,CÁLCULO!$AB$15:$AL$33)*IF(AdmLocal="Automática",(1+CÁLCULO.TotalAdmLocal/(ORÇAMENTO!$X$15-CÁLCULO.TotalAdmLocal)),1)</f>
        <v>0</v>
      </c>
      <c r="L73" s="785"/>
      <c r="M73" s="785" cm="1">
        <f t="array" aca="1" ref="M73" ca="1">SUMIF(CÁLCULO!$AX$15:$BH$33,"&lt;="&amp;PLE!M69,CÁLCULO!$AB$15:$AL$33)*IF(AdmLocal="Automática",(1+CÁLCULO.TotalAdmLocal/(ORÇAMENTO!$X$15-CÁLCULO.TotalAdmLocal)),1)</f>
        <v>0</v>
      </c>
      <c r="N73" s="785"/>
      <c r="O73" s="785" cm="1">
        <f t="array" aca="1" ref="O73" ca="1">SUMIF(CÁLCULO!$AX$15:$BH$33,"&lt;="&amp;PLE!O69,CÁLCULO!$AB$15:$AL$33)*IF(AdmLocal="Automática",(1+CÁLCULO.TotalAdmLocal/(ORÇAMENTO!$X$15-CÁLCULO.TotalAdmLocal)),1)</f>
        <v>0</v>
      </c>
      <c r="P73" s="785"/>
      <c r="Q73" s="785" cm="1">
        <f t="array" aca="1" ref="Q73" ca="1">SUMIF(CÁLCULO!$AX$15:$BH$33,"&lt;="&amp;PLE!Q69,CÁLCULO!$AB$15:$AL$33)*IF(AdmLocal="Automática",(1+CÁLCULO.TotalAdmLocal/(ORÇAMENTO!$X$15-CÁLCULO.TotalAdmLocal)),1)</f>
        <v>0</v>
      </c>
      <c r="R73" s="785"/>
      <c r="S73" s="785" cm="1">
        <f t="array" aca="1" ref="S73" ca="1">SUMIF(CÁLCULO!$AX$15:$BH$33,"&lt;="&amp;PLE!S69,CÁLCULO!$AB$15:$AL$33)*IF(AdmLocal="Automática",(1+CÁLCULO.TotalAdmLocal/(ORÇAMENTO!$X$15-CÁLCULO.TotalAdmLocal)),1)</f>
        <v>0</v>
      </c>
      <c r="T73" s="785"/>
      <c r="U73" s="785" cm="1">
        <f t="array" aca="1" ref="U73" ca="1">SUMIF(CÁLCULO!$AX$15:$BH$33,"&lt;="&amp;PLE!U69,CÁLCULO!$AB$15:$AL$33)*IF(AdmLocal="Automática",(1+CÁLCULO.TotalAdmLocal/(ORÇAMENTO!$X$15-CÁLCULO.TotalAdmLocal)),1)</f>
        <v>0</v>
      </c>
      <c r="V73" s="785"/>
      <c r="W73" s="785" cm="1">
        <f t="array" aca="1" ref="W73" ca="1">SUMIF(CÁLCULO!$AX$15:$BH$33,"&lt;="&amp;PLE!W69,CÁLCULO!$AB$15:$AL$33)*IF(AdmLocal="Automática",(1+CÁLCULO.TotalAdmLocal/(ORÇAMENTO!$X$15-CÁLCULO.TotalAdmLocal)),1)</f>
        <v>0</v>
      </c>
      <c r="X73" s="785"/>
      <c r="Y73" s="785" cm="1">
        <f t="array" aca="1" ref="Y73" ca="1">SUMIF(CÁLCULO!$AX$15:$BH$33,"&lt;="&amp;PLE!Y69,CÁLCULO!$AB$15:$AL$33)*IF(AdmLocal="Automática",(1+CÁLCULO.TotalAdmLocal/(ORÇAMENTO!$X$15-CÁLCULO.TotalAdmLocal)),1)</f>
        <v>0</v>
      </c>
      <c r="Z73" s="785"/>
      <c r="AA73" s="785" cm="1">
        <f t="array" aca="1" ref="AA73" ca="1">SUMIF(CÁLCULO!$AX$15:$BH$33,"&lt;="&amp;PLE!AA69,CÁLCULO!$AB$15:$AL$33)*IF(AdmLocal="Automática",(1+CÁLCULO.TotalAdmLocal/(ORÇAMENTO!$X$15-CÁLCULO.TotalAdmLocal)),1)</f>
        <v>0</v>
      </c>
      <c r="AB73" s="785"/>
      <c r="AC73" s="785" cm="1">
        <f t="array" aca="1" ref="AC73" ca="1">SUMIF(CÁLCULO!$AX$15:$BH$33,"&lt;="&amp;PLE!AC69,CÁLCULO!$AB$15:$AL$33)*IF(AdmLocal="Automática",(1+CÁLCULO.TotalAdmLocal/(ORÇAMENTO!$X$15-CÁLCULO.TotalAdmLocal)),1)</f>
        <v>0</v>
      </c>
      <c r="AD73" s="785"/>
      <c r="AE73" s="785" cm="1">
        <f t="array" aca="1" ref="AE73" ca="1">SUMIF(CÁLCULO!$AX$15:$BH$33,"&lt;="&amp;PLE!AE69,CÁLCULO!$AB$15:$AL$33)*IF(AdmLocal="Automática",(1+CÁLCULO.TotalAdmLocal/(ORÇAMENTO!$X$15-CÁLCULO.TotalAdmLocal)),1)</f>
        <v>0</v>
      </c>
      <c r="AF73" s="785"/>
    </row>
    <row r="74" spans="1:32" ht="12.75" customHeight="1" x14ac:dyDescent="0.2">
      <c r="A74" s="7"/>
      <c r="D74" s="551" t="s">
        <v>784</v>
      </c>
      <c r="H74" s="550" t="s">
        <v>781</v>
      </c>
      <c r="I74" s="743">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3"/>
      <c r="K74" s="743">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3"/>
      <c r="M74" s="743">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3"/>
      <c r="O74" s="743">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3"/>
      <c r="Q74" s="743">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3"/>
      <c r="S74" s="743">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3"/>
      <c r="U74" s="743">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3"/>
      <c r="W74" s="743">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3"/>
      <c r="Y74" s="743">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3"/>
      <c r="AA74" s="743">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3"/>
      <c r="AC74" s="743">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3"/>
      <c r="AE74" s="743">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3"/>
    </row>
    <row r="75" spans="1:32" ht="13.5" x14ac:dyDescent="0.25">
      <c r="A75" s="7" t="s">
        <v>536</v>
      </c>
      <c r="D75" s="522"/>
      <c r="H75" s="582" t="str">
        <f ca="1">IF(COUNTIF(I75:AG75,"%Adm&gt;%Global")&gt;0,"Verificar proporcionalidade da Administração Local","")</f>
        <v/>
      </c>
      <c r="I75" s="534" t="e">
        <f ca="1">IF(I74="","",IF(ROUND(I74,4)&gt;ROUND(I72,4),"%Adm&gt;%Global",""))</f>
        <v>#DIV/0!</v>
      </c>
      <c r="J75" s="523"/>
      <c r="K75" s="534" t="e">
        <f t="shared" ref="K75" ca="1" si="13">IF(K74="","",IF(ROUND(K74,4)&gt;ROUND(K72,4),"%Adm&gt;%Global",""))</f>
        <v>#DIV/0!</v>
      </c>
      <c r="L75" s="523"/>
      <c r="M75" s="534" t="e">
        <f t="shared" ref="M75" ca="1" si="14">IF(M74="","",IF(ROUND(M74,4)&gt;ROUND(M72,4),"%Adm&gt;%Global",""))</f>
        <v>#DIV/0!</v>
      </c>
      <c r="N75" s="523"/>
      <c r="O75" s="534" t="e">
        <f t="shared" ref="O75" ca="1" si="15">IF(O74="","",IF(ROUND(O74,4)&gt;ROUND(O72,4),"%Adm&gt;%Global",""))</f>
        <v>#DIV/0!</v>
      </c>
      <c r="P75" s="523"/>
      <c r="Q75" s="534" t="e">
        <f t="shared" ref="Q75" ca="1" si="16">IF(Q74="","",IF(ROUND(Q74,4)&gt;ROUND(Q72,4),"%Adm&gt;%Global",""))</f>
        <v>#DIV/0!</v>
      </c>
      <c r="R75" s="523"/>
      <c r="S75" s="534" t="e">
        <f t="shared" ref="S75" ca="1" si="17">IF(S74="","",IF(ROUND(S74,4)&gt;ROUND(S72,4),"%Adm&gt;%Global",""))</f>
        <v>#DIV/0!</v>
      </c>
      <c r="T75" s="523"/>
      <c r="U75" s="534" t="e">
        <f t="shared" ref="U75" ca="1" si="18">IF(U74="","",IF(ROUND(U74,4)&gt;ROUND(U72,4),"%Adm&gt;%Global",""))</f>
        <v>#DIV/0!</v>
      </c>
      <c r="V75" s="523"/>
      <c r="W75" s="534" t="e">
        <f t="shared" ref="W75" ca="1" si="19">IF(W74="","",IF(ROUND(W74,4)&gt;ROUND(W72,4),"%Adm&gt;%Global",""))</f>
        <v>#DIV/0!</v>
      </c>
      <c r="X75" s="523"/>
      <c r="Y75" s="534" t="e">
        <f t="shared" ref="Y75" ca="1" si="20">IF(Y74="","",IF(ROUND(Y74,4)&gt;ROUND(Y72,4),"%Adm&gt;%Global",""))</f>
        <v>#DIV/0!</v>
      </c>
      <c r="Z75" s="523"/>
      <c r="AA75" s="534" t="e">
        <f t="shared" ref="AA75" ca="1" si="21">IF(AA74="","",IF(ROUND(AA74,4)&gt;ROUND(AA72,4),"%Adm&gt;%Global",""))</f>
        <v>#DIV/0!</v>
      </c>
      <c r="AB75" s="523"/>
      <c r="AC75" s="534" t="e">
        <f t="shared" ref="AC75" ca="1" si="22">IF(AC74="","",IF(ROUND(AC74,4)&gt;ROUND(AC72,4),"%Adm&gt;%Global",""))</f>
        <v>#DIV/0!</v>
      </c>
      <c r="AD75" s="523"/>
      <c r="AE75" s="534" t="e">
        <f t="shared" ref="AE75" ca="1" si="23">IF(AE74="","",IF(ROUND(AE74,4)&gt;ROUND(AE72,4),"%Adm&gt;%Global",""))</f>
        <v>#DIV/0!</v>
      </c>
      <c r="AF75" s="523"/>
    </row>
    <row r="76" spans="1:32" ht="20.25" customHeight="1" x14ac:dyDescent="0.2">
      <c r="A76" s="7" t="s">
        <v>536</v>
      </c>
      <c r="I76" s="788"/>
      <c r="J76" s="788"/>
    </row>
    <row r="77" spans="1:32" ht="15" x14ac:dyDescent="0.25">
      <c r="A77" s="7" t="s">
        <v>536</v>
      </c>
      <c r="B77" s="722" t="str">
        <f>Import.Município</f>
        <v>RS</v>
      </c>
      <c r="C77" s="722"/>
      <c r="D77" s="722"/>
      <c r="S77" s="561" t="str">
        <f ca="1">IF(DADOS!$D$50&lt;&gt;"","Preencher os Dados do Responsável pela Fiscalização, na aba DADOS.","")</f>
        <v/>
      </c>
      <c r="U77" s="138"/>
      <c r="V77" s="138"/>
      <c r="W77" s="138"/>
      <c r="X77" s="138"/>
      <c r="Y77" s="179"/>
      <c r="Z77" s="179"/>
      <c r="AA77" s="179"/>
      <c r="AB77" s="179"/>
      <c r="AC77" s="179"/>
      <c r="AD77" s="179"/>
    </row>
    <row r="78" spans="1:32" x14ac:dyDescent="0.2">
      <c r="A78" s="7" t="s">
        <v>536</v>
      </c>
      <c r="B78" s="9" t="s">
        <v>693</v>
      </c>
      <c r="U78" s="180" t="s">
        <v>841</v>
      </c>
    </row>
    <row r="79" spans="1:32" x14ac:dyDescent="0.2">
      <c r="A79" s="7" t="s">
        <v>536</v>
      </c>
      <c r="I79" s="78"/>
      <c r="U79" s="76" t="s">
        <v>240</v>
      </c>
      <c r="W79" s="270">
        <f t="array" ref="W79:W82">Import.RespFiscalização</f>
        <v>0</v>
      </c>
    </row>
    <row r="80" spans="1:32" x14ac:dyDescent="0.2">
      <c r="A80" s="7" t="s">
        <v>536</v>
      </c>
      <c r="B80" s="716">
        <f>DADOS!$C$48</f>
        <v>0</v>
      </c>
      <c r="C80" s="716"/>
      <c r="D80" s="716"/>
      <c r="I80" s="78"/>
      <c r="U80" s="76" t="s">
        <v>319</v>
      </c>
      <c r="W80" s="270">
        <v>0</v>
      </c>
    </row>
    <row r="81" spans="1:23" x14ac:dyDescent="0.2">
      <c r="A81" s="7" t="s">
        <v>536</v>
      </c>
      <c r="B81" s="139" t="s">
        <v>694</v>
      </c>
      <c r="C81" s="1"/>
      <c r="D81" s="1"/>
      <c r="I81" s="78"/>
      <c r="U81" s="76" t="s">
        <v>243</v>
      </c>
      <c r="W81" s="270">
        <v>0</v>
      </c>
    </row>
    <row r="82" spans="1:23" x14ac:dyDescent="0.2">
      <c r="U82" s="76" t="s">
        <v>246</v>
      </c>
      <c r="W82" s="12">
        <v>0</v>
      </c>
    </row>
  </sheetData>
  <sheetProtection algorithmName="SHA-512" hashValue="Y40/bw9S8UAPfP62oNd9X4zk03FnaZAE0GI8MgLUXTyG1YJtDO5vnlXKqSOqeslkeG5DI4gkAnQv1k2VoT5kag==" saltValue="+Pj0cZayQvIjoixXSlIxDQ==" spinCount="100000" sheet="1" objects="1" scenarios="1" autoFilter="0"/>
  <autoFilter ref="A13:A81"/>
  <mergeCells count="156">
    <mergeCell ref="C62:D62"/>
    <mergeCell ref="C25:D25"/>
    <mergeCell ref="C26:D26"/>
    <mergeCell ref="C27:D27"/>
    <mergeCell ref="C28:D28"/>
    <mergeCell ref="S68:T68"/>
    <mergeCell ref="U68:V68"/>
    <mergeCell ref="Q68:R68"/>
    <mergeCell ref="S70:T70"/>
    <mergeCell ref="U69:V69"/>
    <mergeCell ref="I67:AF67"/>
    <mergeCell ref="AE68:AF68"/>
    <mergeCell ref="Y68:Z68"/>
    <mergeCell ref="AC69:AD69"/>
    <mergeCell ref="AA69:AB69"/>
    <mergeCell ref="C63:D63"/>
    <mergeCell ref="C64:D64"/>
    <mergeCell ref="C44:D44"/>
    <mergeCell ref="C45:D45"/>
    <mergeCell ref="C46:D46"/>
    <mergeCell ref="C52:D52"/>
    <mergeCell ref="C53:D53"/>
    <mergeCell ref="C54:D54"/>
    <mergeCell ref="C55:D55"/>
    <mergeCell ref="C61:D61"/>
    <mergeCell ref="AE70:AF70"/>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S71:T71"/>
    <mergeCell ref="AE71:AF71"/>
    <mergeCell ref="U70:V70"/>
    <mergeCell ref="AC70:AD70"/>
    <mergeCell ref="Y70:Z70"/>
    <mergeCell ref="Q73:R73"/>
    <mergeCell ref="M68:N68"/>
    <mergeCell ref="O71:P71"/>
    <mergeCell ref="M71:N71"/>
    <mergeCell ref="K71:L71"/>
    <mergeCell ref="I71:J71"/>
    <mergeCell ref="O70:P70"/>
    <mergeCell ref="M70:N70"/>
    <mergeCell ref="K70:L70"/>
    <mergeCell ref="O68:P68"/>
    <mergeCell ref="Q70:R70"/>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O69:P69"/>
    <mergeCell ref="W70:X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C34:D34"/>
    <mergeCell ref="C35:D35"/>
    <mergeCell ref="C36:D36"/>
    <mergeCell ref="C37:D37"/>
    <mergeCell ref="C43:D43"/>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118" priority="2769" stopIfTrue="1">
      <formula>IF(OR(ACOMPANHAMENTO="BM",F$12&gt;CÁLCULO.NúmeroDeFrentes),TRUE,PLE.ValorDoEvento=0)</formula>
    </cfRule>
    <cfRule type="cellIs" dxfId="117" priority="2770" stopIfTrue="1" operator="equal">
      <formula>$J$9</formula>
    </cfRule>
  </conditionalFormatting>
  <conditionalFormatting sqref="I70:AF70">
    <cfRule type="expression" dxfId="116" priority="2771" stopIfTrue="1">
      <formula>I69=$J$9</formula>
    </cfRule>
  </conditionalFormatting>
  <conditionalFormatting sqref="I71:AF71">
    <cfRule type="expression" dxfId="115" priority="2772" stopIfTrue="1">
      <formula>I69=$J$9</formula>
    </cfRule>
  </conditionalFormatting>
  <conditionalFormatting sqref="I72:AF72">
    <cfRule type="expression" dxfId="114" priority="2773" stopIfTrue="1">
      <formula>I69=$J$9</formula>
    </cfRule>
  </conditionalFormatting>
  <conditionalFormatting sqref="I73:AF73">
    <cfRule type="expression" dxfId="113" priority="2774" stopIfTrue="1">
      <formula>I69=$J$9</formula>
    </cfRule>
  </conditionalFormatting>
  <conditionalFormatting sqref="I69:J69">
    <cfRule type="cellIs" dxfId="112" priority="2768" stopIfTrue="1" operator="notEqual">
      <formula>1</formula>
    </cfRule>
  </conditionalFormatting>
  <conditionalFormatting sqref="H1:AF1">
    <cfRule type="expression" dxfId="111" priority="2786" stopIfTrue="1">
      <formula>IF(OR(ACOMPANHAMENTO="BM",TIPOORCAMENTO="Proposto",H$12&gt;CÁLCULO.NúmeroDeFrentes),TRUE,PLE.ValorDoEvento=0)</formula>
    </cfRule>
    <cfRule type="cellIs" dxfId="110" priority="2787" stopIfTrue="1" operator="equal">
      <formula>$J$9</formula>
    </cfRule>
  </conditionalFormatting>
  <conditionalFormatting sqref="AE6:AE7">
    <cfRule type="expression" dxfId="109" priority="2775" stopIfTrue="1">
      <formula>TIPOORCAMENTO&lt;&gt;"Licitado"</formula>
    </cfRule>
  </conditionalFormatting>
  <conditionalFormatting sqref="N9:T9">
    <cfRule type="expression" dxfId="108" priority="2776" stopIfTrue="1">
      <formula>COLUMN(N9)&gt;COLUMN($AF$12)</formula>
    </cfRule>
    <cfRule type="expression" dxfId="107" priority="2777" stopIfTrue="1">
      <formula>$N$9="DIGITE A DATA DA MEDIÇÃO"</formula>
    </cfRule>
  </conditionalFormatting>
  <conditionalFormatting sqref="I9:M9 U9:AF9">
    <cfRule type="expression" dxfId="106" priority="2778" stopIfTrue="1">
      <formula>COLUMN(I9)&gt;COLUMN($AF$12)</formula>
    </cfRule>
  </conditionalFormatting>
  <conditionalFormatting sqref="K70:AF73">
    <cfRule type="expression" dxfId="105" priority="1784" stopIfTrue="1">
      <formula>I$72=100%</formula>
    </cfRule>
  </conditionalFormatting>
  <conditionalFormatting sqref="J75 L75 N75 P75 R75 T75 V75 X75 Z75 AB75 AD75 AF75">
    <cfRule type="expression" dxfId="104" priority="14495" stopIfTrue="1">
      <formula>J70=$J$9</formula>
    </cfRule>
  </conditionalFormatting>
  <conditionalFormatting sqref="K74:AF74">
    <cfRule type="expression" dxfId="103" priority="1783">
      <formula>OFFSET(K74,-2,-2)=1</formula>
    </cfRule>
  </conditionalFormatting>
  <conditionalFormatting sqref="I74:AF74">
    <cfRule type="expression" dxfId="102" priority="1782">
      <formula>ROUND(I74,4)&gt;ROUND(I72,4)</formula>
    </cfRule>
  </conditionalFormatting>
  <conditionalFormatting sqref="N13">
    <cfRule type="expression" dxfId="101" priority="1781">
      <formula>$Y$9=0</formula>
    </cfRule>
  </conditionalFormatting>
  <conditionalFormatting sqref="F16:F24">
    <cfRule type="expression" dxfId="100" priority="21" stopIfTrue="1">
      <formula>IF(OR(ACOMPANHAMENTO="BM",F$12&gt;CÁLCULO.NúmeroDeFrentes),TRUE,PLE.ValorDoEvento=0)</formula>
    </cfRule>
    <cfRule type="cellIs" dxfId="99" priority="22" stopIfTrue="1" operator="equal">
      <formula>$J$9</formula>
    </cfRule>
  </conditionalFormatting>
  <conditionalFormatting sqref="H16:AF24">
    <cfRule type="expression" dxfId="98" priority="23" stopIfTrue="1">
      <formula>IF(OR(ACOMPANHAMENTO="BM",TIPOORCAMENTO="Proposto",H$12&gt;CÁLCULO.NúmeroDeFrentes),TRUE,PLE.ValorDoEvento=0)</formula>
    </cfRule>
    <cfRule type="cellIs" dxfId="97" priority="24" stopIfTrue="1" operator="equal">
      <formula>$J$9</formula>
    </cfRule>
  </conditionalFormatting>
  <conditionalFormatting sqref="F25:F33">
    <cfRule type="expression" dxfId="96" priority="17" stopIfTrue="1">
      <formula>IF(OR(ACOMPANHAMENTO="BM",F$12&gt;CÁLCULO.NúmeroDeFrentes),TRUE,PLE.ValorDoEvento=0)</formula>
    </cfRule>
    <cfRule type="cellIs" dxfId="95" priority="18" stopIfTrue="1" operator="equal">
      <formula>$J$9</formula>
    </cfRule>
  </conditionalFormatting>
  <conditionalFormatting sqref="H25:AF33">
    <cfRule type="expression" dxfId="94" priority="19" stopIfTrue="1">
      <formula>IF(OR(ACOMPANHAMENTO="BM",TIPOORCAMENTO="Proposto",H$12&gt;CÁLCULO.NúmeroDeFrentes),TRUE,PLE.ValorDoEvento=0)</formula>
    </cfRule>
    <cfRule type="cellIs" dxfId="93" priority="20" stopIfTrue="1" operator="equal">
      <formula>$J$9</formula>
    </cfRule>
  </conditionalFormatting>
  <conditionalFormatting sqref="F34:F42">
    <cfRule type="expression" dxfId="92" priority="13" stopIfTrue="1">
      <formula>IF(OR(ACOMPANHAMENTO="BM",F$12&gt;CÁLCULO.NúmeroDeFrentes),TRUE,PLE.ValorDoEvento=0)</formula>
    </cfRule>
    <cfRule type="cellIs" dxfId="91" priority="14" stopIfTrue="1" operator="equal">
      <formula>$J$9</formula>
    </cfRule>
  </conditionalFormatting>
  <conditionalFormatting sqref="H34:AF42">
    <cfRule type="expression" dxfId="90" priority="15" stopIfTrue="1">
      <formula>IF(OR(ACOMPANHAMENTO="BM",TIPOORCAMENTO="Proposto",H$12&gt;CÁLCULO.NúmeroDeFrentes),TRUE,PLE.ValorDoEvento=0)</formula>
    </cfRule>
    <cfRule type="cellIs" dxfId="89" priority="16" stopIfTrue="1" operator="equal">
      <formula>$J$9</formula>
    </cfRule>
  </conditionalFormatting>
  <conditionalFormatting sqref="F43:F51">
    <cfRule type="expression" dxfId="88" priority="9" stopIfTrue="1">
      <formula>IF(OR(ACOMPANHAMENTO="BM",F$12&gt;CÁLCULO.NúmeroDeFrentes),TRUE,PLE.ValorDoEvento=0)</formula>
    </cfRule>
    <cfRule type="cellIs" dxfId="87" priority="10" stopIfTrue="1" operator="equal">
      <formula>$J$9</formula>
    </cfRule>
  </conditionalFormatting>
  <conditionalFormatting sqref="H43:AF51">
    <cfRule type="expression" dxfId="86" priority="11" stopIfTrue="1">
      <formula>IF(OR(ACOMPANHAMENTO="BM",TIPOORCAMENTO="Proposto",H$12&gt;CÁLCULO.NúmeroDeFrentes),TRUE,PLE.ValorDoEvento=0)</formula>
    </cfRule>
    <cfRule type="cellIs" dxfId="85" priority="12" stopIfTrue="1" operator="equal">
      <formula>$J$9</formula>
    </cfRule>
  </conditionalFormatting>
  <conditionalFormatting sqref="F52:F60">
    <cfRule type="expression" dxfId="84" priority="5" stopIfTrue="1">
      <formula>IF(OR(ACOMPANHAMENTO="BM",F$12&gt;CÁLCULO.NúmeroDeFrentes),TRUE,PLE.ValorDoEvento=0)</formula>
    </cfRule>
    <cfRule type="cellIs" dxfId="83" priority="6" stopIfTrue="1" operator="equal">
      <formula>$J$9</formula>
    </cfRule>
  </conditionalFormatting>
  <conditionalFormatting sqref="H52:AF60">
    <cfRule type="expression" dxfId="82" priority="7" stopIfTrue="1">
      <formula>IF(OR(ACOMPANHAMENTO="BM",TIPOORCAMENTO="Proposto",H$12&gt;CÁLCULO.NúmeroDeFrentes),TRUE,PLE.ValorDoEvento=0)</formula>
    </cfRule>
    <cfRule type="cellIs" dxfId="81" priority="8" stopIfTrue="1" operator="equal">
      <formula>$J$9</formula>
    </cfRule>
  </conditionalFormatting>
  <conditionalFormatting sqref="F61:F64">
    <cfRule type="expression" dxfId="80" priority="1" stopIfTrue="1">
      <formula>IF(OR(ACOMPANHAMENTO="BM",F$12&gt;CÁLCULO.NúmeroDeFrentes),TRUE,PLE.ValorDoEvento=0)</formula>
    </cfRule>
    <cfRule type="cellIs" dxfId="79" priority="2" stopIfTrue="1" operator="equal">
      <formula>$J$9</formula>
    </cfRule>
  </conditionalFormatting>
  <conditionalFormatting sqref="H61:AF64">
    <cfRule type="expression" dxfId="78" priority="3" stopIfTrue="1">
      <formula>IF(OR(ACOMPANHAMENTO="BM",TIPOORCAMENTO="Proposto",H$12&gt;CÁLCULO.NúmeroDeFrentes),TRUE,PLE.ValorDoEvento=0)</formula>
    </cfRule>
    <cfRule type="cellIs" dxfId="77" priority="4" stopIfTrue="1" operator="equal">
      <formula>$J$9</formula>
    </cfRule>
  </conditionalFormatting>
  <dataValidations count="3">
    <dataValidation type="whole" operator="greaterThan" allowBlank="1" showErrorMessage="1" sqref="I3:AC4 J9:K9 F1:F4 F16:F64">
      <formula1>0</formula1>
      <formula2>0</formula2>
    </dataValidation>
    <dataValidation allowBlank="1" showInputMessage="1" showErrorMessage="1" prompt="Digite a data de medição abaixo dos eventos." sqref="N9:T9">
      <formula1>0</formula1>
      <formula2>0</formula2>
    </dataValidation>
    <dataValidation type="whole" operator="equal" allowBlank="1" showErrorMessage="1" errorTitle="Errp de entrada" error="Preencha somente com o número da medição atual." sqref="H1:AF1 H16:AF64">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3">
    <pageSetUpPr fitToPage="1"/>
  </sheetPr>
  <dimension ref="A1:AO48"/>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7" t="str">
        <f>IF(CAIXA.Modo,"BA - Boletim de Aferição","BM - Boletim de Medição")</f>
        <v>BM - Boletim de Medição</v>
      </c>
      <c r="G1" s="318"/>
      <c r="J1" s="318"/>
      <c r="K1" s="318"/>
      <c r="L1" s="318"/>
      <c r="M1" s="318"/>
      <c r="N1" s="318"/>
      <c r="O1" s="51" t="s">
        <v>644</v>
      </c>
    </row>
    <row r="2" spans="1:41" ht="15" x14ac:dyDescent="0.2">
      <c r="A2" s="319" t="s">
        <v>842</v>
      </c>
      <c r="B2" s="2"/>
      <c r="E2" s="320" t="str" cm="1">
        <f t="array" aca="1" ref="E2" ca="1">IF(Import.RegimeExecução="(SELECIONAR)","Selecione o Regime de Execução na Aba Dados",Import.RegimeExecução&amp;" - "&amp;import.recurso)</f>
        <v>EMPREITADA POR PREÇO GLOBAL - OGU</v>
      </c>
      <c r="O2" s="11" t="s">
        <v>647</v>
      </c>
    </row>
    <row r="3" spans="1:41" x14ac:dyDescent="0.2">
      <c r="A3" s="815" t="b">
        <v>0</v>
      </c>
      <c r="B3" s="815"/>
      <c r="E3" s="85"/>
    </row>
    <row r="4" spans="1:41" x14ac:dyDescent="0.2">
      <c r="D4" s="699" t="s">
        <v>652</v>
      </c>
      <c r="E4" s="699"/>
      <c r="F4" s="710" t="s">
        <v>650</v>
      </c>
      <c r="G4" s="710"/>
      <c r="H4" s="710"/>
      <c r="I4" s="144" t="s">
        <v>707</v>
      </c>
      <c r="J4" s="699" t="s">
        <v>708</v>
      </c>
      <c r="K4" s="699"/>
      <c r="L4" s="699"/>
      <c r="M4" s="699"/>
      <c r="N4" s="699"/>
      <c r="O4" s="146" t="s">
        <v>843</v>
      </c>
    </row>
    <row r="5" spans="1:41" ht="12.75" customHeight="1" x14ac:dyDescent="0.2">
      <c r="A5" t="s">
        <v>844</v>
      </c>
      <c r="D5" s="702" t="str">
        <f>Import.Proponente</f>
        <v>MUNICÍPIO DE SÃO LUIZ GONZAGA</v>
      </c>
      <c r="E5" s="702"/>
      <c r="F5" s="715" t="str">
        <f>Import.CR</f>
        <v>SLG</v>
      </c>
      <c r="G5" s="715"/>
      <c r="H5" s="715"/>
      <c r="I5" s="321" t="str">
        <f>Import.TransfereGOV</f>
        <v>SLG</v>
      </c>
      <c r="J5" s="702" t="str">
        <f>Import.Apelido</f>
        <v>CALÇAMENTO PEDRA IRREGULAR</v>
      </c>
      <c r="K5" s="702"/>
      <c r="L5" s="702"/>
      <c r="M5" s="702"/>
      <c r="N5" s="702"/>
      <c r="O5" s="322">
        <f>Import.DataInicioObra</f>
        <v>0</v>
      </c>
      <c r="AO5" s="323" t="s">
        <v>845</v>
      </c>
    </row>
    <row r="6" spans="1:41" ht="5.0999999999999996" customHeight="1" x14ac:dyDescent="0.2">
      <c r="D6" s="92"/>
      <c r="E6" s="93"/>
      <c r="F6" s="92"/>
      <c r="G6" s="92"/>
      <c r="H6" s="92"/>
      <c r="I6" s="92"/>
      <c r="J6" s="92"/>
      <c r="K6" s="92"/>
      <c r="L6" s="92"/>
      <c r="M6" s="92"/>
      <c r="N6" s="92"/>
      <c r="O6" s="92"/>
      <c r="AO6" s="324"/>
    </row>
    <row r="7" spans="1:41" ht="12.75" customHeight="1" x14ac:dyDescent="0.2">
      <c r="A7" t="str" cm="1">
        <f t="array" aca="1" ref="A7" ca="1">RegimeExecucao</f>
        <v>Global</v>
      </c>
      <c r="D7" s="86" t="s">
        <v>846</v>
      </c>
      <c r="E7" s="86" t="s">
        <v>847</v>
      </c>
      <c r="F7" s="699" t="s">
        <v>848</v>
      </c>
      <c r="G7" s="699"/>
      <c r="H7" s="699"/>
      <c r="I7" s="699" t="str" cm="1">
        <f t="array" ref="I7">IF(TIPOORCAMENTO="Licitado","REGIME DE EXECUÇÃO","MUNICÍPIO / UF")</f>
        <v>MUNICÍPIO / UF</v>
      </c>
      <c r="J7" s="699"/>
      <c r="K7" s="699"/>
      <c r="L7" s="699"/>
      <c r="M7" s="699" t="s">
        <v>849</v>
      </c>
      <c r="N7" s="699"/>
      <c r="O7" s="86" t="s">
        <v>850</v>
      </c>
      <c r="AO7" s="274" cm="1">
        <f t="array" aca="1" ref="AO7" ca="1">BM.MEDAcumulado</f>
        <v>0</v>
      </c>
    </row>
    <row r="8" spans="1:41" ht="12.75" customHeight="1" x14ac:dyDescent="0.2">
      <c r="A8" s="319" t="s">
        <v>851</v>
      </c>
      <c r="B8" s="2"/>
      <c r="C8" s="692" t="s">
        <v>655</v>
      </c>
      <c r="D8" s="325">
        <f>Import.CTEF</f>
        <v>0</v>
      </c>
      <c r="E8" s="55">
        <f>Import.empresa</f>
        <v>0</v>
      </c>
      <c r="F8" s="702">
        <f>Import.CNPJ</f>
        <v>0</v>
      </c>
      <c r="G8" s="702"/>
      <c r="H8" s="702"/>
      <c r="I8" s="702" t="str" cm="1">
        <f t="array" ref="I8">IF(TIPOORCAMENTO="Licitado",Import.RegimeExecução,Import.Município)</f>
        <v>RS</v>
      </c>
      <c r="J8" s="702"/>
      <c r="K8" s="702"/>
      <c r="L8" s="702"/>
      <c r="M8" s="702" t="str" cm="1">
        <f t="array" aca="1" ref="M8" ca="1">TEXT(IF(BM.medicao=1,Import.DataInicioObra,OFFSET($AB$12,0,BM.medicao-1-$AB$13)+1),"dd/mm/aaaa")&amp;" a "&amp;TEXT(OFFSET($AB$12,0,BM.medicao-$AB$13),"dd/mm/aaaa")</f>
        <v>00/01/1900 a 00/01/1900</v>
      </c>
      <c r="N8" s="702"/>
      <c r="O8" s="421">
        <v>1</v>
      </c>
    </row>
    <row r="9" spans="1:41" ht="12.75" customHeight="1" x14ac:dyDescent="0.2">
      <c r="A9" s="558" t="b">
        <v>1</v>
      </c>
      <c r="B9" s="4"/>
      <c r="C9" s="692"/>
    </row>
    <row r="10" spans="1:41" ht="13.35" customHeight="1" x14ac:dyDescent="0.2">
      <c r="A10" s="409" t="s">
        <v>852</v>
      </c>
      <c r="B10" s="410"/>
      <c r="C10" s="692"/>
      <c r="E10" s="555"/>
      <c r="F10" s="814"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IF($J$43&lt;&gt;"",UPPER($J$43),
 "")))))))</f>
        <v>Altere na aba 'MENU' o tipo de orçamento para 'Licitado'.</v>
      </c>
      <c r="G10" s="814"/>
      <c r="H10" s="814"/>
      <c r="I10" s="814"/>
      <c r="O10" s="557" t="str">
        <f ca="1">"Realizado Acumulado: "&amp;TEXT(P10,"0,00%")</f>
        <v>Realizado Acumulado: 0,00%</v>
      </c>
      <c r="P10" s="560">
        <f ca="1">ROUND($O$15/($I$15+10^-12),4)</f>
        <v>0</v>
      </c>
      <c r="AB10" s="570" t="str">
        <f ca="1">IF(INDEX($AB$12:$AN$12,MATCH($O$8,$AB$13:$AN$13,0))=0,"Preencher a data da medição "&amp;$O$8,"")</f>
        <v>Preencher a data da medição 1</v>
      </c>
    </row>
    <row r="11" spans="1:41" ht="15" customHeight="1" x14ac:dyDescent="0.25">
      <c r="A11" s="559" t="e">
        <f ca="1">OFFSET(CRONO!$F$13,CRONO!$F$46,0)</f>
        <v>#N/A</v>
      </c>
      <c r="B11" s="417"/>
      <c r="C11" s="692"/>
      <c r="E11" s="555"/>
      <c r="F11" s="814"/>
      <c r="G11" s="814"/>
      <c r="H11" s="814"/>
      <c r="I11" s="814"/>
      <c r="N11" s="556"/>
      <c r="O11" s="557" t="str">
        <f ca="1">IF(ISERROR(P11),"","Administração Local Acumulada: "&amp;TEXT(P11,"0,00%"))</f>
        <v/>
      </c>
      <c r="P11" s="560" t="e">
        <f ca="1">OFFSET($O$15,$A$11,0)/OFFSET($I$15,$A$11,0)</f>
        <v>#N/A</v>
      </c>
      <c r="T11" s="813" t="s">
        <v>853</v>
      </c>
      <c r="U11" s="813"/>
      <c r="Z11" s="4"/>
      <c r="AB11" s="802" t="s">
        <v>854</v>
      </c>
      <c r="AC11" s="802"/>
      <c r="AD11" s="802"/>
      <c r="AE11" s="802"/>
      <c r="AF11" s="802"/>
      <c r="AG11" s="802"/>
      <c r="AH11" s="802"/>
      <c r="AI11" s="802"/>
      <c r="AJ11" s="802"/>
      <c r="AK11" s="802"/>
      <c r="AL11" s="802"/>
      <c r="AM11" s="802"/>
    </row>
    <row r="12" spans="1:41" ht="15" customHeight="1" x14ac:dyDescent="0.25">
      <c r="C12" s="692"/>
      <c r="E12" s="83" t="s">
        <v>855</v>
      </c>
      <c r="J12" s="704" t="str" cm="1">
        <f t="array" aca="1" ref="J12" ca="1">"Evolução Física "&amp;CHOOSE(MATCH(RegimeExecucao,{"Unitário","Global"},0),"(Qtde.)","(%)")</f>
        <v>Evolução Física (%)</v>
      </c>
      <c r="K12" s="704"/>
      <c r="L12" s="704"/>
      <c r="M12" s="704" t="s">
        <v>856</v>
      </c>
      <c r="N12" s="704"/>
      <c r="O12" s="704"/>
      <c r="Q12" s="704" t="str" cm="1">
        <f t="array" aca="1" ref="Q12" ca="1">"Aferido (CAIXA) "&amp;CHOOSE(MATCH(RegimeExecucao,{"Unitário","Global"},0),"(Qtde.)","(%)")</f>
        <v>Aferido (CAIXA) (%)</v>
      </c>
      <c r="R12" s="704"/>
      <c r="T12" s="326" t="s">
        <v>857</v>
      </c>
      <c r="U12" s="179"/>
      <c r="V12" s="179"/>
      <c r="W12" s="179"/>
      <c r="X12" s="179"/>
      <c r="Y12" s="179"/>
      <c r="Z12" s="41"/>
      <c r="AB12" s="327"/>
      <c r="AC12" s="328"/>
      <c r="AD12" s="328"/>
      <c r="AE12" s="328"/>
      <c r="AF12" s="328"/>
      <c r="AG12" s="328"/>
      <c r="AH12" s="328"/>
      <c r="AI12" s="328"/>
      <c r="AJ12" s="328"/>
      <c r="AK12" s="328"/>
      <c r="AL12" s="328"/>
      <c r="AM12" s="329"/>
    </row>
    <row r="13" spans="1:41" ht="45" customHeight="1" x14ac:dyDescent="0.2">
      <c r="A13" s="106" t="s">
        <v>726</v>
      </c>
      <c r="B13" s="106" t="s">
        <v>725</v>
      </c>
      <c r="C13" s="105" t="s">
        <v>660</v>
      </c>
      <c r="D13" s="291" t="s">
        <v>735</v>
      </c>
      <c r="E13" s="291" t="s">
        <v>118</v>
      </c>
      <c r="F13" s="330" t="s">
        <v>738</v>
      </c>
      <c r="G13" s="291" t="s">
        <v>712</v>
      </c>
      <c r="H13" s="291" t="s">
        <v>739</v>
      </c>
      <c r="I13" s="291" t="s">
        <v>740</v>
      </c>
      <c r="J13" s="291" t="s">
        <v>858</v>
      </c>
      <c r="K13" s="291" t="s">
        <v>859</v>
      </c>
      <c r="L13" s="291" t="s">
        <v>860</v>
      </c>
      <c r="M13" s="291" t="s">
        <v>858</v>
      </c>
      <c r="N13" s="291" t="s">
        <v>859</v>
      </c>
      <c r="O13" s="291" t="s">
        <v>860</v>
      </c>
      <c r="Q13" s="291" t="s">
        <v>858</v>
      </c>
      <c r="R13" s="291" t="s">
        <v>860</v>
      </c>
      <c r="T13" s="291" t="s">
        <v>735</v>
      </c>
      <c r="U13" s="291" t="s">
        <v>118</v>
      </c>
      <c r="V13" s="330" t="str" cm="1">
        <f t="array" aca="1" ref="V13" ca="1">IF(RegimeExecucao="Unitário","Unidade","")</f>
        <v/>
      </c>
      <c r="W13" s="291" t="str" cm="1">
        <f t="array" aca="1" ref="W13" ca="1">CHOOSE(MATCH(RegimeExecucao,{"Unitário","Global"},0),"Quant. Glosada (unid)","Percentual Glosado (%)")</f>
        <v>Percentual Glosado (%)</v>
      </c>
      <c r="X13" s="291" t="str" cm="1">
        <f t="array" aca="1" ref="X13" ca="1">CHOOSE(MATCH(RegimeExecucao,{"Unitário","Global"},0),"Preço Unitário (R$)","Valor Total do Item (R$)")</f>
        <v>Valor Total do Item (R$)</v>
      </c>
      <c r="Y13" s="291" t="s">
        <v>861</v>
      </c>
      <c r="Z13" s="291" t="s">
        <v>862</v>
      </c>
      <c r="AA13" s="111"/>
      <c r="AB13" s="331" cm="1">
        <f t="array" aca="1" ref="AB13" ca="1">IF(BM.medicao&lt;=12,1,TRUNC((BM.medicao - 2)/11,0) * 11 + 1)</f>
        <v>1</v>
      </c>
      <c r="AC13" s="331">
        <f ca="1">OFFSET(AC13,0,-1)+1</f>
        <v>2</v>
      </c>
      <c r="AD13" s="331">
        <f t="shared" ref="AD13:AM13" ca="1" si="0">OFFSET(AD13,0,-1)+1</f>
        <v>3</v>
      </c>
      <c r="AE13" s="331">
        <f t="shared" ca="1" si="0"/>
        <v>4</v>
      </c>
      <c r="AF13" s="331">
        <f t="shared" ca="1" si="0"/>
        <v>5</v>
      </c>
      <c r="AG13" s="331">
        <f t="shared" ca="1" si="0"/>
        <v>6</v>
      </c>
      <c r="AH13" s="331">
        <f t="shared" ca="1" si="0"/>
        <v>7</v>
      </c>
      <c r="AI13" s="331">
        <f t="shared" ca="1" si="0"/>
        <v>8</v>
      </c>
      <c r="AJ13" s="331">
        <f t="shared" ca="1" si="0"/>
        <v>9</v>
      </c>
      <c r="AK13" s="331">
        <f t="shared" ca="1" si="0"/>
        <v>10</v>
      </c>
      <c r="AL13" s="331">
        <f t="shared" ca="1" si="0"/>
        <v>11</v>
      </c>
      <c r="AM13" s="331">
        <f t="shared" ca="1" si="0"/>
        <v>12</v>
      </c>
      <c r="AO13" s="106" t="s">
        <v>863</v>
      </c>
    </row>
    <row r="14" spans="1:41" hidden="1" x14ac:dyDescent="0.2">
      <c r="A14" t="str">
        <f ca="1">ORÇAMENTO!C14</f>
        <v>S</v>
      </c>
      <c r="B14">
        <f ca="1">ORÇAMENTO!D14</f>
        <v>0</v>
      </c>
      <c r="C14" s="113" t="str">
        <f ca="1">IF(OR($I14&gt;0,$A14=1,$A14=2,$A14=3,$A14=4),"F","")</f>
        <v/>
      </c>
      <c r="D14" s="116" t="str">
        <f ca="1">ORÇAMENTO!O14</f>
        <v>-</v>
      </c>
      <c r="E14" s="162" t="str">
        <f ca="1">ORÇAMENTO.Descricao</f>
        <v>(Sem Código)</v>
      </c>
      <c r="F14" s="163" t="str" cm="1">
        <f t="array" aca="1" ref="F14" ca="1">IF(RegimeExecucao="Global","",ORÇAMENTO.Unidade)</f>
        <v/>
      </c>
      <c r="G14" s="121" t="str" cm="1">
        <f t="array" aca="1" ref="G14" ca="1">IF(RegimeExecucao="Global","",ORÇAMENTO!T14)</f>
        <v/>
      </c>
      <c r="H14" s="121" t="str" cm="1">
        <f t="array" aca="1" ref="H14" ca="1">IF(RegimeExecucao="Global","",ORÇAMENTO!W14)</f>
        <v/>
      </c>
      <c r="I14" s="124">
        <f ca="1">ORÇAMENTO!X14</f>
        <v>0</v>
      </c>
      <c r="J14" s="332" cm="1">
        <f t="array" aca="1" ref="J14" ca="1">IF($A14="S",IF(CAIXA.Modo,BM.AFAnterior,BM.MEDAnterior),IF(AND(RegimeExecucao="Global",$I14&gt;0,COUNTIF($AB$13:$AM$13,BM.medicao-1)&gt;0),M14/$I14*100,0))</f>
        <v>0</v>
      </c>
      <c r="K14" s="121">
        <f ca="1">L14-J14</f>
        <v>0</v>
      </c>
      <c r="L14" s="333" cm="1">
        <f t="array" aca="1" ref="L14" ca="1">IF($A14="S",IF(CAIXA.Modo,BM.AFAcumulado,BM.MEDAcumulado),IF(AND(RegimeExecucao="Global",$I14&gt;0,COUNTIF($AB$13:$AM$13,BM.medicao)&gt;0),O14/$I14*100,0))</f>
        <v>0</v>
      </c>
      <c r="M14" s="334" cm="1">
        <f t="array" aca="1" ref="M14" ca="1">IF($A14="S",VTOTALBM,IF($A14=0,0,ROUND(SomaAgrupBM,15-13*ORÇAMENTO!$AF$11)))</f>
        <v>0</v>
      </c>
      <c r="N14" s="335">
        <f ca="1">O14-M14</f>
        <v>0</v>
      </c>
      <c r="O14" s="124" cm="1">
        <f t="array" aca="1" ref="O14" ca="1">IF($A14="S",VTOTALBM,IF($A14=0,0,ROUND(SomaAgrupBM,15-13*ORÇAMENTO!$AF$11)))</f>
        <v>0</v>
      </c>
      <c r="Q14" s="336"/>
      <c r="R14" s="337"/>
      <c r="T14" s="116" t="str">
        <f ca="1">IF($W14&gt;0,$D14,"")</f>
        <v/>
      </c>
      <c r="U14" s="162" t="str">
        <f ca="1">IF($W14&gt;0,$E14,"")</f>
        <v/>
      </c>
      <c r="V14" s="163" t="str" cm="1">
        <f t="array" aca="1" ref="V14" ca="1">IF(AND($W14&gt;0,RegimeExecucao="Unitário"),$F14,"")</f>
        <v/>
      </c>
      <c r="W14" s="453" cm="1">
        <f t="array" aca="1" ref="W14" ca="1">IF($Y14&gt;0,CHOOSE(MATCH(RegimeExecucao,{"Unitário","Global"},0),IF($A14="S",$Y14/$X14,""),($Y14/$X14)*100),0)</f>
        <v>0</v>
      </c>
      <c r="X14" s="338" t="str" cm="1">
        <f t="array" aca="1" ref="X14" ca="1">IF($Y14&gt;0,CHOOSE(MATCH(RegimeExecucao,{"Unitário","Global"},0),IF($A14="S",ROUND($H14,ORÇAMENTO!$AF$10),""),ROUND($I14,ORÇAMENTO!$AF$11)),"")</f>
        <v/>
      </c>
      <c r="Y14" s="338">
        <f ca="1">AO14-O14</f>
        <v>0</v>
      </c>
      <c r="Z14" s="472"/>
      <c r="AB14" s="336"/>
      <c r="AC14" s="436"/>
      <c r="AD14" s="436"/>
      <c r="AE14" s="436"/>
      <c r="AF14" s="436"/>
      <c r="AG14" s="436"/>
      <c r="AH14" s="436"/>
      <c r="AI14" s="436"/>
      <c r="AJ14" s="436"/>
      <c r="AK14" s="436"/>
      <c r="AL14" s="436"/>
      <c r="AM14" s="337"/>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3" t="s">
        <v>536</v>
      </c>
      <c r="D15" s="812" t="str">
        <f>"Objeto do CTEF: "&amp;Import.DescLote</f>
        <v>Objeto do CTEF: CALÇAMENTO - PAVIMENTAÇÃO</v>
      </c>
      <c r="E15" s="812"/>
      <c r="F15" s="454"/>
      <c r="G15" s="455"/>
      <c r="H15" s="455" t="s">
        <v>864</v>
      </c>
      <c r="I15" s="456" cm="1">
        <f t="array" ref="I15">IF(OR(ACOMPANHAMENTO="PLE",TIPOORCAMENTO="Proposto"),0,ORÇAMENTO!$X$15)</f>
        <v>0</v>
      </c>
      <c r="J15" s="339" cm="1">
        <f t="array" aca="1" ref="J15" ca="1">IF(M$15=0,0,IF(RegimeExecucao="Global",M$15/$I$15*100,0))</f>
        <v>0</v>
      </c>
      <c r="K15" s="339">
        <f ca="1">L15-J15</f>
        <v>0</v>
      </c>
      <c r="L15" s="339" cm="1">
        <f t="array" aca="1" ref="L15" ca="1">IF(O$15=0,0,IF(RegimeExecucao="Global",O$15/$I$15*100,0))</f>
        <v>0</v>
      </c>
      <c r="M15" s="340" cm="1">
        <f t="array" aca="1" ref="M15" ca="1">IF(OR(ACOMPANHAMENTO="PLE",TIPOORCAMENTO="Proposto"),0,SUMIF(OFFSET($A15,1,0):$A$33,"S",OFFSET(M15,1,0):M$33))</f>
        <v>0</v>
      </c>
      <c r="N15" s="340">
        <f ca="1">O15-M15</f>
        <v>0</v>
      </c>
      <c r="O15" s="340" cm="1">
        <f t="array" aca="1" ref="O15" ca="1">IF(OR(ACOMPANHAMENTO="PLE",TIPOORCAMENTO="Proposto"),0,SUMIF(OFFSET($A15,1,0):$A$33,"S",OFFSET(O15,1,0):O$33))</f>
        <v>0</v>
      </c>
      <c r="Q15" s="341"/>
      <c r="R15" s="341"/>
      <c r="T15" s="342"/>
      <c r="U15" s="343"/>
      <c r="V15" s="343"/>
      <c r="W15" s="343"/>
      <c r="X15" s="343"/>
      <c r="Y15" s="343"/>
      <c r="Z15" s="344"/>
      <c r="AB15" s="808" t="str" cm="1">
        <f t="array" aca="1" ref="AB15" ca="1">"Preencher abaixo com a "&amp;CHOOSE(MATCH(RegimeExecucao,{"Unitário","Global"},0),"QUANTIDADE","PORCENTAGEM")&amp;" executada no PERÍODO"</f>
        <v>Preencher abaixo com a PORCENTAGEM executada no PERÍODO</v>
      </c>
      <c r="AC15" s="808"/>
      <c r="AD15" s="808"/>
      <c r="AE15" s="808"/>
      <c r="AF15" s="808"/>
      <c r="AG15" s="808"/>
      <c r="AH15" s="808"/>
      <c r="AI15" s="808"/>
      <c r="AJ15" s="808"/>
      <c r="AK15" s="808"/>
      <c r="AL15" s="808"/>
      <c r="AM15" s="808"/>
    </row>
    <row r="16" spans="1:41" ht="25.5" x14ac:dyDescent="0.2">
      <c r="A16">
        <f ca="1">ORÇAMENTO!C16</f>
        <v>1</v>
      </c>
      <c r="B16">
        <f ca="1">ORÇAMENTO!D16</f>
        <v>17</v>
      </c>
      <c r="C16" s="113" t="str">
        <f t="shared" ref="C16:C31" ca="1" si="1">IF(OR($I16&gt;0,$A16=1,$A16=2,$A16=3,$A16=4),"F","")</f>
        <v>F</v>
      </c>
      <c r="D16" s="116" t="str">
        <f ca="1">ORÇAMENTO!O16</f>
        <v>1.</v>
      </c>
      <c r="E16" s="162" t="str">
        <f t="shared" ref="E16:E31" si="2">ORÇAMENTO.Descricao</f>
        <v xml:space="preserve">CALÇAMENTO DE PEDRAS IRREGULARES - RINCÃO DE SANTANA EM FRENTE ESCOLA JOÃO XXIII E SALÃO PAROQUIAL </v>
      </c>
      <c r="F16" s="163" t="str" cm="1">
        <f t="array" aca="1" ref="F16" ca="1">IF(RegimeExecucao="Global","",ORÇAMENTO.Unidade)</f>
        <v/>
      </c>
      <c r="G16" s="121" t="str" cm="1">
        <f t="array" aca="1" ref="G16" ca="1">IF(RegimeExecucao="Global","",ORÇAMENTO!T16)</f>
        <v/>
      </c>
      <c r="H16" s="121" t="str" cm="1">
        <f t="array" aca="1" ref="H16" ca="1">IF(RegimeExecucao="Global","",ORÇAMENTO!W16)</f>
        <v/>
      </c>
      <c r="I16" s="124">
        <f ca="1">ORÇAMENTO!X16</f>
        <v>0</v>
      </c>
      <c r="J16" s="332" cm="1">
        <f t="array" aca="1" ref="J16" ca="1">IF($A16="S",IF(CAIXA.Modo,BM.AFAnterior,BM.MEDAnterior),IF(AND(RegimeExecucao="Global",$I16&gt;0,COUNTIF($AB$13:$AM$13,BM.medicao-1)&gt;0),M16/$I16*100,0))</f>
        <v>0</v>
      </c>
      <c r="K16" s="121">
        <f t="shared" ref="K16:K31" ca="1" si="3">L16-J16</f>
        <v>0</v>
      </c>
      <c r="L16" s="333" cm="1">
        <f t="array" aca="1" ref="L16" ca="1">IF($A16="S",IF(CAIXA.Modo,BM.AFAcumulado,BM.MEDAcumulado),IF(AND(RegimeExecucao="Global",$I16&gt;0,COUNTIF($AB$13:$AM$13,BM.medicao)&gt;0),O16/$I16*100,0))</f>
        <v>0</v>
      </c>
      <c r="M16" s="334" cm="1">
        <f t="array" aca="1" ref="M16" ca="1">IF($A16="S",VTOTALBM,IF($A16=0,0,ROUND(SomaAgrupBM,15-13*ORÇAMENTO!$AF$11)))</f>
        <v>0</v>
      </c>
      <c r="N16" s="335">
        <f t="shared" ref="N16:N31" ca="1" si="4">O16-M16</f>
        <v>0</v>
      </c>
      <c r="O16" s="124" cm="1">
        <f t="array" aca="1" ref="O16" ca="1">IF($A16="S",VTOTALBM,IF($A16=0,0,ROUND(SomaAgrupBM,15-13*ORÇAMENTO!$AF$11)))</f>
        <v>0</v>
      </c>
      <c r="Q16" s="336"/>
      <c r="R16" s="337"/>
      <c r="T16" s="116" t="str">
        <f t="shared" ref="T16:T31" ca="1" si="5">IF($W16&gt;0,$D16,"")</f>
        <v/>
      </c>
      <c r="U16" s="162" t="str">
        <f t="shared" ref="U16:U31" ca="1" si="6">IF($W16&gt;0,$E16,"")</f>
        <v/>
      </c>
      <c r="V16" s="163" t="str" cm="1">
        <f t="array" aca="1" ref="V16" ca="1">IF(AND($W16&gt;0,RegimeExecucao="Unitário"),$F16,"")</f>
        <v/>
      </c>
      <c r="W16" s="453" cm="1">
        <f t="array" aca="1" ref="W16" ca="1">IF($Y16&gt;0,CHOOSE(MATCH(RegimeExecucao,{"Unitário","Global"},0),IF($A16="S",$Y16/$X16,""),($Y16/$X16)*100),0)</f>
        <v>0</v>
      </c>
      <c r="X16" s="338" t="str" cm="1">
        <f t="array" aca="1" ref="X16" ca="1">IF($Y16&gt;0,CHOOSE(MATCH(RegimeExecucao,{"Unitário","Global"},0),IF($A16="S",ROUND($H16,ORÇAMENTO!$AF$10),""),ROUND($I16,ORÇAMENTO!$AF$11)),"")</f>
        <v/>
      </c>
      <c r="Y16" s="338">
        <f t="shared" ref="Y16:Y31" ca="1" si="7">AO16-O16</f>
        <v>0</v>
      </c>
      <c r="Z16" s="472"/>
      <c r="AB16" s="336"/>
      <c r="AC16" s="436"/>
      <c r="AD16" s="436"/>
      <c r="AE16" s="436"/>
      <c r="AF16" s="436"/>
      <c r="AG16" s="436"/>
      <c r="AH16" s="436"/>
      <c r="AI16" s="436"/>
      <c r="AJ16" s="436"/>
      <c r="AK16" s="436"/>
      <c r="AL16" s="436"/>
      <c r="AM16" s="337"/>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v>
      </c>
      <c r="C17" s="113" t="str">
        <f t="shared" ca="1" si="1"/>
        <v>F</v>
      </c>
      <c r="D17" s="116" t="str">
        <f ca="1">ORÇAMENTO!O17</f>
        <v>1.1.</v>
      </c>
      <c r="E17" s="162" t="str">
        <f t="shared" si="2"/>
        <v>PLACA DE OBRA</v>
      </c>
      <c r="F17" s="163" t="str" cm="1">
        <f t="array" aca="1" ref="F17" ca="1">IF(RegimeExecucao="Global","",ORÇAMENTO.Unidade)</f>
        <v/>
      </c>
      <c r="G17" s="121" t="str" cm="1">
        <f t="array" aca="1" ref="G17" ca="1">IF(RegimeExecucao="Global","",ORÇAMENTO!T17)</f>
        <v/>
      </c>
      <c r="H17" s="121" t="str" cm="1">
        <f t="array" aca="1" ref="H17" ca="1">IF(RegimeExecucao="Global","",ORÇAMENTO!W17)</f>
        <v/>
      </c>
      <c r="I17" s="124">
        <f ca="1">ORÇAMENTO!X17</f>
        <v>0</v>
      </c>
      <c r="J17" s="332" cm="1">
        <f t="array" aca="1" ref="J17" ca="1">IF($A17="S",IF(CAIXA.Modo,BM.AFAnterior,BM.MEDAnterior),IF(AND(RegimeExecucao="Global",$I17&gt;0,COUNTIF($AB$13:$AM$13,BM.medicao-1)&gt;0),M17/$I17*100,0))</f>
        <v>0</v>
      </c>
      <c r="K17" s="121">
        <f t="shared" ca="1" si="3"/>
        <v>0</v>
      </c>
      <c r="L17" s="333" cm="1">
        <f t="array" aca="1" ref="L17" ca="1">IF($A17="S",IF(CAIXA.Modo,BM.AFAcumulado,BM.MEDAcumulado),IF(AND(RegimeExecucao="Global",$I17&gt;0,COUNTIF($AB$13:$AM$13,BM.medicao)&gt;0),O17/$I17*100,0))</f>
        <v>0</v>
      </c>
      <c r="M17" s="334" cm="1">
        <f t="array" aca="1" ref="M17" ca="1">IF($A17="S",VTOTALBM,IF($A17=0,0,ROUND(SomaAgrupBM,15-13*ORÇAMENTO!$AF$11)))</f>
        <v>0</v>
      </c>
      <c r="N17" s="335">
        <f t="shared" ca="1" si="4"/>
        <v>0</v>
      </c>
      <c r="O17" s="124" cm="1">
        <f t="array" aca="1" ref="O17" ca="1">IF($A17="S",VTOTALBM,IF($A17=0,0,ROUND(SomaAgrupBM,15-13*ORÇAMENTO!$AF$11)))</f>
        <v>0</v>
      </c>
      <c r="Q17" s="336"/>
      <c r="R17" s="337"/>
      <c r="T17" s="116" t="str">
        <f t="shared" ca="1" si="5"/>
        <v/>
      </c>
      <c r="U17" s="162" t="str">
        <f t="shared" ca="1" si="6"/>
        <v/>
      </c>
      <c r="V17" s="163" t="str" cm="1">
        <f t="array" aca="1" ref="V17" ca="1">IF(AND($W17&gt;0,RegimeExecucao="Unitário"),$F17,"")</f>
        <v/>
      </c>
      <c r="W17" s="453" cm="1">
        <f t="array" aca="1" ref="W17" ca="1">IF($Y17&gt;0,CHOOSE(MATCH(RegimeExecucao,{"Unitário","Global"},0),IF($A17="S",$Y17/$X17,""),($Y17/$X17)*100),0)</f>
        <v>0</v>
      </c>
      <c r="X17" s="338" t="str" cm="1">
        <f t="array" aca="1" ref="X17" ca="1">IF($Y17&gt;0,CHOOSE(MATCH(RegimeExecucao,{"Unitário","Global"},0),IF($A17="S",ROUND($H17,ORÇAMENTO!$AF$10),""),ROUND($I17,ORÇAMENTO!$AF$11)),"")</f>
        <v/>
      </c>
      <c r="Y17" s="338">
        <f t="shared" ca="1" si="7"/>
        <v>0</v>
      </c>
      <c r="Z17" s="472"/>
      <c r="AB17" s="336"/>
      <c r="AC17" s="436"/>
      <c r="AD17" s="436"/>
      <c r="AE17" s="436"/>
      <c r="AF17" s="436"/>
      <c r="AG17" s="436"/>
      <c r="AH17" s="436"/>
      <c r="AI17" s="436"/>
      <c r="AJ17" s="436"/>
      <c r="AK17" s="436"/>
      <c r="AL17" s="436"/>
      <c r="AM17" s="337"/>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3" t="str">
        <f t="shared" ca="1" si="1"/>
        <v/>
      </c>
      <c r="D18" s="116" t="str">
        <f ca="1">ORÇAMENTO!O18</f>
        <v>-</v>
      </c>
      <c r="E18" s="162" t="str">
        <f t="shared" ca="1" si="2"/>
        <v>(Código não identificado nas referências)</v>
      </c>
      <c r="F18" s="163" t="str" cm="1">
        <f t="array" aca="1" ref="F18" ca="1">IF(RegimeExecucao="Global","",ORÇAMENTO.Unidade)</f>
        <v/>
      </c>
      <c r="G18" s="121" t="str" cm="1">
        <f t="array" aca="1" ref="G18" ca="1">IF(RegimeExecucao="Global","",ORÇAMENTO!T18)</f>
        <v/>
      </c>
      <c r="H18" s="121" t="str" cm="1">
        <f t="array" aca="1" ref="H18" ca="1">IF(RegimeExecucao="Global","",ORÇAMENTO!W18)</f>
        <v/>
      </c>
      <c r="I18" s="124">
        <f ca="1">ORÇAMENTO!X18</f>
        <v>0</v>
      </c>
      <c r="J18" s="332" cm="1">
        <f t="array" aca="1" ref="J18" ca="1">IF($A18="S",IF(CAIXA.Modo,BM.AFAnterior,BM.MEDAnterior),IF(AND(RegimeExecucao="Global",$I18&gt;0,COUNTIF($AB$13:$AM$13,BM.medicao-1)&gt;0),M18/$I18*100,0))</f>
        <v>0</v>
      </c>
      <c r="K18" s="121">
        <f t="shared" ca="1" si="3"/>
        <v>0</v>
      </c>
      <c r="L18" s="333" cm="1">
        <f t="array" aca="1" ref="L18" ca="1">IF($A18="S",IF(CAIXA.Modo,BM.AFAcumulado,BM.MEDAcumulado),IF(AND(RegimeExecucao="Global",$I18&gt;0,COUNTIF($AB$13:$AM$13,BM.medicao)&gt;0),O18/$I18*100,0))</f>
        <v>0</v>
      </c>
      <c r="M18" s="334" cm="1">
        <f t="array" aca="1" ref="M18" ca="1">IF($A18="S",VTOTALBM,IF($A18=0,0,ROUND(SomaAgrupBM,15-13*ORÇAMENTO!$AF$11)))</f>
        <v>0</v>
      </c>
      <c r="N18" s="335">
        <f t="shared" ca="1" si="4"/>
        <v>0</v>
      </c>
      <c r="O18" s="124" cm="1">
        <f t="array" aca="1" ref="O18" ca="1">IF($A18="S",VTOTALBM,IF($A18=0,0,ROUND(SomaAgrupBM,15-13*ORÇAMENTO!$AF$11)))</f>
        <v>0</v>
      </c>
      <c r="Q18" s="336"/>
      <c r="R18" s="337"/>
      <c r="T18" s="116" t="str">
        <f t="shared" ca="1" si="5"/>
        <v/>
      </c>
      <c r="U18" s="162" t="str">
        <f t="shared" ca="1" si="6"/>
        <v/>
      </c>
      <c r="V18" s="163" t="str" cm="1">
        <f t="array" aca="1" ref="V18" ca="1">IF(AND($W18&gt;0,RegimeExecucao="Unitário"),$F18,"")</f>
        <v/>
      </c>
      <c r="W18" s="453" cm="1">
        <f t="array" aca="1" ref="W18" ca="1">IF($Y18&gt;0,CHOOSE(MATCH(RegimeExecucao,{"Unitário","Global"},0),IF($A18="S",$Y18/$X18,""),($Y18/$X18)*100),0)</f>
        <v>0</v>
      </c>
      <c r="X18" s="338" t="str" cm="1">
        <f t="array" aca="1" ref="X18" ca="1">IF($Y18&gt;0,CHOOSE(MATCH(RegimeExecucao,{"Unitário","Global"},0),IF($A18="S",ROUND($H18,ORÇAMENTO!$AF$10),""),ROUND($I18,ORÇAMENTO!$AF$11)),"")</f>
        <v/>
      </c>
      <c r="Y18" s="338">
        <f t="shared" ca="1" si="7"/>
        <v>0</v>
      </c>
      <c r="Z18" s="472"/>
      <c r="AB18" s="336"/>
      <c r="AC18" s="436"/>
      <c r="AD18" s="436"/>
      <c r="AE18" s="436"/>
      <c r="AF18" s="436"/>
      <c r="AG18" s="436"/>
      <c r="AH18" s="436"/>
      <c r="AI18" s="436"/>
      <c r="AJ18" s="436"/>
      <c r="AK18" s="436"/>
      <c r="AL18" s="436"/>
      <c r="AM18" s="337"/>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f ca="1">ORÇAMENTO!C19</f>
        <v>2</v>
      </c>
      <c r="B19">
        <f ca="1">ORÇAMENTO!D19</f>
        <v>2</v>
      </c>
      <c r="C19" s="113" t="str">
        <f t="shared" ca="1" si="1"/>
        <v>F</v>
      </c>
      <c r="D19" s="116" t="str">
        <f ca="1">ORÇAMENTO!O19</f>
        <v>1.2.</v>
      </c>
      <c r="E19" s="162" t="str">
        <f t="shared" si="2"/>
        <v>SERVIÇOS PRELIMINARES</v>
      </c>
      <c r="F19" s="163" t="str" cm="1">
        <f t="array" aca="1" ref="F19" ca="1">IF(RegimeExecucao="Global","",ORÇAMENTO.Unidade)</f>
        <v/>
      </c>
      <c r="G19" s="121" t="str" cm="1">
        <f t="array" aca="1" ref="G19" ca="1">IF(RegimeExecucao="Global","",ORÇAMENTO!T19)</f>
        <v/>
      </c>
      <c r="H19" s="121" t="str" cm="1">
        <f t="array" aca="1" ref="H19" ca="1">IF(RegimeExecucao="Global","",ORÇAMENTO!W19)</f>
        <v/>
      </c>
      <c r="I19" s="124">
        <f ca="1">ORÇAMENTO!X19</f>
        <v>0</v>
      </c>
      <c r="J19" s="332" cm="1">
        <f t="array" aca="1" ref="J19" ca="1">IF($A19="S",IF(CAIXA.Modo,BM.AFAnterior,BM.MEDAnterior),IF(AND(RegimeExecucao="Global",$I19&gt;0,COUNTIF($AB$13:$AM$13,BM.medicao-1)&gt;0),M19/$I19*100,0))</f>
        <v>0</v>
      </c>
      <c r="K19" s="121">
        <f t="shared" ca="1" si="3"/>
        <v>0</v>
      </c>
      <c r="L19" s="333" cm="1">
        <f t="array" aca="1" ref="L19" ca="1">IF($A19="S",IF(CAIXA.Modo,BM.AFAcumulado,BM.MEDAcumulado),IF(AND(RegimeExecucao="Global",$I19&gt;0,COUNTIF($AB$13:$AM$13,BM.medicao)&gt;0),O19/$I19*100,0))</f>
        <v>0</v>
      </c>
      <c r="M19" s="334" cm="1">
        <f t="array" aca="1" ref="M19" ca="1">IF($A19="S",VTOTALBM,IF($A19=0,0,ROUND(SomaAgrupBM,15-13*ORÇAMENTO!$AF$11)))</f>
        <v>0</v>
      </c>
      <c r="N19" s="335">
        <f t="shared" ca="1" si="4"/>
        <v>0</v>
      </c>
      <c r="O19" s="124" cm="1">
        <f t="array" aca="1" ref="O19" ca="1">IF($A19="S",VTOTALBM,IF($A19=0,0,ROUND(SomaAgrupBM,15-13*ORÇAMENTO!$AF$11)))</f>
        <v>0</v>
      </c>
      <c r="Q19" s="336"/>
      <c r="R19" s="337"/>
      <c r="T19" s="116" t="str">
        <f t="shared" ca="1" si="5"/>
        <v/>
      </c>
      <c r="U19" s="162" t="str">
        <f t="shared" ca="1" si="6"/>
        <v/>
      </c>
      <c r="V19" s="163" t="str" cm="1">
        <f t="array" aca="1" ref="V19" ca="1">IF(AND($W19&gt;0,RegimeExecucao="Unitário"),$F19,"")</f>
        <v/>
      </c>
      <c r="W19" s="453" cm="1">
        <f t="array" aca="1" ref="W19" ca="1">IF($Y19&gt;0,CHOOSE(MATCH(RegimeExecucao,{"Unitário","Global"},0),IF($A19="S",$Y19/$X19,""),($Y19/$X19)*100),0)</f>
        <v>0</v>
      </c>
      <c r="X19" s="338" t="str" cm="1">
        <f t="array" aca="1" ref="X19" ca="1">IF($Y19&gt;0,CHOOSE(MATCH(RegimeExecucao,{"Unitário","Global"},0),IF($A19="S",ROUND($H19,ORÇAMENTO!$AF$10),""),ROUND($I19,ORÇAMENTO!$AF$11)),"")</f>
        <v/>
      </c>
      <c r="Y19" s="338">
        <f t="shared" ca="1" si="7"/>
        <v>0</v>
      </c>
      <c r="Z19" s="472"/>
      <c r="AB19" s="336"/>
      <c r="AC19" s="436"/>
      <c r="AD19" s="436"/>
      <c r="AE19" s="436"/>
      <c r="AF19" s="436"/>
      <c r="AG19" s="436"/>
      <c r="AH19" s="436"/>
      <c r="AI19" s="436"/>
      <c r="AJ19" s="436"/>
      <c r="AK19" s="436"/>
      <c r="AL19" s="436"/>
      <c r="AM19" s="337"/>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3" t="str">
        <f t="shared" ca="1" si="1"/>
        <v/>
      </c>
      <c r="D20" s="116" t="str">
        <f ca="1">ORÇAMENTO!O20</f>
        <v>-</v>
      </c>
      <c r="E20" s="162" t="str">
        <f t="shared" ca="1" si="2"/>
        <v>(Código não identificado nas referências)</v>
      </c>
      <c r="F20" s="163" t="str" cm="1">
        <f t="array" aca="1" ref="F20" ca="1">IF(RegimeExecucao="Global","",ORÇAMENTO.Unidade)</f>
        <v/>
      </c>
      <c r="G20" s="121" t="str" cm="1">
        <f t="array" aca="1" ref="G20" ca="1">IF(RegimeExecucao="Global","",ORÇAMENTO!T20)</f>
        <v/>
      </c>
      <c r="H20" s="121" t="str" cm="1">
        <f t="array" aca="1" ref="H20" ca="1">IF(RegimeExecucao="Global","",ORÇAMENTO!W20)</f>
        <v/>
      </c>
      <c r="I20" s="124">
        <f ca="1">ORÇAMENTO!X20</f>
        <v>0</v>
      </c>
      <c r="J20" s="332" cm="1">
        <f t="array" aca="1" ref="J20" ca="1">IF($A20="S",IF(CAIXA.Modo,BM.AFAnterior,BM.MEDAnterior),IF(AND(RegimeExecucao="Global",$I20&gt;0,COUNTIF($AB$13:$AM$13,BM.medicao-1)&gt;0),M20/$I20*100,0))</f>
        <v>0</v>
      </c>
      <c r="K20" s="121">
        <f t="shared" ca="1" si="3"/>
        <v>0</v>
      </c>
      <c r="L20" s="333" cm="1">
        <f t="array" aca="1" ref="L20" ca="1">IF($A20="S",IF(CAIXA.Modo,BM.AFAcumulado,BM.MEDAcumulado),IF(AND(RegimeExecucao="Global",$I20&gt;0,COUNTIF($AB$13:$AM$13,BM.medicao)&gt;0),O20/$I20*100,0))</f>
        <v>0</v>
      </c>
      <c r="M20" s="334" cm="1">
        <f t="array" aca="1" ref="M20" ca="1">IF($A20="S",VTOTALBM,IF($A20=0,0,ROUND(SomaAgrupBM,15-13*ORÇAMENTO!$AF$11)))</f>
        <v>0</v>
      </c>
      <c r="N20" s="335">
        <f t="shared" ca="1" si="4"/>
        <v>0</v>
      </c>
      <c r="O20" s="124" cm="1">
        <f t="array" aca="1" ref="O20" ca="1">IF($A20="S",VTOTALBM,IF($A20=0,0,ROUND(SomaAgrupBM,15-13*ORÇAMENTO!$AF$11)))</f>
        <v>0</v>
      </c>
      <c r="Q20" s="336"/>
      <c r="R20" s="337"/>
      <c r="T20" s="116" t="str">
        <f t="shared" ca="1" si="5"/>
        <v/>
      </c>
      <c r="U20" s="162" t="str">
        <f t="shared" ca="1" si="6"/>
        <v/>
      </c>
      <c r="V20" s="163" t="str" cm="1">
        <f t="array" aca="1" ref="V20" ca="1">IF(AND($W20&gt;0,RegimeExecucao="Unitário"),$F20,"")</f>
        <v/>
      </c>
      <c r="W20" s="453" cm="1">
        <f t="array" aca="1" ref="W20" ca="1">IF($Y20&gt;0,CHOOSE(MATCH(RegimeExecucao,{"Unitário","Global"},0),IF($A20="S",$Y20/$X20,""),($Y20/$X20)*100),0)</f>
        <v>0</v>
      </c>
      <c r="X20" s="338" t="str" cm="1">
        <f t="array" aca="1" ref="X20" ca="1">IF($Y20&gt;0,CHOOSE(MATCH(RegimeExecucao,{"Unitário","Global"},0),IF($A20="S",ROUND($H20,ORÇAMENTO!$AF$10),""),ROUND($I20,ORÇAMENTO!$AF$11)),"")</f>
        <v/>
      </c>
      <c r="Y20" s="338">
        <f t="shared" ca="1" si="7"/>
        <v>0</v>
      </c>
      <c r="Z20" s="472"/>
      <c r="AB20" s="336"/>
      <c r="AC20" s="436"/>
      <c r="AD20" s="436"/>
      <c r="AE20" s="436"/>
      <c r="AF20" s="436"/>
      <c r="AG20" s="436"/>
      <c r="AH20" s="436"/>
      <c r="AI20" s="436"/>
      <c r="AJ20" s="436"/>
      <c r="AK20" s="436"/>
      <c r="AL20" s="436"/>
      <c r="AM20" s="337"/>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4</v>
      </c>
      <c r="C21" s="113" t="str">
        <f t="shared" ca="1" si="1"/>
        <v>F</v>
      </c>
      <c r="D21" s="116" t="str">
        <f ca="1">ORÇAMENTO!O21</f>
        <v>1.3.</v>
      </c>
      <c r="E21" s="162" t="str">
        <f t="shared" si="2"/>
        <v>BASE EM BRITA GRADUADA H=5CM</v>
      </c>
      <c r="F21" s="163" t="str" cm="1">
        <f t="array" aca="1" ref="F21" ca="1">IF(RegimeExecucao="Global","",ORÇAMENTO.Unidade)</f>
        <v/>
      </c>
      <c r="G21" s="121" t="str" cm="1">
        <f t="array" aca="1" ref="G21" ca="1">IF(RegimeExecucao="Global","",ORÇAMENTO!T21)</f>
        <v/>
      </c>
      <c r="H21" s="121" t="str" cm="1">
        <f t="array" aca="1" ref="H21" ca="1">IF(RegimeExecucao="Global","",ORÇAMENTO!W21)</f>
        <v/>
      </c>
      <c r="I21" s="124">
        <f ca="1">ORÇAMENTO!X21</f>
        <v>0</v>
      </c>
      <c r="J21" s="332" cm="1">
        <f t="array" aca="1" ref="J21" ca="1">IF($A21="S",IF(CAIXA.Modo,BM.AFAnterior,BM.MEDAnterior),IF(AND(RegimeExecucao="Global",$I21&gt;0,COUNTIF($AB$13:$AM$13,BM.medicao-1)&gt;0),M21/$I21*100,0))</f>
        <v>0</v>
      </c>
      <c r="K21" s="121">
        <f t="shared" ca="1" si="3"/>
        <v>0</v>
      </c>
      <c r="L21" s="333" cm="1">
        <f t="array" aca="1" ref="L21" ca="1">IF($A21="S",IF(CAIXA.Modo,BM.AFAcumulado,BM.MEDAcumulado),IF(AND(RegimeExecucao="Global",$I21&gt;0,COUNTIF($AB$13:$AM$13,BM.medicao)&gt;0),O21/$I21*100,0))</f>
        <v>0</v>
      </c>
      <c r="M21" s="334" cm="1">
        <f t="array" aca="1" ref="M21" ca="1">IF($A21="S",VTOTALBM,IF($A21=0,0,ROUND(SomaAgrupBM,15-13*ORÇAMENTO!$AF$11)))</f>
        <v>0</v>
      </c>
      <c r="N21" s="335">
        <f t="shared" ca="1" si="4"/>
        <v>0</v>
      </c>
      <c r="O21" s="124" cm="1">
        <f t="array" aca="1" ref="O21" ca="1">IF($A21="S",VTOTALBM,IF($A21=0,0,ROUND(SomaAgrupBM,15-13*ORÇAMENTO!$AF$11)))</f>
        <v>0</v>
      </c>
      <c r="Q21" s="336"/>
      <c r="R21" s="337"/>
      <c r="T21" s="116" t="str">
        <f t="shared" ca="1" si="5"/>
        <v/>
      </c>
      <c r="U21" s="162" t="str">
        <f t="shared" ca="1" si="6"/>
        <v/>
      </c>
      <c r="V21" s="163" t="str" cm="1">
        <f t="array" aca="1" ref="V21" ca="1">IF(AND($W21&gt;0,RegimeExecucao="Unitário"),$F21,"")</f>
        <v/>
      </c>
      <c r="W21" s="453" cm="1">
        <f t="array" aca="1" ref="W21" ca="1">IF($Y21&gt;0,CHOOSE(MATCH(RegimeExecucao,{"Unitário","Global"},0),IF($A21="S",$Y21/$X21,""),($Y21/$X21)*100),0)</f>
        <v>0</v>
      </c>
      <c r="X21" s="338" t="str" cm="1">
        <f t="array" aca="1" ref="X21" ca="1">IF($Y21&gt;0,CHOOSE(MATCH(RegimeExecucao,{"Unitário","Global"},0),IF($A21="S",ROUND($H21,ORÇAMENTO!$AF$10),""),ROUND($I21,ORÇAMENTO!$AF$11)),"")</f>
        <v/>
      </c>
      <c r="Y21" s="338">
        <f t="shared" ca="1" si="7"/>
        <v>0</v>
      </c>
      <c r="Z21" s="472"/>
      <c r="AB21" s="336"/>
      <c r="AC21" s="436"/>
      <c r="AD21" s="436"/>
      <c r="AE21" s="436"/>
      <c r="AF21" s="436"/>
      <c r="AG21" s="436"/>
      <c r="AH21" s="436"/>
      <c r="AI21" s="436"/>
      <c r="AJ21" s="436"/>
      <c r="AK21" s="436"/>
      <c r="AL21" s="436"/>
      <c r="AM21" s="337"/>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t="str">
        <f ca="1">ORÇAMENTO!C22</f>
        <v>S</v>
      </c>
      <c r="B22">
        <f ca="1">ORÇAMENTO!D22</f>
        <v>0</v>
      </c>
      <c r="C22" s="113" t="str">
        <f t="shared" ca="1" si="1"/>
        <v/>
      </c>
      <c r="D22" s="116" t="str">
        <f ca="1">ORÇAMENTO!O22</f>
        <v>-</v>
      </c>
      <c r="E22" s="162" t="str">
        <f t="shared" ca="1" si="2"/>
        <v>(Código não identificado nas referências)</v>
      </c>
      <c r="F22" s="163" t="str" cm="1">
        <f t="array" aca="1" ref="F22" ca="1">IF(RegimeExecucao="Global","",ORÇAMENTO.Unidade)</f>
        <v/>
      </c>
      <c r="G22" s="121" t="str" cm="1">
        <f t="array" aca="1" ref="G22" ca="1">IF(RegimeExecucao="Global","",ORÇAMENTO!T22)</f>
        <v/>
      </c>
      <c r="H22" s="121" t="str" cm="1">
        <f t="array" aca="1" ref="H22" ca="1">IF(RegimeExecucao="Global","",ORÇAMENTO!W22)</f>
        <v/>
      </c>
      <c r="I22" s="124">
        <f ca="1">ORÇAMENTO!X22</f>
        <v>0</v>
      </c>
      <c r="J22" s="332" cm="1">
        <f t="array" aca="1" ref="J22" ca="1">IF($A22="S",IF(CAIXA.Modo,BM.AFAnterior,BM.MEDAnterior),IF(AND(RegimeExecucao="Global",$I22&gt;0,COUNTIF($AB$13:$AM$13,BM.medicao-1)&gt;0),M22/$I22*100,0))</f>
        <v>0</v>
      </c>
      <c r="K22" s="121">
        <f t="shared" ca="1" si="3"/>
        <v>0</v>
      </c>
      <c r="L22" s="333" cm="1">
        <f t="array" aca="1" ref="L22" ca="1">IF($A22="S",IF(CAIXA.Modo,BM.AFAcumulado,BM.MEDAcumulado),IF(AND(RegimeExecucao="Global",$I22&gt;0,COUNTIF($AB$13:$AM$13,BM.medicao)&gt;0),O22/$I22*100,0))</f>
        <v>0</v>
      </c>
      <c r="M22" s="334" cm="1">
        <f t="array" aca="1" ref="M22" ca="1">IF($A22="S",VTOTALBM,IF($A22=0,0,ROUND(SomaAgrupBM,15-13*ORÇAMENTO!$AF$11)))</f>
        <v>0</v>
      </c>
      <c r="N22" s="335">
        <f t="shared" ca="1" si="4"/>
        <v>0</v>
      </c>
      <c r="O22" s="124" cm="1">
        <f t="array" aca="1" ref="O22" ca="1">IF($A22="S",VTOTALBM,IF($A22=0,0,ROUND(SomaAgrupBM,15-13*ORÇAMENTO!$AF$11)))</f>
        <v>0</v>
      </c>
      <c r="Q22" s="336"/>
      <c r="R22" s="337"/>
      <c r="T22" s="116" t="str">
        <f t="shared" ca="1" si="5"/>
        <v/>
      </c>
      <c r="U22" s="162" t="str">
        <f t="shared" ca="1" si="6"/>
        <v/>
      </c>
      <c r="V22" s="163" t="str" cm="1">
        <f t="array" aca="1" ref="V22" ca="1">IF(AND($W22&gt;0,RegimeExecucao="Unitário"),$F22,"")</f>
        <v/>
      </c>
      <c r="W22" s="453" cm="1">
        <f t="array" aca="1" ref="W22" ca="1">IF($Y22&gt;0,CHOOSE(MATCH(RegimeExecucao,{"Unitário","Global"},0),IF($A22="S",$Y22/$X22,""),($Y22/$X22)*100),0)</f>
        <v>0</v>
      </c>
      <c r="X22" s="338" t="str" cm="1">
        <f t="array" aca="1" ref="X22" ca="1">IF($Y22&gt;0,CHOOSE(MATCH(RegimeExecucao,{"Unitário","Global"},0),IF($A22="S",ROUND($H22,ORÇAMENTO!$AF$10),""),ROUND($I22,ORÇAMENTO!$AF$11)),"")</f>
        <v/>
      </c>
      <c r="Y22" s="338">
        <f t="shared" ca="1" si="7"/>
        <v>0</v>
      </c>
      <c r="Z22" s="472"/>
      <c r="AB22" s="336"/>
      <c r="AC22" s="436"/>
      <c r="AD22" s="436"/>
      <c r="AE22" s="436"/>
      <c r="AF22" s="436"/>
      <c r="AG22" s="436"/>
      <c r="AH22" s="436"/>
      <c r="AI22" s="436"/>
      <c r="AJ22" s="436"/>
      <c r="AK22" s="436"/>
      <c r="AL22" s="436"/>
      <c r="AM22" s="337"/>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t="str">
        <f ca="1">ORÇAMENTO!C23</f>
        <v>S</v>
      </c>
      <c r="B23">
        <f ca="1">ORÇAMENTO!D23</f>
        <v>0</v>
      </c>
      <c r="C23" s="113" t="str">
        <f t="shared" ca="1" si="1"/>
        <v/>
      </c>
      <c r="D23" s="116" t="str">
        <f ca="1">ORÇAMENTO!O23</f>
        <v>-</v>
      </c>
      <c r="E23" s="162" t="str">
        <f t="shared" ca="1" si="2"/>
        <v>(Código não identificado nas referências)</v>
      </c>
      <c r="F23" s="163" t="str" cm="1">
        <f t="array" aca="1" ref="F23" ca="1">IF(RegimeExecucao="Global","",ORÇAMENTO.Unidade)</f>
        <v/>
      </c>
      <c r="G23" s="121" t="str" cm="1">
        <f t="array" aca="1" ref="G23" ca="1">IF(RegimeExecucao="Global","",ORÇAMENTO!T23)</f>
        <v/>
      </c>
      <c r="H23" s="121" t="str" cm="1">
        <f t="array" aca="1" ref="H23" ca="1">IF(RegimeExecucao="Global","",ORÇAMENTO!W23)</f>
        <v/>
      </c>
      <c r="I23" s="124">
        <f ca="1">ORÇAMENTO!X23</f>
        <v>0</v>
      </c>
      <c r="J23" s="332" cm="1">
        <f t="array" aca="1" ref="J23" ca="1">IF($A23="S",IF(CAIXA.Modo,BM.AFAnterior,BM.MEDAnterior),IF(AND(RegimeExecucao="Global",$I23&gt;0,COUNTIF($AB$13:$AM$13,BM.medicao-1)&gt;0),M23/$I23*100,0))</f>
        <v>0</v>
      </c>
      <c r="K23" s="121">
        <f t="shared" ca="1" si="3"/>
        <v>0</v>
      </c>
      <c r="L23" s="333" cm="1">
        <f t="array" aca="1" ref="L23" ca="1">IF($A23="S",IF(CAIXA.Modo,BM.AFAcumulado,BM.MEDAcumulado),IF(AND(RegimeExecucao="Global",$I23&gt;0,COUNTIF($AB$13:$AM$13,BM.medicao)&gt;0),O23/$I23*100,0))</f>
        <v>0</v>
      </c>
      <c r="M23" s="334" cm="1">
        <f t="array" aca="1" ref="M23" ca="1">IF($A23="S",VTOTALBM,IF($A23=0,0,ROUND(SomaAgrupBM,15-13*ORÇAMENTO!$AF$11)))</f>
        <v>0</v>
      </c>
      <c r="N23" s="335">
        <f t="shared" ca="1" si="4"/>
        <v>0</v>
      </c>
      <c r="O23" s="124" cm="1">
        <f t="array" aca="1" ref="O23" ca="1">IF($A23="S",VTOTALBM,IF($A23=0,0,ROUND(SomaAgrupBM,15-13*ORÇAMENTO!$AF$11)))</f>
        <v>0</v>
      </c>
      <c r="Q23" s="336"/>
      <c r="R23" s="337"/>
      <c r="T23" s="116" t="str">
        <f t="shared" ca="1" si="5"/>
        <v/>
      </c>
      <c r="U23" s="162" t="str">
        <f t="shared" ca="1" si="6"/>
        <v/>
      </c>
      <c r="V23" s="163" t="str" cm="1">
        <f t="array" aca="1" ref="V23" ca="1">IF(AND($W23&gt;0,RegimeExecucao="Unitário"),$F23,"")</f>
        <v/>
      </c>
      <c r="W23" s="453" cm="1">
        <f t="array" aca="1" ref="W23" ca="1">IF($Y23&gt;0,CHOOSE(MATCH(RegimeExecucao,{"Unitário","Global"},0),IF($A23="S",$Y23/$X23,""),($Y23/$X23)*100),0)</f>
        <v>0</v>
      </c>
      <c r="X23" s="338" t="str" cm="1">
        <f t="array" aca="1" ref="X23" ca="1">IF($Y23&gt;0,CHOOSE(MATCH(RegimeExecucao,{"Unitário","Global"},0),IF($A23="S",ROUND($H23,ORÇAMENTO!$AF$10),""),ROUND($I23,ORÇAMENTO!$AF$11)),"")</f>
        <v/>
      </c>
      <c r="Y23" s="338">
        <f t="shared" ca="1" si="7"/>
        <v>0</v>
      </c>
      <c r="Z23" s="472"/>
      <c r="AB23" s="336"/>
      <c r="AC23" s="436"/>
      <c r="AD23" s="436"/>
      <c r="AE23" s="436"/>
      <c r="AF23" s="436"/>
      <c r="AG23" s="436"/>
      <c r="AH23" s="436"/>
      <c r="AI23" s="436"/>
      <c r="AJ23" s="436"/>
      <c r="AK23" s="436"/>
      <c r="AL23" s="436"/>
      <c r="AM23" s="337"/>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t="str">
        <f ca="1">ORÇAMENTO!C24</f>
        <v>S</v>
      </c>
      <c r="B24">
        <f ca="1">ORÇAMENTO!D24</f>
        <v>0</v>
      </c>
      <c r="C24" s="113" t="str">
        <f t="shared" ca="1" si="1"/>
        <v/>
      </c>
      <c r="D24" s="116" t="str">
        <f ca="1">ORÇAMENTO!O24</f>
        <v>-</v>
      </c>
      <c r="E24" s="162" t="str">
        <f t="shared" ca="1" si="2"/>
        <v>(Código não identificado nas referências)</v>
      </c>
      <c r="F24" s="163" t="str" cm="1">
        <f t="array" aca="1" ref="F24" ca="1">IF(RegimeExecucao="Global","",ORÇAMENTO.Unidade)</f>
        <v/>
      </c>
      <c r="G24" s="121" t="str" cm="1">
        <f t="array" aca="1" ref="G24" ca="1">IF(RegimeExecucao="Global","",ORÇAMENTO!T24)</f>
        <v/>
      </c>
      <c r="H24" s="121" t="str" cm="1">
        <f t="array" aca="1" ref="H24" ca="1">IF(RegimeExecucao="Global","",ORÇAMENTO!W24)</f>
        <v/>
      </c>
      <c r="I24" s="124">
        <f ca="1">ORÇAMENTO!X24</f>
        <v>0</v>
      </c>
      <c r="J24" s="332" cm="1">
        <f t="array" aca="1" ref="J24" ca="1">IF($A24="S",IF(CAIXA.Modo,BM.AFAnterior,BM.MEDAnterior),IF(AND(RegimeExecucao="Global",$I24&gt;0,COUNTIF($AB$13:$AM$13,BM.medicao-1)&gt;0),M24/$I24*100,0))</f>
        <v>0</v>
      </c>
      <c r="K24" s="121">
        <f t="shared" ca="1" si="3"/>
        <v>0</v>
      </c>
      <c r="L24" s="333" cm="1">
        <f t="array" aca="1" ref="L24" ca="1">IF($A24="S",IF(CAIXA.Modo,BM.AFAcumulado,BM.MEDAcumulado),IF(AND(RegimeExecucao="Global",$I24&gt;0,COUNTIF($AB$13:$AM$13,BM.medicao)&gt;0),O24/$I24*100,0))</f>
        <v>0</v>
      </c>
      <c r="M24" s="334" cm="1">
        <f t="array" aca="1" ref="M24" ca="1">IF($A24="S",VTOTALBM,IF($A24=0,0,ROUND(SomaAgrupBM,15-13*ORÇAMENTO!$AF$11)))</f>
        <v>0</v>
      </c>
      <c r="N24" s="335">
        <f t="shared" ca="1" si="4"/>
        <v>0</v>
      </c>
      <c r="O24" s="124" cm="1">
        <f t="array" aca="1" ref="O24" ca="1">IF($A24="S",VTOTALBM,IF($A24=0,0,ROUND(SomaAgrupBM,15-13*ORÇAMENTO!$AF$11)))</f>
        <v>0</v>
      </c>
      <c r="Q24" s="336"/>
      <c r="R24" s="337"/>
      <c r="T24" s="116" t="str">
        <f t="shared" ca="1" si="5"/>
        <v/>
      </c>
      <c r="U24" s="162" t="str">
        <f t="shared" ca="1" si="6"/>
        <v/>
      </c>
      <c r="V24" s="163" t="str" cm="1">
        <f t="array" aca="1" ref="V24" ca="1">IF(AND($W24&gt;0,RegimeExecucao="Unitário"),$F24,"")</f>
        <v/>
      </c>
      <c r="W24" s="453" cm="1">
        <f t="array" aca="1" ref="W24" ca="1">IF($Y24&gt;0,CHOOSE(MATCH(RegimeExecucao,{"Unitário","Global"},0),IF($A24="S",$Y24/$X24,""),($Y24/$X24)*100),0)</f>
        <v>0</v>
      </c>
      <c r="X24" s="338" t="str" cm="1">
        <f t="array" aca="1" ref="X24" ca="1">IF($Y24&gt;0,CHOOSE(MATCH(RegimeExecucao,{"Unitário","Global"},0),IF($A24="S",ROUND($H24,ORÇAMENTO!$AF$10),""),ROUND($I24,ORÇAMENTO!$AF$11)),"")</f>
        <v/>
      </c>
      <c r="Y24" s="338">
        <f t="shared" ca="1" si="7"/>
        <v>0</v>
      </c>
      <c r="Z24" s="472"/>
      <c r="AB24" s="336"/>
      <c r="AC24" s="436"/>
      <c r="AD24" s="436"/>
      <c r="AE24" s="436"/>
      <c r="AF24" s="436"/>
      <c r="AG24" s="436"/>
      <c r="AH24" s="436"/>
      <c r="AI24" s="436"/>
      <c r="AJ24" s="436"/>
      <c r="AK24" s="436"/>
      <c r="AL24" s="436"/>
      <c r="AM24" s="337"/>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25.5" x14ac:dyDescent="0.2">
      <c r="A25">
        <f ca="1">ORÇAMENTO!C25</f>
        <v>2</v>
      </c>
      <c r="B25">
        <f ca="1">ORÇAMENTO!D25</f>
        <v>4</v>
      </c>
      <c r="C25" s="113" t="str">
        <f t="shared" ca="1" si="1"/>
        <v>F</v>
      </c>
      <c r="D25" s="116" t="str">
        <f ca="1">ORÇAMENTO!O25</f>
        <v>1.4.</v>
      </c>
      <c r="E25" s="162" t="str">
        <f t="shared" si="2"/>
        <v>PAVIMENTAÇÃO EM PEDRA IRREGULAR ASSENTADAS SOBRE COLCHÃO DE PÓ DE PEDRA E REJUNTADAS COM PÓ DE PEDRA</v>
      </c>
      <c r="F25" s="163" t="str" cm="1">
        <f t="array" aca="1" ref="F25" ca="1">IF(RegimeExecucao="Global","",ORÇAMENTO.Unidade)</f>
        <v/>
      </c>
      <c r="G25" s="121" t="str" cm="1">
        <f t="array" aca="1" ref="G25" ca="1">IF(RegimeExecucao="Global","",ORÇAMENTO!T25)</f>
        <v/>
      </c>
      <c r="H25" s="121" t="str" cm="1">
        <f t="array" aca="1" ref="H25" ca="1">IF(RegimeExecucao="Global","",ORÇAMENTO!W25)</f>
        <v/>
      </c>
      <c r="I25" s="124">
        <f ca="1">ORÇAMENTO!X25</f>
        <v>0</v>
      </c>
      <c r="J25" s="332" cm="1">
        <f t="array" aca="1" ref="J25" ca="1">IF($A25="S",IF(CAIXA.Modo,BM.AFAnterior,BM.MEDAnterior),IF(AND(RegimeExecucao="Global",$I25&gt;0,COUNTIF($AB$13:$AM$13,BM.medicao-1)&gt;0),M25/$I25*100,0))</f>
        <v>0</v>
      </c>
      <c r="K25" s="121">
        <f t="shared" ca="1" si="3"/>
        <v>0</v>
      </c>
      <c r="L25" s="333" cm="1">
        <f t="array" aca="1" ref="L25" ca="1">IF($A25="S",IF(CAIXA.Modo,BM.AFAcumulado,BM.MEDAcumulado),IF(AND(RegimeExecucao="Global",$I25&gt;0,COUNTIF($AB$13:$AM$13,BM.medicao)&gt;0),O25/$I25*100,0))</f>
        <v>0</v>
      </c>
      <c r="M25" s="334" cm="1">
        <f t="array" aca="1" ref="M25" ca="1">IF($A25="S",VTOTALBM,IF($A25=0,0,ROUND(SomaAgrupBM,15-13*ORÇAMENTO!$AF$11)))</f>
        <v>0</v>
      </c>
      <c r="N25" s="335">
        <f t="shared" ca="1" si="4"/>
        <v>0</v>
      </c>
      <c r="O25" s="124" cm="1">
        <f t="array" aca="1" ref="O25" ca="1">IF($A25="S",VTOTALBM,IF($A25=0,0,ROUND(SomaAgrupBM,15-13*ORÇAMENTO!$AF$11)))</f>
        <v>0</v>
      </c>
      <c r="Q25" s="336"/>
      <c r="R25" s="337"/>
      <c r="T25" s="116" t="str">
        <f t="shared" ca="1" si="5"/>
        <v/>
      </c>
      <c r="U25" s="162" t="str">
        <f t="shared" ca="1" si="6"/>
        <v/>
      </c>
      <c r="V25" s="163" t="str" cm="1">
        <f t="array" aca="1" ref="V25" ca="1">IF(AND($W25&gt;0,RegimeExecucao="Unitário"),$F25,"")</f>
        <v/>
      </c>
      <c r="W25" s="453" cm="1">
        <f t="array" aca="1" ref="W25" ca="1">IF($Y25&gt;0,CHOOSE(MATCH(RegimeExecucao,{"Unitário","Global"},0),IF($A25="S",$Y25/$X25,""),($Y25/$X25)*100),0)</f>
        <v>0</v>
      </c>
      <c r="X25" s="338" t="str" cm="1">
        <f t="array" aca="1" ref="X25" ca="1">IF($Y25&gt;0,CHOOSE(MATCH(RegimeExecucao,{"Unitário","Global"},0),IF($A25="S",ROUND($H25,ORÇAMENTO!$AF$10),""),ROUND($I25,ORÇAMENTO!$AF$11)),"")</f>
        <v/>
      </c>
      <c r="Y25" s="338">
        <f t="shared" ca="1" si="7"/>
        <v>0</v>
      </c>
      <c r="Z25" s="472"/>
      <c r="AB25" s="336"/>
      <c r="AC25" s="436"/>
      <c r="AD25" s="436"/>
      <c r="AE25" s="436"/>
      <c r="AF25" s="436"/>
      <c r="AG25" s="436"/>
      <c r="AH25" s="436"/>
      <c r="AI25" s="436"/>
      <c r="AJ25" s="436"/>
      <c r="AK25" s="436"/>
      <c r="AL25" s="436"/>
      <c r="AM25" s="337"/>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t="str">
        <f ca="1">ORÇAMENTO!C26</f>
        <v>S</v>
      </c>
      <c r="B26">
        <f ca="1">ORÇAMENTO!D26</f>
        <v>0</v>
      </c>
      <c r="C26" s="113" t="str">
        <f t="shared" ca="1" si="1"/>
        <v/>
      </c>
      <c r="D26" s="116" t="str">
        <f ca="1">ORÇAMENTO!O26</f>
        <v>-</v>
      </c>
      <c r="E26" s="162" t="str">
        <f t="shared" ca="1" si="2"/>
        <v>(Código não identificado nas referências)</v>
      </c>
      <c r="F26" s="163" t="str" cm="1">
        <f t="array" aca="1" ref="F26" ca="1">IF(RegimeExecucao="Global","",ORÇAMENTO.Unidade)</f>
        <v/>
      </c>
      <c r="G26" s="121" t="str" cm="1">
        <f t="array" aca="1" ref="G26" ca="1">IF(RegimeExecucao="Global","",ORÇAMENTO!T26)</f>
        <v/>
      </c>
      <c r="H26" s="121" t="str" cm="1">
        <f t="array" aca="1" ref="H26" ca="1">IF(RegimeExecucao="Global","",ORÇAMENTO!W26)</f>
        <v/>
      </c>
      <c r="I26" s="124">
        <f ca="1">ORÇAMENTO!X26</f>
        <v>0</v>
      </c>
      <c r="J26" s="332" cm="1">
        <f t="array" aca="1" ref="J26" ca="1">IF($A26="S",IF(CAIXA.Modo,BM.AFAnterior,BM.MEDAnterior),IF(AND(RegimeExecucao="Global",$I26&gt;0,COUNTIF($AB$13:$AM$13,BM.medicao-1)&gt;0),M26/$I26*100,0))</f>
        <v>0</v>
      </c>
      <c r="K26" s="121">
        <f t="shared" ca="1" si="3"/>
        <v>0</v>
      </c>
      <c r="L26" s="333" cm="1">
        <f t="array" aca="1" ref="L26" ca="1">IF($A26="S",IF(CAIXA.Modo,BM.AFAcumulado,BM.MEDAcumulado),IF(AND(RegimeExecucao="Global",$I26&gt;0,COUNTIF($AB$13:$AM$13,BM.medicao)&gt;0),O26/$I26*100,0))</f>
        <v>0</v>
      </c>
      <c r="M26" s="334" cm="1">
        <f t="array" aca="1" ref="M26" ca="1">IF($A26="S",VTOTALBM,IF($A26=0,0,ROUND(SomaAgrupBM,15-13*ORÇAMENTO!$AF$11)))</f>
        <v>0</v>
      </c>
      <c r="N26" s="335">
        <f t="shared" ca="1" si="4"/>
        <v>0</v>
      </c>
      <c r="O26" s="124" cm="1">
        <f t="array" aca="1" ref="O26" ca="1">IF($A26="S",VTOTALBM,IF($A26=0,0,ROUND(SomaAgrupBM,15-13*ORÇAMENTO!$AF$11)))</f>
        <v>0</v>
      </c>
      <c r="Q26" s="336"/>
      <c r="R26" s="337"/>
      <c r="T26" s="116" t="str">
        <f t="shared" ca="1" si="5"/>
        <v/>
      </c>
      <c r="U26" s="162" t="str">
        <f t="shared" ca="1" si="6"/>
        <v/>
      </c>
      <c r="V26" s="163" t="str" cm="1">
        <f t="array" aca="1" ref="V26" ca="1">IF(AND($W26&gt;0,RegimeExecucao="Unitário"),$F26,"")</f>
        <v/>
      </c>
      <c r="W26" s="453" cm="1">
        <f t="array" aca="1" ref="W26" ca="1">IF($Y26&gt;0,CHOOSE(MATCH(RegimeExecucao,{"Unitário","Global"},0),IF($A26="S",$Y26/$X26,""),($Y26/$X26)*100),0)</f>
        <v>0</v>
      </c>
      <c r="X26" s="338" t="str" cm="1">
        <f t="array" aca="1" ref="X26" ca="1">IF($Y26&gt;0,CHOOSE(MATCH(RegimeExecucao,{"Unitário","Global"},0),IF($A26="S",ROUND($H26,ORÇAMENTO!$AF$10),""),ROUND($I26,ORÇAMENTO!$AF$11)),"")</f>
        <v/>
      </c>
      <c r="Y26" s="338">
        <f t="shared" ca="1" si="7"/>
        <v>0</v>
      </c>
      <c r="Z26" s="472"/>
      <c r="AB26" s="336"/>
      <c r="AC26" s="436"/>
      <c r="AD26" s="436"/>
      <c r="AE26" s="436"/>
      <c r="AF26" s="436"/>
      <c r="AG26" s="436"/>
      <c r="AH26" s="436"/>
      <c r="AI26" s="436"/>
      <c r="AJ26" s="436"/>
      <c r="AK26" s="436"/>
      <c r="AL26" s="436"/>
      <c r="AM26" s="337"/>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x14ac:dyDescent="0.2">
      <c r="A27" t="str">
        <f ca="1">ORÇAMENTO!C27</f>
        <v>S</v>
      </c>
      <c r="B27">
        <f ca="1">ORÇAMENTO!D27</f>
        <v>0</v>
      </c>
      <c r="C27" s="113" t="str">
        <f t="shared" ca="1" si="1"/>
        <v/>
      </c>
      <c r="D27" s="116" t="str">
        <f ca="1">ORÇAMENTO!O27</f>
        <v>-</v>
      </c>
      <c r="E27" s="162" t="str">
        <f t="shared" ca="1" si="2"/>
        <v>(Código não identificado nas referências)</v>
      </c>
      <c r="F27" s="163" t="str" cm="1">
        <f t="array" aca="1" ref="F27" ca="1">IF(RegimeExecucao="Global","",ORÇAMENTO.Unidade)</f>
        <v/>
      </c>
      <c r="G27" s="121" t="str" cm="1">
        <f t="array" aca="1" ref="G27" ca="1">IF(RegimeExecucao="Global","",ORÇAMENTO!T27)</f>
        <v/>
      </c>
      <c r="H27" s="121" t="str" cm="1">
        <f t="array" aca="1" ref="H27" ca="1">IF(RegimeExecucao="Global","",ORÇAMENTO!W27)</f>
        <v/>
      </c>
      <c r="I27" s="124">
        <f ca="1">ORÇAMENTO!X27</f>
        <v>0</v>
      </c>
      <c r="J27" s="332" cm="1">
        <f t="array" aca="1" ref="J27" ca="1">IF($A27="S",IF(CAIXA.Modo,BM.AFAnterior,BM.MEDAnterior),IF(AND(RegimeExecucao="Global",$I27&gt;0,COUNTIF($AB$13:$AM$13,BM.medicao-1)&gt;0),M27/$I27*100,0))</f>
        <v>0</v>
      </c>
      <c r="K27" s="121">
        <f t="shared" ca="1" si="3"/>
        <v>0</v>
      </c>
      <c r="L27" s="333" cm="1">
        <f t="array" aca="1" ref="L27" ca="1">IF($A27="S",IF(CAIXA.Modo,BM.AFAcumulado,BM.MEDAcumulado),IF(AND(RegimeExecucao="Global",$I27&gt;0,COUNTIF($AB$13:$AM$13,BM.medicao)&gt;0),O27/$I27*100,0))</f>
        <v>0</v>
      </c>
      <c r="M27" s="334" cm="1">
        <f t="array" aca="1" ref="M27" ca="1">IF($A27="S",VTOTALBM,IF($A27=0,0,ROUND(SomaAgrupBM,15-13*ORÇAMENTO!$AF$11)))</f>
        <v>0</v>
      </c>
      <c r="N27" s="335">
        <f t="shared" ca="1" si="4"/>
        <v>0</v>
      </c>
      <c r="O27" s="124" cm="1">
        <f t="array" aca="1" ref="O27" ca="1">IF($A27="S",VTOTALBM,IF($A27=0,0,ROUND(SomaAgrupBM,15-13*ORÇAMENTO!$AF$11)))</f>
        <v>0</v>
      </c>
      <c r="Q27" s="336"/>
      <c r="R27" s="337"/>
      <c r="T27" s="116" t="str">
        <f t="shared" ca="1" si="5"/>
        <v/>
      </c>
      <c r="U27" s="162" t="str">
        <f t="shared" ca="1" si="6"/>
        <v/>
      </c>
      <c r="V27" s="163" t="str" cm="1">
        <f t="array" aca="1" ref="V27" ca="1">IF(AND($W27&gt;0,RegimeExecucao="Unitário"),$F27,"")</f>
        <v/>
      </c>
      <c r="W27" s="453" cm="1">
        <f t="array" aca="1" ref="W27" ca="1">IF($Y27&gt;0,CHOOSE(MATCH(RegimeExecucao,{"Unitário","Global"},0),IF($A27="S",$Y27/$X27,""),($Y27/$X27)*100),0)</f>
        <v>0</v>
      </c>
      <c r="X27" s="338" t="str" cm="1">
        <f t="array" aca="1" ref="X27" ca="1">IF($Y27&gt;0,CHOOSE(MATCH(RegimeExecucao,{"Unitário","Global"},0),IF($A27="S",ROUND($H27,ORÇAMENTO!$AF$10),""),ROUND($I27,ORÇAMENTO!$AF$11)),"")</f>
        <v/>
      </c>
      <c r="Y27" s="338">
        <f t="shared" ca="1" si="7"/>
        <v>0</v>
      </c>
      <c r="Z27" s="472"/>
      <c r="AB27" s="336"/>
      <c r="AC27" s="436"/>
      <c r="AD27" s="436"/>
      <c r="AE27" s="436"/>
      <c r="AF27" s="436"/>
      <c r="AG27" s="436"/>
      <c r="AH27" s="436"/>
      <c r="AI27" s="436"/>
      <c r="AJ27" s="436"/>
      <c r="AK27" s="436"/>
      <c r="AL27" s="436"/>
      <c r="AM27" s="337"/>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t="str">
        <f ca="1">ORÇAMENTO!C28</f>
        <v>S</v>
      </c>
      <c r="B28">
        <f ca="1">ORÇAMENTO!D28</f>
        <v>0</v>
      </c>
      <c r="C28" s="113" t="str">
        <f ca="1">IF(OR($I28&gt;0,$A28=1,$A28=2,$A28=3,$A28=4),"F","")</f>
        <v/>
      </c>
      <c r="D28" s="116" t="str">
        <f ca="1">ORÇAMENTO!O28</f>
        <v>-</v>
      </c>
      <c r="E28" s="162" t="str">
        <f ca="1">ORÇAMENTO.Descricao</f>
        <v>(Código não identificado nas referências)</v>
      </c>
      <c r="F28" s="163" t="str" cm="1">
        <f t="array" aca="1" ref="F28" ca="1">IF(RegimeExecucao="Global","",ORÇAMENTO.Unidade)</f>
        <v/>
      </c>
      <c r="G28" s="121" t="str" cm="1">
        <f t="array" aca="1" ref="G28" ca="1">IF(RegimeExecucao="Global","",ORÇAMENTO!T28)</f>
        <v/>
      </c>
      <c r="H28" s="121" t="str" cm="1">
        <f t="array" aca="1" ref="H28" ca="1">IF(RegimeExecucao="Global","",ORÇAMENTO!W28)</f>
        <v/>
      </c>
      <c r="I28" s="124">
        <f ca="1">ORÇAMENTO!X28</f>
        <v>0</v>
      </c>
      <c r="J28" s="332" cm="1">
        <f t="array" aca="1" ref="J28" ca="1">IF($A28="S",IF(CAIXA.Modo,BM.AFAnterior,BM.MEDAnterior),IF(AND(RegimeExecucao="Global",$I28&gt;0,COUNTIF($AB$13:$AM$13,BM.medicao-1)&gt;0),M28/$I28*100,0))</f>
        <v>0</v>
      </c>
      <c r="K28" s="121">
        <f ca="1">L28-J28</f>
        <v>0</v>
      </c>
      <c r="L28" s="333" cm="1">
        <f t="array" aca="1" ref="L28" ca="1">IF($A28="S",IF(CAIXA.Modo,BM.AFAcumulado,BM.MEDAcumulado),IF(AND(RegimeExecucao="Global",$I28&gt;0,COUNTIF($AB$13:$AM$13,BM.medicao)&gt;0),O28/$I28*100,0))</f>
        <v>0</v>
      </c>
      <c r="M28" s="334" cm="1">
        <f t="array" aca="1" ref="M28" ca="1">IF($A28="S",VTOTALBM,IF($A28=0,0,ROUND(SomaAgrupBM,15-13*ORÇAMENTO!$AF$11)))</f>
        <v>0</v>
      </c>
      <c r="N28" s="335">
        <f ca="1">O28-M28</f>
        <v>0</v>
      </c>
      <c r="O28" s="124" cm="1">
        <f t="array" aca="1" ref="O28" ca="1">IF($A28="S",VTOTALBM,IF($A28=0,0,ROUND(SomaAgrupBM,15-13*ORÇAMENTO!$AF$11)))</f>
        <v>0</v>
      </c>
      <c r="Q28" s="336"/>
      <c r="R28" s="337"/>
      <c r="T28" s="116" t="str">
        <f ca="1">IF($W28&gt;0,$D28,"")</f>
        <v/>
      </c>
      <c r="U28" s="162" t="str">
        <f ca="1">IF($W28&gt;0,$E28,"")</f>
        <v/>
      </c>
      <c r="V28" s="163" t="str" cm="1">
        <f t="array" aca="1" ref="V28" ca="1">IF(AND($W28&gt;0,RegimeExecucao="Unitário"),$F28,"")</f>
        <v/>
      </c>
      <c r="W28" s="453" cm="1">
        <f t="array" aca="1" ref="W28" ca="1">IF($Y28&gt;0,CHOOSE(MATCH(RegimeExecucao,{"Unitário","Global"},0),IF($A28="S",$Y28/$X28,""),($Y28/$X28)*100),0)</f>
        <v>0</v>
      </c>
      <c r="X28" s="338" t="str" cm="1">
        <f t="array" aca="1" ref="X28" ca="1">IF($Y28&gt;0,CHOOSE(MATCH(RegimeExecucao,{"Unitário","Global"},0),IF($A28="S",ROUND($H28,ORÇAMENTO!$AF$10),""),ROUND($I28,ORÇAMENTO!$AF$11)),"")</f>
        <v/>
      </c>
      <c r="Y28" s="338">
        <f ca="1">AO28-O28</f>
        <v>0</v>
      </c>
      <c r="Z28" s="472"/>
      <c r="AB28" s="336"/>
      <c r="AC28" s="436"/>
      <c r="AD28" s="436"/>
      <c r="AE28" s="436"/>
      <c r="AF28" s="436"/>
      <c r="AG28" s="436"/>
      <c r="AH28" s="436"/>
      <c r="AI28" s="436"/>
      <c r="AJ28" s="436"/>
      <c r="AK28" s="436"/>
      <c r="AL28" s="436"/>
      <c r="AM28" s="337"/>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f ca="1">ORÇAMENTO!C29</f>
        <v>2</v>
      </c>
      <c r="B29">
        <f ca="1">ORÇAMENTO!D29</f>
        <v>2</v>
      </c>
      <c r="C29" s="113" t="str">
        <f t="shared" ca="1" si="1"/>
        <v>F</v>
      </c>
      <c r="D29" s="116" t="str">
        <f ca="1">ORÇAMENTO!O29</f>
        <v>1.5.</v>
      </c>
      <c r="E29" s="162" t="str">
        <f t="shared" si="2"/>
        <v>MEIO-FIO</v>
      </c>
      <c r="F29" s="163" t="str" cm="1">
        <f t="array" aca="1" ref="F29" ca="1">IF(RegimeExecucao="Global","",ORÇAMENTO.Unidade)</f>
        <v/>
      </c>
      <c r="G29" s="121" t="str" cm="1">
        <f t="array" aca="1" ref="G29" ca="1">IF(RegimeExecucao="Global","",ORÇAMENTO!T29)</f>
        <v/>
      </c>
      <c r="H29" s="121" t="str" cm="1">
        <f t="array" aca="1" ref="H29" ca="1">IF(RegimeExecucao="Global","",ORÇAMENTO!W29)</f>
        <v/>
      </c>
      <c r="I29" s="124">
        <f ca="1">ORÇAMENTO!X29</f>
        <v>0</v>
      </c>
      <c r="J29" s="332" cm="1">
        <f t="array" aca="1" ref="J29" ca="1">IF($A29="S",IF(CAIXA.Modo,BM.AFAnterior,BM.MEDAnterior),IF(AND(RegimeExecucao="Global",$I29&gt;0,COUNTIF($AB$13:$AM$13,BM.medicao-1)&gt;0),M29/$I29*100,0))</f>
        <v>0</v>
      </c>
      <c r="K29" s="121">
        <f t="shared" ca="1" si="3"/>
        <v>0</v>
      </c>
      <c r="L29" s="333" cm="1">
        <f t="array" aca="1" ref="L29" ca="1">IF($A29="S",IF(CAIXA.Modo,BM.AFAcumulado,BM.MEDAcumulado),IF(AND(RegimeExecucao="Global",$I29&gt;0,COUNTIF($AB$13:$AM$13,BM.medicao)&gt;0),O29/$I29*100,0))</f>
        <v>0</v>
      </c>
      <c r="M29" s="334" cm="1">
        <f t="array" aca="1" ref="M29" ca="1">IF($A29="S",VTOTALBM,IF($A29=0,0,ROUND(SomaAgrupBM,15-13*ORÇAMENTO!$AF$11)))</f>
        <v>0</v>
      </c>
      <c r="N29" s="335">
        <f t="shared" ca="1" si="4"/>
        <v>0</v>
      </c>
      <c r="O29" s="124" cm="1">
        <f t="array" aca="1" ref="O29" ca="1">IF($A29="S",VTOTALBM,IF($A29=0,0,ROUND(SomaAgrupBM,15-13*ORÇAMENTO!$AF$11)))</f>
        <v>0</v>
      </c>
      <c r="Q29" s="336"/>
      <c r="R29" s="337"/>
      <c r="T29" s="116" t="str">
        <f t="shared" ca="1" si="5"/>
        <v/>
      </c>
      <c r="U29" s="162" t="str">
        <f t="shared" ca="1" si="6"/>
        <v/>
      </c>
      <c r="V29" s="163" t="str" cm="1">
        <f t="array" aca="1" ref="V29" ca="1">IF(AND($W29&gt;0,RegimeExecucao="Unitário"),$F29,"")</f>
        <v/>
      </c>
      <c r="W29" s="453" cm="1">
        <f t="array" aca="1" ref="W29" ca="1">IF($Y29&gt;0,CHOOSE(MATCH(RegimeExecucao,{"Unitário","Global"},0),IF($A29="S",$Y29/$X29,""),($Y29/$X29)*100),0)</f>
        <v>0</v>
      </c>
      <c r="X29" s="338" t="str" cm="1">
        <f t="array" aca="1" ref="X29" ca="1">IF($Y29&gt;0,CHOOSE(MATCH(RegimeExecucao,{"Unitário","Global"},0),IF($A29="S",ROUND($H29,ORÇAMENTO!$AF$10),""),ROUND($I29,ORÇAMENTO!$AF$11)),"")</f>
        <v/>
      </c>
      <c r="Y29" s="338">
        <f t="shared" ca="1" si="7"/>
        <v>0</v>
      </c>
      <c r="Z29" s="472"/>
      <c r="AB29" s="336"/>
      <c r="AC29" s="436"/>
      <c r="AD29" s="436"/>
      <c r="AE29" s="436"/>
      <c r="AF29" s="436"/>
      <c r="AG29" s="436"/>
      <c r="AH29" s="436"/>
      <c r="AI29" s="436"/>
      <c r="AJ29" s="436"/>
      <c r="AK29" s="436"/>
      <c r="AL29" s="436"/>
      <c r="AM29" s="337"/>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t="str">
        <f ca="1">ORÇAMENTO!C30</f>
        <v>S</v>
      </c>
      <c r="B30">
        <f ca="1">ORÇAMENTO!D30</f>
        <v>0</v>
      </c>
      <c r="C30" s="113" t="str">
        <f t="shared" ca="1" si="1"/>
        <v/>
      </c>
      <c r="D30" s="116" t="str">
        <f ca="1">ORÇAMENTO!O30</f>
        <v>-</v>
      </c>
      <c r="E30" s="162" t="str">
        <f t="shared" ca="1" si="2"/>
        <v>(Código não identificado nas referências)</v>
      </c>
      <c r="F30" s="163" t="str" cm="1">
        <f t="array" aca="1" ref="F30" ca="1">IF(RegimeExecucao="Global","",ORÇAMENTO.Unidade)</f>
        <v/>
      </c>
      <c r="G30" s="121" t="str" cm="1">
        <f t="array" aca="1" ref="G30" ca="1">IF(RegimeExecucao="Global","",ORÇAMENTO!T30)</f>
        <v/>
      </c>
      <c r="H30" s="121" t="str" cm="1">
        <f t="array" aca="1" ref="H30" ca="1">IF(RegimeExecucao="Global","",ORÇAMENTO!W30)</f>
        <v/>
      </c>
      <c r="I30" s="124">
        <f ca="1">ORÇAMENTO!X30</f>
        <v>0</v>
      </c>
      <c r="J30" s="332" cm="1">
        <f t="array" aca="1" ref="J30" ca="1">IF($A30="S",IF(CAIXA.Modo,BM.AFAnterior,BM.MEDAnterior),IF(AND(RegimeExecucao="Global",$I30&gt;0,COUNTIF($AB$13:$AM$13,BM.medicao-1)&gt;0),M30/$I30*100,0))</f>
        <v>0</v>
      </c>
      <c r="K30" s="121">
        <f t="shared" ca="1" si="3"/>
        <v>0</v>
      </c>
      <c r="L30" s="333" cm="1">
        <f t="array" aca="1" ref="L30" ca="1">IF($A30="S",IF(CAIXA.Modo,BM.AFAcumulado,BM.MEDAcumulado),IF(AND(RegimeExecucao="Global",$I30&gt;0,COUNTIF($AB$13:$AM$13,BM.medicao)&gt;0),O30/$I30*100,0))</f>
        <v>0</v>
      </c>
      <c r="M30" s="334" cm="1">
        <f t="array" aca="1" ref="M30" ca="1">IF($A30="S",VTOTALBM,IF($A30=0,0,ROUND(SomaAgrupBM,15-13*ORÇAMENTO!$AF$11)))</f>
        <v>0</v>
      </c>
      <c r="N30" s="335">
        <f t="shared" ca="1" si="4"/>
        <v>0</v>
      </c>
      <c r="O30" s="124" cm="1">
        <f t="array" aca="1" ref="O30" ca="1">IF($A30="S",VTOTALBM,IF($A30=0,0,ROUND(SomaAgrupBM,15-13*ORÇAMENTO!$AF$11)))</f>
        <v>0</v>
      </c>
      <c r="Q30" s="336"/>
      <c r="R30" s="337"/>
      <c r="T30" s="116" t="str">
        <f t="shared" ca="1" si="5"/>
        <v/>
      </c>
      <c r="U30" s="162" t="str">
        <f t="shared" ca="1" si="6"/>
        <v/>
      </c>
      <c r="V30" s="163" t="str" cm="1">
        <f t="array" aca="1" ref="V30" ca="1">IF(AND($W30&gt;0,RegimeExecucao="Unitário"),$F30,"")</f>
        <v/>
      </c>
      <c r="W30" s="453" cm="1">
        <f t="array" aca="1" ref="W30" ca="1">IF($Y30&gt;0,CHOOSE(MATCH(RegimeExecucao,{"Unitário","Global"},0),IF($A30="S",$Y30/$X30,""),($Y30/$X30)*100),0)</f>
        <v>0</v>
      </c>
      <c r="X30" s="338" t="str" cm="1">
        <f t="array" aca="1" ref="X30" ca="1">IF($Y30&gt;0,CHOOSE(MATCH(RegimeExecucao,{"Unitário","Global"},0),IF($A30="S",ROUND($H30,ORÇAMENTO!$AF$10),""),ROUND($I30,ORÇAMENTO!$AF$11)),"")</f>
        <v/>
      </c>
      <c r="Y30" s="338">
        <f t="shared" ca="1" si="7"/>
        <v>0</v>
      </c>
      <c r="Z30" s="472"/>
      <c r="AB30" s="336"/>
      <c r="AC30" s="436"/>
      <c r="AD30" s="436"/>
      <c r="AE30" s="436"/>
      <c r="AF30" s="436"/>
      <c r="AG30" s="436"/>
      <c r="AH30" s="436"/>
      <c r="AI30" s="436"/>
      <c r="AJ30" s="436"/>
      <c r="AK30" s="436"/>
      <c r="AL30" s="436"/>
      <c r="AM30" s="337"/>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x14ac:dyDescent="0.2">
      <c r="A31">
        <f ca="1">ORÇAMENTO!C31</f>
        <v>2</v>
      </c>
      <c r="B31">
        <f ca="1">ORÇAMENTO!D31</f>
        <v>2</v>
      </c>
      <c r="C31" s="113" t="str">
        <f t="shared" ca="1" si="1"/>
        <v>F</v>
      </c>
      <c r="D31" s="116" t="str">
        <f ca="1">ORÇAMENTO!O31</f>
        <v>1.6.</v>
      </c>
      <c r="E31" s="162" t="str">
        <f t="shared" si="2"/>
        <v>LIMPEZAS E AJUSTES DO TRECHO</v>
      </c>
      <c r="F31" s="163" t="str" cm="1">
        <f t="array" aca="1" ref="F31" ca="1">IF(RegimeExecucao="Global","",ORÇAMENTO.Unidade)</f>
        <v/>
      </c>
      <c r="G31" s="121" t="str" cm="1">
        <f t="array" aca="1" ref="G31" ca="1">IF(RegimeExecucao="Global","",ORÇAMENTO!T31)</f>
        <v/>
      </c>
      <c r="H31" s="121" t="str" cm="1">
        <f t="array" aca="1" ref="H31" ca="1">IF(RegimeExecucao="Global","",ORÇAMENTO!W31)</f>
        <v/>
      </c>
      <c r="I31" s="124">
        <f ca="1">ORÇAMENTO!X31</f>
        <v>0</v>
      </c>
      <c r="J31" s="332" cm="1">
        <f t="array" aca="1" ref="J31" ca="1">IF($A31="S",IF(CAIXA.Modo,BM.AFAnterior,BM.MEDAnterior),IF(AND(RegimeExecucao="Global",$I31&gt;0,COUNTIF($AB$13:$AM$13,BM.medicao-1)&gt;0),M31/$I31*100,0))</f>
        <v>0</v>
      </c>
      <c r="K31" s="121">
        <f t="shared" ca="1" si="3"/>
        <v>0</v>
      </c>
      <c r="L31" s="333" cm="1">
        <f t="array" aca="1" ref="L31" ca="1">IF($A31="S",IF(CAIXA.Modo,BM.AFAcumulado,BM.MEDAcumulado),IF(AND(RegimeExecucao="Global",$I31&gt;0,COUNTIF($AB$13:$AM$13,BM.medicao)&gt;0),O31/$I31*100,0))</f>
        <v>0</v>
      </c>
      <c r="M31" s="334" cm="1">
        <f t="array" aca="1" ref="M31" ca="1">IF($A31="S",VTOTALBM,IF($A31=0,0,ROUND(SomaAgrupBM,15-13*ORÇAMENTO!$AF$11)))</f>
        <v>0</v>
      </c>
      <c r="N31" s="335">
        <f t="shared" ca="1" si="4"/>
        <v>0</v>
      </c>
      <c r="O31" s="124" cm="1">
        <f t="array" aca="1" ref="O31" ca="1">IF($A31="S",VTOTALBM,IF($A31=0,0,ROUND(SomaAgrupBM,15-13*ORÇAMENTO!$AF$11)))</f>
        <v>0</v>
      </c>
      <c r="Q31" s="336"/>
      <c r="R31" s="337"/>
      <c r="T31" s="116" t="str">
        <f t="shared" ca="1" si="5"/>
        <v/>
      </c>
      <c r="U31" s="162" t="str">
        <f t="shared" ca="1" si="6"/>
        <v/>
      </c>
      <c r="V31" s="163" t="str" cm="1">
        <f t="array" aca="1" ref="V31" ca="1">IF(AND($W31&gt;0,RegimeExecucao="Unitário"),$F31,"")</f>
        <v/>
      </c>
      <c r="W31" s="453" cm="1">
        <f t="array" aca="1" ref="W31" ca="1">IF($Y31&gt;0,CHOOSE(MATCH(RegimeExecucao,{"Unitário","Global"},0),IF($A31="S",$Y31/$X31,""),($Y31/$X31)*100),0)</f>
        <v>0</v>
      </c>
      <c r="X31" s="338" t="str" cm="1">
        <f t="array" aca="1" ref="X31" ca="1">IF($Y31&gt;0,CHOOSE(MATCH(RegimeExecucao,{"Unitário","Global"},0),IF($A31="S",ROUND($H31,ORÇAMENTO!$AF$10),""),ROUND($I31,ORÇAMENTO!$AF$11)),"")</f>
        <v/>
      </c>
      <c r="Y31" s="338">
        <f t="shared" ca="1" si="7"/>
        <v>0</v>
      </c>
      <c r="Z31" s="472"/>
      <c r="AB31" s="336"/>
      <c r="AC31" s="436"/>
      <c r="AD31" s="436"/>
      <c r="AE31" s="436"/>
      <c r="AF31" s="436"/>
      <c r="AG31" s="436"/>
      <c r="AH31" s="436"/>
      <c r="AI31" s="436"/>
      <c r="AJ31" s="436"/>
      <c r="AK31" s="436"/>
      <c r="AL31" s="436"/>
      <c r="AM31" s="337"/>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x14ac:dyDescent="0.2">
      <c r="A32" t="str">
        <f ca="1">ORÇAMENTO!C32</f>
        <v>S</v>
      </c>
      <c r="B32">
        <f ca="1">ORÇAMENTO!D32</f>
        <v>0</v>
      </c>
      <c r="C32" s="113" t="str">
        <f ca="1">IF(OR($I32&gt;0,$A32=1,$A32=2,$A32=3,$A32=4),"F","")</f>
        <v/>
      </c>
      <c r="D32" s="116" t="str">
        <f ca="1">ORÇAMENTO!O32</f>
        <v>-</v>
      </c>
      <c r="E32" s="162" t="str">
        <f t="shared" ref="E32" ca="1" si="8">ORÇAMENTO.Descricao</f>
        <v>(Código não identificado nas referências)</v>
      </c>
      <c r="F32" s="163" t="str" cm="1">
        <f t="array" aca="1" ref="F32" ca="1">IF(RegimeExecucao="Global","",ORÇAMENTO.Unidade)</f>
        <v/>
      </c>
      <c r="G32" s="121" t="str" cm="1">
        <f t="array" aca="1" ref="G32" ca="1">IF(RegimeExecucao="Global","",ORÇAMENTO!T32)</f>
        <v/>
      </c>
      <c r="H32" s="121" t="str" cm="1">
        <f t="array" aca="1" ref="H32" ca="1">IF(RegimeExecucao="Global","",ORÇAMENTO!W32)</f>
        <v/>
      </c>
      <c r="I32" s="124">
        <f ca="1">ORÇAMENTO!X32</f>
        <v>0</v>
      </c>
      <c r="J32" s="332" cm="1">
        <f t="array" aca="1" ref="J32" ca="1">IF($A32="S",IF(CAIXA.Modo,BM.AFAnterior,BM.MEDAnterior),IF(AND(RegimeExecucao="Global",$I32&gt;0,COUNTIF($AB$13:$AM$13,BM.medicao-1)&gt;0),M32/$I32*100,0))</f>
        <v>0</v>
      </c>
      <c r="K32" s="121">
        <f ca="1">L32-J32</f>
        <v>0</v>
      </c>
      <c r="L32" s="333" cm="1">
        <f t="array" aca="1" ref="L32" ca="1">IF($A32="S",IF(CAIXA.Modo,BM.AFAcumulado,BM.MEDAcumulado),IF(AND(RegimeExecucao="Global",$I32&gt;0,COUNTIF($AB$13:$AM$13,BM.medicao)&gt;0),O32/$I32*100,0))</f>
        <v>0</v>
      </c>
      <c r="M32" s="334" cm="1">
        <f t="array" aca="1" ref="M32" ca="1">IF($A32="S",VTOTALBM,IF($A32=0,0,ROUND(SomaAgrupBM,15-13*ORÇAMENTO!$AF$11)))</f>
        <v>0</v>
      </c>
      <c r="N32" s="335">
        <f ca="1">O32-M32</f>
        <v>0</v>
      </c>
      <c r="O32" s="124" cm="1">
        <f t="array" aca="1" ref="O32" ca="1">IF($A32="S",VTOTALBM,IF($A32=0,0,ROUND(SomaAgrupBM,15-13*ORÇAMENTO!$AF$11)))</f>
        <v>0</v>
      </c>
      <c r="Q32" s="336"/>
      <c r="R32" s="337"/>
      <c r="T32" s="116" t="str">
        <f ca="1">IF($W32&gt;0,$D32,"")</f>
        <v/>
      </c>
      <c r="U32" s="162" t="str">
        <f ca="1">IF($W32&gt;0,$E32,"")</f>
        <v/>
      </c>
      <c r="V32" s="163" t="str" cm="1">
        <f t="array" aca="1" ref="V32" ca="1">IF(AND($W32&gt;0,RegimeExecucao="Unitário"),$F32,"")</f>
        <v/>
      </c>
      <c r="W32" s="453" cm="1">
        <f t="array" aca="1" ref="W32" ca="1">IF($Y32&gt;0,CHOOSE(MATCH(RegimeExecucao,{"Unitário","Global"},0),IF($A32="S",$Y32/$X32,""),($Y32/$X32)*100),0)</f>
        <v>0</v>
      </c>
      <c r="X32" s="338" t="str" cm="1">
        <f t="array" aca="1" ref="X32" ca="1">IF($Y32&gt;0,CHOOSE(MATCH(RegimeExecucao,{"Unitário","Global"},0),IF($A32="S",ROUND($H32,ORÇAMENTO!$AF$10),""),ROUND($I32,ORÇAMENTO!$AF$11)),"")</f>
        <v/>
      </c>
      <c r="Y32" s="338">
        <f ca="1">AO32-O32</f>
        <v>0</v>
      </c>
      <c r="Z32" s="472"/>
      <c r="AB32" s="336"/>
      <c r="AC32" s="436"/>
      <c r="AD32" s="436"/>
      <c r="AE32" s="436"/>
      <c r="AF32" s="436"/>
      <c r="AG32" s="436"/>
      <c r="AH32" s="436"/>
      <c r="AI32" s="436"/>
      <c r="AJ32" s="436"/>
      <c r="AK32" s="436"/>
      <c r="AL32" s="436"/>
      <c r="AM32" s="337"/>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3:39" ht="5.0999999999999996" customHeight="1" x14ac:dyDescent="0.2">
      <c r="C33" s="113" t="s">
        <v>536</v>
      </c>
      <c r="D33" s="617"/>
      <c r="E33" s="618"/>
      <c r="F33" s="618"/>
      <c r="G33" s="618"/>
      <c r="H33" s="618"/>
      <c r="I33" s="418"/>
      <c r="J33" s="617"/>
      <c r="K33" s="618"/>
      <c r="L33" s="418"/>
      <c r="M33" s="433"/>
      <c r="N33" s="434"/>
      <c r="O33" s="435"/>
      <c r="Q33" s="617"/>
      <c r="R33" s="418"/>
      <c r="T33" s="617"/>
      <c r="U33" s="618"/>
      <c r="V33" s="618"/>
      <c r="W33" s="618"/>
      <c r="X33" s="618"/>
      <c r="Y33" s="618"/>
      <c r="Z33" s="418"/>
      <c r="AB33" s="617"/>
      <c r="AC33" s="618"/>
      <c r="AD33" s="618"/>
      <c r="AE33" s="618"/>
      <c r="AF33" s="618"/>
      <c r="AG33" s="618"/>
      <c r="AH33" s="618"/>
      <c r="AI33" s="618"/>
      <c r="AJ33" s="618"/>
      <c r="AK33" s="618"/>
      <c r="AL33" s="618"/>
      <c r="AM33" s="418"/>
    </row>
    <row r="35" spans="3:39" ht="14.25" x14ac:dyDescent="0.2">
      <c r="D35" s="809" t="s">
        <v>689</v>
      </c>
      <c r="E35" s="809"/>
      <c r="F35" s="809"/>
      <c r="G35" s="809"/>
      <c r="H35" s="809"/>
      <c r="I35" s="809"/>
      <c r="J35" s="809"/>
      <c r="K35" s="809"/>
      <c r="L35" s="809"/>
      <c r="M35" s="809"/>
      <c r="N35" s="809"/>
      <c r="O35" s="809"/>
      <c r="T35" s="810" t="s">
        <v>865</v>
      </c>
      <c r="U35" s="810"/>
      <c r="V35" s="810"/>
      <c r="W35" s="810"/>
      <c r="X35" s="810"/>
      <c r="Y35" s="810"/>
      <c r="Z35" s="810"/>
    </row>
    <row r="36" spans="3:39" ht="12.75" customHeight="1" x14ac:dyDescent="0.2">
      <c r="D36" s="720"/>
      <c r="E36" s="720"/>
      <c r="F36" s="720"/>
      <c r="G36" s="720"/>
      <c r="H36" s="720"/>
      <c r="I36" s="720"/>
      <c r="J36" s="720"/>
      <c r="K36" s="720"/>
      <c r="L36" s="720"/>
      <c r="M36" s="720"/>
      <c r="N36" s="720"/>
      <c r="O36" s="720"/>
      <c r="T36" s="811"/>
      <c r="U36" s="811"/>
      <c r="V36" s="811"/>
      <c r="W36" s="811"/>
      <c r="X36" s="811"/>
      <c r="Y36" s="811"/>
      <c r="Z36" s="811"/>
    </row>
    <row r="37" spans="3:39" ht="12.75" customHeight="1" x14ac:dyDescent="0.2">
      <c r="D37" s="720"/>
      <c r="E37" s="720"/>
      <c r="F37" s="720"/>
      <c r="G37" s="720"/>
      <c r="H37" s="720"/>
      <c r="I37" s="720"/>
      <c r="J37" s="720"/>
      <c r="K37" s="720"/>
      <c r="L37" s="720"/>
      <c r="M37" s="720"/>
      <c r="N37" s="720"/>
      <c r="O37" s="720"/>
      <c r="T37" s="811"/>
      <c r="U37" s="811"/>
      <c r="V37" s="811"/>
      <c r="W37" s="811"/>
      <c r="X37" s="811"/>
      <c r="Y37" s="811"/>
      <c r="Z37" s="811"/>
    </row>
    <row r="38" spans="3:39" ht="12.75" customHeight="1" x14ac:dyDescent="0.2">
      <c r="D38" s="720"/>
      <c r="E38" s="720"/>
      <c r="F38" s="720"/>
      <c r="G38" s="720"/>
      <c r="H38" s="720"/>
      <c r="I38" s="720"/>
      <c r="J38" s="720"/>
      <c r="K38" s="720"/>
      <c r="L38" s="720"/>
      <c r="M38" s="720"/>
      <c r="N38" s="720"/>
      <c r="O38" s="720"/>
      <c r="T38" s="811"/>
      <c r="U38" s="811"/>
      <c r="V38" s="811"/>
      <c r="W38" s="811"/>
      <c r="X38" s="811"/>
      <c r="Y38" s="811"/>
      <c r="Z38" s="811"/>
    </row>
    <row r="39" spans="3:39" ht="14.25" x14ac:dyDescent="0.2">
      <c r="D39" s="442"/>
      <c r="E39" s="442"/>
      <c r="F39" s="442"/>
      <c r="G39" s="442"/>
      <c r="H39" s="442"/>
      <c r="I39" s="442"/>
      <c r="J39" s="442"/>
      <c r="K39" s="442"/>
      <c r="L39" s="442"/>
      <c r="M39" s="442"/>
      <c r="N39" s="442"/>
      <c r="O39" s="442"/>
    </row>
    <row r="40" spans="3:39" ht="15" customHeight="1" x14ac:dyDescent="0.25">
      <c r="D40" s="721" t="str" cm="1">
        <f t="array" aca="1" ref="D40"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40" s="721"/>
      <c r="F40" s="721"/>
      <c r="G40" s="721"/>
      <c r="H40" s="721"/>
      <c r="I40" s="721"/>
      <c r="J40" s="721"/>
      <c r="K40" s="721"/>
      <c r="L40" s="721"/>
    </row>
    <row r="41" spans="3:39" x14ac:dyDescent="0.2">
      <c r="D41" s="807"/>
      <c r="E41" s="807"/>
      <c r="F41" s="807"/>
      <c r="G41" s="807"/>
      <c r="H41" s="807"/>
      <c r="I41" s="807"/>
    </row>
    <row r="42" spans="3:39" x14ac:dyDescent="0.2">
      <c r="D42" s="805"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42" s="805"/>
      <c r="F42" s="805"/>
      <c r="G42" s="805"/>
      <c r="H42" s="805"/>
      <c r="I42" s="805"/>
      <c r="J42" s="805"/>
      <c r="K42" s="805"/>
      <c r="L42" s="805"/>
      <c r="M42" s="805"/>
      <c r="N42" s="805"/>
      <c r="O42" s="805"/>
    </row>
    <row r="43" spans="3:39" ht="39.950000000000003" customHeight="1" x14ac:dyDescent="0.25">
      <c r="E43" s="137" t="str">
        <f>Import.Município</f>
        <v>RS</v>
      </c>
      <c r="J43" s="584" t="str">
        <f ca="1">IF(DADOS!$D$50&lt;&gt;"","Preencher os Dados do Responsável pela Fiscalização, na aba DADOS.","")</f>
        <v/>
      </c>
      <c r="K43" s="584"/>
      <c r="L43" s="584"/>
      <c r="M43" s="584"/>
      <c r="W43" s="806"/>
      <c r="X43" s="806"/>
      <c r="Y43" s="806"/>
      <c r="Z43" s="806"/>
    </row>
    <row r="44" spans="3:39" x14ac:dyDescent="0.2">
      <c r="E44" s="9" t="s">
        <v>693</v>
      </c>
      <c r="J44" s="180" t="s">
        <v>841</v>
      </c>
      <c r="W44" s="180" t="s">
        <v>866</v>
      </c>
    </row>
    <row r="45" spans="3:39" x14ac:dyDescent="0.2">
      <c r="J45" s="76" t="s">
        <v>240</v>
      </c>
      <c r="K45" s="270">
        <f t="array" ref="K45:K48">Import.RespFiscalização</f>
        <v>0</v>
      </c>
      <c r="L45" s="77"/>
      <c r="W45" s="76" t="s">
        <v>240</v>
      </c>
      <c r="X45" s="804"/>
      <c r="Y45" s="804"/>
      <c r="Z45" s="804"/>
    </row>
    <row r="46" spans="3:39" x14ac:dyDescent="0.2">
      <c r="E46" s="458">
        <f>DADOS!$C$48</f>
        <v>0</v>
      </c>
      <c r="J46" s="76" t="s">
        <v>319</v>
      </c>
      <c r="K46" s="270">
        <v>0</v>
      </c>
      <c r="L46" s="77"/>
      <c r="W46" s="76" t="s">
        <v>867</v>
      </c>
      <c r="X46" s="804"/>
      <c r="Y46" s="804"/>
      <c r="Z46" s="804"/>
    </row>
    <row r="47" spans="3:39" x14ac:dyDescent="0.2">
      <c r="E47" s="139" t="s">
        <v>694</v>
      </c>
      <c r="J47" s="76" t="s">
        <v>243</v>
      </c>
      <c r="K47" s="270">
        <v>0</v>
      </c>
      <c r="L47" s="77"/>
      <c r="W47" s="76" t="s">
        <v>243</v>
      </c>
      <c r="X47" s="804"/>
      <c r="Y47" s="804"/>
      <c r="Z47" s="804"/>
    </row>
    <row r="48" spans="3:39" x14ac:dyDescent="0.2">
      <c r="J48" s="76" t="s">
        <v>246</v>
      </c>
      <c r="K48" s="12">
        <v>0</v>
      </c>
      <c r="W48" s="76"/>
      <c r="X48" s="12"/>
    </row>
  </sheetData>
  <sheetProtection algorithmName="SHA-512" hashValue="V3jIA/VgEknylwxNrcwsfKbR2fvS2ZdQ7SGjbDZ3EwtHFUYuegGm0hXgsxrDueNpKQEgzTxyl7PE+ewCozFLTg==" saltValue="nReL+tUiHkDpnc8F0vkC3g==" spinCount="100000" sheet="1" objects="1" scenarios="1" autoFilter="0"/>
  <autoFilter ref="C15:C33"/>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40:L40"/>
    <mergeCell ref="D41:I41"/>
    <mergeCell ref="AB15:AM15"/>
    <mergeCell ref="D35:O35"/>
    <mergeCell ref="T35:Z35"/>
    <mergeCell ref="D36:O38"/>
    <mergeCell ref="T36:Z38"/>
    <mergeCell ref="D15:E15"/>
    <mergeCell ref="X47:Z47"/>
    <mergeCell ref="D42:O42"/>
    <mergeCell ref="W43:Z43"/>
    <mergeCell ref="X45:Z45"/>
    <mergeCell ref="X46:Z46"/>
  </mergeCells>
  <phoneticPr fontId="38" type="noConversion"/>
  <conditionalFormatting sqref="D14:O14 T14:Z14 T16:Z20 D16:O20 T29:Z31 D29:O31">
    <cfRule type="expression" dxfId="76" priority="18757" stopIfTrue="1">
      <formula>OR(ACOMPANHAMENTO="PLE",TIPOORCAMENTO="Proposto",$L14&lt;0,AND($L14&gt;100,RegimeExecucao="Global"),$O14&gt;$I14,$O14&lt;0)</formula>
    </cfRule>
    <cfRule type="expression" dxfId="75" priority="18758" stopIfTrue="1">
      <formula>$A14=1</formula>
    </cfRule>
    <cfRule type="expression" dxfId="74" priority="18759" stopIfTrue="1">
      <formula>$A14&lt;&gt;"S"</formula>
    </cfRule>
  </conditionalFormatting>
  <conditionalFormatting sqref="Q14:R14 AB14:AM14 AB16:AM20 Q16:R20 AB29:AM31 Q29:R31">
    <cfRule type="expression" dxfId="73" priority="18760" stopIfTrue="1">
      <formula>$A14=1</formula>
    </cfRule>
    <cfRule type="expression" dxfId="72" priority="18761" stopIfTrue="1">
      <formula>$A14&lt;&gt;"S"</formula>
    </cfRule>
  </conditionalFormatting>
  <conditionalFormatting sqref="E2">
    <cfRule type="expression" dxfId="71" priority="18762" stopIfTrue="1">
      <formula>Import.RegimeExecução="(SELECIONAR)"</formula>
    </cfRule>
  </conditionalFormatting>
  <conditionalFormatting sqref="F13:H13">
    <cfRule type="expression" dxfId="70" priority="18763" stopIfTrue="1">
      <formula>RegimeExecucao="Global"</formula>
    </cfRule>
  </conditionalFormatting>
  <conditionalFormatting sqref="D15:O15">
    <cfRule type="expression" dxfId="69" priority="18764" stopIfTrue="1">
      <formula>OR(ACOMPANHAMENTO="PLE",TIPOORCAMENTO="Proposto")</formula>
    </cfRule>
  </conditionalFormatting>
  <conditionalFormatting sqref="AB13">
    <cfRule type="cellIs" dxfId="68" priority="18765" stopIfTrue="1" operator="notEqual">
      <formula>1</formula>
    </cfRule>
  </conditionalFormatting>
  <conditionalFormatting sqref="O11">
    <cfRule type="expression" dxfId="67" priority="13624">
      <formula>ROUND($P$11,4)&gt;ROUND($P$10,4)</formula>
    </cfRule>
  </conditionalFormatting>
  <conditionalFormatting sqref="D21:O22 T21:Z22 T25:Z27 D25:O27">
    <cfRule type="expression" dxfId="66" priority="101" stopIfTrue="1">
      <formula>OR(ACOMPANHAMENTO="PLE",TIPOORCAMENTO="Proposto",$L21&lt;0,AND($L21&gt;100,RegimeExecucao="Global"),$O21&gt;$I21,$O21&lt;0)</formula>
    </cfRule>
    <cfRule type="expression" dxfId="65" priority="102" stopIfTrue="1">
      <formula>$A21=1</formula>
    </cfRule>
    <cfRule type="expression" dxfId="64" priority="103" stopIfTrue="1">
      <formula>$A21&lt;&gt;"S"</formula>
    </cfRule>
  </conditionalFormatting>
  <conditionalFormatting sqref="Q21:R22 AB21:AM22 AB25:AM27 Q25:R27">
    <cfRule type="expression" dxfId="63" priority="104" stopIfTrue="1">
      <formula>$A21=1</formula>
    </cfRule>
    <cfRule type="expression" dxfId="62" priority="105" stopIfTrue="1">
      <formula>$A21&lt;&gt;"S"</formula>
    </cfRule>
  </conditionalFormatting>
  <conditionalFormatting sqref="D32:O32 T32:Z32">
    <cfRule type="expression" dxfId="61" priority="96" stopIfTrue="1">
      <formula>OR(ACOMPANHAMENTO="PLE",TIPOORCAMENTO="Proposto",$L32&lt;0,AND($L32&gt;100,RegimeExecucao="Global"),$O32&gt;$I32,$O32&lt;0)</formula>
    </cfRule>
    <cfRule type="expression" dxfId="60" priority="97" stopIfTrue="1">
      <formula>$A32=1</formula>
    </cfRule>
    <cfRule type="expression" dxfId="59" priority="98" stopIfTrue="1">
      <formula>$A32&lt;&gt;"S"</formula>
    </cfRule>
  </conditionalFormatting>
  <conditionalFormatting sqref="Q32:R32 AB32:AM32">
    <cfRule type="expression" dxfId="58" priority="99" stopIfTrue="1">
      <formula>$A32=1</formula>
    </cfRule>
    <cfRule type="expression" dxfId="57" priority="100" stopIfTrue="1">
      <formula>$A32&lt;&gt;"S"</formula>
    </cfRule>
  </conditionalFormatting>
  <conditionalFormatting sqref="D28:O28 T28:Z28">
    <cfRule type="expression" dxfId="56" priority="6" stopIfTrue="1">
      <formula>OR(ACOMPANHAMENTO="PLE",TIPOORCAMENTO="Proposto",$L28&lt;0,AND($L28&gt;100,RegimeExecucao="Global"),$O28&gt;$I28,$O28&lt;0)</formula>
    </cfRule>
    <cfRule type="expression" dxfId="55" priority="7" stopIfTrue="1">
      <formula>$A28=1</formula>
    </cfRule>
    <cfRule type="expression" dxfId="54" priority="8" stopIfTrue="1">
      <formula>$A28&lt;&gt;"S"</formula>
    </cfRule>
  </conditionalFormatting>
  <conditionalFormatting sqref="Q28:R28 AB28:AM28">
    <cfRule type="expression" dxfId="53" priority="9" stopIfTrue="1">
      <formula>$A28=1</formula>
    </cfRule>
    <cfRule type="expression" dxfId="52" priority="10" stopIfTrue="1">
      <formula>$A28&lt;&gt;"S"</formula>
    </cfRule>
  </conditionalFormatting>
  <conditionalFormatting sqref="D23:O24 T23:Z24">
    <cfRule type="expression" dxfId="51" priority="1" stopIfTrue="1">
      <formula>OR(ACOMPANHAMENTO="PLE",TIPOORCAMENTO="Proposto",$L23&lt;0,AND($L23&gt;100,RegimeExecucao="Global"),$O23&gt;$I23,$O23&lt;0)</formula>
    </cfRule>
    <cfRule type="expression" dxfId="50" priority="2" stopIfTrue="1">
      <formula>$A23=1</formula>
    </cfRule>
    <cfRule type="expression" dxfId="49" priority="3" stopIfTrue="1">
      <formula>$A23&lt;&gt;"S"</formula>
    </cfRule>
  </conditionalFormatting>
  <conditionalFormatting sqref="Q23:R24 AB23:AM24">
    <cfRule type="expression" dxfId="48" priority="4" stopIfTrue="1">
      <formula>$A23=1</formula>
    </cfRule>
    <cfRule type="expression" dxfId="47" priority="5" stopIfTrue="1">
      <formula>$A23&lt;&gt;"S"</formula>
    </cfRule>
  </conditionalFormatting>
  <dataValidations count="4">
    <dataValidation type="list" allowBlank="1" showErrorMessage="1" sqref="Z14 Z16:Z32">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32">
      <formula1>0</formula1>
      <formula2>BM.MEDAcumulado</formula2>
    </dataValidation>
    <dataValidation type="whole" operator="greaterThan" allowBlank="1" showInputMessage="1" showErrorMessage="1" sqref="O8">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32">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5" t="str">
        <f>CONCATENATE("RRE - RELATÓRIO RESUMO DO EMPREENDIMENTO - ",IF(CAIXA.Modo,"CAIXA","TOMADOR"))</f>
        <v>RRE - RELATÓRIO RESUMO DO EMPREENDIMENTO - TOMADOR</v>
      </c>
      <c r="H1" s="8"/>
      <c r="I1" s="8"/>
      <c r="P1" s="491" t="s">
        <v>868</v>
      </c>
      <c r="AD1" s="646" t="s">
        <v>869</v>
      </c>
      <c r="AE1" s="346" t="s">
        <v>870</v>
      </c>
    </row>
    <row r="2" spans="1:41" x14ac:dyDescent="0.2">
      <c r="AC2" s="347" t="str">
        <f>J25</f>
        <v>Repasse</v>
      </c>
      <c r="AD2" s="348">
        <f ca="1">AD6-AD4-AD3</f>
        <v>0</v>
      </c>
      <c r="AE2" s="348">
        <f ca="1">AE6-AE4-AE3</f>
        <v>0</v>
      </c>
    </row>
    <row r="3" spans="1:41" x14ac:dyDescent="0.2">
      <c r="E3" s="710" t="s">
        <v>652</v>
      </c>
      <c r="F3" s="710"/>
      <c r="G3" s="710"/>
      <c r="H3" s="710"/>
      <c r="I3" s="699" t="s">
        <v>650</v>
      </c>
      <c r="J3" s="699"/>
      <c r="K3" s="699"/>
      <c r="L3" s="86" t="s">
        <v>707</v>
      </c>
      <c r="M3" s="145"/>
      <c r="O3" s="349"/>
      <c r="P3" s="273" t="s">
        <v>715</v>
      </c>
      <c r="R3" s="145"/>
      <c r="S3" s="145"/>
      <c r="T3" s="145"/>
      <c r="U3" s="145"/>
      <c r="AC3" s="347" t="s">
        <v>456</v>
      </c>
      <c r="AD3" s="348">
        <f ca="1">SUM(T13:OFFSET(T24,-1,0))</f>
        <v>0</v>
      </c>
      <c r="AE3" s="348">
        <f ca="1">IF(OR($O$28&lt;$M$28,$M$26&gt;$AD$3),MIN($M$26,$L$26),MIN($AD$3,$N$28-$N$27+$M$26))</f>
        <v>0</v>
      </c>
    </row>
    <row r="4" spans="1:41" ht="12.75" customHeight="1" x14ac:dyDescent="0.2">
      <c r="E4" s="715" t="str">
        <f>Import.Proponente</f>
        <v>MUNICÍPIO DE SÃO LUIZ GONZAGA</v>
      </c>
      <c r="F4" s="715"/>
      <c r="G4" s="715"/>
      <c r="H4" s="715"/>
      <c r="I4" s="702" t="str">
        <f>Import.CR</f>
        <v>SLG</v>
      </c>
      <c r="J4" s="702"/>
      <c r="K4" s="702"/>
      <c r="L4" s="55" t="str">
        <f>Import.TransfereGOV</f>
        <v>SLG</v>
      </c>
      <c r="M4" s="816" t="s">
        <v>809</v>
      </c>
      <c r="N4" s="817"/>
      <c r="O4" s="818"/>
      <c r="P4" s="350" t="str">
        <f>import.recurso</f>
        <v>OGU</v>
      </c>
      <c r="R4" s="145"/>
      <c r="S4" s="145"/>
      <c r="T4" s="349"/>
      <c r="U4" s="349"/>
      <c r="AC4" s="347" t="s">
        <v>871</v>
      </c>
      <c r="AD4" s="348">
        <f ca="1">SUM(U13:OFFSET(U24,-1,0))</f>
        <v>0</v>
      </c>
      <c r="AE4" s="348">
        <f ca="1">IF(OR($O$28&lt;$M$28,$M$27&gt;$AD$4),MIN($M$27,$L$27),MIN($AD$4,$N$28+$M$27))</f>
        <v>0</v>
      </c>
    </row>
    <row r="5" spans="1:41" ht="5.0999999999999996" customHeight="1" x14ac:dyDescent="0.2">
      <c r="H5" s="276"/>
      <c r="I5" s="276"/>
      <c r="J5" s="276"/>
      <c r="K5" s="276"/>
      <c r="L5" s="276"/>
      <c r="M5" s="351"/>
      <c r="N5" s="264"/>
      <c r="O5" s="4"/>
      <c r="R5" s="145"/>
      <c r="S5" s="145"/>
      <c r="T5" s="145"/>
      <c r="U5" s="145"/>
    </row>
    <row r="6" spans="1:41" ht="12.75" customHeight="1" x14ac:dyDescent="0.2">
      <c r="E6" s="699" t="s">
        <v>708</v>
      </c>
      <c r="F6" s="699"/>
      <c r="G6" s="699"/>
      <c r="H6" s="699"/>
      <c r="I6" s="843" t="s">
        <v>808</v>
      </c>
      <c r="J6" s="843"/>
      <c r="K6" s="843"/>
      <c r="L6" s="843"/>
      <c r="M6" s="54" t="str">
        <f>IF(import.recurso="FGTS","FINANCIAMENTO","REPASSE")</f>
        <v>REPASSE</v>
      </c>
      <c r="N6" s="95" t="s">
        <v>810</v>
      </c>
      <c r="O6" s="54" t="s">
        <v>811</v>
      </c>
      <c r="P6" s="146" t="s">
        <v>872</v>
      </c>
      <c r="R6" s="145"/>
      <c r="S6" s="145"/>
      <c r="T6" s="145"/>
      <c r="U6" s="145"/>
      <c r="AC6" s="347" t="s">
        <v>873</v>
      </c>
      <c r="AD6" s="348">
        <f ca="1">$O$28</f>
        <v>0</v>
      </c>
      <c r="AE6" s="348">
        <f ca="1">AD6</f>
        <v>0</v>
      </c>
    </row>
    <row r="7" spans="1:41" ht="12.75" customHeight="1" x14ac:dyDescent="0.2">
      <c r="D7" s="692" t="s">
        <v>655</v>
      </c>
      <c r="E7" s="702" t="str">
        <f>Import.Apelido</f>
        <v>CALÇAMENTO PEDRA IRREGULAR</v>
      </c>
      <c r="F7" s="702"/>
      <c r="G7" s="702"/>
      <c r="H7" s="702"/>
      <c r="I7" s="840" t="str">
        <f>Import.Município</f>
        <v>RS</v>
      </c>
      <c r="J7" s="840"/>
      <c r="K7" s="840"/>
      <c r="L7" s="840"/>
      <c r="M7" s="352">
        <f>Import.Repasse</f>
        <v>0</v>
      </c>
      <c r="N7" s="353">
        <f>Import.Contrapartida</f>
        <v>0</v>
      </c>
      <c r="O7" s="352">
        <f>M7+N7</f>
        <v>0</v>
      </c>
      <c r="P7" s="422">
        <f ca="1">IF(ACOMPANHAMENTO="PLE",PLE.Medicao,BM.medicao)</f>
        <v>1</v>
      </c>
      <c r="R7" s="145"/>
      <c r="S7" s="145"/>
      <c r="T7" s="145"/>
      <c r="U7" s="145"/>
    </row>
    <row r="8" spans="1:41" x14ac:dyDescent="0.2">
      <c r="D8" s="692"/>
      <c r="E8" s="91"/>
      <c r="F8" s="91"/>
      <c r="G8" s="91"/>
      <c r="H8" s="91"/>
      <c r="I8" s="91"/>
      <c r="J8" s="91"/>
      <c r="K8" s="91"/>
      <c r="L8" s="91"/>
      <c r="M8" s="91"/>
      <c r="N8" s="91"/>
      <c r="O8" s="91"/>
      <c r="P8" s="91"/>
      <c r="R8" s="145"/>
      <c r="S8" s="145"/>
      <c r="T8" s="145"/>
      <c r="U8" s="145"/>
    </row>
    <row r="9" spans="1:41" ht="12.75" customHeight="1" x14ac:dyDescent="0.2">
      <c r="D9" s="692"/>
      <c r="G9" s="841" t="s">
        <v>874</v>
      </c>
      <c r="H9" s="841"/>
      <c r="I9" s="841" t="s">
        <v>875</v>
      </c>
      <c r="J9" s="841"/>
      <c r="K9" s="354"/>
      <c r="L9" s="842" t="s">
        <v>815</v>
      </c>
      <c r="M9" s="355" t="s">
        <v>818</v>
      </c>
      <c r="N9" s="277" t="s">
        <v>741</v>
      </c>
      <c r="P9" s="356"/>
      <c r="R9" s="145"/>
      <c r="S9" s="145"/>
      <c r="T9" s="145"/>
      <c r="U9" s="145"/>
      <c r="V9" s="7" t="s">
        <v>876</v>
      </c>
    </row>
    <row r="10" spans="1:41" ht="12.75" customHeight="1" x14ac:dyDescent="0.2">
      <c r="D10" s="692"/>
      <c r="G10" s="704" t="str">
        <f ca="1">IF(J10="-","-",IF($P$24&lt;J10,"Atrasada",IF($P$24&gt;J10,"Adiantada","Normal")))</f>
        <v>Normal</v>
      </c>
      <c r="H10" s="704"/>
      <c r="I10" s="357">
        <f>DATE(YEAR($L$35),MONTH($L$35),1)</f>
        <v>1</v>
      </c>
      <c r="J10" s="358">
        <f ca="1">IF($I$10&lt;DATE(YEAR(CRONO!$U$13),MONTH(CRONO!$U$13),1),0,IF($I$10&gt;OFFSET(CRONO!$AG$13,0,-1),1,INDEX(CRONO!$T$41:$AH$41,MATCH(RRE!$I$10,CRONO!$T$13:$AG$13,0))))</f>
        <v>0</v>
      </c>
      <c r="K10" s="354"/>
      <c r="L10" s="842"/>
      <c r="M10" s="359">
        <f ca="1">QCI!L10</f>
        <v>0</v>
      </c>
      <c r="N10" s="279">
        <f ca="1">QCI!M10</f>
        <v>0</v>
      </c>
      <c r="P10" s="356"/>
      <c r="R10" s="145"/>
      <c r="S10" s="145"/>
      <c r="T10" s="145"/>
      <c r="U10" s="145"/>
      <c r="AC10" s="837" t="s">
        <v>76</v>
      </c>
      <c r="AD10" s="837"/>
      <c r="AE10" s="837"/>
      <c r="AF10" s="837"/>
      <c r="AG10" s="837"/>
      <c r="AH10" s="837"/>
      <c r="AJ10" s="837" t="s">
        <v>78</v>
      </c>
      <c r="AK10" s="837"/>
      <c r="AL10" s="837"/>
      <c r="AM10" s="837"/>
      <c r="AN10" s="837"/>
      <c r="AO10" s="837"/>
    </row>
    <row r="11" spans="1:41" ht="20.100000000000001" customHeight="1" x14ac:dyDescent="0.2">
      <c r="D11" s="692"/>
      <c r="M11" s="450" t="str">
        <f>IF(CAIXA.Modo,"Valores Aferidos (R$)","Valores Medidos (R$)")</f>
        <v>Valores Medidos (R$)</v>
      </c>
      <c r="N11" s="450"/>
      <c r="O11" s="450"/>
      <c r="R11" s="360"/>
      <c r="S11" s="360"/>
      <c r="T11" s="450"/>
      <c r="U11" s="450"/>
      <c r="V11" s="447" t="s">
        <v>877</v>
      </c>
      <c r="Y11" s="838" t="str">
        <f>IF(CAIXA.Modo,"Valores Aferidos (R$)","Valores Medidos (R$)")</f>
        <v>Valores Medidos (R$)</v>
      </c>
      <c r="Z11" s="838"/>
      <c r="AC11" s="839" t="s">
        <v>878</v>
      </c>
      <c r="AD11" s="839"/>
      <c r="AE11" s="839"/>
      <c r="AF11" s="839" t="s">
        <v>879</v>
      </c>
      <c r="AG11" s="839"/>
      <c r="AH11" s="839"/>
      <c r="AJ11" s="839" t="s">
        <v>878</v>
      </c>
      <c r="AK11" s="839"/>
      <c r="AL11" s="839"/>
      <c r="AM11" s="839" t="s">
        <v>879</v>
      </c>
      <c r="AN11" s="839"/>
      <c r="AO11" s="839"/>
    </row>
    <row r="12" spans="1:41" ht="30" hidden="1" customHeight="1" x14ac:dyDescent="0.2">
      <c r="A12" t="e">
        <f ca="1">MATCH(E12,ORÇAMENTO!$E$15:$E$33,0)-1</f>
        <v>#N/A</v>
      </c>
      <c r="B12" t="e">
        <f ca="1">IF(ISERROR($A12),NA(),OFFSET(ORÇAMENTO!$D$15,$A12,0))</f>
        <v>#N/A</v>
      </c>
      <c r="C12" t="str">
        <f ca="1">QCI!B12</f>
        <v>Branco</v>
      </c>
      <c r="D12" t="str">
        <f ca="1">IF(L12&gt;0,"F","")</f>
        <v/>
      </c>
      <c r="E12" s="280">
        <f>QCI!D12</f>
        <v>-1</v>
      </c>
      <c r="F12" s="361" t="str">
        <f ca="1">QCI!G12</f>
        <v/>
      </c>
      <c r="G12" s="362">
        <f>QCI!H12</f>
        <v>0</v>
      </c>
      <c r="H12" s="281">
        <f>QCI!I12</f>
        <v>0</v>
      </c>
      <c r="I12" s="281" t="str">
        <f ca="1">QCI!J12</f>
        <v/>
      </c>
      <c r="J12" s="363" t="str">
        <f ca="1">QCI!K12</f>
        <v/>
      </c>
      <c r="K12" s="364" t="str" cm="1">
        <f t="array" aca="1" ref="K12" ca="1">IF($C12="Automático",IF(ACOMPANHAMENTO="BM",BM.medicao,PLE.Medicao),IF(ISBLANK($X12),"",$X12))</f>
        <v/>
      </c>
      <c r="L12" s="285">
        <f ca="1">QCI!$O12</f>
        <v>0</v>
      </c>
      <c r="M12" s="282">
        <f ca="1">ROUND(IF(C12="Automático",AE12+AL12,Y12),2)</f>
        <v>0</v>
      </c>
      <c r="N12" s="283">
        <f ca="1">O12-M12</f>
        <v>0</v>
      </c>
      <c r="O12" s="284">
        <f ca="1">ROUND(IF(C12="Automático",AH12+AO12,Z12),2)</f>
        <v>0</v>
      </c>
      <c r="P12" s="366">
        <f ca="1">O12/(L12+10^-12)</f>
        <v>0</v>
      </c>
      <c r="R12" s="365">
        <f ca="1">ROUND(IF($C12="Automático",AC12+AJ12,$Y12*IF(ISERROR(QCI!$AA12/QCI!$O12),0,QCI!$AA12/QCI!$O12)),2)</f>
        <v>0</v>
      </c>
      <c r="S12" s="365">
        <f ca="1">ROUND(IF($C12="Automático",AD12+AK12,$Y12*IF(ISERROR(QCI!$AB12/QCI!$O12),0,QCI!$AB12/QCI!$O12)),2)</f>
        <v>0</v>
      </c>
      <c r="T12" s="365">
        <f ca="1">ROUND(IF($C12="Automático",AF12+AM12,$Z12*IF(ISERROR(QCI!$AA12/QCI!$O12),0,QCI!$AA12/QCI!$O12)),2)</f>
        <v>0</v>
      </c>
      <c r="U12" s="365">
        <f ca="1">ROUND(IF($C12="Automático",AG12+AN12,$Z12*IF(ISERROR(QCI!$AB12/QCI!$O12),0,QCI!$AB12/QCI!$O12)),2)</f>
        <v>0</v>
      </c>
      <c r="V12" s="448" t="str">
        <f ca="1">IF(AND($L12&gt;0,$J12&lt;&gt;0,$J12&lt;&gt;"",COUNTIF($J12:$J$13,$J12)=1),OFFSET(V12,-1,0)+1,OFFSET(V12,-1,0))</f>
        <v>Lista CTEFs</v>
      </c>
      <c r="X12" s="512"/>
      <c r="Y12" s="286"/>
      <c r="Z12" s="287"/>
      <c r="AC12" s="182"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2"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2">
        <f ca="1">ROUND(
            IF(ACOMPANHAMENTO&lt;&gt;"PLE",0,
                      SUMIF(OFFSET(CÁLCULO!$AX$15:$BH$15,$A12,0,$B12),"&lt;="&amp;(PLE.Medicao-1),OFFSET(CÁLCULO!$AB$15:$AL$15,$A12,0,$B12))
                      +IF(AdmLocal="Automática",
                              SUMIF(OFFSET(CÁLCULO!$M$15,$A12,0,$B12),1,OFFSET(ORÇAMENTO!$X$15,$A12,0,$B12))*(PLE!$AE$9-PLE!$Y$9),
                              0)),
            2)</f>
        <v>0</v>
      </c>
      <c r="AF12" s="182"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2"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2">
        <f ca="1">ROUND(IF(ACOMPANHAMENTO&lt;&gt;"PLE",0,SUMIF(OFFSET(CÁLCULO!$AX$15:$BH$15,$A12,0,$B12),"&lt;="&amp;PLE.Medicao,OFFSET(CÁLCULO!$AB$15:$AL$15,$A12,0,$B12))+IF(AdmLocal="Automática",SUMIF(OFFSET(CÁLCULO!$M$15,$A12,0,$B12),1,OFFSET(ORÇAMENTO!$X$15,$A12,0,$B12))*PLE!$AE$9,0)),2)</f>
        <v>0</v>
      </c>
      <c r="AJ12" s="182" t="e" cm="1">
        <f t="array" aca="1" ref="AJ12" ca="1">IF(ACOMPANHAMENTO&lt;&gt;"BM",0,SUMPRODUCT(OFFSET(BM!$M$15,$A12,0,$B12)*(OFFSET(BM!$A$15,$A12,0,$B12)="S")*OFFSET(ORÇAMENTO!AA$15,$A12,0,$B12)/(OFFSET(ORÇAMENTO!$X$15,$A12,0,$B12)+10^-12)))</f>
        <v>#N/A</v>
      </c>
      <c r="AK12" s="182" t="e" cm="1">
        <f t="array" aca="1" ref="AK12" ca="1">IF(ACOMPANHAMENTO&lt;&gt;"BM",0,SUMPRODUCT(OFFSET(BM!$M$15,$A12,0,$B12)*(OFFSET(BM!$A$15,$A12,0,$B12)="S")*OFFSET(ORÇAMENTO!AB$15,$A12,0,$B12)/(OFFSET(ORÇAMENTO!$X$15,$A12,0,$B12)+10^-12)))</f>
        <v>#N/A</v>
      </c>
      <c r="AL12" s="182" t="e">
        <f ca="1">IF(ACOMPANHAMENTO&lt;&gt;"BM",0,OFFSET(BM!$M$15,$A12,0))</f>
        <v>#N/A</v>
      </c>
      <c r="AM12" s="182" t="e" cm="1">
        <f t="array" aca="1" ref="AM12" ca="1">IF(ACOMPANHAMENTO&lt;&gt;"BM",0,SUMPRODUCT(OFFSET(BM!$O$15,$A12,0,$B12)*(OFFSET(BM!$A$15,$A12,0,$B12)="S")*OFFSET(ORÇAMENTO!AA$15,$A12,0,$B12)/(OFFSET(ORÇAMENTO!$X$15,$A12,0,$B12)+10^-12)))</f>
        <v>#N/A</v>
      </c>
      <c r="AN12" s="182" t="e" cm="1">
        <f t="array" aca="1" ref="AN12" ca="1">IF(ACOMPANHAMENTO&lt;&gt;"BM",0,SUMPRODUCT(OFFSET(BM!$O$15,$A12,0,$B12)*(OFFSET(BM!$A$15,$A12,0,$B12)="S")*OFFSET(ORÇAMENTO!AB$15,$A12,0,$B12)/(OFFSET(ORÇAMENTO!$X$15,$A12,0,$B12)+10^-12)))</f>
        <v>#N/A</v>
      </c>
      <c r="AO12" s="182" t="e">
        <f ca="1">IF(ACOMPANHAMENTO&lt;&gt;"BM",0,OFFSET(BM!$O$15,$A12,0))</f>
        <v>#N/A</v>
      </c>
    </row>
    <row r="13" spans="1:41" ht="39.950000000000003" customHeight="1" x14ac:dyDescent="0.2">
      <c r="A13" s="289" t="s">
        <v>880</v>
      </c>
      <c r="B13" s="9" t="s">
        <v>725</v>
      </c>
      <c r="C13" s="289" t="s">
        <v>820</v>
      </c>
      <c r="D13" s="105" t="s">
        <v>660</v>
      </c>
      <c r="E13" s="106" t="s">
        <v>701</v>
      </c>
      <c r="F13" s="106" t="s">
        <v>823</v>
      </c>
      <c r="G13" s="106" t="s">
        <v>669</v>
      </c>
      <c r="H13" s="106" t="s">
        <v>712</v>
      </c>
      <c r="I13" s="106" t="s">
        <v>824</v>
      </c>
      <c r="J13" s="106" t="s">
        <v>825</v>
      </c>
      <c r="K13" s="644" t="s">
        <v>881</v>
      </c>
      <c r="L13" s="106" t="s">
        <v>882</v>
      </c>
      <c r="M13" s="644" t="s">
        <v>878</v>
      </c>
      <c r="N13" s="645" t="s">
        <v>883</v>
      </c>
      <c r="O13" s="290" t="s">
        <v>879</v>
      </c>
      <c r="P13" s="106" t="s">
        <v>884</v>
      </c>
      <c r="R13" s="367" t="s">
        <v>885</v>
      </c>
      <c r="S13" s="367" t="s">
        <v>886</v>
      </c>
      <c r="T13" s="367" t="s">
        <v>887</v>
      </c>
      <c r="U13" s="367" t="s">
        <v>888</v>
      </c>
      <c r="V13" s="449"/>
      <c r="X13" s="644" t="s">
        <v>881</v>
      </c>
      <c r="Y13" s="158" t="s">
        <v>878</v>
      </c>
      <c r="Z13" s="159" t="s">
        <v>879</v>
      </c>
      <c r="AC13" s="108" t="s">
        <v>456</v>
      </c>
      <c r="AD13" s="108" t="s">
        <v>871</v>
      </c>
      <c r="AE13" s="108" t="s">
        <v>873</v>
      </c>
      <c r="AF13" s="108" t="s">
        <v>456</v>
      </c>
      <c r="AG13" s="108" t="s">
        <v>871</v>
      </c>
      <c r="AH13" s="108" t="s">
        <v>873</v>
      </c>
      <c r="AJ13" s="108" t="s">
        <v>456</v>
      </c>
      <c r="AK13" s="108" t="s">
        <v>871</v>
      </c>
      <c r="AL13" s="108" t="s">
        <v>873</v>
      </c>
      <c r="AM13" s="108" t="s">
        <v>456</v>
      </c>
      <c r="AN13" s="108" t="s">
        <v>871</v>
      </c>
      <c r="AO13" s="108" t="s">
        <v>873</v>
      </c>
    </row>
    <row r="14" spans="1:41" ht="30" customHeight="1" x14ac:dyDescent="0.2">
      <c r="A14">
        <f ca="1">MATCH(E14,ORÇAMENTO!$E$15:$E$33,0)-1</f>
        <v>1</v>
      </c>
      <c r="B14">
        <f ca="1">IF(ISERROR($A14),NA(),OFFSET(ORÇAMENTO!$D$15,$A14,0))</f>
        <v>17</v>
      </c>
      <c r="C14" t="str">
        <f ca="1">QCI!B14</f>
        <v>Automático</v>
      </c>
      <c r="D14" t="str">
        <f t="shared" ref="D14:D22" ca="1" si="0">IF(L14&gt;0,"F","")</f>
        <v/>
      </c>
      <c r="E14" s="280">
        <f>QCI!D14</f>
        <v>1</v>
      </c>
      <c r="F14" s="361" t="str">
        <f ca="1">QCI!G14</f>
        <v xml:space="preserve">CALÇAMENTO DE PEDRAS IRREGULARES - RINCÃO DE SANTANA EM FRENTE ESCOLA JOÃO XXIII E SALÃO PAROQUIAL </v>
      </c>
      <c r="G14" s="362">
        <f>QCI!H14</f>
        <v>0</v>
      </c>
      <c r="H14" s="281">
        <f>QCI!I14</f>
        <v>0</v>
      </c>
      <c r="I14" s="281" t="str">
        <f ca="1">QCI!J14</f>
        <v/>
      </c>
      <c r="J14" s="363" t="str">
        <f ca="1">QCI!K14</f>
        <v>LOTE 1</v>
      </c>
      <c r="K14" s="364" cm="1">
        <f t="array" aca="1" ref="K14" ca="1">IF($C14="Automático",IF(ACOMPANHAMENTO="BM",BM.medicao,PLE.Medicao),IF(ISBLANK($X14),"",$X14))</f>
        <v>1</v>
      </c>
      <c r="L14" s="285">
        <f ca="1">QCI!$O14</f>
        <v>0</v>
      </c>
      <c r="M14" s="282">
        <f t="shared" ref="M14:M22" ca="1" si="1">ROUND(IF(C14="Automático",AE14+AL14,Y14),2)</f>
        <v>0</v>
      </c>
      <c r="N14" s="283">
        <f t="shared" ref="N14:N22" ca="1" si="2">O14-M14</f>
        <v>0</v>
      </c>
      <c r="O14" s="284">
        <f t="shared" ref="O14:O22" ca="1" si="3">ROUND(IF(C14="Automático",AH14+AO14,Z14),2)</f>
        <v>0</v>
      </c>
      <c r="P14" s="366">
        <f t="shared" ref="P14:P22" ca="1" si="4">O14/(L14+10^-12)</f>
        <v>0</v>
      </c>
      <c r="R14" s="365">
        <f ca="1">ROUND(IF($C14="Automático",AC14+AJ14,$Y14*IF(ISERROR(QCI!$AA14/QCI!$O14),0,QCI!$AA14/QCI!$O14)),2)</f>
        <v>0</v>
      </c>
      <c r="S14" s="365">
        <f ca="1">ROUND(IF($C14="Automático",AD14+AK14,$Y14*IF(ISERROR(QCI!$AB14/QCI!$O14),0,QCI!$AB14/QCI!$O14)),2)</f>
        <v>0</v>
      </c>
      <c r="T14" s="365">
        <f ca="1">ROUND(IF($C14="Automático",AF14+AM14,$Z14*IF(ISERROR(QCI!$AA14/QCI!$O14),0,QCI!$AA14/QCI!$O14)),2)</f>
        <v>0</v>
      </c>
      <c r="U14" s="365">
        <f ca="1">ROUND(IF($C14="Automático",AG14+AN14,$Z14*IF(ISERROR(QCI!$AB14/QCI!$O14),0,QCI!$AB14/QCI!$O14)),2)</f>
        <v>0</v>
      </c>
      <c r="V14" s="448">
        <f ca="1">IF(AND($L14&gt;0,$J14&lt;&gt;0,$J14&lt;&gt;"",COUNTIF($J$13:$J14,$J14)=1),OFFSET(V14,-1,0)+1,OFFSET(V14,-1,0))</f>
        <v>0</v>
      </c>
      <c r="X14" s="512"/>
      <c r="Y14" s="286"/>
      <c r="Z14" s="287"/>
      <c r="AC14" s="182"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2"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2">
        <f ca="1">ROUND(
            IF(ACOMPANHAMENTO&lt;&gt;"PLE",0,
                      SUMIF(OFFSET(CÁLCULO!$AX$15:$BH$15,$A14,0,$B14),"&lt;="&amp;(PLE.Medicao-1),OFFSET(CÁLCULO!$AB$15:$AL$15,$A14,0,$B14))
                      +IF(AdmLocal="Automática",
                              SUMIF(OFFSET(CÁLCULO!$M$15,$A14,0,$B14),1,OFFSET(ORÇAMENTO!$X$15,$A14,0,$B14))*(PLE!$AE$9-PLE!$Y$9),
                              0)),
            2)</f>
        <v>0</v>
      </c>
      <c r="AF14" s="182"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2"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2">
        <f ca="1">ROUND(IF(ACOMPANHAMENTO&lt;&gt;"PLE",0,SUMIF(OFFSET(CÁLCULO!$AX$15:$BH$15,$A14,0,$B14),"&lt;="&amp;PLE.Medicao,OFFSET(CÁLCULO!$AB$15:$AL$15,$A14,0,$B14))+IF(AdmLocal="Automática",SUMIF(OFFSET(CÁLCULO!$M$15,$A14,0,$B14),1,OFFSET(ORÇAMENTO!$X$15,$A14,0,$B14))*PLE!$AE$9,0)),2)</f>
        <v>0</v>
      </c>
      <c r="AJ14" s="182" cm="1">
        <f t="array" aca="1" ref="AJ14" ca="1">IF(ACOMPANHAMENTO&lt;&gt;"BM",0,SUMPRODUCT(OFFSET(BM!$M$15,$A14,0,$B14)*(OFFSET(BM!$A$15,$A14,0,$B14)="S")*OFFSET(ORÇAMENTO!AA$15,$A14,0,$B14)/(OFFSET(ORÇAMENTO!$X$15,$A14,0,$B14)+10^-12)))</f>
        <v>0</v>
      </c>
      <c r="AK14" s="182" cm="1">
        <f t="array" aca="1" ref="AK14" ca="1">IF(ACOMPANHAMENTO&lt;&gt;"BM",0,SUMPRODUCT(OFFSET(BM!$M$15,$A14,0,$B14)*(OFFSET(BM!$A$15,$A14,0,$B14)="S")*OFFSET(ORÇAMENTO!AB$15,$A14,0,$B14)/(OFFSET(ORÇAMENTO!$X$15,$A14,0,$B14)+10^-12)))</f>
        <v>0</v>
      </c>
      <c r="AL14" s="182">
        <f ca="1">IF(ACOMPANHAMENTO&lt;&gt;"BM",0,OFFSET(BM!$M$15,$A14,0))</f>
        <v>0</v>
      </c>
      <c r="AM14" s="182" cm="1">
        <f t="array" aca="1" ref="AM14" ca="1">IF(ACOMPANHAMENTO&lt;&gt;"BM",0,SUMPRODUCT(OFFSET(BM!$O$15,$A14,0,$B14)*(OFFSET(BM!$A$15,$A14,0,$B14)="S")*OFFSET(ORÇAMENTO!AA$15,$A14,0,$B14)/(OFFSET(ORÇAMENTO!$X$15,$A14,0,$B14)+10^-12)))</f>
        <v>0</v>
      </c>
      <c r="AN14" s="182" cm="1">
        <f t="array" aca="1" ref="AN14" ca="1">IF(ACOMPANHAMENTO&lt;&gt;"BM",0,SUMPRODUCT(OFFSET(BM!$O$15,$A14,0,$B14)*(OFFSET(BM!$A$15,$A14,0,$B14)="S")*OFFSET(ORÇAMENTO!AB$15,$A14,0,$B14)/(OFFSET(ORÇAMENTO!$X$15,$A14,0,$B14)+10^-12)))</f>
        <v>0</v>
      </c>
      <c r="AO14" s="182">
        <f ca="1">IF(ACOMPANHAMENTO&lt;&gt;"BM",0,OFFSET(BM!$O$15,$A14,0))</f>
        <v>0</v>
      </c>
    </row>
    <row r="15" spans="1:41" ht="30" customHeight="1" x14ac:dyDescent="0.2">
      <c r="A15" t="e">
        <f ca="1">MATCH(E15,ORÇAMENTO!$E$15:$E$33,0)-1</f>
        <v>#N/A</v>
      </c>
      <c r="B15" t="e">
        <f ca="1">IF(ISERROR($A15),NA(),OFFSET(ORÇAMENTO!$D$15,$A15,0))</f>
        <v>#N/A</v>
      </c>
      <c r="C15" t="str">
        <f ca="1">QCI!B15</f>
        <v>Branco</v>
      </c>
      <c r="D15" t="str">
        <f t="shared" ca="1" si="0"/>
        <v/>
      </c>
      <c r="E15" s="280">
        <f>QCI!D15</f>
        <v>2</v>
      </c>
      <c r="F15" s="361" t="str">
        <f ca="1">QCI!G15</f>
        <v/>
      </c>
      <c r="G15" s="362">
        <f>QCI!H15</f>
        <v>0</v>
      </c>
      <c r="H15" s="281">
        <f>QCI!I15</f>
        <v>0</v>
      </c>
      <c r="I15" s="281" t="str">
        <f ca="1">QCI!J15</f>
        <v/>
      </c>
      <c r="J15" s="363" t="str">
        <f ca="1">QCI!K15</f>
        <v/>
      </c>
      <c r="K15" s="364" t="str" cm="1">
        <f t="array" aca="1" ref="K15" ca="1">IF($C15="Automático",IF(ACOMPANHAMENTO="BM",BM.medicao,PLE.Medicao),IF(ISBLANK($X15),"",$X15))</f>
        <v/>
      </c>
      <c r="L15" s="285">
        <f ca="1">QCI!$O15</f>
        <v>0</v>
      </c>
      <c r="M15" s="282">
        <f t="shared" ca="1" si="1"/>
        <v>0</v>
      </c>
      <c r="N15" s="283">
        <f t="shared" ca="1" si="2"/>
        <v>0</v>
      </c>
      <c r="O15" s="284">
        <f t="shared" ca="1" si="3"/>
        <v>0</v>
      </c>
      <c r="P15" s="366">
        <f t="shared" ca="1" si="4"/>
        <v>0</v>
      </c>
      <c r="R15" s="365">
        <f ca="1">ROUND(IF($C15="Automático",AC15+AJ15,$Y15*IF(ISERROR(QCI!$AA15/QCI!$O15),0,QCI!$AA15/QCI!$O15)),2)</f>
        <v>0</v>
      </c>
      <c r="S15" s="365">
        <f ca="1">ROUND(IF($C15="Automático",AD15+AK15,$Y15*IF(ISERROR(QCI!$AB15/QCI!$O15),0,QCI!$AB15/QCI!$O15)),2)</f>
        <v>0</v>
      </c>
      <c r="T15" s="365">
        <f ca="1">ROUND(IF($C15="Automático",AF15+AM15,$Z15*IF(ISERROR(QCI!$AA15/QCI!$O15),0,QCI!$AA15/QCI!$O15)),2)</f>
        <v>0</v>
      </c>
      <c r="U15" s="365">
        <f ca="1">ROUND(IF($C15="Automático",AG15+AN15,$Z15*IF(ISERROR(QCI!$AB15/QCI!$O15),0,QCI!$AB15/QCI!$O15)),2)</f>
        <v>0</v>
      </c>
      <c r="V15" s="448">
        <f ca="1">IF(AND($L15&gt;0,$J15&lt;&gt;0,$J15&lt;&gt;"",COUNTIF($J$13:$J15,$J15)=1),OFFSET(V15,-1,0)+1,OFFSET(V15,-1,0))</f>
        <v>0</v>
      </c>
      <c r="X15" s="512"/>
      <c r="Y15" s="286"/>
      <c r="Z15" s="287"/>
      <c r="AC15" s="182"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2"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2">
        <f ca="1">ROUND(
            IF(ACOMPANHAMENTO&lt;&gt;"PLE",0,
                      SUMIF(OFFSET(CÁLCULO!$AX$15:$BH$15,$A15,0,$B15),"&lt;="&amp;(PLE.Medicao-1),OFFSET(CÁLCULO!$AB$15:$AL$15,$A15,0,$B15))
                      +IF(AdmLocal="Automática",
                              SUMIF(OFFSET(CÁLCULO!$M$15,$A15,0,$B15),1,OFFSET(ORÇAMENTO!$X$15,$A15,0,$B15))*(PLE!$AE$9-PLE!$Y$9),
                              0)),
            2)</f>
        <v>0</v>
      </c>
      <c r="AF15" s="182"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2"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2">
        <f ca="1">ROUND(IF(ACOMPANHAMENTO&lt;&gt;"PLE",0,SUMIF(OFFSET(CÁLCULO!$AX$15:$BH$15,$A15,0,$B15),"&lt;="&amp;PLE.Medicao,OFFSET(CÁLCULO!$AB$15:$AL$15,$A15,0,$B15))+IF(AdmLocal="Automática",SUMIF(OFFSET(CÁLCULO!$M$15,$A15,0,$B15),1,OFFSET(ORÇAMENTO!$X$15,$A15,0,$B15))*PLE!$AE$9,0)),2)</f>
        <v>0</v>
      </c>
      <c r="AJ15" s="182" t="e" cm="1">
        <f t="array" aca="1" ref="AJ15" ca="1">IF(ACOMPANHAMENTO&lt;&gt;"BM",0,SUMPRODUCT(OFFSET(BM!$M$15,$A15,0,$B15)*(OFFSET(BM!$A$15,$A15,0,$B15)="S")*OFFSET(ORÇAMENTO!AA$15,$A15,0,$B15)/(OFFSET(ORÇAMENTO!$X$15,$A15,0,$B15)+10^-12)))</f>
        <v>#N/A</v>
      </c>
      <c r="AK15" s="182" t="e" cm="1">
        <f t="array" aca="1" ref="AK15" ca="1">IF(ACOMPANHAMENTO&lt;&gt;"BM",0,SUMPRODUCT(OFFSET(BM!$M$15,$A15,0,$B15)*(OFFSET(BM!$A$15,$A15,0,$B15)="S")*OFFSET(ORÇAMENTO!AB$15,$A15,0,$B15)/(OFFSET(ORÇAMENTO!$X$15,$A15,0,$B15)+10^-12)))</f>
        <v>#N/A</v>
      </c>
      <c r="AL15" s="182" t="e">
        <f ca="1">IF(ACOMPANHAMENTO&lt;&gt;"BM",0,OFFSET(BM!$M$15,$A15,0))</f>
        <v>#N/A</v>
      </c>
      <c r="AM15" s="182" t="e" cm="1">
        <f t="array" aca="1" ref="AM15" ca="1">IF(ACOMPANHAMENTO&lt;&gt;"BM",0,SUMPRODUCT(OFFSET(BM!$O$15,$A15,0,$B15)*(OFFSET(BM!$A$15,$A15,0,$B15)="S")*OFFSET(ORÇAMENTO!AA$15,$A15,0,$B15)/(OFFSET(ORÇAMENTO!$X$15,$A15,0,$B15)+10^-12)))</f>
        <v>#N/A</v>
      </c>
      <c r="AN15" s="182" t="e" cm="1">
        <f t="array" aca="1" ref="AN15" ca="1">IF(ACOMPANHAMENTO&lt;&gt;"BM",0,SUMPRODUCT(OFFSET(BM!$O$15,$A15,0,$B15)*(OFFSET(BM!$A$15,$A15,0,$B15)="S")*OFFSET(ORÇAMENTO!AB$15,$A15,0,$B15)/(OFFSET(ORÇAMENTO!$X$15,$A15,0,$B15)+10^-12)))</f>
        <v>#N/A</v>
      </c>
      <c r="AO15" s="182" t="e">
        <f ca="1">IF(ACOMPANHAMENTO&lt;&gt;"BM",0,OFFSET(BM!$O$15,$A15,0))</f>
        <v>#N/A</v>
      </c>
    </row>
    <row r="16" spans="1:41" ht="30" customHeight="1" x14ac:dyDescent="0.2">
      <c r="A16" t="e">
        <f ca="1">MATCH(E16,ORÇAMENTO!$E$15:$E$33,0)-1</f>
        <v>#N/A</v>
      </c>
      <c r="B16" t="e">
        <f ca="1">IF(ISERROR($A16),NA(),OFFSET(ORÇAMENTO!$D$15,$A16,0))</f>
        <v>#N/A</v>
      </c>
      <c r="C16" t="str">
        <f ca="1">QCI!B16</f>
        <v>Branco</v>
      </c>
      <c r="D16" t="str">
        <f t="shared" ca="1" si="0"/>
        <v/>
      </c>
      <c r="E16" s="280">
        <f>QCI!D16</f>
        <v>3</v>
      </c>
      <c r="F16" s="361" t="str">
        <f ca="1">QCI!G16</f>
        <v/>
      </c>
      <c r="G16" s="362">
        <f>QCI!H16</f>
        <v>0</v>
      </c>
      <c r="H16" s="281">
        <f>QCI!I16</f>
        <v>0</v>
      </c>
      <c r="I16" s="281" t="str">
        <f ca="1">QCI!J16</f>
        <v/>
      </c>
      <c r="J16" s="363" t="str">
        <f ca="1">QCI!K16</f>
        <v/>
      </c>
      <c r="K16" s="364" t="str" cm="1">
        <f t="array" aca="1" ref="K16" ca="1">IF($C16="Automático",IF(ACOMPANHAMENTO="BM",BM.medicao,PLE.Medicao),IF(ISBLANK($X16),"",$X16))</f>
        <v/>
      </c>
      <c r="L16" s="285">
        <f ca="1">QCI!$O16</f>
        <v>0</v>
      </c>
      <c r="M16" s="282">
        <f t="shared" ca="1" si="1"/>
        <v>0</v>
      </c>
      <c r="N16" s="283">
        <f t="shared" ca="1" si="2"/>
        <v>0</v>
      </c>
      <c r="O16" s="284">
        <f t="shared" ca="1" si="3"/>
        <v>0</v>
      </c>
      <c r="P16" s="366">
        <f t="shared" ca="1" si="4"/>
        <v>0</v>
      </c>
      <c r="R16" s="365">
        <f ca="1">ROUND(IF($C16="Automático",AC16+AJ16,$Y16*IF(ISERROR(QCI!$AA16/QCI!$O16),0,QCI!$AA16/QCI!$O16)),2)</f>
        <v>0</v>
      </c>
      <c r="S16" s="365">
        <f ca="1">ROUND(IF($C16="Automático",AD16+AK16,$Y16*IF(ISERROR(QCI!$AB16/QCI!$O16),0,QCI!$AB16/QCI!$O16)),2)</f>
        <v>0</v>
      </c>
      <c r="T16" s="365">
        <f ca="1">ROUND(IF($C16="Automático",AF16+AM16,$Z16*IF(ISERROR(QCI!$AA16/QCI!$O16),0,QCI!$AA16/QCI!$O16)),2)</f>
        <v>0</v>
      </c>
      <c r="U16" s="365">
        <f ca="1">ROUND(IF($C16="Automático",AG16+AN16,$Z16*IF(ISERROR(QCI!$AB16/QCI!$O16),0,QCI!$AB16/QCI!$O16)),2)</f>
        <v>0</v>
      </c>
      <c r="V16" s="448">
        <f ca="1">IF(AND($L16&gt;0,$J16&lt;&gt;0,$J16&lt;&gt;"",COUNTIF($J$13:$J16,$J16)=1),OFFSET(V16,-1,0)+1,OFFSET(V16,-1,0))</f>
        <v>0</v>
      </c>
      <c r="X16" s="512"/>
      <c r="Y16" s="286"/>
      <c r="Z16" s="287"/>
      <c r="AC16" s="182"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2"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2">
        <f ca="1">ROUND(
            IF(ACOMPANHAMENTO&lt;&gt;"PLE",0,
                      SUMIF(OFFSET(CÁLCULO!$AX$15:$BH$15,$A16,0,$B16),"&lt;="&amp;(PLE.Medicao-1),OFFSET(CÁLCULO!$AB$15:$AL$15,$A16,0,$B16))
                      +IF(AdmLocal="Automática",
                              SUMIF(OFFSET(CÁLCULO!$M$15,$A16,0,$B16),1,OFFSET(ORÇAMENTO!$X$15,$A16,0,$B16))*(PLE!$AE$9-PLE!$Y$9),
                              0)),
            2)</f>
        <v>0</v>
      </c>
      <c r="AF16" s="182"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2"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2">
        <f ca="1">ROUND(IF(ACOMPANHAMENTO&lt;&gt;"PLE",0,SUMIF(OFFSET(CÁLCULO!$AX$15:$BH$15,$A16,0,$B16),"&lt;="&amp;PLE.Medicao,OFFSET(CÁLCULO!$AB$15:$AL$15,$A16,0,$B16))+IF(AdmLocal="Automática",SUMIF(OFFSET(CÁLCULO!$M$15,$A16,0,$B16),1,OFFSET(ORÇAMENTO!$X$15,$A16,0,$B16))*PLE!$AE$9,0)),2)</f>
        <v>0</v>
      </c>
      <c r="AJ16" s="182" t="e" cm="1">
        <f t="array" aca="1" ref="AJ16" ca="1">IF(ACOMPANHAMENTO&lt;&gt;"BM",0,SUMPRODUCT(OFFSET(BM!$M$15,$A16,0,$B16)*(OFFSET(BM!$A$15,$A16,0,$B16)="S")*OFFSET(ORÇAMENTO!AA$15,$A16,0,$B16)/(OFFSET(ORÇAMENTO!$X$15,$A16,0,$B16)+10^-12)))</f>
        <v>#N/A</v>
      </c>
      <c r="AK16" s="182" t="e" cm="1">
        <f t="array" aca="1" ref="AK16" ca="1">IF(ACOMPANHAMENTO&lt;&gt;"BM",0,SUMPRODUCT(OFFSET(BM!$M$15,$A16,0,$B16)*(OFFSET(BM!$A$15,$A16,0,$B16)="S")*OFFSET(ORÇAMENTO!AB$15,$A16,0,$B16)/(OFFSET(ORÇAMENTO!$X$15,$A16,0,$B16)+10^-12)))</f>
        <v>#N/A</v>
      </c>
      <c r="AL16" s="182" t="e">
        <f ca="1">IF(ACOMPANHAMENTO&lt;&gt;"BM",0,OFFSET(BM!$M$15,$A16,0))</f>
        <v>#N/A</v>
      </c>
      <c r="AM16" s="182" t="e" cm="1">
        <f t="array" aca="1" ref="AM16" ca="1">IF(ACOMPANHAMENTO&lt;&gt;"BM",0,SUMPRODUCT(OFFSET(BM!$O$15,$A16,0,$B16)*(OFFSET(BM!$A$15,$A16,0,$B16)="S")*OFFSET(ORÇAMENTO!AA$15,$A16,0,$B16)/(OFFSET(ORÇAMENTO!$X$15,$A16,0,$B16)+10^-12)))</f>
        <v>#N/A</v>
      </c>
      <c r="AN16" s="182" t="e" cm="1">
        <f t="array" aca="1" ref="AN16" ca="1">IF(ACOMPANHAMENTO&lt;&gt;"BM",0,SUMPRODUCT(OFFSET(BM!$O$15,$A16,0,$B16)*(OFFSET(BM!$A$15,$A16,0,$B16)="S")*OFFSET(ORÇAMENTO!AB$15,$A16,0,$B16)/(OFFSET(ORÇAMENTO!$X$15,$A16,0,$B16)+10^-12)))</f>
        <v>#N/A</v>
      </c>
      <c r="AO16" s="182" t="e">
        <f ca="1">IF(ACOMPANHAMENTO&lt;&gt;"BM",0,OFFSET(BM!$O$15,$A16,0))</f>
        <v>#N/A</v>
      </c>
    </row>
    <row r="17" spans="1:41" ht="30" customHeight="1" x14ac:dyDescent="0.2">
      <c r="A17" t="e">
        <f ca="1">MATCH(E17,ORÇAMENTO!$E$15:$E$33,0)-1</f>
        <v>#N/A</v>
      </c>
      <c r="B17" t="e">
        <f ca="1">IF(ISERROR($A17),NA(),OFFSET(ORÇAMENTO!$D$15,$A17,0))</f>
        <v>#N/A</v>
      </c>
      <c r="C17" t="str">
        <f ca="1">QCI!B17</f>
        <v>Branco</v>
      </c>
      <c r="D17" t="str">
        <f t="shared" ca="1" si="0"/>
        <v/>
      </c>
      <c r="E17" s="280">
        <f>QCI!D17</f>
        <v>4</v>
      </c>
      <c r="F17" s="361" t="str">
        <f ca="1">QCI!G17</f>
        <v/>
      </c>
      <c r="G17" s="362">
        <f>QCI!H17</f>
        <v>0</v>
      </c>
      <c r="H17" s="281">
        <f>QCI!I17</f>
        <v>0</v>
      </c>
      <c r="I17" s="281" t="str">
        <f ca="1">QCI!J17</f>
        <v/>
      </c>
      <c r="J17" s="363" t="str">
        <f ca="1">QCI!K17</f>
        <v/>
      </c>
      <c r="K17" s="364" t="str" cm="1">
        <f t="array" aca="1" ref="K17" ca="1">IF($C17="Automático",IF(ACOMPANHAMENTO="BM",BM.medicao,PLE.Medicao),IF(ISBLANK($X17),"",$X17))</f>
        <v/>
      </c>
      <c r="L17" s="285">
        <f ca="1">QCI!$O17</f>
        <v>0</v>
      </c>
      <c r="M17" s="282">
        <f t="shared" ca="1" si="1"/>
        <v>0</v>
      </c>
      <c r="N17" s="283">
        <f t="shared" ca="1" si="2"/>
        <v>0</v>
      </c>
      <c r="O17" s="284">
        <f t="shared" ca="1" si="3"/>
        <v>0</v>
      </c>
      <c r="P17" s="366">
        <f t="shared" ca="1" si="4"/>
        <v>0</v>
      </c>
      <c r="R17" s="365">
        <f ca="1">ROUND(IF($C17="Automático",AC17+AJ17,$Y17*IF(ISERROR(QCI!$AA17/QCI!$O17),0,QCI!$AA17/QCI!$O17)),2)</f>
        <v>0</v>
      </c>
      <c r="S17" s="365">
        <f ca="1">ROUND(IF($C17="Automático",AD17+AK17,$Y17*IF(ISERROR(QCI!$AB17/QCI!$O17),0,QCI!$AB17/QCI!$O17)),2)</f>
        <v>0</v>
      </c>
      <c r="T17" s="365">
        <f ca="1">ROUND(IF($C17="Automático",AF17+AM17,$Z17*IF(ISERROR(QCI!$AA17/QCI!$O17),0,QCI!$AA17/QCI!$O17)),2)</f>
        <v>0</v>
      </c>
      <c r="U17" s="365">
        <f ca="1">ROUND(IF($C17="Automático",AG17+AN17,$Z17*IF(ISERROR(QCI!$AB17/QCI!$O17),0,QCI!$AB17/QCI!$O17)),2)</f>
        <v>0</v>
      </c>
      <c r="V17" s="448">
        <f ca="1">IF(AND($L17&gt;0,$J17&lt;&gt;0,$J17&lt;&gt;"",COUNTIF($J$13:$J17,$J17)=1),OFFSET(V17,-1,0)+1,OFFSET(V17,-1,0))</f>
        <v>0</v>
      </c>
      <c r="X17" s="512"/>
      <c r="Y17" s="286"/>
      <c r="Z17" s="287"/>
      <c r="AC17" s="182"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2"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2">
        <f ca="1">ROUND(
            IF(ACOMPANHAMENTO&lt;&gt;"PLE",0,
                      SUMIF(OFFSET(CÁLCULO!$AX$15:$BH$15,$A17,0,$B17),"&lt;="&amp;(PLE.Medicao-1),OFFSET(CÁLCULO!$AB$15:$AL$15,$A17,0,$B17))
                      +IF(AdmLocal="Automática",
                              SUMIF(OFFSET(CÁLCULO!$M$15,$A17,0,$B17),1,OFFSET(ORÇAMENTO!$X$15,$A17,0,$B17))*(PLE!$AE$9-PLE!$Y$9),
                              0)),
            2)</f>
        <v>0</v>
      </c>
      <c r="AF17" s="182"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2"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2">
        <f ca="1">ROUND(IF(ACOMPANHAMENTO&lt;&gt;"PLE",0,SUMIF(OFFSET(CÁLCULO!$AX$15:$BH$15,$A17,0,$B17),"&lt;="&amp;PLE.Medicao,OFFSET(CÁLCULO!$AB$15:$AL$15,$A17,0,$B17))+IF(AdmLocal="Automática",SUMIF(OFFSET(CÁLCULO!$M$15,$A17,0,$B17),1,OFFSET(ORÇAMENTO!$X$15,$A17,0,$B17))*PLE!$AE$9,0)),2)</f>
        <v>0</v>
      </c>
      <c r="AJ17" s="182" t="e" cm="1">
        <f t="array" aca="1" ref="AJ17" ca="1">IF(ACOMPANHAMENTO&lt;&gt;"BM",0,SUMPRODUCT(OFFSET(BM!$M$15,$A17,0,$B17)*(OFFSET(BM!$A$15,$A17,0,$B17)="S")*OFFSET(ORÇAMENTO!AA$15,$A17,0,$B17)/(OFFSET(ORÇAMENTO!$X$15,$A17,0,$B17)+10^-12)))</f>
        <v>#N/A</v>
      </c>
      <c r="AK17" s="182" t="e" cm="1">
        <f t="array" aca="1" ref="AK17" ca="1">IF(ACOMPANHAMENTO&lt;&gt;"BM",0,SUMPRODUCT(OFFSET(BM!$M$15,$A17,0,$B17)*(OFFSET(BM!$A$15,$A17,0,$B17)="S")*OFFSET(ORÇAMENTO!AB$15,$A17,0,$B17)/(OFFSET(ORÇAMENTO!$X$15,$A17,0,$B17)+10^-12)))</f>
        <v>#N/A</v>
      </c>
      <c r="AL17" s="182" t="e">
        <f ca="1">IF(ACOMPANHAMENTO&lt;&gt;"BM",0,OFFSET(BM!$M$15,$A17,0))</f>
        <v>#N/A</v>
      </c>
      <c r="AM17" s="182" t="e" cm="1">
        <f t="array" aca="1" ref="AM17" ca="1">IF(ACOMPANHAMENTO&lt;&gt;"BM",0,SUMPRODUCT(OFFSET(BM!$O$15,$A17,0,$B17)*(OFFSET(BM!$A$15,$A17,0,$B17)="S")*OFFSET(ORÇAMENTO!AA$15,$A17,0,$B17)/(OFFSET(ORÇAMENTO!$X$15,$A17,0,$B17)+10^-12)))</f>
        <v>#N/A</v>
      </c>
      <c r="AN17" s="182" t="e" cm="1">
        <f t="array" aca="1" ref="AN17" ca="1">IF(ACOMPANHAMENTO&lt;&gt;"BM",0,SUMPRODUCT(OFFSET(BM!$O$15,$A17,0,$B17)*(OFFSET(BM!$A$15,$A17,0,$B17)="S")*OFFSET(ORÇAMENTO!AB$15,$A17,0,$B17)/(OFFSET(ORÇAMENTO!$X$15,$A17,0,$B17)+10^-12)))</f>
        <v>#N/A</v>
      </c>
      <c r="AO17" s="182" t="e">
        <f ca="1">IF(ACOMPANHAMENTO&lt;&gt;"BM",0,OFFSET(BM!$O$15,$A17,0))</f>
        <v>#N/A</v>
      </c>
    </row>
    <row r="18" spans="1:41" ht="30" customHeight="1" x14ac:dyDescent="0.2">
      <c r="A18" t="e">
        <f ca="1">MATCH(E18,ORÇAMENTO!$E$15:$E$33,0)-1</f>
        <v>#N/A</v>
      </c>
      <c r="B18" t="e">
        <f ca="1">IF(ISERROR($A18),NA(),OFFSET(ORÇAMENTO!$D$15,$A18,0))</f>
        <v>#N/A</v>
      </c>
      <c r="C18" t="str">
        <f ca="1">QCI!B18</f>
        <v>Branco</v>
      </c>
      <c r="D18" t="str">
        <f t="shared" ca="1" si="0"/>
        <v/>
      </c>
      <c r="E18" s="280">
        <f>QCI!D18</f>
        <v>5</v>
      </c>
      <c r="F18" s="361" t="str">
        <f ca="1">QCI!G18</f>
        <v/>
      </c>
      <c r="G18" s="362">
        <f>QCI!H18</f>
        <v>0</v>
      </c>
      <c r="H18" s="281">
        <f>QCI!I18</f>
        <v>0</v>
      </c>
      <c r="I18" s="281" t="str">
        <f ca="1">QCI!J18</f>
        <v/>
      </c>
      <c r="J18" s="363" t="str">
        <f ca="1">QCI!K18</f>
        <v/>
      </c>
      <c r="K18" s="364" t="str" cm="1">
        <f t="array" aca="1" ref="K18" ca="1">IF($C18="Automático",IF(ACOMPANHAMENTO="BM",BM.medicao,PLE.Medicao),IF(ISBLANK($X18),"",$X18))</f>
        <v/>
      </c>
      <c r="L18" s="285">
        <f ca="1">QCI!$O18</f>
        <v>0</v>
      </c>
      <c r="M18" s="282">
        <f t="shared" ca="1" si="1"/>
        <v>0</v>
      </c>
      <c r="N18" s="283">
        <f t="shared" ca="1" si="2"/>
        <v>0</v>
      </c>
      <c r="O18" s="284">
        <f t="shared" ca="1" si="3"/>
        <v>0</v>
      </c>
      <c r="P18" s="366">
        <f t="shared" ca="1" si="4"/>
        <v>0</v>
      </c>
      <c r="R18" s="365">
        <f ca="1">ROUND(IF($C18="Automático",AC18+AJ18,$Y18*IF(ISERROR(QCI!$AA18/QCI!$O18),0,QCI!$AA18/QCI!$O18)),2)</f>
        <v>0</v>
      </c>
      <c r="S18" s="365">
        <f ca="1">ROUND(IF($C18="Automático",AD18+AK18,$Y18*IF(ISERROR(QCI!$AB18/QCI!$O18),0,QCI!$AB18/QCI!$O18)),2)</f>
        <v>0</v>
      </c>
      <c r="T18" s="365">
        <f ca="1">ROUND(IF($C18="Automático",AF18+AM18,$Z18*IF(ISERROR(QCI!$AA18/QCI!$O18),0,QCI!$AA18/QCI!$O18)),2)</f>
        <v>0</v>
      </c>
      <c r="U18" s="365">
        <f ca="1">ROUND(IF($C18="Automático",AG18+AN18,$Z18*IF(ISERROR(QCI!$AB18/QCI!$O18),0,QCI!$AB18/QCI!$O18)),2)</f>
        <v>0</v>
      </c>
      <c r="V18" s="448">
        <f ca="1">IF(AND($L18&gt;0,$J18&lt;&gt;0,$J18&lt;&gt;"",COUNTIF($J$13:$J18,$J18)=1),OFFSET(V18,-1,0)+1,OFFSET(V18,-1,0))</f>
        <v>0</v>
      </c>
      <c r="X18" s="512"/>
      <c r="Y18" s="286"/>
      <c r="Z18" s="287"/>
      <c r="AC18" s="182"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2"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2">
        <f ca="1">ROUND(
            IF(ACOMPANHAMENTO&lt;&gt;"PLE",0,
                      SUMIF(OFFSET(CÁLCULO!$AX$15:$BH$15,$A18,0,$B18),"&lt;="&amp;(PLE.Medicao-1),OFFSET(CÁLCULO!$AB$15:$AL$15,$A18,0,$B18))
                      +IF(AdmLocal="Automática",
                              SUMIF(OFFSET(CÁLCULO!$M$15,$A18,0,$B18),1,OFFSET(ORÇAMENTO!$X$15,$A18,0,$B18))*(PLE!$AE$9-PLE!$Y$9),
                              0)),
            2)</f>
        <v>0</v>
      </c>
      <c r="AF18" s="182"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2"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2">
        <f ca="1">ROUND(IF(ACOMPANHAMENTO&lt;&gt;"PLE",0,SUMIF(OFFSET(CÁLCULO!$AX$15:$BH$15,$A18,0,$B18),"&lt;="&amp;PLE.Medicao,OFFSET(CÁLCULO!$AB$15:$AL$15,$A18,0,$B18))+IF(AdmLocal="Automática",SUMIF(OFFSET(CÁLCULO!$M$15,$A18,0,$B18),1,OFFSET(ORÇAMENTO!$X$15,$A18,0,$B18))*PLE!$AE$9,0)),2)</f>
        <v>0</v>
      </c>
      <c r="AJ18" s="182" t="e" cm="1">
        <f t="array" aca="1" ref="AJ18" ca="1">IF(ACOMPANHAMENTO&lt;&gt;"BM",0,SUMPRODUCT(OFFSET(BM!$M$15,$A18,0,$B18)*(OFFSET(BM!$A$15,$A18,0,$B18)="S")*OFFSET(ORÇAMENTO!AA$15,$A18,0,$B18)/(OFFSET(ORÇAMENTO!$X$15,$A18,0,$B18)+10^-12)))</f>
        <v>#N/A</v>
      </c>
      <c r="AK18" s="182" t="e" cm="1">
        <f t="array" aca="1" ref="AK18" ca="1">IF(ACOMPANHAMENTO&lt;&gt;"BM",0,SUMPRODUCT(OFFSET(BM!$M$15,$A18,0,$B18)*(OFFSET(BM!$A$15,$A18,0,$B18)="S")*OFFSET(ORÇAMENTO!AB$15,$A18,0,$B18)/(OFFSET(ORÇAMENTO!$X$15,$A18,0,$B18)+10^-12)))</f>
        <v>#N/A</v>
      </c>
      <c r="AL18" s="182" t="e">
        <f ca="1">IF(ACOMPANHAMENTO&lt;&gt;"BM",0,OFFSET(BM!$M$15,$A18,0))</f>
        <v>#N/A</v>
      </c>
      <c r="AM18" s="182" t="e" cm="1">
        <f t="array" aca="1" ref="AM18" ca="1">IF(ACOMPANHAMENTO&lt;&gt;"BM",0,SUMPRODUCT(OFFSET(BM!$O$15,$A18,0,$B18)*(OFFSET(BM!$A$15,$A18,0,$B18)="S")*OFFSET(ORÇAMENTO!AA$15,$A18,0,$B18)/(OFFSET(ORÇAMENTO!$X$15,$A18,0,$B18)+10^-12)))</f>
        <v>#N/A</v>
      </c>
      <c r="AN18" s="182" t="e" cm="1">
        <f t="array" aca="1" ref="AN18" ca="1">IF(ACOMPANHAMENTO&lt;&gt;"BM",0,SUMPRODUCT(OFFSET(BM!$O$15,$A18,0,$B18)*(OFFSET(BM!$A$15,$A18,0,$B18)="S")*OFFSET(ORÇAMENTO!AB$15,$A18,0,$B18)/(OFFSET(ORÇAMENTO!$X$15,$A18,0,$B18)+10^-12)))</f>
        <v>#N/A</v>
      </c>
      <c r="AO18" s="182" t="e">
        <f ca="1">IF(ACOMPANHAMENTO&lt;&gt;"BM",0,OFFSET(BM!$O$15,$A18,0))</f>
        <v>#N/A</v>
      </c>
    </row>
    <row r="19" spans="1:41" ht="30" customHeight="1" x14ac:dyDescent="0.2">
      <c r="A19" t="e">
        <f ca="1">MATCH(E19,ORÇAMENTO!$E$15:$E$33,0)-1</f>
        <v>#N/A</v>
      </c>
      <c r="B19" t="e">
        <f ca="1">IF(ISERROR($A19),NA(),OFFSET(ORÇAMENTO!$D$15,$A19,0))</f>
        <v>#N/A</v>
      </c>
      <c r="C19" t="str">
        <f ca="1">QCI!B19</f>
        <v>Branco</v>
      </c>
      <c r="D19" t="str">
        <f t="shared" ca="1" si="0"/>
        <v/>
      </c>
      <c r="E19" s="280">
        <f>QCI!D19</f>
        <v>6</v>
      </c>
      <c r="F19" s="361" t="str">
        <f ca="1">QCI!G19</f>
        <v/>
      </c>
      <c r="G19" s="362">
        <f>QCI!H19</f>
        <v>0</v>
      </c>
      <c r="H19" s="281">
        <f>QCI!I19</f>
        <v>0</v>
      </c>
      <c r="I19" s="281" t="str">
        <f ca="1">QCI!J19</f>
        <v/>
      </c>
      <c r="J19" s="363" t="str">
        <f ca="1">QCI!K19</f>
        <v/>
      </c>
      <c r="K19" s="364" t="str" cm="1">
        <f t="array" aca="1" ref="K19" ca="1">IF($C19="Automático",IF(ACOMPANHAMENTO="BM",BM.medicao,PLE.Medicao),IF(ISBLANK($X19),"",$X19))</f>
        <v/>
      </c>
      <c r="L19" s="285">
        <f ca="1">QCI!$O19</f>
        <v>0</v>
      </c>
      <c r="M19" s="282">
        <f t="shared" ca="1" si="1"/>
        <v>0</v>
      </c>
      <c r="N19" s="283">
        <f t="shared" ca="1" si="2"/>
        <v>0</v>
      </c>
      <c r="O19" s="284">
        <f t="shared" ca="1" si="3"/>
        <v>0</v>
      </c>
      <c r="P19" s="366">
        <f t="shared" ca="1" si="4"/>
        <v>0</v>
      </c>
      <c r="R19" s="365">
        <f ca="1">ROUND(IF($C19="Automático",AC19+AJ19,$Y19*IF(ISERROR(QCI!$AA19/QCI!$O19),0,QCI!$AA19/QCI!$O19)),2)</f>
        <v>0</v>
      </c>
      <c r="S19" s="365">
        <f ca="1">ROUND(IF($C19="Automático",AD19+AK19,$Y19*IF(ISERROR(QCI!$AB19/QCI!$O19),0,QCI!$AB19/QCI!$O19)),2)</f>
        <v>0</v>
      </c>
      <c r="T19" s="365">
        <f ca="1">ROUND(IF($C19="Automático",AF19+AM19,$Z19*IF(ISERROR(QCI!$AA19/QCI!$O19),0,QCI!$AA19/QCI!$O19)),2)</f>
        <v>0</v>
      </c>
      <c r="U19" s="365">
        <f ca="1">ROUND(IF($C19="Automático",AG19+AN19,$Z19*IF(ISERROR(QCI!$AB19/QCI!$O19),0,QCI!$AB19/QCI!$O19)),2)</f>
        <v>0</v>
      </c>
      <c r="V19" s="448">
        <f ca="1">IF(AND($L19&gt;0,$J19&lt;&gt;0,$J19&lt;&gt;"",COUNTIF($J$13:$J19,$J19)=1),OFFSET(V19,-1,0)+1,OFFSET(V19,-1,0))</f>
        <v>0</v>
      </c>
      <c r="X19" s="512"/>
      <c r="Y19" s="286"/>
      <c r="Z19" s="287"/>
      <c r="AC19" s="182"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2"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2">
        <f ca="1">ROUND(
            IF(ACOMPANHAMENTO&lt;&gt;"PLE",0,
                      SUMIF(OFFSET(CÁLCULO!$AX$15:$BH$15,$A19,0,$B19),"&lt;="&amp;(PLE.Medicao-1),OFFSET(CÁLCULO!$AB$15:$AL$15,$A19,0,$B19))
                      +IF(AdmLocal="Automática",
                              SUMIF(OFFSET(CÁLCULO!$M$15,$A19,0,$B19),1,OFFSET(ORÇAMENTO!$X$15,$A19,0,$B19))*(PLE!$AE$9-PLE!$Y$9),
                              0)),
            2)</f>
        <v>0</v>
      </c>
      <c r="AF19" s="182"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2"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2">
        <f ca="1">ROUND(IF(ACOMPANHAMENTO&lt;&gt;"PLE",0,SUMIF(OFFSET(CÁLCULO!$AX$15:$BH$15,$A19,0,$B19),"&lt;="&amp;PLE.Medicao,OFFSET(CÁLCULO!$AB$15:$AL$15,$A19,0,$B19))+IF(AdmLocal="Automática",SUMIF(OFFSET(CÁLCULO!$M$15,$A19,0,$B19),1,OFFSET(ORÇAMENTO!$X$15,$A19,0,$B19))*PLE!$AE$9,0)),2)</f>
        <v>0</v>
      </c>
      <c r="AJ19" s="182" t="e" cm="1">
        <f t="array" aca="1" ref="AJ19" ca="1">IF(ACOMPANHAMENTO&lt;&gt;"BM",0,SUMPRODUCT(OFFSET(BM!$M$15,$A19,0,$B19)*(OFFSET(BM!$A$15,$A19,0,$B19)="S")*OFFSET(ORÇAMENTO!AA$15,$A19,0,$B19)/(OFFSET(ORÇAMENTO!$X$15,$A19,0,$B19)+10^-12)))</f>
        <v>#N/A</v>
      </c>
      <c r="AK19" s="182" t="e" cm="1">
        <f t="array" aca="1" ref="AK19" ca="1">IF(ACOMPANHAMENTO&lt;&gt;"BM",0,SUMPRODUCT(OFFSET(BM!$M$15,$A19,0,$B19)*(OFFSET(BM!$A$15,$A19,0,$B19)="S")*OFFSET(ORÇAMENTO!AB$15,$A19,0,$B19)/(OFFSET(ORÇAMENTO!$X$15,$A19,0,$B19)+10^-12)))</f>
        <v>#N/A</v>
      </c>
      <c r="AL19" s="182" t="e">
        <f ca="1">IF(ACOMPANHAMENTO&lt;&gt;"BM",0,OFFSET(BM!$M$15,$A19,0))</f>
        <v>#N/A</v>
      </c>
      <c r="AM19" s="182" t="e" cm="1">
        <f t="array" aca="1" ref="AM19" ca="1">IF(ACOMPANHAMENTO&lt;&gt;"BM",0,SUMPRODUCT(OFFSET(BM!$O$15,$A19,0,$B19)*(OFFSET(BM!$A$15,$A19,0,$B19)="S")*OFFSET(ORÇAMENTO!AA$15,$A19,0,$B19)/(OFFSET(ORÇAMENTO!$X$15,$A19,0,$B19)+10^-12)))</f>
        <v>#N/A</v>
      </c>
      <c r="AN19" s="182" t="e" cm="1">
        <f t="array" aca="1" ref="AN19" ca="1">IF(ACOMPANHAMENTO&lt;&gt;"BM",0,SUMPRODUCT(OFFSET(BM!$O$15,$A19,0,$B19)*(OFFSET(BM!$A$15,$A19,0,$B19)="S")*OFFSET(ORÇAMENTO!AB$15,$A19,0,$B19)/(OFFSET(ORÇAMENTO!$X$15,$A19,0,$B19)+10^-12)))</f>
        <v>#N/A</v>
      </c>
      <c r="AO19" s="182" t="e">
        <f ca="1">IF(ACOMPANHAMENTO&lt;&gt;"BM",0,OFFSET(BM!$O$15,$A19,0))</f>
        <v>#N/A</v>
      </c>
    </row>
    <row r="20" spans="1:41" ht="30" customHeight="1" x14ac:dyDescent="0.2">
      <c r="A20" t="e">
        <f ca="1">MATCH(E20,ORÇAMENTO!$E$15:$E$33,0)-1</f>
        <v>#N/A</v>
      </c>
      <c r="B20" t="e">
        <f ca="1">IF(ISERROR($A20),NA(),OFFSET(ORÇAMENTO!$D$15,$A20,0))</f>
        <v>#N/A</v>
      </c>
      <c r="C20" t="str">
        <f ca="1">QCI!B20</f>
        <v>Branco</v>
      </c>
      <c r="D20" t="str">
        <f t="shared" ca="1" si="0"/>
        <v/>
      </c>
      <c r="E20" s="280">
        <f>QCI!D20</f>
        <v>7</v>
      </c>
      <c r="F20" s="361" t="str">
        <f ca="1">QCI!G20</f>
        <v/>
      </c>
      <c r="G20" s="362">
        <f>QCI!H20</f>
        <v>0</v>
      </c>
      <c r="H20" s="281">
        <f>QCI!I20</f>
        <v>0</v>
      </c>
      <c r="I20" s="281" t="str">
        <f ca="1">QCI!J20</f>
        <v/>
      </c>
      <c r="J20" s="363" t="str">
        <f ca="1">QCI!K20</f>
        <v/>
      </c>
      <c r="K20" s="364" t="str" cm="1">
        <f t="array" aca="1" ref="K20" ca="1">IF($C20="Automático",IF(ACOMPANHAMENTO="BM",BM.medicao,PLE.Medicao),IF(ISBLANK($X20),"",$X20))</f>
        <v/>
      </c>
      <c r="L20" s="285">
        <f ca="1">QCI!$O20</f>
        <v>0</v>
      </c>
      <c r="M20" s="282">
        <f t="shared" ca="1" si="1"/>
        <v>0</v>
      </c>
      <c r="N20" s="283">
        <f t="shared" ca="1" si="2"/>
        <v>0</v>
      </c>
      <c r="O20" s="284">
        <f t="shared" ca="1" si="3"/>
        <v>0</v>
      </c>
      <c r="P20" s="366">
        <f t="shared" ca="1" si="4"/>
        <v>0</v>
      </c>
      <c r="R20" s="365">
        <f ca="1">ROUND(IF($C20="Automático",AC20+AJ20,$Y20*IF(ISERROR(QCI!$AA20/QCI!$O20),0,QCI!$AA20/QCI!$O20)),2)</f>
        <v>0</v>
      </c>
      <c r="S20" s="365">
        <f ca="1">ROUND(IF($C20="Automático",AD20+AK20,$Y20*IF(ISERROR(QCI!$AB20/QCI!$O20),0,QCI!$AB20/QCI!$O20)),2)</f>
        <v>0</v>
      </c>
      <c r="T20" s="365">
        <f ca="1">ROUND(IF($C20="Automático",AF20+AM20,$Z20*IF(ISERROR(QCI!$AA20/QCI!$O20),0,QCI!$AA20/QCI!$O20)),2)</f>
        <v>0</v>
      </c>
      <c r="U20" s="365">
        <f ca="1">ROUND(IF($C20="Automático",AG20+AN20,$Z20*IF(ISERROR(QCI!$AB20/QCI!$O20),0,QCI!$AB20/QCI!$O20)),2)</f>
        <v>0</v>
      </c>
      <c r="V20" s="448">
        <f ca="1">IF(AND($L20&gt;0,$J20&lt;&gt;0,$J20&lt;&gt;"",COUNTIF($J$13:$J20,$J20)=1),OFFSET(V20,-1,0)+1,OFFSET(V20,-1,0))</f>
        <v>0</v>
      </c>
      <c r="X20" s="512"/>
      <c r="Y20" s="286"/>
      <c r="Z20" s="287"/>
      <c r="AC20" s="182"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2"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2">
        <f ca="1">ROUND(
            IF(ACOMPANHAMENTO&lt;&gt;"PLE",0,
                      SUMIF(OFFSET(CÁLCULO!$AX$15:$BH$15,$A20,0,$B20),"&lt;="&amp;(PLE.Medicao-1),OFFSET(CÁLCULO!$AB$15:$AL$15,$A20,0,$B20))
                      +IF(AdmLocal="Automática",
                              SUMIF(OFFSET(CÁLCULO!$M$15,$A20,0,$B20),1,OFFSET(ORÇAMENTO!$X$15,$A20,0,$B20))*(PLE!$AE$9-PLE!$Y$9),
                              0)),
            2)</f>
        <v>0</v>
      </c>
      <c r="AF20" s="182"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2"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2">
        <f ca="1">ROUND(IF(ACOMPANHAMENTO&lt;&gt;"PLE",0,SUMIF(OFFSET(CÁLCULO!$AX$15:$BH$15,$A20,0,$B20),"&lt;="&amp;PLE.Medicao,OFFSET(CÁLCULO!$AB$15:$AL$15,$A20,0,$B20))+IF(AdmLocal="Automática",SUMIF(OFFSET(CÁLCULO!$M$15,$A20,0,$B20),1,OFFSET(ORÇAMENTO!$X$15,$A20,0,$B20))*PLE!$AE$9,0)),2)</f>
        <v>0</v>
      </c>
      <c r="AJ20" s="182" t="e" cm="1">
        <f t="array" aca="1" ref="AJ20" ca="1">IF(ACOMPANHAMENTO&lt;&gt;"BM",0,SUMPRODUCT(OFFSET(BM!$M$15,$A20,0,$B20)*(OFFSET(BM!$A$15,$A20,0,$B20)="S")*OFFSET(ORÇAMENTO!AA$15,$A20,0,$B20)/(OFFSET(ORÇAMENTO!$X$15,$A20,0,$B20)+10^-12)))</f>
        <v>#N/A</v>
      </c>
      <c r="AK20" s="182" t="e" cm="1">
        <f t="array" aca="1" ref="AK20" ca="1">IF(ACOMPANHAMENTO&lt;&gt;"BM",0,SUMPRODUCT(OFFSET(BM!$M$15,$A20,0,$B20)*(OFFSET(BM!$A$15,$A20,0,$B20)="S")*OFFSET(ORÇAMENTO!AB$15,$A20,0,$B20)/(OFFSET(ORÇAMENTO!$X$15,$A20,0,$B20)+10^-12)))</f>
        <v>#N/A</v>
      </c>
      <c r="AL20" s="182" t="e">
        <f ca="1">IF(ACOMPANHAMENTO&lt;&gt;"BM",0,OFFSET(BM!$M$15,$A20,0))</f>
        <v>#N/A</v>
      </c>
      <c r="AM20" s="182" t="e" cm="1">
        <f t="array" aca="1" ref="AM20" ca="1">IF(ACOMPANHAMENTO&lt;&gt;"BM",0,SUMPRODUCT(OFFSET(BM!$O$15,$A20,0,$B20)*(OFFSET(BM!$A$15,$A20,0,$B20)="S")*OFFSET(ORÇAMENTO!AA$15,$A20,0,$B20)/(OFFSET(ORÇAMENTO!$X$15,$A20,0,$B20)+10^-12)))</f>
        <v>#N/A</v>
      </c>
      <c r="AN20" s="182" t="e" cm="1">
        <f t="array" aca="1" ref="AN20" ca="1">IF(ACOMPANHAMENTO&lt;&gt;"BM",0,SUMPRODUCT(OFFSET(BM!$O$15,$A20,0,$B20)*(OFFSET(BM!$A$15,$A20,0,$B20)="S")*OFFSET(ORÇAMENTO!AB$15,$A20,0,$B20)/(OFFSET(ORÇAMENTO!$X$15,$A20,0,$B20)+10^-12)))</f>
        <v>#N/A</v>
      </c>
      <c r="AO20" s="182" t="e">
        <f ca="1">IF(ACOMPANHAMENTO&lt;&gt;"BM",0,OFFSET(BM!$O$15,$A20,0))</f>
        <v>#N/A</v>
      </c>
    </row>
    <row r="21" spans="1:41" ht="30" customHeight="1" x14ac:dyDescent="0.2">
      <c r="A21" t="e">
        <f ca="1">MATCH(E21,ORÇAMENTO!$E$15:$E$33,0)-1</f>
        <v>#N/A</v>
      </c>
      <c r="B21" t="e">
        <f ca="1">IF(ISERROR($A21),NA(),OFFSET(ORÇAMENTO!$D$15,$A21,0))</f>
        <v>#N/A</v>
      </c>
      <c r="C21" t="str">
        <f ca="1">QCI!B21</f>
        <v>Branco</v>
      </c>
      <c r="D21" t="str">
        <f t="shared" ca="1" si="0"/>
        <v/>
      </c>
      <c r="E21" s="280">
        <f>QCI!D21</f>
        <v>8</v>
      </c>
      <c r="F21" s="361" t="str">
        <f ca="1">QCI!G21</f>
        <v/>
      </c>
      <c r="G21" s="362">
        <f>QCI!H21</f>
        <v>0</v>
      </c>
      <c r="H21" s="281">
        <f>QCI!I21</f>
        <v>0</v>
      </c>
      <c r="I21" s="281" t="str">
        <f ca="1">QCI!J21</f>
        <v/>
      </c>
      <c r="J21" s="363" t="str">
        <f ca="1">QCI!K21</f>
        <v/>
      </c>
      <c r="K21" s="364" t="str" cm="1">
        <f t="array" aca="1" ref="K21" ca="1">IF($C21="Automático",IF(ACOMPANHAMENTO="BM",BM.medicao,PLE.Medicao),IF(ISBLANK($X21),"",$X21))</f>
        <v/>
      </c>
      <c r="L21" s="285">
        <f ca="1">QCI!$O21</f>
        <v>0</v>
      </c>
      <c r="M21" s="282">
        <f t="shared" ca="1" si="1"/>
        <v>0</v>
      </c>
      <c r="N21" s="283">
        <f t="shared" ca="1" si="2"/>
        <v>0</v>
      </c>
      <c r="O21" s="284">
        <f t="shared" ca="1" si="3"/>
        <v>0</v>
      </c>
      <c r="P21" s="366">
        <f t="shared" ca="1" si="4"/>
        <v>0</v>
      </c>
      <c r="R21" s="365">
        <f ca="1">ROUND(IF($C21="Automático",AC21+AJ21,$Y21*IF(ISERROR(QCI!$AA21/QCI!$O21),0,QCI!$AA21/QCI!$O21)),2)</f>
        <v>0</v>
      </c>
      <c r="S21" s="365">
        <f ca="1">ROUND(IF($C21="Automático",AD21+AK21,$Y21*IF(ISERROR(QCI!$AB21/QCI!$O21),0,QCI!$AB21/QCI!$O21)),2)</f>
        <v>0</v>
      </c>
      <c r="T21" s="365">
        <f ca="1">ROUND(IF($C21="Automático",AF21+AM21,$Z21*IF(ISERROR(QCI!$AA21/QCI!$O21),0,QCI!$AA21/QCI!$O21)),2)</f>
        <v>0</v>
      </c>
      <c r="U21" s="365">
        <f ca="1">ROUND(IF($C21="Automático",AG21+AN21,$Z21*IF(ISERROR(QCI!$AB21/QCI!$O21),0,QCI!$AB21/QCI!$O21)),2)</f>
        <v>0</v>
      </c>
      <c r="V21" s="448">
        <f ca="1">IF(AND($L21&gt;0,$J21&lt;&gt;0,$J21&lt;&gt;"",COUNTIF($J$13:$J21,$J21)=1),OFFSET(V21,-1,0)+1,OFFSET(V21,-1,0))</f>
        <v>0</v>
      </c>
      <c r="X21" s="512"/>
      <c r="Y21" s="286"/>
      <c r="Z21" s="287"/>
      <c r="AC21" s="182"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2"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2">
        <f ca="1">ROUND(
            IF(ACOMPANHAMENTO&lt;&gt;"PLE",0,
                      SUMIF(OFFSET(CÁLCULO!$AX$15:$BH$15,$A21,0,$B21),"&lt;="&amp;(PLE.Medicao-1),OFFSET(CÁLCULO!$AB$15:$AL$15,$A21,0,$B21))
                      +IF(AdmLocal="Automática",
                              SUMIF(OFFSET(CÁLCULO!$M$15,$A21,0,$B21),1,OFFSET(ORÇAMENTO!$X$15,$A21,0,$B21))*(PLE!$AE$9-PLE!$Y$9),
                              0)),
            2)</f>
        <v>0</v>
      </c>
      <c r="AF21" s="182"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2"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2">
        <f ca="1">ROUND(IF(ACOMPANHAMENTO&lt;&gt;"PLE",0,SUMIF(OFFSET(CÁLCULO!$AX$15:$BH$15,$A21,0,$B21),"&lt;="&amp;PLE.Medicao,OFFSET(CÁLCULO!$AB$15:$AL$15,$A21,0,$B21))+IF(AdmLocal="Automática",SUMIF(OFFSET(CÁLCULO!$M$15,$A21,0,$B21),1,OFFSET(ORÇAMENTO!$X$15,$A21,0,$B21))*PLE!$AE$9,0)),2)</f>
        <v>0</v>
      </c>
      <c r="AJ21" s="182" t="e" cm="1">
        <f t="array" aca="1" ref="AJ21" ca="1">IF(ACOMPANHAMENTO&lt;&gt;"BM",0,SUMPRODUCT(OFFSET(BM!$M$15,$A21,0,$B21)*(OFFSET(BM!$A$15,$A21,0,$B21)="S")*OFFSET(ORÇAMENTO!AA$15,$A21,0,$B21)/(OFFSET(ORÇAMENTO!$X$15,$A21,0,$B21)+10^-12)))</f>
        <v>#N/A</v>
      </c>
      <c r="AK21" s="182" t="e" cm="1">
        <f t="array" aca="1" ref="AK21" ca="1">IF(ACOMPANHAMENTO&lt;&gt;"BM",0,SUMPRODUCT(OFFSET(BM!$M$15,$A21,0,$B21)*(OFFSET(BM!$A$15,$A21,0,$B21)="S")*OFFSET(ORÇAMENTO!AB$15,$A21,0,$B21)/(OFFSET(ORÇAMENTO!$X$15,$A21,0,$B21)+10^-12)))</f>
        <v>#N/A</v>
      </c>
      <c r="AL21" s="182" t="e">
        <f ca="1">IF(ACOMPANHAMENTO&lt;&gt;"BM",0,OFFSET(BM!$M$15,$A21,0))</f>
        <v>#N/A</v>
      </c>
      <c r="AM21" s="182" t="e" cm="1">
        <f t="array" aca="1" ref="AM21" ca="1">IF(ACOMPANHAMENTO&lt;&gt;"BM",0,SUMPRODUCT(OFFSET(BM!$O$15,$A21,0,$B21)*(OFFSET(BM!$A$15,$A21,0,$B21)="S")*OFFSET(ORÇAMENTO!AA$15,$A21,0,$B21)/(OFFSET(ORÇAMENTO!$X$15,$A21,0,$B21)+10^-12)))</f>
        <v>#N/A</v>
      </c>
      <c r="AN21" s="182" t="e" cm="1">
        <f t="array" aca="1" ref="AN21" ca="1">IF(ACOMPANHAMENTO&lt;&gt;"BM",0,SUMPRODUCT(OFFSET(BM!$O$15,$A21,0,$B21)*(OFFSET(BM!$A$15,$A21,0,$B21)="S")*OFFSET(ORÇAMENTO!AB$15,$A21,0,$B21)/(OFFSET(ORÇAMENTO!$X$15,$A21,0,$B21)+10^-12)))</f>
        <v>#N/A</v>
      </c>
      <c r="AO21" s="182" t="e">
        <f ca="1">IF(ACOMPANHAMENTO&lt;&gt;"BM",0,OFFSET(BM!$O$15,$A21,0))</f>
        <v>#N/A</v>
      </c>
    </row>
    <row r="22" spans="1:41" ht="30" customHeight="1" x14ac:dyDescent="0.2">
      <c r="A22" t="e">
        <f ca="1">MATCH(E22,ORÇAMENTO!$E$15:$E$33,0)-1</f>
        <v>#N/A</v>
      </c>
      <c r="B22" t="e">
        <f ca="1">IF(ISERROR($A22),NA(),OFFSET(ORÇAMENTO!$D$15,$A22,0))</f>
        <v>#N/A</v>
      </c>
      <c r="C22" t="str">
        <f ca="1">QCI!B22</f>
        <v>Branco</v>
      </c>
      <c r="D22" t="str">
        <f t="shared" ca="1" si="0"/>
        <v/>
      </c>
      <c r="E22" s="280">
        <f>QCI!D22</f>
        <v>9</v>
      </c>
      <c r="F22" s="361" t="str">
        <f ca="1">QCI!G22</f>
        <v/>
      </c>
      <c r="G22" s="362">
        <f>QCI!H22</f>
        <v>0</v>
      </c>
      <c r="H22" s="281">
        <f>QCI!I22</f>
        <v>0</v>
      </c>
      <c r="I22" s="281" t="str">
        <f ca="1">QCI!J22</f>
        <v/>
      </c>
      <c r="J22" s="363" t="str">
        <f ca="1">QCI!K22</f>
        <v/>
      </c>
      <c r="K22" s="364" t="str" cm="1">
        <f t="array" aca="1" ref="K22" ca="1">IF($C22="Automático",IF(ACOMPANHAMENTO="BM",BM.medicao,PLE.Medicao),IF(ISBLANK($X22),"",$X22))</f>
        <v/>
      </c>
      <c r="L22" s="285">
        <f ca="1">QCI!$O22</f>
        <v>0</v>
      </c>
      <c r="M22" s="282">
        <f t="shared" ca="1" si="1"/>
        <v>0</v>
      </c>
      <c r="N22" s="283">
        <f t="shared" ca="1" si="2"/>
        <v>0</v>
      </c>
      <c r="O22" s="284">
        <f t="shared" ca="1" si="3"/>
        <v>0</v>
      </c>
      <c r="P22" s="366">
        <f t="shared" ca="1" si="4"/>
        <v>0</v>
      </c>
      <c r="R22" s="365">
        <f ca="1">ROUND(IF($C22="Automático",AC22+AJ22,$Y22*IF(ISERROR(QCI!$AA22/QCI!$O22),0,QCI!$AA22/QCI!$O22)),2)</f>
        <v>0</v>
      </c>
      <c r="S22" s="365">
        <f ca="1">ROUND(IF($C22="Automático",AD22+AK22,$Y22*IF(ISERROR(QCI!$AB22/QCI!$O22),0,QCI!$AB22/QCI!$O22)),2)</f>
        <v>0</v>
      </c>
      <c r="T22" s="365">
        <f ca="1">ROUND(IF($C22="Automático",AF22+AM22,$Z22*IF(ISERROR(QCI!$AA22/QCI!$O22),0,QCI!$AA22/QCI!$O22)),2)</f>
        <v>0</v>
      </c>
      <c r="U22" s="365">
        <f ca="1">ROUND(IF($C22="Automático",AG22+AN22,$Z22*IF(ISERROR(QCI!$AB22/QCI!$O22),0,QCI!$AB22/QCI!$O22)),2)</f>
        <v>0</v>
      </c>
      <c r="V22" s="448">
        <f ca="1">IF(AND($L22&gt;0,$J22&lt;&gt;0,$J22&lt;&gt;"",COUNTIF($J$13:$J22,$J22)=1),OFFSET(V22,-1,0)+1,OFFSET(V22,-1,0))</f>
        <v>0</v>
      </c>
      <c r="X22" s="512"/>
      <c r="Y22" s="286"/>
      <c r="Z22" s="287"/>
      <c r="AC22" s="182"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2"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2">
        <f ca="1">ROUND(
            IF(ACOMPANHAMENTO&lt;&gt;"PLE",0,
                      SUMIF(OFFSET(CÁLCULO!$AX$15:$BH$15,$A22,0,$B22),"&lt;="&amp;(PLE.Medicao-1),OFFSET(CÁLCULO!$AB$15:$AL$15,$A22,0,$B22))
                      +IF(AdmLocal="Automática",
                              SUMIF(OFFSET(CÁLCULO!$M$15,$A22,0,$B22),1,OFFSET(ORÇAMENTO!$X$15,$A22,0,$B22))*(PLE!$AE$9-PLE!$Y$9),
                              0)),
            2)</f>
        <v>0</v>
      </c>
      <c r="AF22" s="182"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2"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2">
        <f ca="1">ROUND(IF(ACOMPANHAMENTO&lt;&gt;"PLE",0,SUMIF(OFFSET(CÁLCULO!$AX$15:$BH$15,$A22,0,$B22),"&lt;="&amp;PLE.Medicao,OFFSET(CÁLCULO!$AB$15:$AL$15,$A22,0,$B22))+IF(AdmLocal="Automática",SUMIF(OFFSET(CÁLCULO!$M$15,$A22,0,$B22),1,OFFSET(ORÇAMENTO!$X$15,$A22,0,$B22))*PLE!$AE$9,0)),2)</f>
        <v>0</v>
      </c>
      <c r="AJ22" s="182" t="e" cm="1">
        <f t="array" aca="1" ref="AJ22" ca="1">IF(ACOMPANHAMENTO&lt;&gt;"BM",0,SUMPRODUCT(OFFSET(BM!$M$15,$A22,0,$B22)*(OFFSET(BM!$A$15,$A22,0,$B22)="S")*OFFSET(ORÇAMENTO!AA$15,$A22,0,$B22)/(OFFSET(ORÇAMENTO!$X$15,$A22,0,$B22)+10^-12)))</f>
        <v>#N/A</v>
      </c>
      <c r="AK22" s="182" t="e" cm="1">
        <f t="array" aca="1" ref="AK22" ca="1">IF(ACOMPANHAMENTO&lt;&gt;"BM",0,SUMPRODUCT(OFFSET(BM!$M$15,$A22,0,$B22)*(OFFSET(BM!$A$15,$A22,0,$B22)="S")*OFFSET(ORÇAMENTO!AB$15,$A22,0,$B22)/(OFFSET(ORÇAMENTO!$X$15,$A22,0,$B22)+10^-12)))</f>
        <v>#N/A</v>
      </c>
      <c r="AL22" s="182" t="e">
        <f ca="1">IF(ACOMPANHAMENTO&lt;&gt;"BM",0,OFFSET(BM!$M$15,$A22,0))</f>
        <v>#N/A</v>
      </c>
      <c r="AM22" s="182" t="e" cm="1">
        <f t="array" aca="1" ref="AM22" ca="1">IF(ACOMPANHAMENTO&lt;&gt;"BM",0,SUMPRODUCT(OFFSET(BM!$O$15,$A22,0,$B22)*(OFFSET(BM!$A$15,$A22,0,$B22)="S")*OFFSET(ORÇAMENTO!AA$15,$A22,0,$B22)/(OFFSET(ORÇAMENTO!$X$15,$A22,0,$B22)+10^-12)))</f>
        <v>#N/A</v>
      </c>
      <c r="AN22" s="182" t="e" cm="1">
        <f t="array" aca="1" ref="AN22" ca="1">IF(ACOMPANHAMENTO&lt;&gt;"BM",0,SUMPRODUCT(OFFSET(BM!$O$15,$A22,0,$B22)*(OFFSET(BM!$A$15,$A22,0,$B22)="S")*OFFSET(ORÇAMENTO!AB$15,$A22,0,$B22)/(OFFSET(ORÇAMENTO!$X$15,$A22,0,$B22)+10^-12)))</f>
        <v>#N/A</v>
      </c>
      <c r="AO22" s="182" t="e">
        <f ca="1">IF(ACOMPANHAMENTO&lt;&gt;"BM",0,OFFSET(BM!$O$15,$A22,0))</f>
        <v>#N/A</v>
      </c>
    </row>
    <row r="23" spans="1:41" ht="30" customHeight="1" x14ac:dyDescent="0.2">
      <c r="A23" t="e">
        <f ca="1">MATCH(E23,ORÇAMENTO!$E$15:$E$33,0)-1</f>
        <v>#N/A</v>
      </c>
      <c r="B23" t="e">
        <f ca="1">IF(ISERROR($A23),NA(),OFFSET(ORÇAMENTO!$D$15,$A23,0))</f>
        <v>#N/A</v>
      </c>
      <c r="C23" t="str">
        <f ca="1">QCI!B23</f>
        <v>Branco</v>
      </c>
      <c r="D23" t="str">
        <f ca="1">IF(L23&gt;0,"F","")</f>
        <v/>
      </c>
      <c r="E23" s="280">
        <f>QCI!D23</f>
        <v>10</v>
      </c>
      <c r="F23" s="361" t="str">
        <f ca="1">QCI!G23</f>
        <v/>
      </c>
      <c r="G23" s="362">
        <f>QCI!H23</f>
        <v>0</v>
      </c>
      <c r="H23" s="281">
        <f>QCI!I23</f>
        <v>0</v>
      </c>
      <c r="I23" s="281" t="str">
        <f ca="1">QCI!J23</f>
        <v/>
      </c>
      <c r="J23" s="363" t="str">
        <f ca="1">QCI!K23</f>
        <v/>
      </c>
      <c r="K23" s="364" t="str" cm="1">
        <f t="array" aca="1" ref="K23" ca="1">IF($C23="Automático",IF(ACOMPANHAMENTO="BM",BM.medicao,PLE.Medicao),IF(ISBLANK($X23),"",$X23))</f>
        <v/>
      </c>
      <c r="L23" s="285">
        <f ca="1">QCI!$O23</f>
        <v>0</v>
      </c>
      <c r="M23" s="282">
        <f ca="1">ROUND(IF(C23="Automático",AE23+AL23,Y23),2)</f>
        <v>0</v>
      </c>
      <c r="N23" s="283">
        <f ca="1">O23-M23</f>
        <v>0</v>
      </c>
      <c r="O23" s="284">
        <f ca="1">ROUND(IF(C23="Automático",AH23+AO23,Z23),2)</f>
        <v>0</v>
      </c>
      <c r="P23" s="366">
        <f ca="1">O23/(L23+10^-12)</f>
        <v>0</v>
      </c>
      <c r="R23" s="365">
        <f ca="1">ROUND(IF($C23="Automático",AC23+AJ23,$Y23*IF(ISERROR(QCI!$AA23/QCI!$O23),0,QCI!$AA23/QCI!$O23)),2)</f>
        <v>0</v>
      </c>
      <c r="S23" s="365">
        <f ca="1">ROUND(IF($C23="Automático",AD23+AK23,$Y23*IF(ISERROR(QCI!$AB23/QCI!$O23),0,QCI!$AB23/QCI!$O23)),2)</f>
        <v>0</v>
      </c>
      <c r="T23" s="365">
        <f ca="1">ROUND(IF($C23="Automático",AF23+AM23,$Z23*IF(ISERROR(QCI!$AA23/QCI!$O23),0,QCI!$AA23/QCI!$O23)),2)</f>
        <v>0</v>
      </c>
      <c r="U23" s="365">
        <f ca="1">ROUND(IF($C23="Automático",AG23+AN23,$Z23*IF(ISERROR(QCI!$AB23/QCI!$O23),0,QCI!$AB23/QCI!$O23)),2)</f>
        <v>0</v>
      </c>
      <c r="V23" s="448">
        <f ca="1">IF(AND($L23&gt;0,$J23&lt;&gt;0,$J23&lt;&gt;"",COUNTIF($J$13:$J23,$J23)=1),OFFSET(V23,-1,0)+1,OFFSET(V23,-1,0))</f>
        <v>0</v>
      </c>
      <c r="X23" s="512"/>
      <c r="Y23" s="286"/>
      <c r="Z23" s="287"/>
      <c r="AC23" s="182"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2"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2">
        <f ca="1">ROUND(
            IF(ACOMPANHAMENTO&lt;&gt;"PLE",0,
                      SUMIF(OFFSET(CÁLCULO!$AX$15:$BH$15,$A23,0,$B23),"&lt;="&amp;(PLE.Medicao-1),OFFSET(CÁLCULO!$AB$15:$AL$15,$A23,0,$B23))
                      +IF(AdmLocal="Automática",
                              SUMIF(OFFSET(CÁLCULO!$M$15,$A23,0,$B23),1,OFFSET(ORÇAMENTO!$X$15,$A23,0,$B23))*(PLE!$AE$9-PLE!$Y$9),
                              0)),
            2)</f>
        <v>0</v>
      </c>
      <c r="AF23" s="182"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2"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2">
        <f ca="1">ROUND(IF(ACOMPANHAMENTO&lt;&gt;"PLE",0,SUMIF(OFFSET(CÁLCULO!$AX$15:$BH$15,$A23,0,$B23),"&lt;="&amp;PLE.Medicao,OFFSET(CÁLCULO!$AB$15:$AL$15,$A23,0,$B23))+IF(AdmLocal="Automática",SUMIF(OFFSET(CÁLCULO!$M$15,$A23,0,$B23),1,OFFSET(ORÇAMENTO!$X$15,$A23,0,$B23))*PLE!$AE$9,0)),2)</f>
        <v>0</v>
      </c>
      <c r="AJ23" s="182" t="e" cm="1">
        <f t="array" aca="1" ref="AJ23" ca="1">IF(ACOMPANHAMENTO&lt;&gt;"BM",0,SUMPRODUCT(OFFSET(BM!$M$15,$A23,0,$B23)*(OFFSET(BM!$A$15,$A23,0,$B23)="S")*OFFSET(ORÇAMENTO!AA$15,$A23,0,$B23)/(OFFSET(ORÇAMENTO!$X$15,$A23,0,$B23)+10^-12)))</f>
        <v>#N/A</v>
      </c>
      <c r="AK23" s="182" t="e" cm="1">
        <f t="array" aca="1" ref="AK23" ca="1">IF(ACOMPANHAMENTO&lt;&gt;"BM",0,SUMPRODUCT(OFFSET(BM!$M$15,$A23,0,$B23)*(OFFSET(BM!$A$15,$A23,0,$B23)="S")*OFFSET(ORÇAMENTO!AB$15,$A23,0,$B23)/(OFFSET(ORÇAMENTO!$X$15,$A23,0,$B23)+10^-12)))</f>
        <v>#N/A</v>
      </c>
      <c r="AL23" s="182" t="e">
        <f ca="1">IF(ACOMPANHAMENTO&lt;&gt;"BM",0,OFFSET(BM!$M$15,$A23,0))</f>
        <v>#N/A</v>
      </c>
      <c r="AM23" s="182" t="e" cm="1">
        <f t="array" aca="1" ref="AM23" ca="1">IF(ACOMPANHAMENTO&lt;&gt;"BM",0,SUMPRODUCT(OFFSET(BM!$O$15,$A23,0,$B23)*(OFFSET(BM!$A$15,$A23,0,$B23)="S")*OFFSET(ORÇAMENTO!AA$15,$A23,0,$B23)/(OFFSET(ORÇAMENTO!$X$15,$A23,0,$B23)+10^-12)))</f>
        <v>#N/A</v>
      </c>
      <c r="AN23" s="182" t="e" cm="1">
        <f t="array" aca="1" ref="AN23" ca="1">IF(ACOMPANHAMENTO&lt;&gt;"BM",0,SUMPRODUCT(OFFSET(BM!$O$15,$A23,0,$B23)*(OFFSET(BM!$A$15,$A23,0,$B23)="S")*OFFSET(ORÇAMENTO!AB$15,$A23,0,$B23)/(OFFSET(ORÇAMENTO!$X$15,$A23,0,$B23)+10^-12)))</f>
        <v>#N/A</v>
      </c>
      <c r="AO23" s="182" t="e">
        <f ca="1">IF(ACOMPANHAMENTO&lt;&gt;"BM",0,OFFSET(BM!$O$15,$A23,0))</f>
        <v>#N/A</v>
      </c>
    </row>
    <row r="24" spans="1:41" ht="12.95" customHeight="1" x14ac:dyDescent="0.2">
      <c r="D24" t="s">
        <v>536</v>
      </c>
      <c r="E24" s="1"/>
      <c r="F24" s="1"/>
      <c r="G24" s="1"/>
      <c r="H24" s="1"/>
      <c r="I24" s="2"/>
      <c r="J24" s="825" t="s">
        <v>889</v>
      </c>
      <c r="K24" s="826"/>
      <c r="L24" s="368">
        <f ca="1">IF(ISERROR(L28/$L28),0,ROUND(L28/$L28,4))</f>
        <v>0</v>
      </c>
      <c r="M24" s="370">
        <f ca="1">IF(ISERROR(M28/$L28),0,ROUND(M28/$L28,4))</f>
        <v>0</v>
      </c>
      <c r="N24" s="369">
        <f ca="1">IF(ISERROR(N28/$L28),0,ROUND(N28/$L28,4))</f>
        <v>0</v>
      </c>
      <c r="O24" s="371">
        <f ca="1">IF(ISERROR(O28/$L28),0,ROUND(O28/$L28,4))</f>
        <v>0</v>
      </c>
      <c r="P24" s="827">
        <f ca="1">O28/(L28+10^-12)</f>
        <v>0</v>
      </c>
      <c r="X24" s="301"/>
      <c r="Y24" s="303"/>
      <c r="Z24" s="304"/>
    </row>
    <row r="25" spans="1:41" ht="12.95" customHeight="1" x14ac:dyDescent="0.2">
      <c r="D25" t="s">
        <v>536</v>
      </c>
      <c r="I25" s="4"/>
      <c r="J25" s="828" t="str">
        <f>IF(import.recurso="FGTS","Financiamento","Repasse")</f>
        <v>Repasse</v>
      </c>
      <c r="K25" s="829"/>
      <c r="L25" s="285">
        <f ca="1">QCI!L24</f>
        <v>0</v>
      </c>
      <c r="M25" s="282">
        <f ca="1">M28-M27-M26</f>
        <v>0</v>
      </c>
      <c r="N25" s="283">
        <f ca="1">O25-M25</f>
        <v>0</v>
      </c>
      <c r="O25" s="284">
        <f ca="1">O28-O27-O26</f>
        <v>0</v>
      </c>
      <c r="P25" s="827"/>
      <c r="X25" s="372"/>
      <c r="Y25" s="373" t="s">
        <v>890</v>
      </c>
      <c r="Z25" s="374" t="s">
        <v>891</v>
      </c>
      <c r="AC25" s="375" t="s">
        <v>892</v>
      </c>
      <c r="AD25" s="375" t="s">
        <v>893</v>
      </c>
    </row>
    <row r="26" spans="1:41" ht="12.95" customHeight="1" x14ac:dyDescent="0.2">
      <c r="D26" t="s">
        <v>536</v>
      </c>
      <c r="I26" s="4"/>
      <c r="J26" s="830" t="s">
        <v>894</v>
      </c>
      <c r="K26" s="831"/>
      <c r="L26" s="376">
        <f ca="1">QCI!M24</f>
        <v>0</v>
      </c>
      <c r="M26" s="377">
        <f ca="1">ROUND(IF(OFFSET($X$26,0,1)&lt;&gt;"",OFFSET($X$26,0,1),SUM(R13:OFFSET(R24,-1,0))),2)</f>
        <v>0</v>
      </c>
      <c r="N26" s="378">
        <f ca="1">O26-M26</f>
        <v>0</v>
      </c>
      <c r="O26" s="379">
        <f ca="1">IF(OFFSET($X$26,0,2)&lt;&gt;"",OFFSET($X$26,0,2),$AE$3)</f>
        <v>0</v>
      </c>
      <c r="P26" s="827"/>
      <c r="X26" s="380" t="s">
        <v>456</v>
      </c>
      <c r="Y26" s="443"/>
      <c r="Z26" s="444"/>
      <c r="AC26" s="381">
        <f ca="1">MIN($L26,$O$28-OFFSET($X$27,0,1))</f>
        <v>0</v>
      </c>
      <c r="AD26" s="381">
        <f ca="1">MIN($L26,$O$28-OFFSET($X$27,0,2))</f>
        <v>0</v>
      </c>
    </row>
    <row r="27" spans="1:41" ht="12.95" customHeight="1" x14ac:dyDescent="0.2">
      <c r="D27" t="s">
        <v>536</v>
      </c>
      <c r="I27" s="4"/>
      <c r="J27" s="832" t="s">
        <v>871</v>
      </c>
      <c r="K27" s="833"/>
      <c r="L27" s="382">
        <f ca="1">QCI!N24</f>
        <v>0</v>
      </c>
      <c r="M27" s="383">
        <f ca="1">ROUND(IF(OFFSET($X$27,0,1)&lt;&gt;"",OFFSET($X$27,0,1),SUM(S13:OFFSET(S24,-1,0))),2)</f>
        <v>0</v>
      </c>
      <c r="N27" s="384">
        <f ca="1">O27-M27</f>
        <v>0</v>
      </c>
      <c r="O27" s="385">
        <f ca="1">IF(OFFSET($X$27,0,2)&lt;&gt;"",OFFSET($X$27,0,2),$AE$4)</f>
        <v>0</v>
      </c>
      <c r="P27" s="827"/>
      <c r="X27" s="386" t="s">
        <v>794</v>
      </c>
      <c r="Y27" s="445"/>
      <c r="Z27" s="446"/>
      <c r="AC27" s="381">
        <f ca="1">MIN($L27,$O$28-OFFSET($X$26,0,1))</f>
        <v>0</v>
      </c>
      <c r="AD27" s="381">
        <f ca="1">MIN($L27,$O$28-OFFSET($X$26,0,2))</f>
        <v>0</v>
      </c>
    </row>
    <row r="28" spans="1:41" ht="15" x14ac:dyDescent="0.2">
      <c r="D28" t="s">
        <v>536</v>
      </c>
      <c r="I28" s="4"/>
      <c r="J28" s="834" t="s">
        <v>873</v>
      </c>
      <c r="K28" s="835"/>
      <c r="L28" s="387">
        <f ca="1">SUM(L13:OFFSET(L24,-1,0))</f>
        <v>0</v>
      </c>
      <c r="M28" s="647">
        <f ca="1">ROUND(SUM(M13:OFFSET(M24,-1,0)),2)</f>
        <v>0</v>
      </c>
      <c r="N28" s="648">
        <f ca="1">O28-M28</f>
        <v>0</v>
      </c>
      <c r="O28" s="388">
        <f ca="1">SUM(O13:OFFSET(O24,-1,0))</f>
        <v>0</v>
      </c>
      <c r="P28" s="827"/>
      <c r="X28" s="313"/>
      <c r="Y28" s="315"/>
      <c r="Z28" s="316"/>
    </row>
    <row r="29" spans="1:41" x14ac:dyDescent="0.2">
      <c r="O29" s="836" t="str">
        <f ca="1">"Acumulado Anterior:  "&amp;TEXT($M$28/($L$28+10^-12),"0,00%")</f>
        <v>Acumulado Anterior:  0,00%</v>
      </c>
      <c r="P29" s="836"/>
    </row>
    <row r="30" spans="1:41" ht="14.25" x14ac:dyDescent="0.2">
      <c r="E30" s="134" t="s">
        <v>689</v>
      </c>
      <c r="P30" s="413"/>
    </row>
    <row r="31" spans="1:41" ht="12.75" customHeight="1" x14ac:dyDescent="0.2">
      <c r="E31" s="819"/>
      <c r="F31" s="820"/>
      <c r="G31" s="820"/>
      <c r="H31" s="820"/>
      <c r="I31" s="820"/>
      <c r="J31" s="820"/>
      <c r="K31" s="820"/>
      <c r="L31" s="820"/>
      <c r="M31" s="820"/>
      <c r="N31" s="820"/>
      <c r="O31" s="820"/>
      <c r="P31" s="821"/>
    </row>
    <row r="32" spans="1:41" ht="12.75" customHeight="1" x14ac:dyDescent="0.2">
      <c r="E32" s="819"/>
      <c r="F32" s="820"/>
      <c r="G32" s="820"/>
      <c r="H32" s="820"/>
      <c r="I32" s="820"/>
      <c r="J32" s="820"/>
      <c r="K32" s="820"/>
      <c r="L32" s="820"/>
      <c r="M32" s="820"/>
      <c r="N32" s="820"/>
      <c r="O32" s="820"/>
      <c r="P32" s="821"/>
      <c r="Y32" s="389"/>
      <c r="Z32" s="389"/>
    </row>
    <row r="33" spans="5:16" ht="12.75" customHeight="1" x14ac:dyDescent="0.2">
      <c r="E33" s="822"/>
      <c r="F33" s="823"/>
      <c r="G33" s="823"/>
      <c r="H33" s="823"/>
      <c r="I33" s="823"/>
      <c r="J33" s="823"/>
      <c r="K33" s="823"/>
      <c r="L33" s="823"/>
      <c r="M33" s="823"/>
      <c r="N33" s="823"/>
      <c r="O33" s="823"/>
      <c r="P33" s="824"/>
    </row>
    <row r="34" spans="5:16" x14ac:dyDescent="0.2">
      <c r="L34" s="570" t="str">
        <f>IF(L35=0,"Preencher a data de fechamento do RRE na aba DADOS (célula "&amp;ADDRESS(ROW(Import.DataFechaRRE),COLUMN(Import.DataFechaRRE),4)&amp;")","")</f>
        <v>Preencher a data de fechamento do RRE na aba DADOS (célula C48)</v>
      </c>
    </row>
    <row r="35" spans="5:16" ht="15" x14ac:dyDescent="0.2">
      <c r="E35" s="722" t="str">
        <f>Import.Município</f>
        <v>RS</v>
      </c>
      <c r="F35" s="722"/>
      <c r="G35" s="722"/>
      <c r="I35" s="390"/>
      <c r="K35" s="583"/>
      <c r="L35" s="770">
        <f>DADOS!$C$48</f>
        <v>0</v>
      </c>
      <c r="M35" s="770"/>
      <c r="N35" s="770"/>
      <c r="O35" s="770"/>
    </row>
    <row r="36" spans="5:16" x14ac:dyDescent="0.2">
      <c r="E36" s="9" t="s">
        <v>693</v>
      </c>
      <c r="L36" s="9" t="s">
        <v>694</v>
      </c>
    </row>
    <row r="38" spans="5:16" x14ac:dyDescent="0.2">
      <c r="E38" s="179"/>
      <c r="F38" s="179"/>
      <c r="G38" s="179"/>
      <c r="L38" s="179"/>
      <c r="M38" s="179"/>
      <c r="N38" s="179"/>
      <c r="O38" s="179"/>
    </row>
    <row r="39" spans="5:16" x14ac:dyDescent="0.2">
      <c r="E39" s="391" t="str">
        <f>IF(CAIXA.Modo,"Responsável Gerencial CAIXA","Representante Tomador")</f>
        <v>Representante Tomador</v>
      </c>
      <c r="F39" s="7"/>
      <c r="L39" s="391" t="str">
        <f>IF(CAIXA.Modo,"Responsável Técnico CAIXA","Responsável Técnico pela Fiscalização")</f>
        <v>Responsável Técnico pela Fiscalização</v>
      </c>
    </row>
    <row r="40" spans="5:16" x14ac:dyDescent="0.2">
      <c r="E40" s="76" t="s">
        <v>240</v>
      </c>
      <c r="F40" s="270" t="str">
        <f>IF(CAIXA.Modo,DADOS!C60,DADOS!C28)</f>
        <v>JOSÉ ANTÔNIO FLACH WERLE</v>
      </c>
      <c r="L40" s="76" t="s">
        <v>240</v>
      </c>
      <c r="M40" s="805">
        <f>IF(CAIXA.Modo,BM!X45,DADOS!C51)</f>
        <v>0</v>
      </c>
      <c r="N40" s="805"/>
      <c r="O40" s="805"/>
    </row>
    <row r="41" spans="5:16" x14ac:dyDescent="0.2">
      <c r="E41" s="76" t="str">
        <f>IF(CAIXA.Modo,"Função:","Cargo:")</f>
        <v>Cargo:</v>
      </c>
      <c r="F41" s="270" t="str">
        <f>IF(CAIXA.Modo,DADOS!C61,DADOS!C29)</f>
        <v>PREFEITO MUNICIPAL</v>
      </c>
      <c r="L41" s="76" t="str">
        <f>IF(CAIXA.Modo,"Matrícula:","Profissão:")</f>
        <v>Profissão:</v>
      </c>
      <c r="M41" s="805">
        <f>IF(CAIXA.Modo,BM!X46,DADOS!C52)</f>
        <v>0</v>
      </c>
      <c r="N41" s="805"/>
      <c r="O41" s="805"/>
    </row>
    <row r="42" spans="5:16" x14ac:dyDescent="0.2">
      <c r="L42" s="76" t="s">
        <v>243</v>
      </c>
      <c r="M42" s="805">
        <f>IF(CAIXA.Modo,BM!X47,DADOS!C53)</f>
        <v>0</v>
      </c>
      <c r="N42" s="805"/>
      <c r="O42" s="805"/>
    </row>
    <row r="43" spans="5:16" x14ac:dyDescent="0.2">
      <c r="L43" s="76" t="str">
        <f>IF(CAIXA.Modo,"","ART/RRT:")</f>
        <v>ART/RRT:</v>
      </c>
      <c r="M43" s="12">
        <f>IF(CAIXA.Modo,"",DADOS!C54)</f>
        <v>0</v>
      </c>
    </row>
    <row r="45" spans="5:16" x14ac:dyDescent="0.2">
      <c r="E45" s="179"/>
      <c r="F45" s="179"/>
      <c r="G45" s="179"/>
      <c r="L45" s="179"/>
      <c r="M45" s="179"/>
      <c r="N45" s="179"/>
      <c r="O45" s="179"/>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6" t="s">
        <v>240</v>
      </c>
      <c r="F47" s="804"/>
      <c r="G47" s="804"/>
      <c r="L47" s="76" t="s">
        <v>240</v>
      </c>
      <c r="M47" s="804"/>
      <c r="N47" s="804"/>
      <c r="O47" s="804"/>
    </row>
    <row r="48" spans="5:16" x14ac:dyDescent="0.2">
      <c r="E48" s="76" t="str">
        <f>IF(CAIXA.Modo,"Função:","Cargo:")</f>
        <v>Cargo:</v>
      </c>
      <c r="F48" s="804"/>
      <c r="G48" s="804"/>
      <c r="L48" s="76" t="str">
        <f>IF(CAIXA.Modo,"Função:","Cargo:")</f>
        <v>Cargo:</v>
      </c>
      <c r="M48" s="804"/>
      <c r="N48" s="804"/>
      <c r="O48" s="804"/>
    </row>
    <row r="49" spans="5:15" x14ac:dyDescent="0.2">
      <c r="E49" s="76" t="str">
        <f>IF(CAIXA.Modo,"Matr:","")</f>
        <v/>
      </c>
      <c r="F49" s="804"/>
      <c r="G49" s="804"/>
      <c r="L49" s="76" t="str">
        <f>IF(CAIXA.Modo,"Matrícula:","")</f>
        <v/>
      </c>
      <c r="M49" s="804"/>
      <c r="N49" s="804"/>
      <c r="O49" s="804"/>
    </row>
  </sheetData>
  <sheetProtection algorithmName="SHA-512" hashValue="ZTPchwMNbB6WnlUScoY+pfvsD0fVOqwHjpWQwkEqVisPYpXSzRV1X3iJW++I/28lz7mhGC1Gumc4D4fgcSaxHA==" saltValue="uePSBQH9097yiv+zmqyOAQ==" spinCount="100000" sheet="1" objects="1" scenarios="1" autoFilter="0"/>
  <autoFilter ref="D13:D3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90" stopIfTrue="1">
      <formula>OR($C12="Automático",$C12="Branco")</formula>
    </cfRule>
  </conditionalFormatting>
  <conditionalFormatting sqref="F49:G49 M49:O49">
    <cfRule type="expression" dxfId="45" priority="491" stopIfTrue="1">
      <formula>CAIXA.Modo=FALSE</formula>
    </cfRule>
  </conditionalFormatting>
  <conditionalFormatting sqref="M12 M25:M28 O12 O25:O28">
    <cfRule type="cellIs" dxfId="44" priority="492" stopIfTrue="1" operator="notBetween">
      <formula>0</formula>
      <formula>$L12</formula>
    </cfRule>
  </conditionalFormatting>
  <conditionalFormatting sqref="M10:N10">
    <cfRule type="cellIs" dxfId="43" priority="493"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formula1>0</formula1>
      <formula2>RRE.MaxOUAcum</formula2>
    </dataValidation>
    <dataValidation type="decimal" allowBlank="1" showInputMessage="1" showErrorMessage="1" sqref="Y12:Z12 Y14:Z23">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1"/>
      <c r="C1" s="861"/>
      <c r="D1" s="48"/>
      <c r="E1" s="48"/>
      <c r="F1" s="48"/>
      <c r="G1" s="51" t="s">
        <v>644</v>
      </c>
    </row>
    <row r="2" spans="2:13" x14ac:dyDescent="0.2">
      <c r="B2" s="861"/>
      <c r="C2" s="861"/>
      <c r="D2" s="48"/>
      <c r="E2" s="48"/>
      <c r="F2" s="48"/>
      <c r="G2" s="11" t="s">
        <v>895</v>
      </c>
    </row>
    <row r="3" spans="2:13" ht="26.1" customHeight="1" x14ac:dyDescent="0.2">
      <c r="B3" s="861"/>
      <c r="C3" s="861"/>
      <c r="D3" s="48"/>
      <c r="E3" s="48"/>
      <c r="F3" s="48"/>
      <c r="G3" s="392"/>
    </row>
    <row r="4" spans="2:13" ht="12.75" customHeight="1" x14ac:dyDescent="0.2">
      <c r="B4" s="861"/>
      <c r="C4" s="861"/>
      <c r="D4" s="48"/>
      <c r="E4" s="48"/>
      <c r="F4" s="48"/>
      <c r="G4" s="48"/>
    </row>
    <row r="5" spans="2:13" x14ac:dyDescent="0.2">
      <c r="C5" s="570" t="str">
        <f>IF(Import.Ofício.Num=0,"Preencher o número do Ofício","")</f>
        <v>Preencher o número do Ofício</v>
      </c>
    </row>
    <row r="6" spans="2:13" x14ac:dyDescent="0.2">
      <c r="B6" s="393" t="s">
        <v>896</v>
      </c>
      <c r="C6" s="859"/>
      <c r="D6" s="859"/>
      <c r="E6" s="393"/>
      <c r="F6" s="393"/>
      <c r="G6" s="48"/>
      <c r="J6" s="9"/>
    </row>
    <row r="7" spans="2:13" x14ac:dyDescent="0.2">
      <c r="B7" s="48"/>
      <c r="C7" s="48"/>
      <c r="D7" s="48"/>
      <c r="E7" s="48"/>
      <c r="F7" s="48"/>
      <c r="G7" s="48"/>
    </row>
    <row r="8" spans="2:13" x14ac:dyDescent="0.2">
      <c r="B8" s="860" t="str">
        <f>CONCATENATE(RRE!$E$35,", ",TEXT(RRE!$L$35,"dd"" de ""mmmm"" de ""aaaa"))</f>
        <v>RS, 00 de janeiro de 1900</v>
      </c>
      <c r="C8" s="860"/>
      <c r="D8" s="860"/>
      <c r="E8" s="860"/>
      <c r="F8" s="860"/>
      <c r="G8" s="860"/>
      <c r="H8" s="394"/>
      <c r="J8" s="394"/>
      <c r="K8" s="394"/>
      <c r="L8" s="394"/>
      <c r="M8" s="394"/>
    </row>
    <row r="9" spans="2:13" x14ac:dyDescent="0.2">
      <c r="B9" s="395" t="s">
        <v>897</v>
      </c>
      <c r="C9" s="48"/>
      <c r="D9" s="48"/>
      <c r="G9" s="48"/>
      <c r="H9" s="394"/>
      <c r="J9" s="394"/>
      <c r="K9" s="394"/>
      <c r="L9" s="394"/>
      <c r="M9" s="394"/>
    </row>
    <row r="10" spans="2:13" x14ac:dyDescent="0.2">
      <c r="B10" s="854" t="s">
        <v>898</v>
      </c>
      <c r="C10" s="854"/>
      <c r="D10" s="854"/>
      <c r="G10" s="48"/>
      <c r="H10" s="394"/>
      <c r="J10" s="394"/>
      <c r="K10" s="394"/>
      <c r="L10" s="394"/>
      <c r="M10" s="394"/>
    </row>
    <row r="11" spans="2:13" x14ac:dyDescent="0.2">
      <c r="B11" s="396" t="s">
        <v>899</v>
      </c>
      <c r="C11" s="804"/>
      <c r="D11" s="804"/>
      <c r="G11" s="48"/>
      <c r="H11" s="394"/>
      <c r="J11" s="394"/>
      <c r="K11" s="394"/>
      <c r="L11" s="394"/>
      <c r="M11" s="394"/>
    </row>
    <row r="12" spans="2:13" x14ac:dyDescent="0.2">
      <c r="B12" s="397"/>
      <c r="C12" s="397"/>
      <c r="D12" s="397"/>
      <c r="E12" s="397"/>
      <c r="F12" s="397"/>
      <c r="G12" s="48"/>
      <c r="H12" s="394"/>
      <c r="J12" s="394"/>
      <c r="K12" s="394"/>
      <c r="L12" s="394"/>
      <c r="M12" s="394"/>
    </row>
    <row r="13" spans="2:13" x14ac:dyDescent="0.2">
      <c r="B13" s="48"/>
      <c r="C13" s="48"/>
      <c r="D13" s="48"/>
      <c r="E13" s="48"/>
      <c r="F13" s="48"/>
      <c r="G13" s="48"/>
    </row>
    <row r="14" spans="2:13" x14ac:dyDescent="0.2">
      <c r="B14" s="395" t="s">
        <v>900</v>
      </c>
      <c r="C14" s="854" t="str" cm="1">
        <f t="array" aca="1" ref="C14" ca="1">CONCATENATE(RRE.Numero,"ª"," Solicitação de ",IF(import.recurso="OGU","Desbloqueio","Desembolso")," de Recursos.")</f>
        <v>1ª Solicitação de Desbloqueio de Recursos.</v>
      </c>
      <c r="D14" s="854"/>
      <c r="E14" s="854"/>
      <c r="F14" s="854"/>
      <c r="G14" s="854"/>
    </row>
    <row r="15" spans="2:13" ht="12.75" customHeight="1" x14ac:dyDescent="0.2">
      <c r="B15" s="395" t="s">
        <v>901</v>
      </c>
      <c r="C15" s="855" t="str">
        <f>CONCATENATE("Contrato de ",IF(import.recurso="OGU","Repasse","Financiamento")," - Operação nº ",Import.CR,IF(Import.TransfereGOV="","",CONCATENATE(" - TransfereGOV nº ",Import.TransfereGOV)))</f>
        <v>Contrato de Repasse - Operação nº SLG - TransfereGOV nº SLG</v>
      </c>
      <c r="D15" s="855"/>
      <c r="E15" s="855"/>
      <c r="F15" s="855"/>
      <c r="G15" s="855"/>
    </row>
    <row r="16" spans="2:13" x14ac:dyDescent="0.2">
      <c r="B16" s="395"/>
      <c r="C16" s="855"/>
      <c r="D16" s="855"/>
      <c r="E16" s="855"/>
      <c r="F16" s="855"/>
      <c r="G16" s="855"/>
    </row>
    <row r="17" spans="2:7" x14ac:dyDescent="0.2">
      <c r="B17" s="48"/>
      <c r="C17" s="48"/>
      <c r="D17" s="48"/>
      <c r="E17" s="48"/>
      <c r="F17" s="48"/>
      <c r="G17" s="48"/>
    </row>
    <row r="18" spans="2:7" ht="12.75" customHeight="1" x14ac:dyDescent="0.2">
      <c r="B18" s="270" t="s">
        <v>902</v>
      </c>
      <c r="C18" s="856" t="str">
        <f>Import.DescLote</f>
        <v>CALÇAMENTO - PAVIMENTAÇÃO</v>
      </c>
      <c r="D18" s="856"/>
      <c r="E18" s="856"/>
      <c r="F18" s="856"/>
      <c r="G18" s="856"/>
    </row>
    <row r="19" spans="2:7" ht="12.75" customHeight="1" x14ac:dyDescent="0.2">
      <c r="B19" s="852" t="s">
        <v>903</v>
      </c>
      <c r="C19" s="853" t="str">
        <f>Import.Proponente</f>
        <v>MUNICÍPIO DE SÃO LUIZ GONZAGA</v>
      </c>
      <c r="D19" s="853"/>
      <c r="E19" s="853"/>
      <c r="F19" s="853"/>
      <c r="G19" s="853"/>
    </row>
    <row r="20" spans="2:7" x14ac:dyDescent="0.2">
      <c r="B20" s="852"/>
      <c r="C20" s="853"/>
      <c r="D20" s="853"/>
      <c r="E20" s="853"/>
      <c r="F20" s="853"/>
      <c r="G20" s="853"/>
    </row>
    <row r="21" spans="2:7" x14ac:dyDescent="0.2">
      <c r="B21" s="48"/>
      <c r="C21" s="48"/>
      <c r="D21" s="48"/>
      <c r="E21" s="48"/>
      <c r="F21" s="48"/>
      <c r="G21" s="48"/>
    </row>
    <row r="22" spans="2:7" x14ac:dyDescent="0.2">
      <c r="B22" t="str">
        <f>IF(B11="GIGOV","Senhor Gerente","Senhor Superintendente")</f>
        <v>Senhor Gerente</v>
      </c>
      <c r="D22" s="48"/>
      <c r="E22" s="48"/>
      <c r="F22" s="48"/>
      <c r="G22" s="48"/>
    </row>
    <row r="23" spans="2:7" x14ac:dyDescent="0.2">
      <c r="B23" s="48"/>
      <c r="C23" s="48"/>
      <c r="D23" s="48"/>
      <c r="E23" s="48"/>
      <c r="F23" s="48"/>
      <c r="G23" s="48"/>
    </row>
    <row r="24" spans="2:7" ht="12.75" customHeight="1" x14ac:dyDescent="0.2">
      <c r="B24" s="856"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6"/>
      <c r="D24" s="856"/>
      <c r="E24" s="856"/>
      <c r="F24" s="856"/>
      <c r="G24" s="856"/>
    </row>
    <row r="25" spans="2:7" x14ac:dyDescent="0.2">
      <c r="B25" s="856"/>
      <c r="C25" s="856"/>
      <c r="D25" s="856"/>
      <c r="E25" s="856"/>
      <c r="F25" s="856"/>
      <c r="G25" s="856"/>
    </row>
    <row r="26" spans="2:7" x14ac:dyDescent="0.2">
      <c r="B26" s="856"/>
      <c r="C26" s="856"/>
      <c r="D26" s="856"/>
      <c r="E26" s="856"/>
      <c r="F26" s="856"/>
      <c r="G26" s="856"/>
    </row>
    <row r="27" spans="2:7" x14ac:dyDescent="0.2">
      <c r="B27" s="48"/>
      <c r="C27" s="48"/>
      <c r="D27" s="48"/>
      <c r="E27" s="48"/>
      <c r="F27" s="48"/>
      <c r="G27" s="48"/>
    </row>
    <row r="28" spans="2:7" ht="12.75" customHeight="1" x14ac:dyDescent="0.2">
      <c r="B28" s="851"/>
      <c r="C28" s="851"/>
      <c r="D28" s="857" t="s">
        <v>904</v>
      </c>
      <c r="E28" s="857" t="str" cm="1">
        <f t="array" aca="1" ref="E28" ca="1">"Evolução da "&amp;RRE.Numero&amp;"ª Medição"</f>
        <v>Evolução da 1ª Medição</v>
      </c>
      <c r="F28" s="858" t="s">
        <v>905</v>
      </c>
      <c r="G28" s="858"/>
    </row>
    <row r="29" spans="2:7" x14ac:dyDescent="0.2">
      <c r="B29" s="851"/>
      <c r="C29" s="851"/>
      <c r="D29" s="857"/>
      <c r="E29" s="857"/>
      <c r="F29" s="858"/>
      <c r="G29" s="858"/>
    </row>
    <row r="30" spans="2:7" x14ac:dyDescent="0.2">
      <c r="B30" s="846" t="str">
        <f>IF(import.recurso="FGTS","Financiamento:","Repasse:")</f>
        <v>Repasse:</v>
      </c>
      <c r="C30" s="846"/>
      <c r="D30" s="398">
        <f ca="1">RRE!L25</f>
        <v>0</v>
      </c>
      <c r="E30" s="398">
        <f ca="1">RRE!N25</f>
        <v>0</v>
      </c>
      <c r="F30" s="847">
        <f ca="1">RRE!O25</f>
        <v>0</v>
      </c>
      <c r="G30" s="847"/>
    </row>
    <row r="31" spans="2:7" x14ac:dyDescent="0.2">
      <c r="B31" s="846" t="s">
        <v>906</v>
      </c>
      <c r="C31" s="846"/>
      <c r="D31" s="398">
        <f ca="1">RRE!L26</f>
        <v>0</v>
      </c>
      <c r="E31" s="398">
        <f ca="1">RRE!N26</f>
        <v>0</v>
      </c>
      <c r="F31" s="847">
        <f ca="1">RRE!O26</f>
        <v>0</v>
      </c>
      <c r="G31" s="847"/>
    </row>
    <row r="32" spans="2:7" x14ac:dyDescent="0.2">
      <c r="B32" s="846" t="s">
        <v>801</v>
      </c>
      <c r="C32" s="846"/>
      <c r="D32" s="398">
        <f ca="1">RRE!L27</f>
        <v>0</v>
      </c>
      <c r="E32" s="398">
        <f ca="1">RRE!N27</f>
        <v>0</v>
      </c>
      <c r="F32" s="847">
        <f ca="1">RRE!O27</f>
        <v>0</v>
      </c>
      <c r="G32" s="847"/>
    </row>
    <row r="33" spans="2:7" x14ac:dyDescent="0.2">
      <c r="B33" s="846" t="s">
        <v>802</v>
      </c>
      <c r="C33" s="846"/>
      <c r="D33" s="398">
        <f ca="1">RRE!L28</f>
        <v>0</v>
      </c>
      <c r="E33" s="398">
        <f ca="1">RRE!N28</f>
        <v>0</v>
      </c>
      <c r="F33" s="847">
        <f ca="1">RRE!O28</f>
        <v>0</v>
      </c>
      <c r="G33" s="847"/>
    </row>
    <row r="34" spans="2:7" x14ac:dyDescent="0.2">
      <c r="B34" s="848" t="s">
        <v>907</v>
      </c>
      <c r="C34" s="848"/>
      <c r="D34" s="399" t="s">
        <v>688</v>
      </c>
      <c r="E34" s="400">
        <f ca="1">RRE!$N$28/(RRE!$L$28+10^-12)</f>
        <v>0</v>
      </c>
      <c r="F34" s="849">
        <f ca="1">RRE!P24</f>
        <v>0</v>
      </c>
      <c r="G34" s="849"/>
    </row>
    <row r="35" spans="2:7" x14ac:dyDescent="0.2">
      <c r="B35" s="180"/>
      <c r="C35" s="48"/>
      <c r="D35" s="48"/>
      <c r="E35" s="48"/>
      <c r="F35" s="48"/>
      <c r="G35" s="48"/>
    </row>
    <row r="36" spans="2:7" x14ac:dyDescent="0.2">
      <c r="B36" s="180"/>
      <c r="C36" s="180"/>
      <c r="D36" s="180"/>
      <c r="E36" s="180"/>
      <c r="F36" s="180"/>
      <c r="G36" s="48"/>
    </row>
    <row r="37" spans="2:7" x14ac:dyDescent="0.2">
      <c r="B37" s="850" t="str" cm="1">
        <f t="array" aca="1" ref="B37" ca="1">IF(RRE.Numero&gt;1,"2. Encaminhamos ainda a documentação relativa à prestação de contas da etapa físico-financeira anterior.","")</f>
        <v/>
      </c>
      <c r="C37" s="850"/>
      <c r="D37" s="850"/>
      <c r="E37" s="850"/>
      <c r="F37" s="850"/>
      <c r="G37" s="850"/>
    </row>
    <row r="38" spans="2:7" x14ac:dyDescent="0.2">
      <c r="B38" s="850"/>
      <c r="C38" s="850"/>
      <c r="D38" s="850"/>
      <c r="E38" s="850"/>
      <c r="F38" s="850"/>
      <c r="G38" s="850"/>
    </row>
    <row r="39" spans="2:7" ht="12.75" customHeight="1" x14ac:dyDescent="0.2">
      <c r="B39" s="850" t="str" cm="1">
        <f t="array" aca="1" ref="B39" ca="1">IF(AND(RRE.Numero&gt;1,NOT(ISBLANK(Import.TransfereGOV))),"3. Na oportunidade, informamos que a execução financeira da parcela anterior está devidamente comprovada no TransfereGOV.","")</f>
        <v/>
      </c>
      <c r="C39" s="850"/>
      <c r="D39" s="850"/>
      <c r="E39" s="850"/>
      <c r="F39" s="850"/>
      <c r="G39" s="850"/>
    </row>
    <row r="40" spans="2:7" x14ac:dyDescent="0.2">
      <c r="B40" s="850"/>
      <c r="C40" s="850"/>
      <c r="D40" s="850"/>
      <c r="E40" s="850"/>
      <c r="F40" s="850"/>
      <c r="G40" s="850"/>
    </row>
    <row r="41" spans="2:7" x14ac:dyDescent="0.2">
      <c r="B41" s="401"/>
      <c r="C41" s="396"/>
      <c r="D41" s="396"/>
      <c r="E41" s="396"/>
      <c r="F41" s="396"/>
      <c r="G41" s="396"/>
    </row>
    <row r="42" spans="2:7" ht="12.75" customHeight="1" x14ac:dyDescent="0.2">
      <c r="B42" s="850"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0"/>
      <c r="D42" s="850"/>
      <c r="E42" s="850"/>
      <c r="F42" s="850"/>
      <c r="G42" s="850"/>
    </row>
    <row r="43" spans="2:7" x14ac:dyDescent="0.2">
      <c r="B43" s="850"/>
      <c r="C43" s="850"/>
      <c r="D43" s="850"/>
      <c r="E43" s="850"/>
      <c r="F43" s="850"/>
      <c r="G43" s="850"/>
    </row>
    <row r="44" spans="2:7" x14ac:dyDescent="0.2">
      <c r="B44" s="850"/>
      <c r="C44" s="850"/>
      <c r="D44" s="850"/>
      <c r="E44" s="850"/>
      <c r="F44" s="850"/>
      <c r="G44" s="850"/>
    </row>
    <row r="45" spans="2:7" x14ac:dyDescent="0.2">
      <c r="B45" s="850"/>
      <c r="C45" s="850"/>
      <c r="D45" s="850"/>
      <c r="E45" s="850"/>
      <c r="F45" s="850"/>
      <c r="G45" s="850"/>
    </row>
    <row r="46" spans="2:7" x14ac:dyDescent="0.2">
      <c r="B46" s="850"/>
      <c r="C46" s="850"/>
      <c r="D46" s="850"/>
      <c r="E46" s="850"/>
      <c r="F46" s="850"/>
      <c r="G46" s="850"/>
    </row>
    <row r="47" spans="2:7" x14ac:dyDescent="0.2">
      <c r="G47" s="276"/>
    </row>
    <row r="48" spans="2:7" x14ac:dyDescent="0.2">
      <c r="G48" s="276"/>
    </row>
    <row r="49" spans="2:7" x14ac:dyDescent="0.2">
      <c r="B49" s="48" t="s">
        <v>908</v>
      </c>
      <c r="G49" s="276"/>
    </row>
    <row r="50" spans="2:7" x14ac:dyDescent="0.2">
      <c r="B50" s="276"/>
      <c r="C50" s="276"/>
      <c r="D50" s="276"/>
      <c r="E50" s="276"/>
      <c r="F50" s="276"/>
      <c r="G50" s="276"/>
    </row>
    <row r="51" spans="2:7" x14ac:dyDescent="0.2">
      <c r="B51" s="48"/>
      <c r="C51" s="48"/>
      <c r="D51" s="48"/>
      <c r="E51" s="48"/>
      <c r="F51" s="48"/>
      <c r="G51" s="48"/>
    </row>
    <row r="52" spans="2:7" x14ac:dyDescent="0.2">
      <c r="B52" s="48"/>
      <c r="C52" s="48"/>
      <c r="D52" s="48"/>
      <c r="E52" s="48"/>
      <c r="F52" s="48"/>
      <c r="G52" s="48"/>
    </row>
    <row r="53" spans="2:7" x14ac:dyDescent="0.2">
      <c r="B53" s="402"/>
      <c r="C53" s="402"/>
      <c r="D53" s="402"/>
      <c r="E53" s="48"/>
      <c r="F53" s="48"/>
      <c r="G53" s="48"/>
    </row>
    <row r="54" spans="2:7" x14ac:dyDescent="0.2">
      <c r="B54" s="844" t="str">
        <f>DADOS!$C$28</f>
        <v>JOSÉ ANTÔNIO FLACH WERLE</v>
      </c>
      <c r="C54" s="844"/>
      <c r="D54" s="844"/>
      <c r="E54" s="844"/>
      <c r="F54" s="844"/>
      <c r="G54" s="844"/>
    </row>
    <row r="55" spans="2:7" x14ac:dyDescent="0.2">
      <c r="B55" s="844" t="str">
        <f>DADOS!$C$29</f>
        <v>PREFEITO MUNICIPAL</v>
      </c>
      <c r="C55" s="844"/>
      <c r="D55" s="844"/>
      <c r="E55" s="844"/>
      <c r="F55" s="844"/>
      <c r="G55" s="844"/>
    </row>
    <row r="56" spans="2:7" x14ac:dyDescent="0.2">
      <c r="B56" s="845"/>
      <c r="C56" s="845"/>
      <c r="D56" s="845"/>
      <c r="E56" s="845"/>
      <c r="F56" s="845"/>
      <c r="G56" s="845"/>
    </row>
  </sheetData>
  <sheetProtection algorithmName="SHA-512" hashValue="RZC5x5rNQ5Yq7pLVq9W92Wa05PGJAdwxF7zcxNo/QTww2fAbO2oU37V4qJR0m2s+Zp66ofamcivzoMrHzn42dw==" saltValue="EF038R4zyzHMn5KtzIgaew=="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5" customWidth="1"/>
    <col min="2" max="2" width="25" style="515" customWidth="1"/>
    <col min="3" max="3" width="12" style="515" customWidth="1"/>
    <col min="4" max="4" width="15.570312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3" width="20" style="515" customWidth="1"/>
    <col min="14" max="14" width="15" style="515" customWidth="1"/>
    <col min="15" max="15" width="50" style="515" customWidth="1"/>
    <col min="16" max="16" width="20" style="515" customWidth="1"/>
    <col min="17" max="17" width="50" style="515" customWidth="1"/>
    <col min="18" max="18" width="15" style="515" customWidth="1"/>
    <col min="19" max="19" width="17.5703125" style="515" customWidth="1"/>
    <col min="20" max="16384" width="9.140625" style="515"/>
  </cols>
  <sheetData>
    <row r="1" spans="1:19" x14ac:dyDescent="0.25">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919</v>
      </c>
      <c r="O1" s="514" t="s">
        <v>920</v>
      </c>
      <c r="P1" s="514" t="s">
        <v>921</v>
      </c>
      <c r="Q1" s="514" t="s">
        <v>922</v>
      </c>
      <c r="R1" s="514" t="s">
        <v>923</v>
      </c>
      <c r="S1" s="514" t="s">
        <v>924</v>
      </c>
    </row>
    <row r="2" spans="1:19" ht="45" customHeight="1" x14ac:dyDescent="0.25">
      <c r="A2" s="666"/>
      <c r="B2" s="667"/>
      <c r="C2" s="666"/>
      <c r="D2" s="666"/>
      <c r="E2" s="666"/>
      <c r="F2" s="668"/>
      <c r="G2" s="666"/>
      <c r="H2" s="669"/>
      <c r="I2" s="669"/>
      <c r="J2" s="670"/>
      <c r="K2" s="671"/>
      <c r="L2" s="672"/>
      <c r="M2" s="666"/>
      <c r="N2" s="673"/>
      <c r="O2" s="666"/>
      <c r="P2" s="673"/>
      <c r="Q2" s="666"/>
      <c r="R2" s="674"/>
      <c r="S2" s="671"/>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E2"/>
  <sheetViews>
    <sheetView workbookViewId="0"/>
  </sheetViews>
  <sheetFormatPr defaultColWidth="9.140625" defaultRowHeight="15" x14ac:dyDescent="0.25"/>
  <cols>
    <col min="1" max="1" width="15" style="515" customWidth="1"/>
    <col min="2" max="2" width="50" style="515" customWidth="1"/>
    <col min="3" max="3" width="20" style="515" customWidth="1"/>
    <col min="4" max="4" width="50" style="515" customWidth="1"/>
    <col min="5" max="5" width="35" style="515" customWidth="1"/>
    <col min="6" max="16384" width="9.140625" style="515"/>
  </cols>
  <sheetData>
    <row r="1" spans="1:5" x14ac:dyDescent="0.25">
      <c r="A1" s="514" t="s">
        <v>925</v>
      </c>
      <c r="B1" s="514" t="s">
        <v>761</v>
      </c>
      <c r="C1" s="514" t="s">
        <v>926</v>
      </c>
      <c r="D1" s="514" t="s">
        <v>922</v>
      </c>
      <c r="E1" s="514" t="s">
        <v>927</v>
      </c>
    </row>
    <row r="2" spans="1:5" ht="45" customHeight="1" x14ac:dyDescent="0.25">
      <c r="A2" s="665"/>
      <c r="B2" s="665"/>
      <c r="C2" s="665"/>
      <c r="D2" s="665"/>
      <c r="E2" s="665"/>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5" customWidth="1"/>
    <col min="2" max="2" width="25" style="515" customWidth="1"/>
    <col min="3" max="3" width="12" style="515" customWidth="1"/>
    <col min="4" max="4" width="15.570312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4" width="20" style="515" customWidth="1"/>
    <col min="15" max="15" width="50" style="515" customWidth="1"/>
    <col min="16" max="16" width="15" style="515" customWidth="1"/>
    <col min="17" max="17" width="17.5703125" style="515" customWidth="1"/>
    <col min="18" max="16384" width="9.140625" style="515"/>
  </cols>
  <sheetData>
    <row r="1" spans="1:17" x14ac:dyDescent="0.25">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921</v>
      </c>
      <c r="O1" s="514" t="s">
        <v>922</v>
      </c>
      <c r="P1" s="514" t="s">
        <v>923</v>
      </c>
      <c r="Q1" s="514" t="s">
        <v>924</v>
      </c>
    </row>
    <row r="2" spans="1:17" ht="45" customHeight="1" x14ac:dyDescent="0.25">
      <c r="A2" s="587"/>
      <c r="B2" s="588"/>
      <c r="C2" s="587"/>
      <c r="D2" s="587"/>
      <c r="E2" s="587"/>
      <c r="F2" s="589"/>
      <c r="G2" s="587"/>
      <c r="H2" s="590"/>
      <c r="I2" s="590"/>
      <c r="J2" s="591"/>
      <c r="K2" s="592"/>
      <c r="L2" s="592"/>
      <c r="M2" s="587"/>
      <c r="N2" s="593"/>
      <c r="O2" s="587"/>
      <c r="P2" s="594"/>
      <c r="Q2" s="592"/>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D2"/>
  <sheetViews>
    <sheetView workbookViewId="0"/>
  </sheetViews>
  <sheetFormatPr defaultColWidth="9.140625" defaultRowHeight="15" x14ac:dyDescent="0.25"/>
  <cols>
    <col min="1" max="1" width="15" style="515" customWidth="1"/>
    <col min="2" max="2" width="70" style="515" customWidth="1"/>
    <col min="3" max="3" width="10" style="515" customWidth="1"/>
    <col min="4" max="4" width="20" style="515" customWidth="1"/>
    <col min="5" max="16384" width="9.140625" style="515"/>
  </cols>
  <sheetData>
    <row r="1" spans="1:4" x14ac:dyDescent="0.25">
      <c r="A1" s="514" t="s">
        <v>928</v>
      </c>
      <c r="B1" s="514" t="s">
        <v>929</v>
      </c>
      <c r="C1" s="514" t="s">
        <v>780</v>
      </c>
      <c r="D1" s="514" t="s">
        <v>930</v>
      </c>
    </row>
    <row r="2" spans="1:4" ht="45" customHeight="1" x14ac:dyDescent="0.25">
      <c r="A2" s="597"/>
      <c r="B2" s="597"/>
      <c r="C2" s="649"/>
      <c r="D2" s="595"/>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Usuário</cp:lastModifiedBy>
  <cp:revision>5</cp:revision>
  <cp:lastPrinted>2026-08-18T17:17:13Z</cp:lastPrinted>
  <dcterms:created xsi:type="dcterms:W3CDTF">1997-01-10T22:22:50Z</dcterms:created>
  <dcterms:modified xsi:type="dcterms:W3CDTF">2026-08-27T18:24:22Z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