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EstaPasta_de_trabalho"/>
  <mc:AlternateContent xmlns:mc="http://schemas.openxmlformats.org/markup-compatibility/2006">
    <mc:Choice Requires="x15">
      <x15ac:absPath xmlns:x15ac="http://schemas.microsoft.com/office/spreadsheetml/2010/11/ac" url="\\PAULOGEWER\rede\VAGUINHO\Projetos\2026\CO 90035 2026\"/>
    </mc:Choice>
  </mc:AlternateContent>
  <workbookProtection workbookAlgorithmName="SHA-512" workbookHashValue="mTHR5tsW/WOLn0Qw89WKjAsVoRjzDM0YwfbP0HkXGYXtpKCTfQkr3/ZoHF38y0Gy1h/CCwK/D9QPzjbuv20tLA==" workbookSaltValue="oiU5ZbXH3JZzTDtDxGAZlQ==" workbookSpinCount="100000" lockStructure="1"/>
  <bookViews>
    <workbookView xWindow="0" yWindow="600" windowWidth="21600" windowHeight="9630" tabRatio="801" activeTab="4"/>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BM!$C$15:$C$71</definedName>
    <definedName name="_xlnm._FilterDatabase" localSheetId="6" hidden="1">CÁLCULO!$C$15:$C$71</definedName>
    <definedName name="_xlnm._FilterDatabase" localSheetId="8" hidden="1">CRONO!$G$13:$G$70</definedName>
    <definedName name="_xlnm._FilterDatabase" localSheetId="7" hidden="1">CRONOPLE!$A$13:$A$79</definedName>
    <definedName name="_xlnm._FilterDatabase" localSheetId="5" hidden="1">EVENTOS!$A$13:$A$72</definedName>
    <definedName name="_xlnm._FilterDatabase" localSheetId="4" hidden="1">ORÇAMENTO!$L$15:$L$71</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BM!$D$1:$O$86</definedName>
    <definedName name="_xlnm.Print_Area" localSheetId="6">CÁLCULO!$E$6:$AA$79</definedName>
    <definedName name="_xlnm.Print_Area" localSheetId="8">CRONO!$I$1:$AG$70</definedName>
    <definedName name="_xlnm.Print_Area" localSheetId="5">EVENTOS!$C$2:$Z$72</definedName>
    <definedName name="_xlnm.Print_Area" localSheetId="1">MENU!$A$1:$I$25</definedName>
    <definedName name="_xlnm.Print_Area" localSheetId="13">OFÍCIO!$A$1:$G$56</definedName>
    <definedName name="_xlnm.Print_Area" localSheetId="4">ORÇAMENTO!$O$1:$Y$88</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BM!$C$15:$C$71</definedName>
    <definedName name="BM.firstrow" hidden="1">BM!$15:$15</definedName>
    <definedName name="BM.FormulaMed" hidden="1">BM!$AO$7</definedName>
    <definedName name="BM.lastrow" hidden="1">BM!$71:$71</definedName>
    <definedName name="BM.LinhaPadrão" hidden="1">BM!$14:$14</definedName>
    <definedName name="BM.MaxMed" hidden="1">IF(RegimeExecucao="Global",1,BM!$G1)</definedName>
    <definedName name="BM.MCAIXA.Filter" hidden="1">BM!$C$15:$Z$71</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CÁLCULO!$C$15:$C$71</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CÁLCULO!$71:$71</definedName>
    <definedName name="CÁLCULO.LinhaPadrão" hidden="1">CÁLCULO!$14:$14</definedName>
    <definedName name="CÁLCULO.margemrow" hidden="1">CÁLCULO!$79:$79</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CÁLCULO!$71:$71</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CÁLCULO!$71:$71</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CÁLCULO!$71:$71</definedName>
    <definedName name="CÁLCULO.nEvento" hidden="1">CÁLCULO!$M$12</definedName>
    <definedName name="CÁLCULO.NúmeroDeEventos" hidden="1">IF(AUTOEVENTO&lt;&gt;"manual",MAX(CÁLCULO!$M$15:$M$71),MAX(OFFSET(EVENTOS!$C$1:$C$65,1,0)))</definedName>
    <definedName name="CÁLCULO.NúmeroDeFrentes" hidden="1">COLUMN(CÁLCULO!$AA$15)-COLUMN(CÁLCULO!$Q$15)</definedName>
    <definedName name="CÁLCULO.Título" hidden="1">CÁLCULO!$F$6</definedName>
    <definedName name="CÁLCULO.TotalAdmLocal" hidden="1">IF(AUTOEVENTO="manual",SUMIF(CÁLCULO!$M$15:$M$71,1,ORÇAMENTO!$X$15:$X$71),0)</definedName>
    <definedName name="CRONO.ColAux" hidden="1">CRONO!$M:$R</definedName>
    <definedName name="CRONO.ColunaPadrão" hidden="1">CRONO!$E:$E</definedName>
    <definedName name="CRONO.Erro" hidden="1">CRONO!$K$10</definedName>
    <definedName name="CRONO.Filtro" hidden="1">CRONO!$G$13:$G$70</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CRONO!$53:$53</definedName>
    <definedName name="CRONO.lastrow2" hidden="1">CRONO!$65:$65</definedName>
    <definedName name="CRONO.LinhaPadrão" hidden="1">CRONO!$1:$3</definedName>
    <definedName name="CRONO.LinhasNecessarias" hidden="1">COUNTIF(QCI!$B$13:$B$24,"Manual")+COUNTIF(QCI!$B$13:$B$24,"SemiAuto")+COUNT(ORÇAMENTO.ListaCrono)</definedName>
    <definedName name="CRONO.Lista.AdmLocal" hidden="1">CRONO!$A$13:$A$53</definedName>
    <definedName name="CRONO.Lista.Níveis" hidden="1">CRONO!$A$9:$A$11</definedName>
    <definedName name="CRONO.margemrow" hidden="1">CRONO!$70:$70</definedName>
    <definedName name="CRONO.MaxParc" hidden="1">CRONO!$H1048576+CRONO!A1</definedName>
    <definedName name="CRONO.NivelExibicao" hidden="1">CRONO!$H$10</definedName>
    <definedName name="CRONO.Parcela1" hidden="1">CRONO!$U$12:$U$13</definedName>
    <definedName name="CRONO.ParcelaFinal" hidden="1">MATCH(100%,CRONO!$U$59:$AG$59,0)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SUMIF(CÁLCULO!$M$15:$M$71,CRONOPLE!$B1,OFFSET(CÁLCULO!$AA$15:$AA$71,0,CRONOPLE!A$12))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BM!$D$74</definedName>
    <definedName name="Import.BMAFAcumulado" hidden="1">OFFSET(BM!$R$15,1,0):OFFSET(BM!$R$71,-1,0)</definedName>
    <definedName name="Import.BMArred" hidden="1">BM!$A$9</definedName>
    <definedName name="Import.CNPJ" hidden="1">DADOS!$C$39</definedName>
    <definedName name="Import.Código" hidden="1">OFFSET(ORÇAMENTO!$Q$15,1,0):OFFSET(ORÇAMENTO!$Q$71,-1,0)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OFFSET(ORÇAMENTO!$U$15,1,0):OFFSET(ORÇAMENTO!$U$71,-1,0)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OFFSET(ORÇAMENTO!$R$15,1,0):OFFSET(ORÇAMENTO!$R$71,-1,0)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OFFSET(ORÇAMENTO!$P$15,1,0):OFFSET(ORÇAMENTO!$P$71,-1,0)</definedName>
    <definedName name="Import.FrenteDeObra" hidden="1">CÁLCULO!$Q$12:OFFSET(CÁLCULO!$AA$12,0,-1)</definedName>
    <definedName name="Import.MacrosserviçoAdmLocal" hidden="1">CRONO!$H$64</definedName>
    <definedName name="Import.Município" hidden="1">DADOS!$C$6</definedName>
    <definedName name="Import.Nível" hidden="1">OFFSET(ORÇAMENTO!$M$15,1,0):OFFSET(ORÇAMENTO!$M$71,-1,0)</definedName>
    <definedName name="Import.Ofício.Dest" hidden="1">OFÍCIO!$B$11</definedName>
    <definedName name="Import.Ofício.GIGOV" hidden="1">OFÍCIO!$C$11</definedName>
    <definedName name="Import.Ofício.Num" hidden="1">OFÍCIO!$C$6</definedName>
    <definedName name="Import.OpcaoBDI" hidden="1">OFFSET(ORÇAMENTO!$V$15,1,0):OFFSET(ORÇAMENTO!$V$71,-1,0)</definedName>
    <definedName name="Import.ORÇAMENTO.DivRecurso" hidden="1">OFFSET(ORÇAMENTO!$Y$15,1,0):OFFSET(ORÇAMENTO!$Y$71,-1,0)</definedName>
    <definedName name="Import.ORÇAMENTO.Obs" hidden="1">ORÇAMENTO!$O$77</definedName>
    <definedName name="Import.PLE" hidden="1">OFFSET(PLE!$G$15,1,1):OFFSET(PLE!$AG$65,-1,-1)</definedName>
    <definedName name="Import.PLE.Datas" hidden="1">PLE!$I$68:$AF$68</definedName>
    <definedName name="Import.PLQ" hidden="1">OFFSET(CÁLCULO!$P$15,1,1):OFFSET(CÁLCULO!$AA$71,-1,-1)</definedName>
    <definedName name="Import.PLQ.MemCalc" hidden="1">OFFSET(CÁLCULO!$I$15,1,0):OFFSET(CÁLCULO!$I$71,-1,0)</definedName>
    <definedName name="Import.PLQ.nAgrupEvent" hidden="1">OFFSET(CÁLCULO!$K$15,1,0):OFFSET(CÁLCULO!$K$71,-1,0)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OFFSET(ORÇAMENTO!$AJ$15,1,0):OFFSET(ORÇAMENTO!$AJ$71,-1,0)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OFFSET(ORÇAMENTO!$S$15,1,0):OFFSET(ORÇAMENTO!$S$71,-1,0)</definedName>
    <definedName name="Import.UnitarioLicitado" hidden="1">OFFSET(ORÇAMENTO!$AL$15,1,0):OFFSET(ORÇAMENTO!$AL$71,-1,0)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ORÇAMENTO!$L$15:$L$71</definedName>
    <definedName name="ORÇAMENTO.firstrow" hidden="1">ORÇAMENTO!$15:$15</definedName>
    <definedName name="ORÇAMENTO.Fonte" hidden="1">ORÇAMENTO!$P1</definedName>
    <definedName name="ORÇAMENTO.lastrow" hidden="1">ORÇAMENTO!$71:$71</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OFFSET(ORÇAMENTO!$AD$15,1,0):OFFSET(ORÇAMENTO!$AD$71,-1,0)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OFFSET(ORÇAMENTO!$P$15,1,0):OFFSET(ORÇAMENTO!$S$71,-1,0)</definedName>
    <definedName name="ORÇAMENTO.PasteFormat2" hidden="1">OFFSET(ORÇAMENTO!$U$15,1,0):OFFSET(ORÇAMENTO!$V$71,-1,0)</definedName>
    <definedName name="ORÇAMENTO.PrecoUnitarioLicitado" hidden="1">ORÇAMENTO!$AL1</definedName>
    <definedName name="ORÇAMENTO.QuantBM" hidden="1">ORÇAMENTO!$AJ1</definedName>
    <definedName name="ORÇAMENTO.RangeQuant" hidden="1">OFFSET(ORÇAMENTO!$T$15,1,0):OFFSET(ORÇAMENTO!$T$71,-1,0)</definedName>
    <definedName name="ORÇAMENTO.SumCPMANUAL" hidden="1">SUMIF(ORÇAMENTO!$Z$15:$Z$71,"CP",ORÇAMENTO!$AA$15:$AA$71)</definedName>
    <definedName name="ORÇAMENTO.SumINVMANUAL" hidden="1">SUMIF(ORÇAMENTO!$Z$15:$Z$71,"RP",ORÇAMENTO!$X$15:$X$71)+SUMIF(ORÇAMENTO!$Z$15:$Z$71,"CP",ORÇAMENTO!$X$15:$X$71)+SUMIF(ORÇAMENTO!$Z$15:$Z$71,"OU",ORÇAMENTO!$X$15:$X$71)</definedName>
    <definedName name="ORÇAMENTO.SumOUTROSMANUAL" hidden="1">SUMIF(ORÇAMENTO!$Z$15:$Z$71,"OU",ORÇAMENTO!$AB$15:$AB$71)</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SUMIF(CÁLCULO!$M$15:$M$71,PLE!$B1,OFFSET(CÁLCULO!$AA$15:$AA$71,0,PLE!A$12))</definedName>
    <definedName name="PO.ValoresBDI" hidden="1">OFFSET(ORÇAMENTO!$AH$15,1,0):OFFSET(ORÇAMENTO!$AH$71,-1,0)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J69" i="5" l="1"/>
  <c r="AJ70" i="5" s="1"/>
  <c r="AJ65" i="5"/>
  <c r="AJ66" i="5"/>
  <c r="AJ55" i="5"/>
  <c r="AJ54" i="5"/>
  <c r="AJ49" i="5"/>
  <c r="AJ50" i="5"/>
  <c r="AJ52" i="5"/>
  <c r="AJ51" i="5"/>
  <c r="AJ47" i="5"/>
  <c r="AJ46" i="5"/>
  <c r="AJ44" i="5"/>
  <c r="AJ45" i="5"/>
  <c r="AJ32" i="5"/>
  <c r="AJ31" i="5"/>
  <c r="A32" i="5"/>
  <c r="A31" i="5"/>
  <c r="A30" i="5"/>
  <c r="A62" i="5"/>
  <c r="A61" i="5"/>
  <c r="A60" i="5"/>
  <c r="A59" i="5"/>
  <c r="A58" i="5"/>
  <c r="A57" i="5"/>
  <c r="A70" i="5"/>
  <c r="A69" i="5"/>
  <c r="A68" i="5"/>
  <c r="A67" i="5"/>
  <c r="A66" i="5"/>
  <c r="A65" i="5"/>
  <c r="A64" i="5"/>
  <c r="A23" i="5"/>
  <c r="AJ37" i="5"/>
  <c r="A35" i="5"/>
  <c r="AJ34" i="5"/>
  <c r="AJ35" i="5" s="1"/>
  <c r="AJ36" i="5"/>
  <c r="AJ27" i="5"/>
  <c r="AJ25" i="5"/>
  <c r="AJ26" i="5"/>
  <c r="A19" i="5"/>
  <c r="A45" i="5"/>
  <c r="A44" i="5"/>
  <c r="A43" i="5"/>
  <c r="A42" i="5"/>
  <c r="A41" i="5"/>
  <c r="A40" i="5"/>
  <c r="A39" i="5"/>
  <c r="A38" i="5"/>
  <c r="A37" i="5"/>
  <c r="A36" i="5"/>
  <c r="A34" i="5"/>
  <c r="A33" i="5"/>
  <c r="A29" i="5"/>
  <c r="A28" i="5"/>
  <c r="A27" i="5"/>
  <c r="A26" i="5"/>
  <c r="A63" i="5"/>
  <c r="A56" i="5"/>
  <c r="A55" i="5"/>
  <c r="A54" i="5"/>
  <c r="A53" i="5"/>
  <c r="A52" i="5"/>
  <c r="A51" i="5"/>
  <c r="A50" i="5"/>
  <c r="A49" i="5"/>
  <c r="A48" i="5"/>
  <c r="A47" i="5"/>
  <c r="A46" i="5"/>
  <c r="A25" i="5"/>
  <c r="A24" i="5"/>
  <c r="A22" i="5"/>
  <c r="A21" i="5"/>
  <c r="A20" i="5"/>
  <c r="A18" i="5"/>
  <c r="C192" i="3"/>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A17" i="5"/>
  <c r="C16" i="5"/>
  <c r="F16" i="5" s="1"/>
  <c r="A16" i="5"/>
  <c r="R101" i="4"/>
  <c r="J105" i="4"/>
  <c r="J102" i="4"/>
  <c r="J101" i="4"/>
  <c r="J65" i="4"/>
  <c r="J62" i="4"/>
  <c r="J61" i="4"/>
  <c r="C188" i="3"/>
  <c r="E23" i="13" l="1"/>
  <c r="A23" i="11"/>
  <c r="G16" i="5"/>
  <c r="I16" i="5"/>
  <c r="N16" i="5"/>
  <c r="D16" i="6" s="1"/>
  <c r="B16" i="5"/>
  <c r="A16" i="12"/>
  <c r="B16" i="6"/>
  <c r="E16" i="12"/>
  <c r="H16" i="5"/>
  <c r="W16" i="5" a="1"/>
  <c r="AE16" i="5" a="1"/>
  <c r="C17" i="5"/>
  <c r="C18" i="5" s="1"/>
  <c r="C19" i="5" s="1"/>
  <c r="L17" i="6"/>
  <c r="L18" i="6" s="1"/>
  <c r="L19" i="6" s="1"/>
  <c r="B20" i="8"/>
  <c r="E19" i="13"/>
  <c r="A19" i="11"/>
  <c r="A17" i="11"/>
  <c r="C184" i="3"/>
  <c r="C183" i="3"/>
  <c r="C181" i="3"/>
  <c r="D19" i="5" l="1"/>
  <c r="B19" i="12" s="1"/>
  <c r="K19" i="5"/>
  <c r="AD19" i="5"/>
  <c r="AE19" i="5" a="1"/>
  <c r="A19" i="12"/>
  <c r="J19" i="5"/>
  <c r="N19" i="5"/>
  <c r="D19" i="6" s="1"/>
  <c r="B19" i="6"/>
  <c r="A18" i="12"/>
  <c r="K18" i="5"/>
  <c r="AE18" i="5" a="1"/>
  <c r="D18" i="5"/>
  <c r="B18" i="12" s="1"/>
  <c r="J18" i="5"/>
  <c r="N18" i="5"/>
  <c r="D18" i="6" s="1"/>
  <c r="AD18" i="5"/>
  <c r="C20" i="5"/>
  <c r="L20" i="6"/>
  <c r="B18" i="6"/>
  <c r="B17" i="6"/>
  <c r="A17" i="12"/>
  <c r="E17" i="12"/>
  <c r="B17" i="5"/>
  <c r="B18" i="5" s="1"/>
  <c r="B19" i="5" s="1"/>
  <c r="I17" i="5"/>
  <c r="N17" i="5"/>
  <c r="W17" i="5" a="1"/>
  <c r="H17" i="5"/>
  <c r="H18" i="5" s="1"/>
  <c r="H19" i="5" s="1"/>
  <c r="G17" i="5"/>
  <c r="G18" i="5" s="1"/>
  <c r="G19" i="5" s="1"/>
  <c r="F17" i="5"/>
  <c r="F18" i="5" s="1"/>
  <c r="F19" i="5" s="1"/>
  <c r="AE17" i="5" a="1"/>
  <c r="B23" i="8"/>
  <c r="M16" i="6"/>
  <c r="H16" i="6" a="1"/>
  <c r="G16" i="6"/>
  <c r="N16" i="6"/>
  <c r="AD16" i="5"/>
  <c r="AD17" i="5" s="1"/>
  <c r="E16" i="5"/>
  <c r="F16" i="6"/>
  <c r="AC71" i="5" a="1"/>
  <c r="H19" i="6" l="1" a="1"/>
  <c r="G20" i="5"/>
  <c r="A20" i="12"/>
  <c r="AD20" i="5"/>
  <c r="C21" i="5"/>
  <c r="F20" i="5"/>
  <c r="N20" i="5"/>
  <c r="D20" i="6" s="1"/>
  <c r="D20" i="5"/>
  <c r="B20" i="12" s="1"/>
  <c r="H20" i="5"/>
  <c r="K20" i="5"/>
  <c r="AE20" i="5" a="1"/>
  <c r="B20" i="5"/>
  <c r="J20" i="5"/>
  <c r="B20" i="6"/>
  <c r="L21" i="6"/>
  <c r="H18" i="6" a="1"/>
  <c r="B26" i="8"/>
  <c r="D17" i="6"/>
  <c r="F17" i="6"/>
  <c r="B14" i="11"/>
  <c r="A14" i="13"/>
  <c r="E17" i="5"/>
  <c r="E18" i="5" s="1"/>
  <c r="E19" i="5" s="1"/>
  <c r="E20" i="5" s="1"/>
  <c r="L14" i="6"/>
  <c r="AE7" i="10" a="1"/>
  <c r="AE6" i="10" a="1"/>
  <c r="V7" i="10" a="1"/>
  <c r="V6" i="10" a="1"/>
  <c r="D78" i="12" a="1"/>
  <c r="AB15" i="12" a="1"/>
  <c r="Q12" i="12" a="1"/>
  <c r="X13" i="12" a="1"/>
  <c r="W13" i="12" a="1"/>
  <c r="V13" i="12" a="1"/>
  <c r="J12" i="12" a="1"/>
  <c r="I8" i="12" a="1"/>
  <c r="I7" i="12" a="1"/>
  <c r="A7" i="12" a="1"/>
  <c r="E2" i="12" a="1"/>
  <c r="AF8" i="8" a="1"/>
  <c r="AF7" i="8" a="1"/>
  <c r="S4" i="8" a="1"/>
  <c r="Z8" i="8" a="1"/>
  <c r="Z7" i="8" a="1"/>
  <c r="D15" i="6" a="1"/>
  <c r="J120" i="4" a="1"/>
  <c r="J80" i="4" a="1"/>
  <c r="J40" i="4" a="1"/>
  <c r="D36" i="2" a="1"/>
  <c r="D41" i="2" a="1"/>
  <c r="D40" i="2" a="1"/>
  <c r="D39" i="2" a="1"/>
  <c r="D38" i="2" a="1"/>
  <c r="D37" i="2" a="1"/>
  <c r="G18" i="15" a="1"/>
  <c r="G10" i="15" a="1"/>
  <c r="E22" i="15" a="1"/>
  <c r="E18" i="15" a="1"/>
  <c r="E12" i="15" a="1"/>
  <c r="E10" i="15" a="1"/>
  <c r="E24" i="15" a="1"/>
  <c r="C18" i="15" a="1"/>
  <c r="C14" i="15" a="1"/>
  <c r="C12" i="15" a="1"/>
  <c r="C10" i="15" a="1"/>
  <c r="N15" i="5" a="1"/>
  <c r="M15" i="5" a="1"/>
  <c r="F10" i="5" a="1"/>
  <c r="F9" i="5" a="1"/>
  <c r="F8" i="5" a="1"/>
  <c r="A14" i="5"/>
  <c r="C165" i="3"/>
  <c r="G11" i="5" a="1"/>
  <c r="G21" i="5" l="1"/>
  <c r="J21" i="5"/>
  <c r="E21" i="5"/>
  <c r="D21" i="5"/>
  <c r="B21" i="12" s="1"/>
  <c r="B21" i="5"/>
  <c r="F21" i="5"/>
  <c r="H21" i="5"/>
  <c r="K21" i="5"/>
  <c r="N21" i="5"/>
  <c r="D21" i="6" s="1"/>
  <c r="AD21" i="5"/>
  <c r="AE21" i="5" a="1"/>
  <c r="A21" i="12"/>
  <c r="H20" i="6" a="1"/>
  <c r="B21" i="6"/>
  <c r="C14" i="13"/>
  <c r="K14" i="11" a="1"/>
  <c r="G14" i="11"/>
  <c r="F14" i="13" s="1"/>
  <c r="G17" i="6"/>
  <c r="M17" i="6"/>
  <c r="H17" i="6" a="1"/>
  <c r="N17" i="6"/>
  <c r="B29" i="8"/>
  <c r="B14" i="6"/>
  <c r="C22" i="5" l="1"/>
  <c r="H21" i="6" a="1"/>
  <c r="L22" i="6"/>
  <c r="B32" i="8"/>
  <c r="F14" i="6"/>
  <c r="D14" i="6"/>
  <c r="C171" i="3"/>
  <c r="C170" i="3"/>
  <c r="C169" i="3"/>
  <c r="C166" i="3"/>
  <c r="C160" i="3"/>
  <c r="C159" i="3"/>
  <c r="C23" i="5" l="1"/>
  <c r="L23" i="6"/>
  <c r="B22" i="5"/>
  <c r="G22" i="5"/>
  <c r="K22" i="5"/>
  <c r="AD22" i="5"/>
  <c r="A22" i="12"/>
  <c r="E22" i="5"/>
  <c r="D22" i="5"/>
  <c r="B22" i="12" s="1"/>
  <c r="H22" i="5"/>
  <c r="F22" i="5"/>
  <c r="J22" i="5"/>
  <c r="N22" i="5"/>
  <c r="D22" i="6" s="1"/>
  <c r="AE22" i="5" a="1"/>
  <c r="B22" i="6"/>
  <c r="B35" i="8"/>
  <c r="G14" i="6"/>
  <c r="H14" i="6" a="1"/>
  <c r="X9" i="5"/>
  <c r="W9" i="5"/>
  <c r="V9" i="5"/>
  <c r="U9" i="5"/>
  <c r="T9" i="5"/>
  <c r="H23" i="5" l="1"/>
  <c r="J23" i="5"/>
  <c r="N23" i="5"/>
  <c r="D23" i="6" s="1"/>
  <c r="D23" i="5"/>
  <c r="B23" i="12" s="1"/>
  <c r="G23" i="5"/>
  <c r="K23" i="5"/>
  <c r="F23" i="5"/>
  <c r="AD23" i="5"/>
  <c r="AE23" i="5" a="1"/>
  <c r="E23" i="5"/>
  <c r="A23" i="12"/>
  <c r="B23" i="5"/>
  <c r="B23" i="6"/>
  <c r="H22" i="6" a="1"/>
  <c r="B38" i="8"/>
  <c r="C177" i="3"/>
  <c r="C175" i="3"/>
  <c r="H23" i="6" l="1" a="1"/>
  <c r="E24" i="12"/>
  <c r="B41" i="8"/>
  <c r="C157" i="3"/>
  <c r="C173" i="3"/>
  <c r="C167" i="3"/>
  <c r="C164" i="3"/>
  <c r="C163" i="3"/>
  <c r="C161" i="3"/>
  <c r="B44" i="8" l="1"/>
  <c r="C153" i="3"/>
  <c r="C151" i="3"/>
  <c r="C24" i="5" l="1"/>
  <c r="L24" i="6"/>
  <c r="B47" i="8"/>
  <c r="A12" i="6"/>
  <c r="H24" i="5" l="1"/>
  <c r="E24" i="5"/>
  <c r="C25" i="5"/>
  <c r="AD24" i="5"/>
  <c r="B24" i="5"/>
  <c r="AE24" i="5" a="1"/>
  <c r="A24" i="12"/>
  <c r="N24" i="5"/>
  <c r="D24" i="6" s="1"/>
  <c r="G24" i="5"/>
  <c r="F24" i="5"/>
  <c r="F24" i="6"/>
  <c r="B24" i="6"/>
  <c r="L25" i="6"/>
  <c r="X64" i="7" a="1"/>
  <c r="R64" i="7" a="1"/>
  <c r="L64" i="7" a="1"/>
  <c r="E64" i="7" a="1"/>
  <c r="V63" i="7" a="1"/>
  <c r="P63" i="7" a="1"/>
  <c r="J63" i="7" a="1"/>
  <c r="T62" i="7" a="1"/>
  <c r="N62" i="7" a="1"/>
  <c r="H62" i="7" a="1"/>
  <c r="X61" i="7" a="1"/>
  <c r="R61" i="7" a="1"/>
  <c r="L61" i="7" a="1"/>
  <c r="E61" i="7" a="1"/>
  <c r="V60" i="7" a="1"/>
  <c r="P60" i="7" a="1"/>
  <c r="J60" i="7" a="1"/>
  <c r="T59" i="7" a="1"/>
  <c r="N59" i="7" a="1"/>
  <c r="H59" i="7" a="1"/>
  <c r="X58" i="7" a="1"/>
  <c r="R58" i="7" a="1"/>
  <c r="L58" i="7" a="1"/>
  <c r="E58" i="7" a="1"/>
  <c r="V57" i="7" a="1"/>
  <c r="P57" i="7" a="1"/>
  <c r="J57" i="7" a="1"/>
  <c r="T56" i="7" a="1"/>
  <c r="N56" i="7" a="1"/>
  <c r="H56" i="7" a="1"/>
  <c r="X55" i="7" a="1"/>
  <c r="R55" i="7" a="1"/>
  <c r="L55" i="7" a="1"/>
  <c r="E55" i="7" a="1"/>
  <c r="V54" i="7" a="1"/>
  <c r="P54" i="7" a="1"/>
  <c r="J54" i="7" a="1"/>
  <c r="T53" i="7" a="1"/>
  <c r="N53" i="7" a="1"/>
  <c r="H53" i="7" a="1"/>
  <c r="X52" i="7" a="1"/>
  <c r="R52" i="7" a="1"/>
  <c r="L52" i="7" a="1"/>
  <c r="E52" i="7" a="1"/>
  <c r="V51" i="7" a="1"/>
  <c r="P51" i="7" a="1"/>
  <c r="J51" i="7" a="1"/>
  <c r="T50" i="7" a="1"/>
  <c r="N50" i="7" a="1"/>
  <c r="H50" i="7" a="1"/>
  <c r="X49" i="7" a="1"/>
  <c r="R49" i="7" a="1"/>
  <c r="L49" i="7" a="1"/>
  <c r="E49" i="7" a="1"/>
  <c r="V48" i="7" a="1"/>
  <c r="P48" i="7" a="1"/>
  <c r="J48" i="7" a="1"/>
  <c r="T47" i="7" a="1"/>
  <c r="N47" i="7" a="1"/>
  <c r="H47" i="7" a="1"/>
  <c r="X46" i="7" a="1"/>
  <c r="R46" i="7" a="1"/>
  <c r="L46" i="7" a="1"/>
  <c r="E46" i="7" a="1"/>
  <c r="V45" i="7" a="1"/>
  <c r="P45" i="7" a="1"/>
  <c r="J45" i="7" a="1"/>
  <c r="T44" i="7" a="1"/>
  <c r="N44" i="7" a="1"/>
  <c r="H44" i="7" a="1"/>
  <c r="X43" i="7" a="1"/>
  <c r="R43" i="7" a="1"/>
  <c r="L43" i="7" a="1"/>
  <c r="E43" i="7" a="1"/>
  <c r="V42" i="7" a="1"/>
  <c r="P42" i="7" a="1"/>
  <c r="J42" i="7" a="1"/>
  <c r="T41" i="7" a="1"/>
  <c r="N41" i="7" a="1"/>
  <c r="H41" i="7" a="1"/>
  <c r="X40" i="7" a="1"/>
  <c r="R40" i="7" a="1"/>
  <c r="L40" i="7" a="1"/>
  <c r="E40" i="7" a="1"/>
  <c r="V39" i="7" a="1"/>
  <c r="W64" i="7" a="1"/>
  <c r="Q64" i="7" a="1"/>
  <c r="K64" i="7" a="1"/>
  <c r="U63" i="7" a="1"/>
  <c r="O63" i="7" a="1"/>
  <c r="I63" i="7" a="1"/>
  <c r="Y62" i="7" a="1"/>
  <c r="S62" i="7" a="1"/>
  <c r="M62" i="7" a="1"/>
  <c r="F62" i="7"/>
  <c r="W61" i="7" a="1"/>
  <c r="Q61" i="7" a="1"/>
  <c r="K61" i="7" a="1"/>
  <c r="U60" i="7" a="1"/>
  <c r="O60" i="7" a="1"/>
  <c r="I60" i="7" a="1"/>
  <c r="Y59" i="7" a="1"/>
  <c r="V64" i="7" a="1"/>
  <c r="P64" i="7" a="1"/>
  <c r="J64" i="7" a="1"/>
  <c r="T63" i="7" a="1"/>
  <c r="N63" i="7" a="1"/>
  <c r="H63" i="7" a="1"/>
  <c r="X62" i="7" a="1"/>
  <c r="R62" i="7" a="1"/>
  <c r="L62" i="7" a="1"/>
  <c r="E62" i="7" a="1"/>
  <c r="V61" i="7" a="1"/>
  <c r="P61" i="7" a="1"/>
  <c r="J61" i="7" a="1"/>
  <c r="T60" i="7" a="1"/>
  <c r="N60" i="7" a="1"/>
  <c r="H60" i="7" a="1"/>
  <c r="X59" i="7" a="1"/>
  <c r="R59" i="7" a="1"/>
  <c r="L59" i="7" a="1"/>
  <c r="E59" i="7" a="1"/>
  <c r="V58" i="7" a="1"/>
  <c r="P58" i="7" a="1"/>
  <c r="J58" i="7" a="1"/>
  <c r="T57" i="7" a="1"/>
  <c r="N57" i="7" a="1"/>
  <c r="H57" i="7" a="1"/>
  <c r="X56" i="7" a="1"/>
  <c r="R56" i="7" a="1"/>
  <c r="L56" i="7" a="1"/>
  <c r="E56" i="7" a="1"/>
  <c r="V55" i="7" a="1"/>
  <c r="P55" i="7" a="1"/>
  <c r="J55" i="7" a="1"/>
  <c r="T54" i="7" a="1"/>
  <c r="N54" i="7" a="1"/>
  <c r="H54" i="7" a="1"/>
  <c r="X53" i="7" a="1"/>
  <c r="R53" i="7" a="1"/>
  <c r="L53" i="7" a="1"/>
  <c r="E53" i="7" a="1"/>
  <c r="V52" i="7" a="1"/>
  <c r="P52" i="7" a="1"/>
  <c r="J52" i="7" a="1"/>
  <c r="T51" i="7" a="1"/>
  <c r="N51" i="7" a="1"/>
  <c r="H51" i="7" a="1"/>
  <c r="X50" i="7" a="1"/>
  <c r="R50" i="7" a="1"/>
  <c r="L50" i="7" a="1"/>
  <c r="E50" i="7" a="1"/>
  <c r="V49" i="7" a="1"/>
  <c r="P49" i="7" a="1"/>
  <c r="J49" i="7" a="1"/>
  <c r="T48" i="7" a="1"/>
  <c r="N48" i="7" a="1"/>
  <c r="H48" i="7" a="1"/>
  <c r="X47" i="7" a="1"/>
  <c r="R47" i="7" a="1"/>
  <c r="L47" i="7" a="1"/>
  <c r="E47" i="7" a="1"/>
  <c r="V46" i="7" a="1"/>
  <c r="P46" i="7" a="1"/>
  <c r="J46" i="7" a="1"/>
  <c r="T45" i="7" a="1"/>
  <c r="N45" i="7" a="1"/>
  <c r="H45" i="7" a="1"/>
  <c r="X44" i="7" a="1"/>
  <c r="R44" i="7" a="1"/>
  <c r="L44" i="7" a="1"/>
  <c r="E44" i="7" a="1"/>
  <c r="V43" i="7" a="1"/>
  <c r="P43" i="7" a="1"/>
  <c r="J43" i="7" a="1"/>
  <c r="H64" i="7" a="1"/>
  <c r="N61" i="7" a="1"/>
  <c r="E60" i="7" a="1"/>
  <c r="S59" i="7" a="1"/>
  <c r="J59" i="7" a="1"/>
  <c r="W58" i="7" a="1"/>
  <c r="N58" i="7" a="1"/>
  <c r="W56" i="7" a="1"/>
  <c r="I55" i="7" a="1"/>
  <c r="W54" i="7" a="1"/>
  <c r="S53" i="7" a="1"/>
  <c r="J53" i="7" a="1"/>
  <c r="W52" i="7" a="1"/>
  <c r="F52" i="7"/>
  <c r="M51" i="7" a="1"/>
  <c r="E51" i="7" a="1"/>
  <c r="F50" i="7"/>
  <c r="W48" i="7" a="1"/>
  <c r="Q46" i="7" a="1"/>
  <c r="Y45" i="7" a="1"/>
  <c r="R45" i="7" a="1"/>
  <c r="K45" i="7" a="1"/>
  <c r="S44" i="7" a="1"/>
  <c r="N42" i="7" a="1"/>
  <c r="Q41" i="7" a="1"/>
  <c r="M40" i="7" a="1"/>
  <c r="F64" i="7"/>
  <c r="S63" i="7" a="1"/>
  <c r="V62" i="7" a="1"/>
  <c r="K62" i="7" a="1"/>
  <c r="M61" i="7" a="1"/>
  <c r="Y60" i="7" a="1"/>
  <c r="I59" i="7" a="1"/>
  <c r="M58" i="7" a="1"/>
  <c r="R57" i="7" a="1"/>
  <c r="I57" i="7" a="1"/>
  <c r="M54" i="7" a="1"/>
  <c r="I53" i="7" a="1"/>
  <c r="N52" i="7" a="1"/>
  <c r="U51" i="7" a="1"/>
  <c r="U50" i="7" a="1"/>
  <c r="U49" i="7" a="1"/>
  <c r="N49" i="7" a="1"/>
  <c r="F49" i="7"/>
  <c r="O48" i="7" a="1"/>
  <c r="W47" i="7" a="1"/>
  <c r="P47" i="7" a="1"/>
  <c r="I47" i="7" a="1"/>
  <c r="I46" i="7" a="1"/>
  <c r="K44" i="7" a="1"/>
  <c r="S43" i="7" a="1"/>
  <c r="U62" i="7" a="1"/>
  <c r="Q59" i="7" a="1"/>
  <c r="U58" i="7" a="1"/>
  <c r="Q57" i="7" a="1"/>
  <c r="V56" i="7" a="1"/>
  <c r="M56" i="7" a="1"/>
  <c r="Q55" i="7" a="1"/>
  <c r="H55" i="7" a="1"/>
  <c r="Q53" i="7" a="1"/>
  <c r="U52" i="7" a="1"/>
  <c r="L51" i="7" a="1"/>
  <c r="M50" i="7" a="1"/>
  <c r="F48" i="7"/>
  <c r="W46" i="7" a="1"/>
  <c r="X45" i="7" a="1"/>
  <c r="Q45" i="7" a="1"/>
  <c r="O64" i="7" a="1"/>
  <c r="R63" i="7" a="1"/>
  <c r="F63" i="7"/>
  <c r="J62" i="7" a="1"/>
  <c r="U61" i="7" a="1"/>
  <c r="X60" i="7" a="1"/>
  <c r="M60" i="7" a="1"/>
  <c r="Y57" i="7" a="1"/>
  <c r="F57" i="7"/>
  <c r="U56" i="7" a="1"/>
  <c r="Y55" i="7" a="1"/>
  <c r="F55" i="7"/>
  <c r="U54" i="7" a="1"/>
  <c r="L54" i="7" a="1"/>
  <c r="M52" i="7" a="1"/>
  <c r="S51" i="7" a="1"/>
  <c r="T49" i="7" a="1"/>
  <c r="M49" i="7" a="1"/>
  <c r="U48" i="7" a="1"/>
  <c r="V47" i="7" a="1"/>
  <c r="O47" i="7" a="1"/>
  <c r="O46" i="7" a="1"/>
  <c r="H46" i="7" a="1"/>
  <c r="I45" i="7" a="1"/>
  <c r="Q44" i="7" a="1"/>
  <c r="J44" i="7" a="1"/>
  <c r="Y43" i="7" a="1"/>
  <c r="S42" i="7" a="1"/>
  <c r="Y64" i="7" a="1"/>
  <c r="Q63" i="7" a="1"/>
  <c r="I62" i="7" a="1"/>
  <c r="W60" i="7" a="1"/>
  <c r="P59" i="7" a="1"/>
  <c r="F59" i="7"/>
  <c r="T58" i="7" a="1"/>
  <c r="K58" i="7" a="1"/>
  <c r="K56" i="7" a="1"/>
  <c r="O55" i="7" a="1"/>
  <c r="K54" i="7" a="1"/>
  <c r="Y53" i="7" a="1"/>
  <c r="P53" i="7" a="1"/>
  <c r="F53" i="7"/>
  <c r="T52" i="7" a="1"/>
  <c r="K51" i="7" a="1"/>
  <c r="S50" i="7" a="1"/>
  <c r="M48" i="7" a="1"/>
  <c r="E48" i="7" a="1"/>
  <c r="F47" i="7"/>
  <c r="W45" i="7" a="1"/>
  <c r="Q43" i="7" a="1"/>
  <c r="Y42" i="7" a="1"/>
  <c r="L42" i="7" a="1"/>
  <c r="O41" i="7" a="1"/>
  <c r="Q40" i="7" a="1"/>
  <c r="W63" i="7" a="1"/>
  <c r="O62" i="7" a="1"/>
  <c r="U59" i="7" a="1"/>
  <c r="Y58" i="7" a="1"/>
  <c r="F58" i="7"/>
  <c r="U57" i="7" a="1"/>
  <c r="L57" i="7" a="1"/>
  <c r="Y54" i="7" a="1"/>
  <c r="F54" i="7"/>
  <c r="U53" i="7" a="1"/>
  <c r="Y52" i="7" a="1"/>
  <c r="Q52" i="7" a="1"/>
  <c r="W50" i="7" a="1"/>
  <c r="P50" i="7" a="1"/>
  <c r="I50" i="7" a="1"/>
  <c r="I49" i="7" a="1"/>
  <c r="K47" i="7" a="1"/>
  <c r="S46" i="7" a="1"/>
  <c r="T64" i="7" a="1"/>
  <c r="I64" i="7" a="1"/>
  <c r="L63" i="7" a="1"/>
  <c r="O61" i="7" a="1"/>
  <c r="S64" i="7" a="1"/>
  <c r="K63" i="7" a="1"/>
  <c r="W62" i="7" a="1"/>
  <c r="Y61" i="7" a="1"/>
  <c r="Q60" i="7" a="1"/>
  <c r="S57" i="7" a="1"/>
  <c r="O56" i="7" a="1"/>
  <c r="S55" i="7" a="1"/>
  <c r="X54" i="7" a="1"/>
  <c r="O54" i="7" a="1"/>
  <c r="E54" i="7" a="1"/>
  <c r="O52" i="7" a="1"/>
  <c r="V50" i="7" a="1"/>
  <c r="O50" i="7" a="1"/>
  <c r="O49" i="7" a="1"/>
  <c r="H49" i="7" a="1"/>
  <c r="I48" i="7" a="1"/>
  <c r="Q47" i="7" a="1"/>
  <c r="J47" i="7" a="1"/>
  <c r="Y46" i="7" a="1"/>
  <c r="F61" i="7"/>
  <c r="F60" i="7"/>
  <c r="N55" i="7" a="1"/>
  <c r="Q54" i="7" a="1"/>
  <c r="S52" i="7" a="1"/>
  <c r="F51" i="7"/>
  <c r="K50" i="7" a="1"/>
  <c r="X48" i="7" a="1"/>
  <c r="U44" i="7" a="1"/>
  <c r="I44" i="7" a="1"/>
  <c r="K43" i="7" a="1"/>
  <c r="W42" i="7" a="1"/>
  <c r="U41" i="7" a="1"/>
  <c r="M41" i="7" a="1"/>
  <c r="S39" i="7" a="1"/>
  <c r="L39" i="7" a="1"/>
  <c r="T38" i="7" a="1"/>
  <c r="T37" i="7" a="1"/>
  <c r="M37" i="7" a="1"/>
  <c r="E37" i="7" a="1"/>
  <c r="M36" i="7" a="1"/>
  <c r="E36" i="7" a="1"/>
  <c r="U35" i="7" a="1"/>
  <c r="N35" i="7" a="1"/>
  <c r="U34" i="7" a="1"/>
  <c r="N34" i="7" a="1"/>
  <c r="F34" i="7"/>
  <c r="V33" i="7" a="1"/>
  <c r="F33" i="7"/>
  <c r="V32" i="7" a="1"/>
  <c r="O32" i="7" a="1"/>
  <c r="H32" i="7" a="1"/>
  <c r="O31" i="7" a="1"/>
  <c r="H31" i="7" a="1"/>
  <c r="W30" i="7" a="1"/>
  <c r="P30" i="7" a="1"/>
  <c r="W29" i="7" a="1"/>
  <c r="P29" i="7" a="1"/>
  <c r="I29" i="7" a="1"/>
  <c r="X28" i="7" a="1"/>
  <c r="I28" i="7" a="1"/>
  <c r="X27" i="7" a="1"/>
  <c r="Q27" i="7" a="1"/>
  <c r="J27" i="7" a="1"/>
  <c r="Q26" i="7" a="1"/>
  <c r="J26" i="7" a="1"/>
  <c r="Y25" i="7" a="1"/>
  <c r="R25" i="7" a="1"/>
  <c r="Y24" i="7" a="1"/>
  <c r="R24" i="7" a="1"/>
  <c r="K24" i="7" a="1"/>
  <c r="K23" i="7" a="1"/>
  <c r="S22" i="7" a="1"/>
  <c r="L22" i="7" a="1"/>
  <c r="S21" i="7" a="1"/>
  <c r="L21" i="7" a="1"/>
  <c r="T20" i="7" a="1"/>
  <c r="T19" i="7" a="1"/>
  <c r="M19" i="7" a="1"/>
  <c r="V18" i="7" a="1"/>
  <c r="O18" i="7" a="1"/>
  <c r="X17" i="7" a="1"/>
  <c r="K17" i="7" a="1"/>
  <c r="T16" i="7" a="1"/>
  <c r="F16" i="7"/>
  <c r="H58" i="7" a="1"/>
  <c r="K57" i="7" a="1"/>
  <c r="J56" i="7" a="1"/>
  <c r="M55" i="7" a="1"/>
  <c r="O53" i="7" a="1"/>
  <c r="X51" i="7" a="1"/>
  <c r="Q49" i="7" a="1"/>
  <c r="N46" i="7" a="1"/>
  <c r="U45" i="7" a="1"/>
  <c r="F45" i="7"/>
  <c r="U43" i="7" a="1"/>
  <c r="I43" i="7" a="1"/>
  <c r="E42" i="7" a="1"/>
  <c r="T40" i="7" a="1"/>
  <c r="S38" i="7" a="1"/>
  <c r="L38" i="7" a="1"/>
  <c r="T36" i="7" a="1"/>
  <c r="M35" i="7" a="1"/>
  <c r="E35" i="7" a="1"/>
  <c r="U33" i="7" a="1"/>
  <c r="N33" i="7" a="1"/>
  <c r="F32" i="7"/>
  <c r="V31" i="7" a="1"/>
  <c r="O30" i="7" a="1"/>
  <c r="H30" i="7" a="1"/>
  <c r="W28" i="7" a="1"/>
  <c r="P28" i="7" a="1"/>
  <c r="I27" i="7" a="1"/>
  <c r="X26" i="7" a="1"/>
  <c r="Q25" i="7" a="1"/>
  <c r="J25" i="7" a="1"/>
  <c r="Y23" i="7" a="1"/>
  <c r="R23" i="7" a="1"/>
  <c r="K22" i="7" a="1"/>
  <c r="S20" i="7" a="1"/>
  <c r="L20" i="7" a="1"/>
  <c r="E19" i="7" a="1"/>
  <c r="U18" i="7" a="1"/>
  <c r="H18" i="7" a="1"/>
  <c r="Q17" i="7" a="1"/>
  <c r="M16" i="7" a="1"/>
  <c r="U64" i="7" a="1"/>
  <c r="E57" i="7" a="1"/>
  <c r="I56" i="7" a="1"/>
  <c r="W51" i="7" a="1"/>
  <c r="J50" i="7" a="1"/>
  <c r="S48" i="7" a="1"/>
  <c r="M42" i="7" a="1"/>
  <c r="L41" i="7" a="1"/>
  <c r="S40" i="7" a="1"/>
  <c r="K40" i="7" a="1"/>
  <c r="R39" i="7" a="1"/>
  <c r="K39" i="7" a="1"/>
  <c r="K38" i="7" a="1"/>
  <c r="S37" i="7" a="1"/>
  <c r="L37" i="7" a="1"/>
  <c r="S36" i="7" a="1"/>
  <c r="L36" i="7" a="1"/>
  <c r="T35" i="7" a="1"/>
  <c r="T34" i="7" a="1"/>
  <c r="M34" i="7" a="1"/>
  <c r="E34" i="7" a="1"/>
  <c r="M33" i="7" a="1"/>
  <c r="E33" i="7" a="1"/>
  <c r="U32" i="7" a="1"/>
  <c r="N32" i="7" a="1"/>
  <c r="U31" i="7" a="1"/>
  <c r="N31" i="7" a="1"/>
  <c r="F31" i="7"/>
  <c r="V30" i="7" a="1"/>
  <c r="F30" i="7"/>
  <c r="V29" i="7" a="1"/>
  <c r="O29" i="7" a="1"/>
  <c r="H29" i="7" a="1"/>
  <c r="O28" i="7" a="1"/>
  <c r="H28" i="7" a="1"/>
  <c r="W27" i="7" a="1"/>
  <c r="P27" i="7" a="1"/>
  <c r="W26" i="7" a="1"/>
  <c r="P26" i="7" a="1"/>
  <c r="I26" i="7" a="1"/>
  <c r="X25" i="7" a="1"/>
  <c r="I25" i="7" a="1"/>
  <c r="X24" i="7" a="1"/>
  <c r="Q24" i="7" a="1"/>
  <c r="J24" i="7" a="1"/>
  <c r="Q23" i="7" a="1"/>
  <c r="J23" i="7" a="1"/>
  <c r="Y22" i="7" a="1"/>
  <c r="R22" i="7" a="1"/>
  <c r="Y21" i="7" a="1"/>
  <c r="R21" i="7" a="1"/>
  <c r="K21" i="7" a="1"/>
  <c r="K20" i="7" a="1"/>
  <c r="S19" i="7" a="1"/>
  <c r="L19" i="7" a="1"/>
  <c r="N18" i="7" a="1"/>
  <c r="W17" i="7" a="1"/>
  <c r="J17" i="7" a="1"/>
  <c r="S16" i="7" a="1"/>
  <c r="E16" i="7" a="1"/>
  <c r="N64" i="7" a="1"/>
  <c r="M63" i="7" a="1"/>
  <c r="W59" i="7" a="1"/>
  <c r="K55" i="7" a="1"/>
  <c r="R51" i="7" a="1"/>
  <c r="Y50" i="7" a="1"/>
  <c r="Y47" i="7" a="1"/>
  <c r="M46" i="7" a="1"/>
  <c r="E45" i="7" a="1"/>
  <c r="F44" i="7"/>
  <c r="T43" i="7" a="1"/>
  <c r="H43" i="7" a="1"/>
  <c r="U42" i="7" a="1"/>
  <c r="S41" i="7" a="1"/>
  <c r="J40" i="7" a="1"/>
  <c r="Y39" i="7" a="1"/>
  <c r="Y38" i="7" a="1"/>
  <c r="R38" i="7" a="1"/>
  <c r="K37" i="7" a="1"/>
  <c r="S35" i="7" a="1"/>
  <c r="L35" i="7" a="1"/>
  <c r="T33" i="7" a="1"/>
  <c r="M32" i="7" a="1"/>
  <c r="E32" i="7" a="1"/>
  <c r="U30" i="7" a="1"/>
  <c r="N30" i="7" a="1"/>
  <c r="F29" i="7"/>
  <c r="V28" i="7" a="1"/>
  <c r="O27" i="7" a="1"/>
  <c r="H27" i="7" a="1"/>
  <c r="W25" i="7" a="1"/>
  <c r="P25" i="7" a="1"/>
  <c r="I24" i="7" a="1"/>
  <c r="X23" i="7" a="1"/>
  <c r="Q22" i="7" a="1"/>
  <c r="J22" i="7" a="1"/>
  <c r="Y20" i="7" a="1"/>
  <c r="R20" i="7" a="1"/>
  <c r="K19" i="7" a="1"/>
  <c r="T18" i="7" a="1"/>
  <c r="F18" i="7"/>
  <c r="P17" i="7" a="1"/>
  <c r="M64" i="7" a="1"/>
  <c r="E63" i="7" a="1"/>
  <c r="X57" i="7" a="1"/>
  <c r="F56" i="7"/>
  <c r="I54" i="7" a="1"/>
  <c r="M53" i="7" a="1"/>
  <c r="K49" i="7" a="1"/>
  <c r="R48" i="7" a="1"/>
  <c r="U47" i="7" a="1"/>
  <c r="S45" i="7" a="1"/>
  <c r="P44" i="7" a="1"/>
  <c r="T42" i="7" a="1"/>
  <c r="K41" i="7" a="1"/>
  <c r="Q39" i="7" a="1"/>
  <c r="J39" i="7" a="1"/>
  <c r="Q38" i="7" a="1"/>
  <c r="J38" i="7" a="1"/>
  <c r="Y37" i="7" a="1"/>
  <c r="R37" i="7" a="1"/>
  <c r="Y36" i="7" a="1"/>
  <c r="R36" i="7" a="1"/>
  <c r="K36" i="7" a="1"/>
  <c r="K35" i="7" a="1"/>
  <c r="S34" i="7" a="1"/>
  <c r="L34" i="7" a="1"/>
  <c r="S33" i="7" a="1"/>
  <c r="L33" i="7" a="1"/>
  <c r="T32" i="7" a="1"/>
  <c r="T31" i="7" a="1"/>
  <c r="M31" i="7" a="1"/>
  <c r="E31" i="7" a="1"/>
  <c r="M30" i="7" a="1"/>
  <c r="E30" i="7" a="1"/>
  <c r="U29" i="7" a="1"/>
  <c r="N29" i="7" a="1"/>
  <c r="U28" i="7" a="1"/>
  <c r="N28" i="7" a="1"/>
  <c r="F28" i="7"/>
  <c r="V27" i="7" a="1"/>
  <c r="F27" i="7"/>
  <c r="V26" i="7" a="1"/>
  <c r="O26" i="7" a="1"/>
  <c r="H26" i="7" a="1"/>
  <c r="O25" i="7" a="1"/>
  <c r="H25" i="7" a="1"/>
  <c r="W24" i="7" a="1"/>
  <c r="P24" i="7" a="1"/>
  <c r="W23" i="7" a="1"/>
  <c r="P23" i="7" a="1"/>
  <c r="I23" i="7" a="1"/>
  <c r="X22" i="7" a="1"/>
  <c r="I22" i="7" a="1"/>
  <c r="X21" i="7" a="1"/>
  <c r="Q21" i="7" a="1"/>
  <c r="J21" i="7" a="1"/>
  <c r="Q20" i="7" a="1"/>
  <c r="J20" i="7" a="1"/>
  <c r="Y19" i="7" a="1"/>
  <c r="R19" i="7" a="1"/>
  <c r="T61" i="7" a="1"/>
  <c r="V59" i="7" a="1"/>
  <c r="S58" i="7" a="1"/>
  <c r="W57" i="7" a="1"/>
  <c r="K53" i="7" a="1"/>
  <c r="K52" i="7" a="1"/>
  <c r="Q51" i="7" a="1"/>
  <c r="Q48" i="7" a="1"/>
  <c r="K46" i="7" a="1"/>
  <c r="O45" i="7" a="1"/>
  <c r="F43" i="7"/>
  <c r="K42" i="7" a="1"/>
  <c r="R41" i="7" a="1"/>
  <c r="J41" i="7" a="1"/>
  <c r="Y40" i="7" a="1"/>
  <c r="I40" i="7" a="1"/>
  <c r="X39" i="7" a="1"/>
  <c r="I39" i="7" a="1"/>
  <c r="X38" i="7" a="1"/>
  <c r="Q37" i="7" a="1"/>
  <c r="J37" i="7" a="1"/>
  <c r="Y35" i="7" a="1"/>
  <c r="R35" i="7" a="1"/>
  <c r="K34" i="7" a="1"/>
  <c r="S32" i="7" a="1"/>
  <c r="L32" i="7" a="1"/>
  <c r="T30" i="7" a="1"/>
  <c r="M29" i="7" a="1"/>
  <c r="E29" i="7" a="1"/>
  <c r="U27" i="7" a="1"/>
  <c r="N27" i="7" a="1"/>
  <c r="F26" i="7"/>
  <c r="V25" i="7" a="1"/>
  <c r="O24" i="7" a="1"/>
  <c r="H24" i="7" a="1"/>
  <c r="W22" i="7" a="1"/>
  <c r="P22" i="7" a="1"/>
  <c r="I21" i="7" a="1"/>
  <c r="X20" i="7" a="1"/>
  <c r="Q19" i="7" a="1"/>
  <c r="J19" i="7" a="1"/>
  <c r="S18" i="7" a="1"/>
  <c r="E18" i="7" a="1"/>
  <c r="O17" i="7" a="1"/>
  <c r="X16" i="7" a="1"/>
  <c r="Q16" i="7" a="1"/>
  <c r="Y63" i="7" a="1"/>
  <c r="Q62" i="7" a="1"/>
  <c r="I61" i="7" a="1"/>
  <c r="K60" i="7" a="1"/>
  <c r="O58" i="7" a="1"/>
  <c r="O57" i="7" a="1"/>
  <c r="U55" i="7" a="1"/>
  <c r="S54" i="7" a="1"/>
  <c r="W53" i="7" a="1"/>
  <c r="Q50" i="7" a="1"/>
  <c r="W49" i="7" a="1"/>
  <c r="K48" i="7" a="1"/>
  <c r="M44" i="7" a="1"/>
  <c r="N43" i="7" a="1"/>
  <c r="W41" i="7" a="1"/>
  <c r="F41" i="7"/>
  <c r="V40" i="7" a="1"/>
  <c r="F40" i="7"/>
  <c r="U39" i="7" a="1"/>
  <c r="N39" i="7" a="1"/>
  <c r="F38" i="7"/>
  <c r="V37" i="7" a="1"/>
  <c r="O36" i="7" a="1"/>
  <c r="H36" i="7" a="1"/>
  <c r="W34" i="7" a="1"/>
  <c r="P34" i="7" a="1"/>
  <c r="I33" i="7" a="1"/>
  <c r="X32" i="7" a="1"/>
  <c r="Q31" i="7" a="1"/>
  <c r="J31" i="7" a="1"/>
  <c r="Y29" i="7" a="1"/>
  <c r="R29" i="7" a="1"/>
  <c r="K28" i="7" a="1"/>
  <c r="S26" i="7" a="1"/>
  <c r="L26" i="7" a="1"/>
  <c r="T24" i="7" a="1"/>
  <c r="M23" i="7" a="1"/>
  <c r="E23" i="7" a="1"/>
  <c r="M59" i="7" a="1"/>
  <c r="Q56" i="7" a="1"/>
  <c r="T55" i="7" a="1"/>
  <c r="I51" i="7" a="1"/>
  <c r="S49" i="7" a="1"/>
  <c r="M47" i="7" a="1"/>
  <c r="T46" i="7" a="1"/>
  <c r="L45" i="7" a="1"/>
  <c r="V44" i="7" a="1"/>
  <c r="W43" i="7" a="1"/>
  <c r="X42" i="7" a="1"/>
  <c r="H42" i="7" a="1"/>
  <c r="N40" i="7" a="1"/>
  <c r="M39" i="7" a="1"/>
  <c r="E39" i="7" a="1"/>
  <c r="U38" i="7" a="1"/>
  <c r="N38" i="7" a="1"/>
  <c r="U37" i="7" a="1"/>
  <c r="N37" i="7" a="1"/>
  <c r="F37" i="7"/>
  <c r="V36" i="7" a="1"/>
  <c r="F36" i="7"/>
  <c r="V35" i="7" a="1"/>
  <c r="O35" i="7" a="1"/>
  <c r="H35" i="7" a="1"/>
  <c r="O34" i="7" a="1"/>
  <c r="H34" i="7" a="1"/>
  <c r="W33" i="7" a="1"/>
  <c r="P33" i="7" a="1"/>
  <c r="W32" i="7" a="1"/>
  <c r="P32" i="7" a="1"/>
  <c r="I32" i="7" a="1"/>
  <c r="X31" i="7" a="1"/>
  <c r="I31" i="7" a="1"/>
  <c r="X30" i="7" a="1"/>
  <c r="Q30" i="7" a="1"/>
  <c r="J30" i="7" a="1"/>
  <c r="Q29" i="7" a="1"/>
  <c r="J29" i="7" a="1"/>
  <c r="Y28" i="7" a="1"/>
  <c r="R28" i="7" a="1"/>
  <c r="Y27" i="7" a="1"/>
  <c r="R27" i="7" a="1"/>
  <c r="K27" i="7" a="1"/>
  <c r="K26" i="7" a="1"/>
  <c r="S25" i="7" a="1"/>
  <c r="L25" i="7" a="1"/>
  <c r="X63" i="7" a="1"/>
  <c r="P62" i="7" a="1"/>
  <c r="H61" i="7" a="1"/>
  <c r="K59" i="7" a="1"/>
  <c r="I58" i="7" a="1"/>
  <c r="M57" i="7" a="1"/>
  <c r="P56" i="7" a="1"/>
  <c r="R54" i="7" a="1"/>
  <c r="V53" i="7" a="1"/>
  <c r="Y51" i="7" a="1"/>
  <c r="Y48" i="7" a="1"/>
  <c r="M43" i="7" a="1"/>
  <c r="O42" i="7" a="1"/>
  <c r="F42" i="7"/>
  <c r="V41" i="7" a="1"/>
  <c r="E41" i="7" a="1"/>
  <c r="U40" i="7" a="1"/>
  <c r="T39" i="7" a="1"/>
  <c r="M38" i="7" a="1"/>
  <c r="E38" i="7" a="1"/>
  <c r="U36" i="7" a="1"/>
  <c r="N36" i="7" a="1"/>
  <c r="F35" i="7"/>
  <c r="V34" i="7" a="1"/>
  <c r="O33" i="7" a="1"/>
  <c r="H33" i="7" a="1"/>
  <c r="W31" i="7" a="1"/>
  <c r="P31" i="7" a="1"/>
  <c r="I30" i="7" a="1"/>
  <c r="X29" i="7" a="1"/>
  <c r="Q28" i="7" a="1"/>
  <c r="J28" i="7" a="1"/>
  <c r="Y26" i="7" a="1"/>
  <c r="V38" i="7" a="1"/>
  <c r="P37" i="7" a="1"/>
  <c r="J36" i="7" a="1"/>
  <c r="I35" i="7" a="1"/>
  <c r="Y33" i="7" a="1"/>
  <c r="L31" i="7" a="1"/>
  <c r="T28" i="7" a="1"/>
  <c r="S27" i="7" a="1"/>
  <c r="N26" i="7" a="1"/>
  <c r="S24" i="7" a="1"/>
  <c r="F23" i="7"/>
  <c r="W21" i="7" a="1"/>
  <c r="E20" i="7" a="1"/>
  <c r="N19" i="7" a="1"/>
  <c r="X18" i="7" a="1"/>
  <c r="L18" i="7" a="1"/>
  <c r="O16" i="7" a="1"/>
  <c r="Y56" i="7" a="1"/>
  <c r="W39" i="7" a="1"/>
  <c r="P38" i="7" a="1"/>
  <c r="O37" i="7" a="1"/>
  <c r="I36" i="7" a="1"/>
  <c r="R32" i="7" a="1"/>
  <c r="K31" i="7" a="1"/>
  <c r="M27" i="7" a="1"/>
  <c r="M26" i="7" a="1"/>
  <c r="N25" i="7" a="1"/>
  <c r="V23" i="7" a="1"/>
  <c r="N22" i="7" a="1"/>
  <c r="H21" i="7" a="1"/>
  <c r="P20" i="7" a="1"/>
  <c r="V17" i="7" a="1"/>
  <c r="L17" i="7" a="1"/>
  <c r="W16" i="7" a="1"/>
  <c r="O59" i="7" a="1"/>
  <c r="L48" i="7" a="1"/>
  <c r="I42" i="7" a="1"/>
  <c r="I37" i="7" a="1"/>
  <c r="Y34" i="7" a="1"/>
  <c r="X33" i="7" a="1"/>
  <c r="Q32" i="7" a="1"/>
  <c r="S28" i="7" a="1"/>
  <c r="V21" i="7" a="1"/>
  <c r="F21" i="7"/>
  <c r="X19" i="7" a="1"/>
  <c r="W18" i="7" a="1"/>
  <c r="K18" i="7" a="1"/>
  <c r="U17" i="7" a="1"/>
  <c r="N16" i="7" a="1"/>
  <c r="S56" i="7" a="1"/>
  <c r="W40" i="7" a="1"/>
  <c r="P39" i="7" a="1"/>
  <c r="O38" i="7" a="1"/>
  <c r="R33" i="7" a="1"/>
  <c r="K32" i="7" a="1"/>
  <c r="T29" i="7" a="1"/>
  <c r="M28" i="7" a="1"/>
  <c r="L27" i="7" a="1"/>
  <c r="M25" i="7" a="1"/>
  <c r="N24" i="7" a="1"/>
  <c r="U23" i="7" a="1"/>
  <c r="M22" i="7" a="1"/>
  <c r="U21" i="7" a="1"/>
  <c r="O20" i="7" a="1"/>
  <c r="W19" i="7" a="1"/>
  <c r="I17" i="7" a="1"/>
  <c r="V16" i="7" a="1"/>
  <c r="L16" i="7" a="1"/>
  <c r="O43" i="7" a="1"/>
  <c r="Y41" i="7" a="1"/>
  <c r="O39" i="7" a="1"/>
  <c r="I38" i="7" a="1"/>
  <c r="H37" i="7" a="1"/>
  <c r="X34" i="7" a="1"/>
  <c r="S29" i="7" a="1"/>
  <c r="E27" i="7" a="1"/>
  <c r="K25" i="7" a="1"/>
  <c r="M24" i="7" a="1"/>
  <c r="T23" i="7" a="1"/>
  <c r="E21" i="7" a="1"/>
  <c r="I19" i="7" a="1"/>
  <c r="J18" i="7" a="1"/>
  <c r="T17" i="7" a="1"/>
  <c r="H17" i="7" a="1"/>
  <c r="K16" i="7" a="1"/>
  <c r="S60" i="7" a="1"/>
  <c r="O44" i="7" a="1"/>
  <c r="R42" i="7" a="1"/>
  <c r="P41" i="7" a="1"/>
  <c r="H40" i="7" a="1"/>
  <c r="W37" i="7" a="1"/>
  <c r="Q36" i="7" a="1"/>
  <c r="P35" i="7" a="1"/>
  <c r="J34" i="7" a="1"/>
  <c r="S31" i="7" a="1"/>
  <c r="L30" i="7" a="1"/>
  <c r="U25" i="7" a="1"/>
  <c r="V24" i="7" a="1"/>
  <c r="E24" i="7" a="1"/>
  <c r="T22" i="7" a="1"/>
  <c r="E22" i="7" a="1"/>
  <c r="N21" i="7" a="1"/>
  <c r="V20" i="7" a="1"/>
  <c r="H20" i="7" a="1"/>
  <c r="P19" i="7" a="1"/>
  <c r="H16" i="7" a="1"/>
  <c r="R60" i="7" a="1"/>
  <c r="U46" i="7" a="1"/>
  <c r="W38" i="7" a="1"/>
  <c r="J35" i="7" a="1"/>
  <c r="I34" i="7" a="1"/>
  <c r="Y32" i="7" a="1"/>
  <c r="T26" i="7" a="1"/>
  <c r="U24" i="7" a="1"/>
  <c r="L23" i="7" a="1"/>
  <c r="M21" i="7" a="1"/>
  <c r="F20" i="7"/>
  <c r="O19" i="7" a="1"/>
  <c r="Y18" i="7" a="1"/>
  <c r="P18" i="7" a="1"/>
  <c r="N17" i="7" a="1"/>
  <c r="P16" i="7" a="1"/>
  <c r="L60" i="7" a="1"/>
  <c r="O51" i="7" a="1"/>
  <c r="F46" i="7"/>
  <c r="Q42" i="7" a="1"/>
  <c r="I41" i="7" a="1"/>
  <c r="P36" i="7" a="1"/>
  <c r="R31" i="7" a="1"/>
  <c r="K30" i="7" a="1"/>
  <c r="T27" i="7" a="1"/>
  <c r="R26" i="7" a="1"/>
  <c r="T25" i="7" a="1"/>
  <c r="H23" i="7" a="1"/>
  <c r="O22" i="7" a="1"/>
  <c r="U20" i="7" a="1"/>
  <c r="M18" i="7" a="1"/>
  <c r="Y17" i="7" a="1"/>
  <c r="M17" i="7" a="1"/>
  <c r="Y16" i="7" a="1"/>
  <c r="S30" i="7" a="1"/>
  <c r="E25" i="7" a="1"/>
  <c r="S47" i="7" a="1"/>
  <c r="W36" i="7" a="1"/>
  <c r="Q33" i="7" a="1"/>
  <c r="V22" i="7" a="1"/>
  <c r="U16" i="7" a="1"/>
  <c r="I52" i="7" a="1"/>
  <c r="K33" i="7" a="1"/>
  <c r="R30" i="7" a="1"/>
  <c r="L24" i="7" a="1"/>
  <c r="U22" i="7" a="1"/>
  <c r="Q58" i="7" a="1"/>
  <c r="H52" i="7" a="1"/>
  <c r="H39" i="7" a="1"/>
  <c r="X35" i="7" a="1"/>
  <c r="W20" i="7" a="1"/>
  <c r="H19" i="7" a="1"/>
  <c r="X41" i="7" a="1"/>
  <c r="F39" i="7"/>
  <c r="W35" i="7" a="1"/>
  <c r="J33" i="7" a="1"/>
  <c r="F24" i="7"/>
  <c r="H22" i="7" a="1"/>
  <c r="S17" i="7" a="1"/>
  <c r="R16" i="7" a="1"/>
  <c r="M45" i="7" a="1"/>
  <c r="Q35" i="7" a="1"/>
  <c r="U26" i="7" a="1"/>
  <c r="N20" i="7" a="1"/>
  <c r="F19" i="7"/>
  <c r="J16" i="7" a="1"/>
  <c r="X37" i="7" a="1"/>
  <c r="Q34" i="7" a="1"/>
  <c r="Y31" i="7" a="1"/>
  <c r="L28" i="7" a="1"/>
  <c r="T21" i="7" a="1"/>
  <c r="O40" i="7" a="1"/>
  <c r="E28" i="7" a="1"/>
  <c r="F25" i="7"/>
  <c r="N23" i="7" a="1"/>
  <c r="P21" i="7" a="1"/>
  <c r="V19" i="7" a="1"/>
  <c r="Q18" i="7" a="1"/>
  <c r="E17" i="7" a="1"/>
  <c r="X36" i="7" a="1"/>
  <c r="Y30" i="7" a="1"/>
  <c r="O21" i="7" a="1"/>
  <c r="U19" i="7" a="1"/>
  <c r="I18" i="7" a="1"/>
  <c r="F17" i="7"/>
  <c r="R34" i="7" a="1"/>
  <c r="Y49" i="7" a="1"/>
  <c r="E26" i="7" a="1"/>
  <c r="M20" i="7" a="1"/>
  <c r="P40" i="7" a="1"/>
  <c r="I20" i="7" a="1"/>
  <c r="I16" i="7" a="1"/>
  <c r="J32" i="7" a="1"/>
  <c r="Y44" i="7" a="1"/>
  <c r="O23" i="7" a="1"/>
  <c r="R18" i="7" a="1"/>
  <c r="S61" i="7" a="1"/>
  <c r="W44" i="7" a="1"/>
  <c r="L29" i="7" a="1"/>
  <c r="K29" i="7" a="1"/>
  <c r="F22" i="7"/>
  <c r="R17" i="7" a="1"/>
  <c r="W55" i="7" a="1"/>
  <c r="S23" i="7" a="1"/>
  <c r="H38" i="7" a="1"/>
  <c r="A16" i="6"/>
  <c r="A17" i="6"/>
  <c r="A18" i="6" s="1"/>
  <c r="A19" i="6" s="1"/>
  <c r="B50" i="8"/>
  <c r="A14" i="6"/>
  <c r="A11" i="6"/>
  <c r="C147" i="3"/>
  <c r="C149" i="3"/>
  <c r="C145" i="3"/>
  <c r="C143" i="3"/>
  <c r="C141" i="3"/>
  <c r="U11" i="4"/>
  <c r="U10" i="4"/>
  <c r="Y26" i="4"/>
  <c r="Z26" i="4" s="1"/>
  <c r="Y106" i="4"/>
  <c r="Z106" i="4" s="1"/>
  <c r="Y66" i="4"/>
  <c r="Z66" i="4" s="1"/>
  <c r="R64" i="4"/>
  <c r="R63" i="4"/>
  <c r="R23" i="4"/>
  <c r="R24" i="4"/>
  <c r="C133" i="3"/>
  <c r="G25" i="5" l="1"/>
  <c r="K25" i="5"/>
  <c r="F25" i="5"/>
  <c r="AD25" i="5"/>
  <c r="AE25" i="5" a="1"/>
  <c r="B25" i="5"/>
  <c r="N25" i="5"/>
  <c r="D25" i="6" s="1"/>
  <c r="H25" i="6" s="1" a="1"/>
  <c r="J25" i="5"/>
  <c r="D25" i="5"/>
  <c r="B25" i="12" s="1"/>
  <c r="H25" i="5"/>
  <c r="E25" i="5"/>
  <c r="A25" i="12"/>
  <c r="C26" i="5"/>
  <c r="G24" i="6"/>
  <c r="H24" i="6" a="1"/>
  <c r="B25" i="6"/>
  <c r="L26" i="6"/>
  <c r="N19" i="6"/>
  <c r="N18" i="6"/>
  <c r="A20" i="6"/>
  <c r="X26" i="4"/>
  <c r="X106" i="4"/>
  <c r="X66" i="4"/>
  <c r="C137" i="3"/>
  <c r="C135" i="3"/>
  <c r="C132" i="3"/>
  <c r="B26" i="5" l="1"/>
  <c r="F26" i="5"/>
  <c r="C27" i="5"/>
  <c r="D26" i="5"/>
  <c r="B26" i="12" s="1"/>
  <c r="N26" i="5"/>
  <c r="D26" i="6" s="1"/>
  <c r="H26" i="6" s="1" a="1"/>
  <c r="AE26" i="5" a="1"/>
  <c r="AD26" i="5"/>
  <c r="K26" i="5"/>
  <c r="A26" i="12"/>
  <c r="J26" i="5"/>
  <c r="L27" i="6"/>
  <c r="B26" i="6"/>
  <c r="G26" i="5"/>
  <c r="H26" i="5"/>
  <c r="E26" i="5"/>
  <c r="E33" i="12"/>
  <c r="N20" i="6"/>
  <c r="A21" i="6"/>
  <c r="C128" i="3"/>
  <c r="R2" i="5" a="1"/>
  <c r="AH13" i="5" a="1"/>
  <c r="V13" i="5" a="1"/>
  <c r="U13" i="5" a="1"/>
  <c r="X7" i="5" a="1"/>
  <c r="W7" i="5" a="1"/>
  <c r="V7" i="5" a="1"/>
  <c r="S7" i="5" a="1"/>
  <c r="R7" i="5" a="1"/>
  <c r="S8" i="5" a="1"/>
  <c r="R8" i="5" a="1"/>
  <c r="Q8" i="5" a="1"/>
  <c r="H13" i="7"/>
  <c r="E13" i="7"/>
  <c r="A27" i="12" l="1"/>
  <c r="D27" i="5"/>
  <c r="B27" i="12" s="1"/>
  <c r="G27" i="5"/>
  <c r="K27" i="5"/>
  <c r="AE27" i="5" a="1"/>
  <c r="N27" i="5"/>
  <c r="D27" i="6" s="1"/>
  <c r="J27" i="5"/>
  <c r="H27" i="5"/>
  <c r="E27" i="5"/>
  <c r="B27" i="5"/>
  <c r="C28" i="5"/>
  <c r="AD27" i="5"/>
  <c r="B27" i="6"/>
  <c r="L28" i="6"/>
  <c r="F27" i="5"/>
  <c r="N21" i="6"/>
  <c r="J4" i="15"/>
  <c r="AB13" i="12" a="1"/>
  <c r="I69" i="10"/>
  <c r="AD28" i="5" l="1"/>
  <c r="A28" i="12"/>
  <c r="H28" i="5"/>
  <c r="D28" i="5"/>
  <c r="B28" i="12" s="1"/>
  <c r="C29" i="5"/>
  <c r="AE28" i="5" a="1"/>
  <c r="K28" i="5"/>
  <c r="G28" i="5"/>
  <c r="E28" i="5"/>
  <c r="B28" i="5"/>
  <c r="N28" i="5"/>
  <c r="D28" i="6" s="1"/>
  <c r="J28" i="5"/>
  <c r="F28" i="5"/>
  <c r="B28" i="6"/>
  <c r="L29" i="6"/>
  <c r="L30" i="6" s="1"/>
  <c r="H27" i="6" a="1"/>
  <c r="A22" i="6"/>
  <c r="P7" i="13"/>
  <c r="K14" i="13" a="1"/>
  <c r="G22" i="15" a="1"/>
  <c r="C22" i="15" a="1"/>
  <c r="F10" i="12" a="1"/>
  <c r="F8" i="7"/>
  <c r="H65" i="8" a="1"/>
  <c r="H63" i="8" a="1"/>
  <c r="F7" i="6" a="1"/>
  <c r="F6" i="6" a="1"/>
  <c r="Q1" i="6" a="1"/>
  <c r="O1" i="6" a="1"/>
  <c r="C11" i="7" a="1"/>
  <c r="C122" i="3"/>
  <c r="C120" i="3"/>
  <c r="L31" i="6" l="1"/>
  <c r="F29" i="5"/>
  <c r="G29" i="5"/>
  <c r="K29" i="5"/>
  <c r="A29" i="12"/>
  <c r="AE29" i="5" a="1"/>
  <c r="J29" i="5"/>
  <c r="E29" i="5"/>
  <c r="B29" i="5"/>
  <c r="C30" i="5" s="1"/>
  <c r="N29" i="5"/>
  <c r="D29" i="6" s="1"/>
  <c r="H29" i="5"/>
  <c r="D29" i="5"/>
  <c r="B29" i="12" s="1"/>
  <c r="AD29" i="5"/>
  <c r="H28" i="6" a="1"/>
  <c r="B29" i="6"/>
  <c r="A23" i="6"/>
  <c r="N22" i="6"/>
  <c r="A24" i="6"/>
  <c r="C14" i="14" a="1"/>
  <c r="B39" i="14" a="1"/>
  <c r="B37" i="14" a="1"/>
  <c r="E28" i="14" a="1"/>
  <c r="R1" i="6" a="1"/>
  <c r="S67" i="4"/>
  <c r="U67" i="4" s="1"/>
  <c r="S107" i="4"/>
  <c r="U107" i="4" s="1"/>
  <c r="S27" i="4"/>
  <c r="U27" i="4" s="1"/>
  <c r="C124" i="3"/>
  <c r="B30" i="5" l="1"/>
  <c r="E30" i="5"/>
  <c r="B30" i="6"/>
  <c r="C31" i="5"/>
  <c r="B31" i="6" s="1"/>
  <c r="N30" i="5"/>
  <c r="D30" i="6" s="1"/>
  <c r="G30" i="5"/>
  <c r="H30" i="5"/>
  <c r="A30" i="12"/>
  <c r="AE30" i="5" a="1"/>
  <c r="AD30" i="5"/>
  <c r="F30" i="5"/>
  <c r="L32" i="6"/>
  <c r="H29" i="6" a="1"/>
  <c r="N23" i="6"/>
  <c r="A25" i="6"/>
  <c r="N24" i="6"/>
  <c r="S1" i="6" a="1"/>
  <c r="H67" i="9"/>
  <c r="F31" i="5" l="1"/>
  <c r="E31" i="5"/>
  <c r="G31" i="5"/>
  <c r="K31" i="5"/>
  <c r="AE31" i="5" a="1"/>
  <c r="AD31" i="5"/>
  <c r="C32" i="5"/>
  <c r="N31" i="5"/>
  <c r="D31" i="6" s="1"/>
  <c r="H31" i="6" s="1" a="1"/>
  <c r="A31" i="12"/>
  <c r="B31" i="5"/>
  <c r="D31" i="5"/>
  <c r="B31" i="12" s="1"/>
  <c r="H31" i="5"/>
  <c r="J31" i="5"/>
  <c r="H30" i="6" a="1"/>
  <c r="G30" i="6"/>
  <c r="F30" i="6"/>
  <c r="E30" i="12"/>
  <c r="L33" i="6"/>
  <c r="A26" i="6"/>
  <c r="N25" i="6"/>
  <c r="T1" i="6" a="1"/>
  <c r="C94" i="3"/>
  <c r="C92" i="3"/>
  <c r="B32" i="5" l="1"/>
  <c r="C33" i="5" s="1"/>
  <c r="B33" i="6" s="1"/>
  <c r="F32" i="5"/>
  <c r="J32" i="5"/>
  <c r="G32" i="5"/>
  <c r="AE32" i="5" a="1"/>
  <c r="E32" i="5"/>
  <c r="K32" i="5"/>
  <c r="N32" i="5"/>
  <c r="D32" i="6" s="1"/>
  <c r="H32" i="6" s="1" a="1"/>
  <c r="D32" i="5"/>
  <c r="B32" i="12" s="1"/>
  <c r="H32" i="5"/>
  <c r="AD32" i="5"/>
  <c r="A32" i="12"/>
  <c r="B32" i="6"/>
  <c r="L34" i="6"/>
  <c r="F33" i="6"/>
  <c r="N26" i="6"/>
  <c r="A27" i="6"/>
  <c r="U1" i="6" a="1"/>
  <c r="C98" i="3"/>
  <c r="E33" i="5" l="1"/>
  <c r="N33" i="5"/>
  <c r="D33" i="6" s="1"/>
  <c r="B33" i="5"/>
  <c r="H33" i="5"/>
  <c r="G33" i="5"/>
  <c r="AE33" i="5" a="1"/>
  <c r="A33" i="12"/>
  <c r="C34" i="5"/>
  <c r="F33" i="5"/>
  <c r="K30" i="5" s="1"/>
  <c r="AD33" i="5"/>
  <c r="L35" i="6"/>
  <c r="N27" i="6"/>
  <c r="A28" i="6"/>
  <c r="V1" i="6" a="1"/>
  <c r="C5" i="14"/>
  <c r="G33" i="6" l="1"/>
  <c r="H33" i="6" a="1"/>
  <c r="C35" i="5"/>
  <c r="D34" i="5"/>
  <c r="B34" i="12" s="1"/>
  <c r="F34" i="5"/>
  <c r="E34" i="5"/>
  <c r="K34" i="5"/>
  <c r="A34" i="12"/>
  <c r="B34" i="5"/>
  <c r="B34" i="6"/>
  <c r="AD34" i="5"/>
  <c r="J34" i="5"/>
  <c r="H34" i="5"/>
  <c r="N34" i="5"/>
  <c r="D34" i="6" s="1"/>
  <c r="H34" i="6" s="1" a="1"/>
  <c r="G34" i="5"/>
  <c r="AE34" i="5" a="1"/>
  <c r="L36" i="6"/>
  <c r="A29" i="6"/>
  <c r="A30" i="6" s="1"/>
  <c r="N28" i="6"/>
  <c r="W1" i="6" a="1"/>
  <c r="S12" i="11"/>
  <c r="AD35" i="5" l="1"/>
  <c r="H35" i="5"/>
  <c r="N35" i="5"/>
  <c r="D35" i="6" s="1"/>
  <c r="H35" i="6" s="1" a="1"/>
  <c r="G35" i="5"/>
  <c r="B35" i="5"/>
  <c r="F35" i="5"/>
  <c r="E35" i="5"/>
  <c r="AE35" i="5" a="1"/>
  <c r="D35" i="5"/>
  <c r="B35" i="12" s="1"/>
  <c r="A35" i="12"/>
  <c r="K35" i="5"/>
  <c r="C36" i="5"/>
  <c r="J35" i="5"/>
  <c r="B35" i="6"/>
  <c r="L37" i="6"/>
  <c r="A31" i="6"/>
  <c r="N30" i="6"/>
  <c r="N29" i="6"/>
  <c r="A33" i="6"/>
  <c r="X1" i="6" a="1"/>
  <c r="C1" i="7" a="1"/>
  <c r="H36" i="5" l="1"/>
  <c r="K36" i="5"/>
  <c r="B36" i="5"/>
  <c r="A36" i="12"/>
  <c r="B36" i="6"/>
  <c r="G36" i="5"/>
  <c r="E36" i="5"/>
  <c r="J36" i="5"/>
  <c r="AE36" i="5" a="1"/>
  <c r="F36" i="5"/>
  <c r="N36" i="5"/>
  <c r="D36" i="6" s="1"/>
  <c r="H36" i="6" s="1" a="1"/>
  <c r="AD36" i="5"/>
  <c r="C37" i="5"/>
  <c r="D36" i="5"/>
  <c r="B36" i="12" s="1"/>
  <c r="L38" i="6"/>
  <c r="A32" i="6"/>
  <c r="N31" i="6"/>
  <c r="A34" i="6"/>
  <c r="A35" i="6" s="1"/>
  <c r="N33" i="6"/>
  <c r="E40" i="12"/>
  <c r="Y1" i="6" a="1"/>
  <c r="D31" i="2"/>
  <c r="D29" i="2"/>
  <c r="D28" i="2"/>
  <c r="D24" i="2"/>
  <c r="D23" i="2"/>
  <c r="D22" i="2"/>
  <c r="D19" i="2"/>
  <c r="D18" i="2"/>
  <c r="D17" i="2"/>
  <c r="D16" i="2"/>
  <c r="D11" i="2"/>
  <c r="D10" i="2"/>
  <c r="D9" i="2"/>
  <c r="D8" i="2"/>
  <c r="D7" i="2"/>
  <c r="D6" i="2"/>
  <c r="D5" i="2"/>
  <c r="D4" i="2"/>
  <c r="C116" i="3"/>
  <c r="C114" i="3"/>
  <c r="C110" i="3"/>
  <c r="C109" i="3"/>
  <c r="C106" i="3"/>
  <c r="C105" i="3"/>
  <c r="C101" i="3"/>
  <c r="C90" i="3"/>
  <c r="F37" i="5" l="1"/>
  <c r="B37" i="5"/>
  <c r="E37" i="5"/>
  <c r="H37" i="5"/>
  <c r="K37" i="5"/>
  <c r="AD37" i="5"/>
  <c r="C38" i="5"/>
  <c r="B38" i="6" s="1"/>
  <c r="AE37" i="5" a="1"/>
  <c r="A37" i="12"/>
  <c r="D37" i="5"/>
  <c r="B37" i="12" s="1"/>
  <c r="G37" i="5"/>
  <c r="J37" i="5"/>
  <c r="N37" i="5"/>
  <c r="D37" i="6" s="1"/>
  <c r="H37" i="6" s="1" a="1"/>
  <c r="B37" i="6"/>
  <c r="L39" i="6"/>
  <c r="N32" i="6"/>
  <c r="N35" i="6"/>
  <c r="N34" i="6"/>
  <c r="A36" i="6"/>
  <c r="Z1" i="6" a="1"/>
  <c r="D27" i="2"/>
  <c r="D15" i="2"/>
  <c r="D3" i="2"/>
  <c r="K38" i="5" l="1"/>
  <c r="G38" i="5"/>
  <c r="E38" i="5"/>
  <c r="N38" i="5"/>
  <c r="D38" i="6" s="1"/>
  <c r="H38" i="6" s="1" a="1"/>
  <c r="AD38" i="5"/>
  <c r="AE38" i="5" a="1"/>
  <c r="F38" i="5"/>
  <c r="B38" i="5"/>
  <c r="D38" i="5"/>
  <c r="B38" i="12" s="1"/>
  <c r="H38" i="5"/>
  <c r="J38" i="5"/>
  <c r="C39" i="5"/>
  <c r="A38" i="12"/>
  <c r="L40" i="6"/>
  <c r="N36" i="6"/>
  <c r="A37" i="6"/>
  <c r="H10" i="7"/>
  <c r="F39" i="5" l="1"/>
  <c r="N39" i="5"/>
  <c r="D39" i="6" s="1"/>
  <c r="H39" i="6" s="1" a="1"/>
  <c r="D39" i="5"/>
  <c r="B39" i="12" s="1"/>
  <c r="H39" i="5"/>
  <c r="A39" i="12"/>
  <c r="E39" i="5"/>
  <c r="K39" i="5"/>
  <c r="AD39" i="5"/>
  <c r="B39" i="5"/>
  <c r="C40" i="5" s="1"/>
  <c r="G39" i="5"/>
  <c r="J39" i="5"/>
  <c r="AE39" i="5" a="1"/>
  <c r="B39" i="6"/>
  <c r="L41" i="6"/>
  <c r="F40" i="6"/>
  <c r="N37" i="6"/>
  <c r="A38" i="6"/>
  <c r="AG65" i="8"/>
  <c r="B40" i="5" l="1"/>
  <c r="A40" i="12"/>
  <c r="H40" i="5"/>
  <c r="AE40" i="5" a="1"/>
  <c r="C41" i="5"/>
  <c r="E40" i="5"/>
  <c r="G40" i="5"/>
  <c r="N40" i="5"/>
  <c r="D40" i="6" s="1"/>
  <c r="AD40" i="5"/>
  <c r="AD41" i="5" s="1"/>
  <c r="F40" i="5"/>
  <c r="B40" i="6"/>
  <c r="L42" i="6"/>
  <c r="F41" i="6"/>
  <c r="E41" i="12"/>
  <c r="N38" i="6"/>
  <c r="A39" i="6"/>
  <c r="C103" i="3"/>
  <c r="C100" i="3"/>
  <c r="C96" i="3"/>
  <c r="A41" i="12" l="1"/>
  <c r="B41" i="6"/>
  <c r="H41" i="5"/>
  <c r="G41" i="5"/>
  <c r="AE41" i="5" a="1"/>
  <c r="E41" i="5"/>
  <c r="C42" i="5"/>
  <c r="N41" i="5"/>
  <c r="D41" i="6" s="1"/>
  <c r="B41" i="5"/>
  <c r="F41" i="5"/>
  <c r="G40" i="6"/>
  <c r="H40" i="6" a="1"/>
  <c r="L43" i="6"/>
  <c r="N39" i="6"/>
  <c r="C93" i="3"/>
  <c r="AD42" i="5" l="1"/>
  <c r="F42" i="5"/>
  <c r="A42" i="12"/>
  <c r="D42" i="5"/>
  <c r="B42" i="12" s="1"/>
  <c r="E42" i="5"/>
  <c r="G42" i="5"/>
  <c r="H42" i="5"/>
  <c r="N42" i="5"/>
  <c r="D42" i="6" s="1"/>
  <c r="H42" i="6" s="1" a="1"/>
  <c r="AE42" i="5" a="1"/>
  <c r="J42" i="5"/>
  <c r="B42" i="5"/>
  <c r="C43" i="5" s="1"/>
  <c r="K42" i="5"/>
  <c r="B42" i="6"/>
  <c r="H41" i="6" a="1"/>
  <c r="G41" i="6"/>
  <c r="L44" i="6"/>
  <c r="F43" i="6"/>
  <c r="E43" i="12"/>
  <c r="C112" i="3"/>
  <c r="C108" i="3"/>
  <c r="C70" i="3"/>
  <c r="L35" i="13"/>
  <c r="L34" i="13" s="1"/>
  <c r="C84" i="3"/>
  <c r="C44" i="5" l="1"/>
  <c r="G43" i="5"/>
  <c r="A43" i="12"/>
  <c r="F43" i="5"/>
  <c r="AD43" i="5"/>
  <c r="E43" i="5"/>
  <c r="AE43" i="5" a="1"/>
  <c r="B43" i="5"/>
  <c r="H43" i="5"/>
  <c r="N43" i="5"/>
  <c r="D43" i="6" s="1"/>
  <c r="B43" i="6"/>
  <c r="L45" i="6"/>
  <c r="C56" i="3"/>
  <c r="AE44" i="5" l="1" a="1"/>
  <c r="AD44" i="5"/>
  <c r="B44" i="5"/>
  <c r="F44" i="5"/>
  <c r="H44" i="5"/>
  <c r="J44" i="5"/>
  <c r="C45" i="5"/>
  <c r="A44" i="12"/>
  <c r="B44" i="6"/>
  <c r="E44" i="5"/>
  <c r="K44" i="5"/>
  <c r="N44" i="5"/>
  <c r="D44" i="6" s="1"/>
  <c r="H44" i="6" s="1" a="1"/>
  <c r="D44" i="5"/>
  <c r="B44" i="12" s="1"/>
  <c r="G44" i="5"/>
  <c r="H43" i="6" a="1"/>
  <c r="G43" i="6"/>
  <c r="L46" i="6"/>
  <c r="Q13" i="6"/>
  <c r="A1" i="7"/>
  <c r="V70" i="7" a="1"/>
  <c r="V70" i="7" s="1"/>
  <c r="Y5" i="7"/>
  <c r="X5" i="7"/>
  <c r="P5" i="7"/>
  <c r="C60" i="3"/>
  <c r="F5" i="7"/>
  <c r="K45" i="5" l="1"/>
  <c r="A45" i="12"/>
  <c r="D45" i="5"/>
  <c r="B45" i="12" s="1"/>
  <c r="G45" i="5"/>
  <c r="B45" i="5"/>
  <c r="AE45" i="5" a="1"/>
  <c r="C46" i="5"/>
  <c r="H45" i="5"/>
  <c r="AD45" i="5"/>
  <c r="F45" i="5"/>
  <c r="N45" i="5"/>
  <c r="D45" i="6" s="1"/>
  <c r="H45" i="6" s="1" a="1"/>
  <c r="E45" i="5"/>
  <c r="J45" i="5"/>
  <c r="B45" i="6"/>
  <c r="L47" i="6"/>
  <c r="A40" i="6"/>
  <c r="R13" i="6"/>
  <c r="S13" i="6" s="1"/>
  <c r="V71" i="7"/>
  <c r="V72" i="7"/>
  <c r="N5" i="7"/>
  <c r="O5" i="7"/>
  <c r="H46" i="5" l="1"/>
  <c r="E46" i="5"/>
  <c r="AE46" i="5" a="1"/>
  <c r="C47" i="5"/>
  <c r="F46" i="5"/>
  <c r="B46" i="5"/>
  <c r="B46" i="6"/>
  <c r="N46" i="5"/>
  <c r="D46" i="6" s="1"/>
  <c r="H46" i="6" s="1" a="1"/>
  <c r="J46" i="5"/>
  <c r="A46" i="12"/>
  <c r="G46" i="5"/>
  <c r="D46" i="5"/>
  <c r="B46" i="12" s="1"/>
  <c r="AD46" i="5"/>
  <c r="K46" i="5"/>
  <c r="L48" i="6"/>
  <c r="N40" i="6"/>
  <c r="A41" i="6"/>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A47" i="12" l="1"/>
  <c r="D47" i="5"/>
  <c r="B47" i="12" s="1"/>
  <c r="B47" i="5"/>
  <c r="C48" i="5" s="1"/>
  <c r="B48" i="6" s="1"/>
  <c r="G47" i="5"/>
  <c r="AD47" i="5"/>
  <c r="N47" i="5"/>
  <c r="D47" i="6" s="1"/>
  <c r="H47" i="6" s="1" a="1"/>
  <c r="H47" i="5"/>
  <c r="K47" i="5"/>
  <c r="F47" i="5"/>
  <c r="E47" i="5"/>
  <c r="J47" i="5"/>
  <c r="B47" i="6"/>
  <c r="AE47" i="5" a="1"/>
  <c r="L49" i="6"/>
  <c r="F48" i="6"/>
  <c r="E48" i="12"/>
  <c r="N41" i="6"/>
  <c r="A42" i="6"/>
  <c r="U13" i="6"/>
  <c r="V77" i="9"/>
  <c r="V78" i="9"/>
  <c r="L70" i="7" a="1"/>
  <c r="L72" i="7" s="1"/>
  <c r="D68" i="7"/>
  <c r="C5" i="7"/>
  <c r="AE48" i="5" l="1" a="1"/>
  <c r="A48" i="12"/>
  <c r="E48" i="5"/>
  <c r="AD48" i="5"/>
  <c r="N48" i="5"/>
  <c r="D48" i="6" s="1"/>
  <c r="F48" i="5"/>
  <c r="G48" i="5"/>
  <c r="H48" i="5"/>
  <c r="B48" i="5"/>
  <c r="C49" i="5"/>
  <c r="L50" i="6"/>
  <c r="N42" i="6"/>
  <c r="A43" i="6"/>
  <c r="V13" i="6"/>
  <c r="L70" i="7"/>
  <c r="L71" i="7"/>
  <c r="C69" i="3"/>
  <c r="C86" i="3"/>
  <c r="C81" i="3"/>
  <c r="C80" i="3"/>
  <c r="C79" i="3"/>
  <c r="C76" i="3"/>
  <c r="C75" i="3"/>
  <c r="C74" i="3"/>
  <c r="C67" i="3"/>
  <c r="C65" i="3"/>
  <c r="C64" i="3"/>
  <c r="C61" i="3"/>
  <c r="C62" i="3"/>
  <c r="C59" i="3"/>
  <c r="C58" i="3"/>
  <c r="C72" i="3"/>
  <c r="S108" i="4" a="1"/>
  <c r="S68" i="4" a="1"/>
  <c r="S28" i="4" a="1"/>
  <c r="E49" i="5" l="1"/>
  <c r="J49" i="5"/>
  <c r="F49" i="5"/>
  <c r="B49" i="6"/>
  <c r="G48" i="6"/>
  <c r="H48" i="6" a="1"/>
  <c r="B49" i="5"/>
  <c r="A49" i="12"/>
  <c r="C50" i="5"/>
  <c r="H50" i="5" s="1"/>
  <c r="K49" i="5"/>
  <c r="H49" i="5"/>
  <c r="AD49" i="5"/>
  <c r="G49" i="5"/>
  <c r="AE49" i="5" a="1"/>
  <c r="D49" i="5"/>
  <c r="B49" i="12" s="1"/>
  <c r="N49" i="5"/>
  <c r="D49" i="6" s="1"/>
  <c r="H49" i="6" s="1" a="1"/>
  <c r="C51" i="5"/>
  <c r="AE50" i="5" a="1"/>
  <c r="L51" i="6"/>
  <c r="N43" i="6"/>
  <c r="A44" i="6"/>
  <c r="W13" i="6"/>
  <c r="C15" i="14"/>
  <c r="L4" i="13"/>
  <c r="I5" i="12"/>
  <c r="F4" i="11"/>
  <c r="D7" i="10"/>
  <c r="K8" i="8"/>
  <c r="L5" i="4"/>
  <c r="C52" i="3"/>
  <c r="G10" i="6" a="1"/>
  <c r="Q5" i="5" a="1"/>
  <c r="P85" i="4"/>
  <c r="C51" i="3"/>
  <c r="C47" i="3"/>
  <c r="C43" i="3"/>
  <c r="C41" i="3"/>
  <c r="C39" i="3"/>
  <c r="E2" i="15"/>
  <c r="C34" i="3"/>
  <c r="C32" i="3"/>
  <c r="AX13" i="6"/>
  <c r="AB13" i="6"/>
  <c r="AB12" i="6" s="1"/>
  <c r="AM13" i="6"/>
  <c r="H12" i="10"/>
  <c r="H11" i="10" s="1" a="1"/>
  <c r="BG15" i="6"/>
  <c r="BF15" i="6"/>
  <c r="BE15" i="6"/>
  <c r="BD15" i="6"/>
  <c r="BC15" i="6"/>
  <c r="BB15" i="6"/>
  <c r="BA15" i="6"/>
  <c r="AZ15" i="6"/>
  <c r="AY15" i="6"/>
  <c r="AX15" i="6"/>
  <c r="G12" i="9"/>
  <c r="C20" i="3"/>
  <c r="C22" i="3"/>
  <c r="C24" i="3"/>
  <c r="C26" i="3"/>
  <c r="C28" i="3"/>
  <c r="C19" i="3"/>
  <c r="C15" i="3"/>
  <c r="C14" i="3"/>
  <c r="C12" i="3"/>
  <c r="I36" i="11"/>
  <c r="I35" i="11"/>
  <c r="AA68" i="8" a="1"/>
  <c r="T77" i="6" a="1"/>
  <c r="T79" i="6" s="1"/>
  <c r="I77" i="6" a="1"/>
  <c r="I78" i="6" s="1"/>
  <c r="C2" i="4"/>
  <c r="Z7" i="11"/>
  <c r="V12" i="8"/>
  <c r="E12" i="8"/>
  <c r="C14" i="5"/>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80" i="12"/>
  <c r="E81" i="12"/>
  <c r="K83" i="12" a="1"/>
  <c r="K85" i="12" s="1"/>
  <c r="E10" i="6"/>
  <c r="I10" i="6"/>
  <c r="K10" i="6"/>
  <c r="S10" i="6"/>
  <c r="U10" i="6"/>
  <c r="O13" i="6"/>
  <c r="O15" i="6" s="1"/>
  <c r="B15" i="6"/>
  <c r="C15" i="6"/>
  <c r="E15" i="6"/>
  <c r="B71" i="6"/>
  <c r="C71" i="6"/>
  <c r="F75" i="6"/>
  <c r="S5" i="8"/>
  <c r="I8" i="8"/>
  <c r="L8" i="8"/>
  <c r="U8" i="8"/>
  <c r="E13" i="8"/>
  <c r="V13" i="8"/>
  <c r="W13" i="8" s="1"/>
  <c r="X13" i="8" s="1"/>
  <c r="Y13" i="8" s="1"/>
  <c r="Z13" i="8" s="1"/>
  <c r="AA13" i="8" s="1"/>
  <c r="AB13" i="8" s="1"/>
  <c r="AC13" i="8" s="1"/>
  <c r="AD13" i="8" s="1"/>
  <c r="AE13" i="8" s="1"/>
  <c r="AF13" i="8" s="1"/>
  <c r="T55" i="8"/>
  <c r="T60" i="8"/>
  <c r="I66"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81" i="5"/>
  <c r="O15" i="5"/>
  <c r="O84" i="5"/>
  <c r="T86" i="5" a="1"/>
  <c r="T86" i="5" s="1"/>
  <c r="B1" i="10"/>
  <c r="H4" i="10"/>
  <c r="B7" i="10"/>
  <c r="H7" i="10"/>
  <c r="O7" i="10"/>
  <c r="F12" i="10"/>
  <c r="F11" i="10" s="1" a="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N50" i="5" l="1"/>
  <c r="D50" i="6" s="1"/>
  <c r="K50" i="5"/>
  <c r="E50" i="5"/>
  <c r="D50" i="5"/>
  <c r="B50" i="12" s="1"/>
  <c r="F50" i="5"/>
  <c r="F51" i="5" s="1"/>
  <c r="B50" i="6"/>
  <c r="A50" i="12"/>
  <c r="J50" i="5"/>
  <c r="B50" i="5"/>
  <c r="AD50" i="5"/>
  <c r="G50" i="5"/>
  <c r="G51" i="5" s="1"/>
  <c r="B51" i="5"/>
  <c r="J51" i="5"/>
  <c r="AD51" i="5"/>
  <c r="K51" i="5"/>
  <c r="A51" i="12"/>
  <c r="C52" i="5"/>
  <c r="N51" i="5"/>
  <c r="D51" i="6" s="1"/>
  <c r="H51" i="5"/>
  <c r="AE51" i="5" a="1"/>
  <c r="D51" i="5"/>
  <c r="B51" i="12" s="1"/>
  <c r="E51" i="5"/>
  <c r="B51" i="6"/>
  <c r="L52" i="6"/>
  <c r="H50" i="6" a="1"/>
  <c r="A45" i="6"/>
  <c r="N44" i="6"/>
  <c r="AE14" i="5" a="1"/>
  <c r="AM12" i="6"/>
  <c r="AX12" i="6"/>
  <c r="K130" i="4"/>
  <c r="A15" i="6" a="1"/>
  <c r="S109" i="4"/>
  <c r="S69" i="4"/>
  <c r="S29" i="4"/>
  <c r="C34" i="4"/>
  <c r="C45" i="4"/>
  <c r="AY13" i="6"/>
  <c r="K50" i="4"/>
  <c r="N9" i="10"/>
  <c r="C33" i="4"/>
  <c r="C48" i="4"/>
  <c r="C27" i="4"/>
  <c r="A16" i="4"/>
  <c r="W12" i="8"/>
  <c r="X13" i="6"/>
  <c r="O7" i="11"/>
  <c r="K69" i="10"/>
  <c r="K74" i="10" s="1"/>
  <c r="W82" i="10"/>
  <c r="E12" i="13"/>
  <c r="C47" i="4"/>
  <c r="C23" i="4"/>
  <c r="A30" i="4"/>
  <c r="A31" i="4" s="1"/>
  <c r="C31" i="4" s="1"/>
  <c r="C46" i="4"/>
  <c r="C28" i="4"/>
  <c r="K86" i="12"/>
  <c r="C21" i="4"/>
  <c r="C22" i="4"/>
  <c r="K132" i="4"/>
  <c r="W81" i="10"/>
  <c r="K83" i="12"/>
  <c r="T88" i="5"/>
  <c r="O7" i="13"/>
  <c r="T78" i="6"/>
  <c r="P125" i="4"/>
  <c r="I69" i="8"/>
  <c r="I79" i="6"/>
  <c r="I77" i="6"/>
  <c r="AC13" i="6"/>
  <c r="AC12" i="6" s="1"/>
  <c r="AN13" i="6"/>
  <c r="B14" i="5"/>
  <c r="F14" i="5"/>
  <c r="G15" i="9"/>
  <c r="H15" i="10"/>
  <c r="I12" i="10"/>
  <c r="I11" i="10" s="1" a="1"/>
  <c r="H12" i="9"/>
  <c r="A36" i="4"/>
  <c r="C35" i="4"/>
  <c r="C24" i="4"/>
  <c r="AA69" i="8"/>
  <c r="AA70" i="8"/>
  <c r="AA68" i="8"/>
  <c r="P45" i="4"/>
  <c r="K14" i="5"/>
  <c r="J14" i="5"/>
  <c r="H14" i="5"/>
  <c r="A14" i="12"/>
  <c r="D14" i="5"/>
  <c r="B14" i="12" s="1"/>
  <c r="AD14" i="5"/>
  <c r="E14" i="5"/>
  <c r="G14" i="5"/>
  <c r="N14" i="5"/>
  <c r="E84" i="12"/>
  <c r="B80" i="10"/>
  <c r="F78" i="6"/>
  <c r="O87" i="5"/>
  <c r="D36" i="11"/>
  <c r="W79" i="10"/>
  <c r="A4" i="4"/>
  <c r="K51" i="4"/>
  <c r="K84" i="12"/>
  <c r="K91" i="4"/>
  <c r="T77" i="6"/>
  <c r="K90" i="4"/>
  <c r="T87" i="5"/>
  <c r="G52" i="5" l="1"/>
  <c r="B52" i="5"/>
  <c r="F52" i="5"/>
  <c r="H52" i="5"/>
  <c r="E52" i="5"/>
  <c r="N52" i="5"/>
  <c r="D52" i="6" s="1"/>
  <c r="H52" i="6" s="1" a="1"/>
  <c r="A52" i="12"/>
  <c r="C53" i="5"/>
  <c r="AD52" i="5"/>
  <c r="K52" i="5"/>
  <c r="D52" i="5"/>
  <c r="B52" i="12" s="1"/>
  <c r="AE52" i="5" a="1"/>
  <c r="J52" i="5"/>
  <c r="B52" i="6"/>
  <c r="L53" i="6"/>
  <c r="H51" i="6" a="1"/>
  <c r="N45" i="6"/>
  <c r="A46" i="6"/>
  <c r="M24" i="6"/>
  <c r="AN12" i="6"/>
  <c r="AY12" i="6"/>
  <c r="U97" i="4"/>
  <c r="U57" i="4"/>
  <c r="C15" i="7" a="1"/>
  <c r="B10" i="9"/>
  <c r="M69" i="10"/>
  <c r="M74" i="10" s="1"/>
  <c r="I12" i="9"/>
  <c r="U17" i="4"/>
  <c r="U14" i="4" s="1"/>
  <c r="T21" i="4" s="1"/>
  <c r="H5" i="5"/>
  <c r="X8" i="5" s="1" a="1"/>
  <c r="F5" i="5"/>
  <c r="G5" i="5"/>
  <c r="W8" i="5" s="1" a="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Y13" i="6"/>
  <c r="AD13" i="6"/>
  <c r="AD12" i="6" s="1"/>
  <c r="AO13" i="6"/>
  <c r="B8" i="14"/>
  <c r="I10" i="13"/>
  <c r="J12" i="10"/>
  <c r="J11" i="10" s="1" a="1"/>
  <c r="C4" i="4"/>
  <c r="A5" i="4"/>
  <c r="C36" i="4"/>
  <c r="A37" i="4"/>
  <c r="C37" i="4" s="1"/>
  <c r="AD53" i="5" l="1"/>
  <c r="E53" i="5"/>
  <c r="B53" i="5"/>
  <c r="A53" i="12"/>
  <c r="AE53" i="5" a="1"/>
  <c r="N53" i="5"/>
  <c r="D53" i="6" s="1"/>
  <c r="H53" i="6" s="1" a="1"/>
  <c r="C54" i="5"/>
  <c r="G53" i="5"/>
  <c r="H53" i="5"/>
  <c r="F53" i="5"/>
  <c r="L54" i="6"/>
  <c r="B53" i="6"/>
  <c r="AH31" i="5"/>
  <c r="AH32" i="5"/>
  <c r="AH30" i="5"/>
  <c r="AH60" i="5"/>
  <c r="AH57" i="5"/>
  <c r="AH62" i="5"/>
  <c r="AH61" i="5"/>
  <c r="AH58" i="5"/>
  <c r="AH59" i="5"/>
  <c r="AH64" i="5"/>
  <c r="AH69" i="5"/>
  <c r="AH68" i="5"/>
  <c r="AH67" i="5"/>
  <c r="AH65" i="5"/>
  <c r="AH70" i="5"/>
  <c r="AH66" i="5"/>
  <c r="E53" i="12"/>
  <c r="F53" i="6"/>
  <c r="G53" i="6"/>
  <c r="AH23" i="5"/>
  <c r="AH19" i="5"/>
  <c r="AH35" i="5"/>
  <c r="N46" i="6"/>
  <c r="A47" i="6"/>
  <c r="AH34" i="5"/>
  <c r="AH44" i="5"/>
  <c r="AH36" i="5"/>
  <c r="AH43" i="5"/>
  <c r="AH33" i="5"/>
  <c r="AH29" i="5"/>
  <c r="AH26" i="5"/>
  <c r="AH42" i="5"/>
  <c r="AH41" i="5"/>
  <c r="AH37" i="5"/>
  <c r="AH27" i="5"/>
  <c r="AH28" i="5"/>
  <c r="AH45" i="5"/>
  <c r="AH40" i="5"/>
  <c r="AH39" i="5"/>
  <c r="AH38" i="5"/>
  <c r="AH47" i="5"/>
  <c r="AH22" i="5"/>
  <c r="AH53" i="5"/>
  <c r="AH21" i="5"/>
  <c r="AH46" i="5"/>
  <c r="AH24" i="5"/>
  <c r="AH55" i="5"/>
  <c r="AH25" i="5"/>
  <c r="AH63" i="5"/>
  <c r="AH51" i="5"/>
  <c r="AH20" i="5"/>
  <c r="AH18" i="5"/>
  <c r="AH56" i="5"/>
  <c r="AH52" i="5"/>
  <c r="AH49" i="5"/>
  <c r="AH54" i="5"/>
  <c r="AH50" i="5"/>
  <c r="AH48" i="5"/>
  <c r="AH17" i="5"/>
  <c r="AN17" i="5" s="1" a="1"/>
  <c r="AH16" i="5"/>
  <c r="AN16" i="5" s="1" a="1"/>
  <c r="AZ12" i="6"/>
  <c r="AO12" i="6"/>
  <c r="U94" i="4"/>
  <c r="T101" i="4" s="1"/>
  <c r="U54" i="4"/>
  <c r="T61" i="4" s="1"/>
  <c r="B15" i="9"/>
  <c r="B16" i="9" s="1"/>
  <c r="T57" i="4"/>
  <c r="T97" i="4"/>
  <c r="T22" i="4"/>
  <c r="T23" i="4"/>
  <c r="T24" i="4"/>
  <c r="T25" i="4"/>
  <c r="T26" i="4"/>
  <c r="U26" i="4" s="1"/>
  <c r="T17" i="4"/>
  <c r="V8" i="5" a="1"/>
  <c r="O69" i="10"/>
  <c r="O74" i="10" s="1"/>
  <c r="J12" i="9"/>
  <c r="AH14" i="5"/>
  <c r="W14" i="5" s="1" a="1"/>
  <c r="BA13" i="6"/>
  <c r="A18" i="4"/>
  <c r="C17" i="4"/>
  <c r="Y12" i="8"/>
  <c r="Z13" i="6"/>
  <c r="AE13" i="6"/>
  <c r="AP13" i="6"/>
  <c r="K12" i="10"/>
  <c r="K11" i="10" s="1" a="1"/>
  <c r="C5" i="4"/>
  <c r="A6" i="4"/>
  <c r="K54" i="5" l="1"/>
  <c r="E54" i="5"/>
  <c r="J54" i="5"/>
  <c r="H54" i="5"/>
  <c r="B54" i="5"/>
  <c r="F54" i="5"/>
  <c r="AD54" i="5"/>
  <c r="G54" i="5"/>
  <c r="D54" i="5"/>
  <c r="B54" i="12" s="1"/>
  <c r="A54" i="12"/>
  <c r="N54" i="5"/>
  <c r="D54" i="6" s="1"/>
  <c r="H54" i="6" s="1" a="1"/>
  <c r="C55" i="5"/>
  <c r="C56" i="5" s="1"/>
  <c r="AE54" i="5" a="1"/>
  <c r="L55" i="6"/>
  <c r="B54" i="6"/>
  <c r="W31" i="5" a="1"/>
  <c r="AN31" i="5" a="1"/>
  <c r="W32" i="5" a="1"/>
  <c r="AN32" i="5" a="1"/>
  <c r="W30" i="5" a="1"/>
  <c r="AN30" i="5" a="1"/>
  <c r="W19" i="5" a="1"/>
  <c r="AN19" i="5" a="1"/>
  <c r="L56" i="6"/>
  <c r="L57" i="6" s="1"/>
  <c r="W23" i="5" a="1"/>
  <c r="AN23" i="5" a="1"/>
  <c r="W35" i="5" a="1"/>
  <c r="AN35" i="5" a="1"/>
  <c r="A48" i="6"/>
  <c r="N47" i="6"/>
  <c r="W34" i="5" a="1"/>
  <c r="AN34" i="5" a="1"/>
  <c r="W44" i="5" a="1"/>
  <c r="AN44" i="5" a="1"/>
  <c r="W36" i="5" a="1"/>
  <c r="AN36" i="5" a="1"/>
  <c r="W43" i="5" a="1"/>
  <c r="AN43" i="5" a="1"/>
  <c r="W33" i="5" a="1"/>
  <c r="AN33" i="5" a="1"/>
  <c r="W29" i="5" a="1"/>
  <c r="AN29" i="5" a="1"/>
  <c r="W26" i="5" a="1"/>
  <c r="AN26" i="5" a="1"/>
  <c r="W42" i="5" a="1"/>
  <c r="AN42" i="5" a="1"/>
  <c r="W41" i="5" a="1"/>
  <c r="AN41" i="5" a="1"/>
  <c r="W37" i="5" a="1"/>
  <c r="AN37" i="5" a="1"/>
  <c r="W27" i="5" a="1"/>
  <c r="AN27" i="5" a="1"/>
  <c r="W28" i="5" a="1"/>
  <c r="AN28" i="5" a="1"/>
  <c r="W45" i="5" a="1"/>
  <c r="AN45" i="5" a="1"/>
  <c r="W40" i="5" a="1"/>
  <c r="AN40" i="5" a="1"/>
  <c r="W39" i="5" a="1"/>
  <c r="AN39" i="5" a="1"/>
  <c r="W38" i="5" a="1"/>
  <c r="AN38" i="5" a="1"/>
  <c r="W47" i="5" a="1"/>
  <c r="AN47" i="5" a="1"/>
  <c r="W22" i="5" a="1"/>
  <c r="AN22" i="5" a="1"/>
  <c r="W53" i="5" a="1"/>
  <c r="W21" i="5" a="1"/>
  <c r="AN21" i="5" a="1"/>
  <c r="W46" i="5" a="1"/>
  <c r="AN46" i="5" a="1"/>
  <c r="W24" i="5" a="1"/>
  <c r="AN24" i="5" a="1"/>
  <c r="W25" i="5" a="1"/>
  <c r="AN25" i="5" a="1"/>
  <c r="W51" i="5" a="1"/>
  <c r="AN51" i="5" a="1"/>
  <c r="W20" i="5" a="1"/>
  <c r="AN20" i="5" a="1"/>
  <c r="W18" i="5" a="1"/>
  <c r="AN18" i="5" a="1"/>
  <c r="W52" i="5" a="1"/>
  <c r="AN52" i="5" a="1"/>
  <c r="W49" i="5" a="1"/>
  <c r="AN49" i="5" a="1"/>
  <c r="W50" i="5" a="1"/>
  <c r="AN50" i="5" a="1"/>
  <c r="W48" i="5" a="1"/>
  <c r="AN48" i="5" a="1"/>
  <c r="B17" i="9"/>
  <c r="BA12" i="6"/>
  <c r="AP12" i="6"/>
  <c r="AN14" i="5" a="1"/>
  <c r="T62" i="4"/>
  <c r="T63" i="4"/>
  <c r="T64" i="4"/>
  <c r="T66" i="4"/>
  <c r="U66" i="4" s="1"/>
  <c r="T65" i="4"/>
  <c r="T102" i="4"/>
  <c r="T104" i="4"/>
  <c r="T103" i="4"/>
  <c r="T106" i="4"/>
  <c r="U106" i="4" s="1"/>
  <c r="T105" i="4"/>
  <c r="U7" i="4"/>
  <c r="H68" i="10"/>
  <c r="Q69" i="10"/>
  <c r="Q74" i="10" s="1"/>
  <c r="K12" i="9"/>
  <c r="BB13" i="6"/>
  <c r="AF13" i="6"/>
  <c r="AF12" i="6" s="1"/>
  <c r="AE12" i="6"/>
  <c r="A19" i="4"/>
  <c r="C19" i="4" s="1"/>
  <c r="C18" i="4"/>
  <c r="Z12" i="8"/>
  <c r="AQ13" i="6"/>
  <c r="L12" i="10"/>
  <c r="L11" i="10" s="1" a="1"/>
  <c r="A7" i="4"/>
  <c r="C7" i="4" s="1"/>
  <c r="C6" i="4"/>
  <c r="AE55" i="5" l="1" a="1"/>
  <c r="N55" i="5"/>
  <c r="D55" i="6" s="1"/>
  <c r="H55" i="6" s="1" a="1"/>
  <c r="K55" i="5"/>
  <c r="B55" i="5"/>
  <c r="B56" i="5" s="1"/>
  <c r="C57" i="5" s="1"/>
  <c r="J55" i="5"/>
  <c r="G55" i="5"/>
  <c r="G56" i="5" s="1"/>
  <c r="D55" i="5"/>
  <c r="B55" i="12" s="1"/>
  <c r="AD55" i="5"/>
  <c r="E55" i="5"/>
  <c r="E56" i="5" s="1"/>
  <c r="A55" i="12"/>
  <c r="H55" i="5"/>
  <c r="H56" i="5" s="1"/>
  <c r="F55" i="5"/>
  <c r="F56" i="5" s="1"/>
  <c r="B55" i="6"/>
  <c r="M30" i="6"/>
  <c r="L58" i="6"/>
  <c r="AD56" i="5"/>
  <c r="K56" i="5"/>
  <c r="D56" i="5"/>
  <c r="B56" i="12" s="1"/>
  <c r="J56" i="5"/>
  <c r="N56" i="5"/>
  <c r="D56" i="6" s="1"/>
  <c r="A56" i="12"/>
  <c r="AE56" i="5" a="1"/>
  <c r="B56" i="6"/>
  <c r="M33" i="6"/>
  <c r="K24" i="5"/>
  <c r="N48" i="6"/>
  <c r="A49" i="6"/>
  <c r="B18" i="9"/>
  <c r="X29" i="4"/>
  <c r="S69" i="10"/>
  <c r="S74" i="10" s="1"/>
  <c r="L12" i="9"/>
  <c r="BB12" i="6"/>
  <c r="AQ12" i="6"/>
  <c r="AG13" i="6"/>
  <c r="AG12" i="6" s="1"/>
  <c r="BC13" i="6"/>
  <c r="AA12" i="8"/>
  <c r="AR13" i="6"/>
  <c r="M12" i="10"/>
  <c r="M11" i="10" s="1" a="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N54" i="5" l="1" a="1"/>
  <c r="W54" i="5" a="1"/>
  <c r="C58" i="5"/>
  <c r="W57" i="5" a="1"/>
  <c r="E57" i="5"/>
  <c r="G57" i="5"/>
  <c r="B57" i="6"/>
  <c r="A57" i="12"/>
  <c r="N57" i="5"/>
  <c r="D57" i="6" s="1"/>
  <c r="AE57" i="5" a="1"/>
  <c r="AD57" i="5"/>
  <c r="F57" i="5"/>
  <c r="B57" i="5"/>
  <c r="H57" i="5"/>
  <c r="L59" i="6"/>
  <c r="H56" i="6" a="1"/>
  <c r="A50" i="6"/>
  <c r="N49" i="6"/>
  <c r="B19" i="9"/>
  <c r="U29" i="4"/>
  <c r="U69" i="4"/>
  <c r="U65" i="4"/>
  <c r="U103" i="4"/>
  <c r="U61" i="4"/>
  <c r="U105" i="4"/>
  <c r="U64" i="4"/>
  <c r="U102" i="4"/>
  <c r="U62" i="4"/>
  <c r="U21" i="4"/>
  <c r="U23" i="4"/>
  <c r="U104" i="4"/>
  <c r="U101" i="4"/>
  <c r="U24" i="4"/>
  <c r="U25" i="4"/>
  <c r="U22" i="4"/>
  <c r="U63" i="4"/>
  <c r="U109" i="4"/>
  <c r="K112" i="4" s="1"/>
  <c r="U69" i="10"/>
  <c r="U74" i="10" s="1"/>
  <c r="M12" i="9"/>
  <c r="BC12" i="6"/>
  <c r="AR12" i="6"/>
  <c r="AH13" i="6"/>
  <c r="AH12" i="6" s="1"/>
  <c r="BD13" i="6"/>
  <c r="AB12" i="8"/>
  <c r="AS13" i="6"/>
  <c r="N12" i="10"/>
  <c r="N11" i="10" s="1" a="1"/>
  <c r="H58" i="5" l="1"/>
  <c r="A58" i="12"/>
  <c r="E58" i="5"/>
  <c r="C59" i="5"/>
  <c r="F58" i="5"/>
  <c r="K58" i="5"/>
  <c r="AE58" i="5" a="1"/>
  <c r="D58" i="5"/>
  <c r="B58" i="12" s="1"/>
  <c r="J58" i="5"/>
  <c r="B58" i="5"/>
  <c r="G58" i="5"/>
  <c r="N58" i="5"/>
  <c r="D58" i="6" s="1"/>
  <c r="H58" i="6" s="1" a="1"/>
  <c r="AN55" i="5" a="1"/>
  <c r="W55" i="5" a="1"/>
  <c r="AD58" i="5"/>
  <c r="B58" i="6"/>
  <c r="E57" i="12"/>
  <c r="F57" i="6"/>
  <c r="G57" i="6"/>
  <c r="H57" i="6" a="1"/>
  <c r="L60" i="6"/>
  <c r="I24" i="5"/>
  <c r="K48" i="5"/>
  <c r="K43" i="5"/>
  <c r="K41" i="5"/>
  <c r="K33" i="5"/>
  <c r="W56" i="5" a="1"/>
  <c r="AN56" i="5" a="1"/>
  <c r="J24" i="5"/>
  <c r="D24" i="5" s="1"/>
  <c r="B24" i="12" s="1"/>
  <c r="J33" i="5"/>
  <c r="M40" i="6"/>
  <c r="A51" i="6"/>
  <c r="N50" i="6"/>
  <c r="B20" i="9"/>
  <c r="W69" i="10"/>
  <c r="W74" i="10" s="1"/>
  <c r="N12" i="9"/>
  <c r="J72" i="4"/>
  <c r="U8" i="4"/>
  <c r="BD12" i="6"/>
  <c r="AS12" i="6"/>
  <c r="AI13" i="6"/>
  <c r="AI12" i="6" s="1"/>
  <c r="BE13" i="6"/>
  <c r="AC12" i="8"/>
  <c r="K72" i="4"/>
  <c r="J112" i="4"/>
  <c r="AT13" i="6"/>
  <c r="O12" i="10"/>
  <c r="O11" i="10" s="1" a="1"/>
  <c r="K32" i="4"/>
  <c r="J32" i="4"/>
  <c r="G59" i="5" l="1"/>
  <c r="B59" i="6"/>
  <c r="E59" i="5"/>
  <c r="B59" i="5"/>
  <c r="H59" i="5"/>
  <c r="N59" i="5"/>
  <c r="D59" i="6" s="1"/>
  <c r="H59" i="6" s="1" a="1"/>
  <c r="C60" i="5"/>
  <c r="B60" i="6" s="1"/>
  <c r="AD59" i="5"/>
  <c r="AE59" i="5" a="1"/>
  <c r="D59" i="5"/>
  <c r="B59" i="12" s="1"/>
  <c r="K59" i="5"/>
  <c r="A59" i="12"/>
  <c r="F59" i="5"/>
  <c r="J59" i="5"/>
  <c r="I33" i="5"/>
  <c r="I30" i="5"/>
  <c r="L61" i="6"/>
  <c r="D33" i="5"/>
  <c r="E63" i="12"/>
  <c r="M41" i="6"/>
  <c r="N51" i="6"/>
  <c r="A52" i="6"/>
  <c r="B21" i="9"/>
  <c r="O12" i="9"/>
  <c r="Y69" i="10"/>
  <c r="Y74" i="10" s="1"/>
  <c r="T11" i="11"/>
  <c r="BE12" i="6"/>
  <c r="AT12" i="6"/>
  <c r="AJ13" i="6"/>
  <c r="AJ12" i="6" s="1"/>
  <c r="BF13" i="6"/>
  <c r="AD12" i="8"/>
  <c r="AU13" i="6"/>
  <c r="P12" i="10"/>
  <c r="P11" i="10" s="1" a="1"/>
  <c r="W58" i="5" l="1" a="1"/>
  <c r="AN58" i="5" a="1"/>
  <c r="G60" i="5"/>
  <c r="J60" i="5"/>
  <c r="A60" i="12"/>
  <c r="D60" i="5"/>
  <c r="B60" i="12" s="1"/>
  <c r="N60" i="5"/>
  <c r="D60" i="6" s="1"/>
  <c r="AE60" i="5" a="1"/>
  <c r="E60" i="5"/>
  <c r="H60" i="5"/>
  <c r="AD60" i="5"/>
  <c r="B60" i="5"/>
  <c r="F60" i="5"/>
  <c r="K60" i="5"/>
  <c r="C61" i="5"/>
  <c r="B33" i="12"/>
  <c r="L62" i="6"/>
  <c r="H60" i="6" a="1"/>
  <c r="I57" i="5"/>
  <c r="A53" i="6"/>
  <c r="N52" i="6"/>
  <c r="B22" i="9"/>
  <c r="P12" i="9"/>
  <c r="AA69" i="10"/>
  <c r="AA74" i="10" s="1"/>
  <c r="BF12" i="6"/>
  <c r="AU12" i="6"/>
  <c r="AK13" i="6"/>
  <c r="BG13" i="6"/>
  <c r="AE12" i="8"/>
  <c r="AV13" i="6"/>
  <c r="Q12" i="10"/>
  <c r="Q11" i="10" s="1" a="1"/>
  <c r="W59" i="5" l="1" a="1"/>
  <c r="AN59" i="5" a="1"/>
  <c r="E61" i="5"/>
  <c r="H61" i="5"/>
  <c r="K61" i="5"/>
  <c r="A61" i="12"/>
  <c r="B61" i="5"/>
  <c r="D61" i="5"/>
  <c r="B61" i="12" s="1"/>
  <c r="G61" i="5"/>
  <c r="N61" i="5"/>
  <c r="D61" i="6" s="1"/>
  <c r="AE61" i="5" a="1"/>
  <c r="F61" i="5"/>
  <c r="J61" i="5"/>
  <c r="AD61" i="5"/>
  <c r="C62" i="5"/>
  <c r="B61" i="6"/>
  <c r="H61" i="6" a="1"/>
  <c r="L63" i="6"/>
  <c r="B62" i="6"/>
  <c r="M43" i="6"/>
  <c r="A54" i="6"/>
  <c r="N53" i="6"/>
  <c r="B23" i="9"/>
  <c r="AK12" i="6"/>
  <c r="Q12" i="9"/>
  <c r="AC69" i="10"/>
  <c r="AC74" i="10" s="1"/>
  <c r="BG12" i="6"/>
  <c r="AV12" i="6"/>
  <c r="AF12" i="8"/>
  <c r="R12" i="10"/>
  <c r="R11" i="10" s="1" a="1"/>
  <c r="W60" i="5" l="1" a="1"/>
  <c r="AN60" i="5" a="1"/>
  <c r="H62" i="5"/>
  <c r="K62" i="5"/>
  <c r="AD62" i="5"/>
  <c r="E62" i="5"/>
  <c r="B62" i="5"/>
  <c r="C63" i="5" s="1"/>
  <c r="F62" i="5"/>
  <c r="N62" i="5"/>
  <c r="D62" i="6" s="1"/>
  <c r="H62" i="6" s="1" a="1"/>
  <c r="AE62" i="5" a="1"/>
  <c r="A62" i="12"/>
  <c r="D62" i="5"/>
  <c r="B62" i="12" s="1"/>
  <c r="G62" i="5"/>
  <c r="J62" i="5"/>
  <c r="F63" i="6"/>
  <c r="L64" i="6"/>
  <c r="E68" i="12"/>
  <c r="M48" i="6"/>
  <c r="A55" i="6"/>
  <c r="N54" i="6"/>
  <c r="B24" i="9"/>
  <c r="R12" i="9"/>
  <c r="AE69" i="10"/>
  <c r="AE74" i="10" s="1"/>
  <c r="S12" i="10"/>
  <c r="S11" i="10" s="1" a="1"/>
  <c r="H63" i="5" l="1"/>
  <c r="W63" i="5" a="1"/>
  <c r="W61" i="5" a="1"/>
  <c r="AN61" i="5" a="1"/>
  <c r="F63" i="5"/>
  <c r="B63" i="6"/>
  <c r="AE63" i="5" a="1"/>
  <c r="AD63" i="5"/>
  <c r="G63" i="5"/>
  <c r="N63" i="5"/>
  <c r="D63" i="6" s="1"/>
  <c r="E63" i="5"/>
  <c r="B63" i="5"/>
  <c r="A63" i="12"/>
  <c r="I63" i="5"/>
  <c r="C64" i="5"/>
  <c r="L65" i="6"/>
  <c r="N55" i="6"/>
  <c r="B25" i="9"/>
  <c r="S12" i="9"/>
  <c r="T12" i="10"/>
  <c r="T11" i="10" s="1" a="1"/>
  <c r="W62" i="5" l="1" a="1"/>
  <c r="AN62" i="5" a="1"/>
  <c r="G63" i="6"/>
  <c r="H63" i="6" a="1"/>
  <c r="K64" i="5"/>
  <c r="D64" i="5"/>
  <c r="B64" i="12" s="1"/>
  <c r="AE64" i="5" a="1"/>
  <c r="A64" i="12"/>
  <c r="C65" i="5"/>
  <c r="AD64" i="5"/>
  <c r="N64" i="5"/>
  <c r="D64" i="6" s="1"/>
  <c r="H64" i="6" s="1" a="1"/>
  <c r="J64" i="5"/>
  <c r="B64" i="6"/>
  <c r="H64" i="5"/>
  <c r="F64" i="5"/>
  <c r="G64" i="5"/>
  <c r="B64" i="5"/>
  <c r="E64" i="5"/>
  <c r="L66" i="6"/>
  <c r="M53" i="6"/>
  <c r="A56" i="6"/>
  <c r="A57" i="6" s="1"/>
  <c r="B26" i="9"/>
  <c r="T12" i="9"/>
  <c r="U12" i="10"/>
  <c r="U11" i="10" s="1" a="1"/>
  <c r="A65" i="12" l="1"/>
  <c r="N65" i="5"/>
  <c r="D65" i="6" s="1"/>
  <c r="D65" i="5"/>
  <c r="B65" i="12" s="1"/>
  <c r="E65" i="5"/>
  <c r="AD65" i="5"/>
  <c r="J65" i="5"/>
  <c r="G65" i="5"/>
  <c r="C66" i="5"/>
  <c r="AE65" i="5" a="1"/>
  <c r="H65" i="5"/>
  <c r="B65" i="5"/>
  <c r="K65" i="5"/>
  <c r="F65" i="5"/>
  <c r="B65" i="6"/>
  <c r="L67" i="6"/>
  <c r="A58" i="6"/>
  <c r="N57" i="6"/>
  <c r="M57" i="6"/>
  <c r="N56" i="6"/>
  <c r="A63" i="6"/>
  <c r="A64" i="6" s="1"/>
  <c r="B27" i="9"/>
  <c r="U12" i="9"/>
  <c r="V12" i="10"/>
  <c r="V11" i="10" s="1" a="1"/>
  <c r="N66" i="5" l="1"/>
  <c r="D66" i="6" s="1"/>
  <c r="B66" i="6"/>
  <c r="W64" i="5" a="1"/>
  <c r="AN64" i="5" a="1"/>
  <c r="J66" i="5"/>
  <c r="E66" i="5"/>
  <c r="C67" i="5"/>
  <c r="AD66" i="5"/>
  <c r="G66" i="5"/>
  <c r="D66" i="5"/>
  <c r="B66" i="12" s="1"/>
  <c r="A66" i="12"/>
  <c r="AE66" i="5" a="1"/>
  <c r="H66" i="5"/>
  <c r="F66" i="5"/>
  <c r="B66" i="5"/>
  <c r="K66" i="5"/>
  <c r="H65" i="6" a="1"/>
  <c r="L68" i="6"/>
  <c r="A59" i="6"/>
  <c r="N58" i="6"/>
  <c r="A65" i="6"/>
  <c r="N64" i="6"/>
  <c r="M63" i="6"/>
  <c r="N63" i="6"/>
  <c r="B28" i="9"/>
  <c r="V12" i="9"/>
  <c r="W12" i="10"/>
  <c r="W11" i="10" s="1" a="1"/>
  <c r="W65" i="5" l="1" a="1"/>
  <c r="AN65" i="5" a="1"/>
  <c r="D67" i="5"/>
  <c r="B67" i="12" s="1"/>
  <c r="K67" i="5"/>
  <c r="G67" i="5"/>
  <c r="N67" i="5"/>
  <c r="D67" i="6" s="1"/>
  <c r="J67" i="5"/>
  <c r="E67" i="5"/>
  <c r="AD67" i="5"/>
  <c r="H67" i="5"/>
  <c r="A67" i="12"/>
  <c r="F67" i="5"/>
  <c r="B67" i="6"/>
  <c r="B67" i="5"/>
  <c r="C68" i="5" s="1"/>
  <c r="B68" i="6" s="1"/>
  <c r="AE67" i="5" a="1"/>
  <c r="H66" i="6" a="1"/>
  <c r="F68" i="6"/>
  <c r="L69" i="6"/>
  <c r="A60" i="6"/>
  <c r="N59" i="6"/>
  <c r="A66" i="6"/>
  <c r="N65" i="6"/>
  <c r="B29" i="9"/>
  <c r="W12" i="9"/>
  <c r="X12" i="10"/>
  <c r="X11" i="10" s="1" a="1"/>
  <c r="AN66" i="5" l="1" a="1"/>
  <c r="W66" i="5" a="1"/>
  <c r="I68" i="5"/>
  <c r="G68" i="5"/>
  <c r="A68" i="12"/>
  <c r="AD68" i="5"/>
  <c r="N68" i="5"/>
  <c r="D68" i="6" s="1"/>
  <c r="F68" i="5"/>
  <c r="B68" i="5"/>
  <c r="E68" i="5"/>
  <c r="W68" i="5" a="1"/>
  <c r="H68" i="5"/>
  <c r="C69" i="5"/>
  <c r="AE68" i="5" a="1"/>
  <c r="H67" i="6" a="1"/>
  <c r="L70" i="6"/>
  <c r="A61" i="6"/>
  <c r="N60" i="6"/>
  <c r="A67" i="6"/>
  <c r="N66" i="6"/>
  <c r="B30" i="9"/>
  <c r="X12" i="9"/>
  <c r="Y12" i="10"/>
  <c r="Y11" i="10" s="1" a="1"/>
  <c r="H68" i="6" l="1" a="1"/>
  <c r="G68" i="6"/>
  <c r="W67" i="5" a="1"/>
  <c r="AN67" i="5" a="1"/>
  <c r="N69" i="5"/>
  <c r="D69" i="6" s="1"/>
  <c r="J69" i="5"/>
  <c r="F69" i="5"/>
  <c r="C70" i="5"/>
  <c r="AD69" i="5"/>
  <c r="B69" i="5"/>
  <c r="K69" i="5"/>
  <c r="E69" i="5"/>
  <c r="AE69" i="5" a="1"/>
  <c r="H69" i="5"/>
  <c r="D69" i="5"/>
  <c r="B69" i="12" s="1"/>
  <c r="A69" i="12"/>
  <c r="G69" i="5"/>
  <c r="B69" i="6"/>
  <c r="A62" i="6"/>
  <c r="N61" i="6"/>
  <c r="A68" i="6"/>
  <c r="N67" i="6"/>
  <c r="B31" i="9"/>
  <c r="Y12" i="9"/>
  <c r="Z12" i="10"/>
  <c r="Z11" i="10" s="1" a="1"/>
  <c r="AE70" i="5" l="1" a="1"/>
  <c r="AD70" i="5"/>
  <c r="D70" i="5"/>
  <c r="B70" i="12" s="1"/>
  <c r="B70" i="6"/>
  <c r="F70" i="5"/>
  <c r="A70" i="12"/>
  <c r="J70" i="5"/>
  <c r="H70" i="5"/>
  <c r="B70" i="5"/>
  <c r="K70" i="5"/>
  <c r="E70" i="5"/>
  <c r="N70" i="5"/>
  <c r="D70" i="6" s="1"/>
  <c r="G70" i="5"/>
  <c r="K57" i="5"/>
  <c r="H69" i="6" a="1"/>
  <c r="N62" i="6"/>
  <c r="A69" i="6"/>
  <c r="N68" i="6"/>
  <c r="M68" i="6"/>
  <c r="B32" i="9"/>
  <c r="Z12" i="9"/>
  <c r="AA12" i="10"/>
  <c r="AA11" i="10" s="1" a="1"/>
  <c r="J30" i="5" l="1"/>
  <c r="D30" i="5" s="1"/>
  <c r="J57" i="5"/>
  <c r="D57" i="5" s="1"/>
  <c r="W69" i="5" a="1"/>
  <c r="AN69" i="5" a="1"/>
  <c r="H70" i="6" a="1"/>
  <c r="A70" i="6"/>
  <c r="N69" i="6"/>
  <c r="B33" i="9"/>
  <c r="AA12" i="9"/>
  <c r="AB12" i="10"/>
  <c r="AB11" i="10" s="1" a="1"/>
  <c r="W70" i="5" l="1" a="1"/>
  <c r="AN70" i="5" a="1"/>
  <c r="B30" i="12"/>
  <c r="B57" i="12"/>
  <c r="N70" i="6"/>
  <c r="B34" i="9"/>
  <c r="AB12" i="9"/>
  <c r="AC12" i="10"/>
  <c r="AC11" i="10" s="1" a="1"/>
  <c r="B35" i="9" l="1"/>
  <c r="AC12" i="9"/>
  <c r="AD12" i="10"/>
  <c r="AD11" i="10" s="1" a="1"/>
  <c r="B36" i="9" l="1"/>
  <c r="AD12" i="9"/>
  <c r="AE12" i="10"/>
  <c r="AE11" i="10" s="1" a="1"/>
  <c r="B37" i="9" l="1"/>
  <c r="AE12" i="9"/>
  <c r="AF12" i="10"/>
  <c r="AF11" i="10" s="1" a="1"/>
  <c r="B38" i="9" l="1"/>
  <c r="M1" i="6"/>
  <c r="J30" i="6" l="1" a="1"/>
  <c r="J31" i="6" a="1"/>
  <c r="J32" i="6" a="1"/>
  <c r="J57" i="6" a="1"/>
  <c r="J58" i="6" a="1"/>
  <c r="J59" i="6" a="1"/>
  <c r="J60" i="6" a="1"/>
  <c r="J61" i="6" a="1"/>
  <c r="J62" i="6" a="1"/>
  <c r="K68" i="5"/>
  <c r="J68" i="5"/>
  <c r="J63" i="5"/>
  <c r="K63" i="5"/>
  <c r="K40" i="5"/>
  <c r="J40" i="5"/>
  <c r="J41" i="5"/>
  <c r="D41" i="5" s="1"/>
  <c r="J48" i="5"/>
  <c r="D48" i="5" s="1"/>
  <c r="J43" i="5"/>
  <c r="D43" i="5" s="1"/>
  <c r="J53" i="5"/>
  <c r="K53" i="5"/>
  <c r="J64" i="6" a="1"/>
  <c r="J65" i="6" a="1"/>
  <c r="J66" i="6" a="1"/>
  <c r="J67" i="6" a="1"/>
  <c r="J68" i="6" a="1"/>
  <c r="J69" i="6" a="1"/>
  <c r="J70" i="6" a="1"/>
  <c r="J23" i="6" a="1"/>
  <c r="J19" i="6" a="1"/>
  <c r="J35" i="6" a="1"/>
  <c r="J26" i="6" a="1"/>
  <c r="J27" i="6" a="1"/>
  <c r="J28" i="6" a="1"/>
  <c r="J29" i="6" a="1"/>
  <c r="J33" i="6" a="1"/>
  <c r="J34" i="6" a="1"/>
  <c r="J36" i="6" a="1"/>
  <c r="J37" i="6" a="1"/>
  <c r="J38" i="6" a="1"/>
  <c r="J39" i="6" a="1"/>
  <c r="J40" i="6" a="1"/>
  <c r="J41" i="6" a="1"/>
  <c r="J42" i="6" a="1"/>
  <c r="J43" i="6" a="1"/>
  <c r="J44" i="6" a="1"/>
  <c r="J45" i="6" a="1"/>
  <c r="J18" i="6" a="1"/>
  <c r="J20" i="6" a="1"/>
  <c r="J21" i="6" a="1"/>
  <c r="J22" i="6" a="1"/>
  <c r="J24" i="6" a="1"/>
  <c r="J25" i="6" a="1"/>
  <c r="J46" i="6" a="1"/>
  <c r="J47" i="6" a="1"/>
  <c r="J48" i="6" a="1"/>
  <c r="J49" i="6" a="1"/>
  <c r="J50" i="6" a="1"/>
  <c r="J51" i="6" a="1"/>
  <c r="J52" i="6" a="1"/>
  <c r="J53" i="6" a="1"/>
  <c r="J54" i="6" a="1"/>
  <c r="J55" i="6" a="1"/>
  <c r="J56" i="6" a="1"/>
  <c r="J63" i="6" a="1"/>
  <c r="B39" i="9"/>
  <c r="J16" i="6" a="1"/>
  <c r="J17" i="6" a="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D53" i="5" l="1"/>
  <c r="B53" i="12" s="1"/>
  <c r="D63" i="5"/>
  <c r="B63" i="12" s="1"/>
  <c r="D40" i="5"/>
  <c r="B40" i="12" s="1"/>
  <c r="D68" i="5"/>
  <c r="B41" i="12"/>
  <c r="B48" i="12"/>
  <c r="B43" i="12"/>
  <c r="B40" i="9"/>
  <c r="I10" i="7"/>
  <c r="K13" i="7"/>
  <c r="L13" i="7" s="1"/>
  <c r="J10" i="7"/>
  <c r="B68" i="12" l="1"/>
  <c r="B41" i="9"/>
  <c r="M13" i="7"/>
  <c r="L10" i="7"/>
  <c r="B42" i="9" l="1"/>
  <c r="N13" i="7"/>
  <c r="M10" i="7"/>
  <c r="B43" i="9" l="1"/>
  <c r="O13" i="7"/>
  <c r="N10" i="7"/>
  <c r="B44" i="9" l="1"/>
  <c r="P13" i="7"/>
  <c r="O10" i="7"/>
  <c r="B45" i="9" l="1"/>
  <c r="Q13" i="7"/>
  <c r="P10" i="7"/>
  <c r="B46" i="9" l="1"/>
  <c r="R13" i="7"/>
  <c r="Q10" i="7"/>
  <c r="B47" i="9" l="1"/>
  <c r="S13" i="7"/>
  <c r="R10" i="7"/>
  <c r="B48" i="9" l="1"/>
  <c r="T13" i="7"/>
  <c r="S10" i="7"/>
  <c r="B49" i="9" l="1"/>
  <c r="U13" i="7"/>
  <c r="T10" i="7"/>
  <c r="B50" i="9" l="1"/>
  <c r="V13" i="7"/>
  <c r="U10" i="7"/>
  <c r="K10" i="7"/>
  <c r="B51" i="9" l="1"/>
  <c r="W13" i="7"/>
  <c r="V10" i="7"/>
  <c r="B52" i="9" l="1"/>
  <c r="X13" i="7"/>
  <c r="W10" i="7"/>
  <c r="B53" i="9" l="1"/>
  <c r="Y13" i="7"/>
  <c r="X10" i="7"/>
  <c r="A8" i="9"/>
  <c r="B7" i="9" a="1"/>
  <c r="B54" i="9" l="1"/>
  <c r="Y10" i="7"/>
  <c r="D15" i="7"/>
  <c r="C16" i="7" s="1" a="1"/>
  <c r="B15" i="10"/>
  <c r="B16" i="10" s="1"/>
  <c r="B55" i="9" l="1"/>
  <c r="B17" i="10"/>
  <c r="A15" i="10"/>
  <c r="B15" i="7"/>
  <c r="C15" i="9"/>
  <c r="F15" i="9" s="1"/>
  <c r="C15" i="10"/>
  <c r="A15" i="7"/>
  <c r="B56" i="9" l="1"/>
  <c r="B18" i="10"/>
  <c r="D21" i="2"/>
  <c r="B57" i="9" l="1"/>
  <c r="B19" i="10"/>
  <c r="N14" i="6"/>
  <c r="B20" i="10" l="1"/>
  <c r="B58" i="9"/>
  <c r="U1" i="7" a="1"/>
  <c r="W1" i="7" a="1"/>
  <c r="Y1" i="7" a="1"/>
  <c r="S1" i="7" a="1"/>
  <c r="T1" i="7" a="1"/>
  <c r="V1" i="7" a="1"/>
  <c r="X1" i="7" a="1"/>
  <c r="B59" i="9" l="1"/>
  <c r="B21" i="10"/>
  <c r="R1" i="7" a="1"/>
  <c r="M1" i="7" a="1"/>
  <c r="P1" i="7" a="1"/>
  <c r="Q1" i="7" a="1"/>
  <c r="O1" i="7" a="1"/>
  <c r="N1" i="7" a="1"/>
  <c r="B60" i="9" l="1"/>
  <c r="B22" i="10"/>
  <c r="A10" i="9"/>
  <c r="F15" i="7" a="1"/>
  <c r="B23" i="10" l="1"/>
  <c r="B61" i="9"/>
  <c r="J1" i="7" a="1"/>
  <c r="L1" i="7" a="1"/>
  <c r="K1" i="7" a="1"/>
  <c r="B24" i="10" l="1"/>
  <c r="B62" i="9"/>
  <c r="B25" i="10" l="1"/>
  <c r="B63" i="9"/>
  <c r="B26" i="10" l="1"/>
  <c r="B64" i="9"/>
  <c r="D8" i="9"/>
  <c r="F64" i="8" s="1"/>
  <c r="B27" i="10" l="1"/>
  <c r="A11" i="12"/>
  <c r="B28" i="10" l="1"/>
  <c r="B29" i="10" l="1"/>
  <c r="B30" i="10" l="1"/>
  <c r="O15" i="12" a="1"/>
  <c r="M15" i="12" a="1"/>
  <c r="J14" i="6" a="1"/>
  <c r="B31" i="10" l="1"/>
  <c r="I15" i="12" a="1"/>
  <c r="P11" i="12" s="1"/>
  <c r="O11" i="12" s="1"/>
  <c r="B32" i="10" l="1"/>
  <c r="B33" i="10" l="1"/>
  <c r="M14" i="6"/>
  <c r="B34" i="10" l="1"/>
  <c r="B35" i="10" l="1"/>
  <c r="B36" i="10" l="1"/>
  <c r="B37" i="10" l="1"/>
  <c r="B38" i="10" l="1"/>
  <c r="B39" i="10" l="1"/>
  <c r="B40" i="10" l="1"/>
  <c r="B41" i="10" l="1"/>
  <c r="B42" i="10" l="1"/>
  <c r="B43" i="10" l="1"/>
  <c r="I1" i="7" a="1"/>
  <c r="B44" i="10" l="1"/>
  <c r="F1" i="7"/>
  <c r="E1" i="7" a="1"/>
  <c r="H1" i="7" a="1"/>
  <c r="B45" i="10" l="1"/>
  <c r="I74" i="10"/>
  <c r="AF64" i="8"/>
  <c r="Y64" i="8"/>
  <c r="W64" i="8"/>
  <c r="AE64" i="8"/>
  <c r="X64" i="8"/>
  <c r="AD64" i="8"/>
  <c r="AC64" i="8"/>
  <c r="U64" i="8"/>
  <c r="V64" i="8"/>
  <c r="Z64" i="8"/>
  <c r="AB64" i="8"/>
  <c r="AA64" i="8"/>
  <c r="B46" i="10" l="1"/>
  <c r="V72" i="9"/>
  <c r="R72" i="9"/>
  <c r="J72" i="9"/>
  <c r="H72" i="9"/>
  <c r="X72" i="9"/>
  <c r="Z72" i="9"/>
  <c r="N72" i="9"/>
  <c r="AB72" i="9"/>
  <c r="L72" i="9"/>
  <c r="P72" i="9"/>
  <c r="T72" i="9"/>
  <c r="AD72" i="9"/>
  <c r="B47" i="10" l="1"/>
  <c r="F6" i="7"/>
  <c r="B48" i="10" l="1"/>
  <c r="B49" i="10" l="1"/>
  <c r="J10" i="13"/>
  <c r="U65" i="8"/>
  <c r="V65" i="8"/>
  <c r="B50" i="10" l="1"/>
  <c r="X65" i="8"/>
  <c r="W65" i="8"/>
  <c r="B51" i="10" l="1"/>
  <c r="Y65" i="8"/>
  <c r="B52" i="10" l="1"/>
  <c r="Z65" i="8"/>
  <c r="B53" i="10" l="1"/>
  <c r="AB65" i="8"/>
  <c r="B54" i="10" l="1"/>
  <c r="AC65" i="8"/>
  <c r="B55" i="10" l="1"/>
  <c r="AD65" i="8"/>
  <c r="AE65" i="8"/>
  <c r="B56" i="10" l="1"/>
  <c r="B57" i="10" l="1"/>
  <c r="B58" i="10" l="1"/>
  <c r="B59" i="10" l="1"/>
  <c r="B60" i="10" l="1"/>
  <c r="B61" i="10" l="1"/>
  <c r="B62" i="10" l="1"/>
  <c r="B63" i="10" l="1"/>
  <c r="B64" i="10" l="1"/>
  <c r="AA65" i="8" l="1"/>
  <c r="AF65" i="8" l="1"/>
  <c r="T65" i="8" s="1"/>
  <c r="AC15" i="13" l="1" a="1"/>
  <c r="AG20" i="13" a="1"/>
  <c r="AG18" i="13" a="1"/>
  <c r="AC21" i="13" a="1"/>
  <c r="AG19" i="13" a="1"/>
  <c r="AC16" i="13" a="1"/>
  <c r="AF17" i="13" a="1"/>
  <c r="AD22" i="13" a="1"/>
  <c r="AE23" i="13"/>
  <c r="AH12" i="13"/>
  <c r="AD20" i="13" a="1"/>
  <c r="AE20" i="13"/>
  <c r="AH18" i="13"/>
  <c r="AH20" i="13"/>
  <c r="AC17" i="13" a="1"/>
  <c r="AC18" i="13" a="1"/>
  <c r="AD15" i="13" a="1"/>
  <c r="AD17" i="13" a="1"/>
  <c r="AH23" i="13"/>
  <c r="AC23" i="13" a="1"/>
  <c r="AE18" i="13"/>
  <c r="AH15" i="13"/>
  <c r="AE15" i="13"/>
  <c r="AH22" i="13"/>
  <c r="AH17" i="13"/>
  <c r="AC20" i="13" a="1"/>
  <c r="AE22" i="13"/>
  <c r="AE17" i="13"/>
  <c r="AF20" i="13" a="1"/>
  <c r="AG17" i="13" a="1"/>
  <c r="AG16" i="13" a="1"/>
  <c r="AG15" i="13" a="1"/>
  <c r="AF15" i="13" a="1"/>
  <c r="AD23" i="13" a="1"/>
  <c r="AG23" i="13" a="1"/>
  <c r="AH19" i="13"/>
  <c r="AF23" i="13" a="1"/>
  <c r="AF22" i="13" a="1"/>
  <c r="AF19" i="13" a="1"/>
  <c r="AF18" i="13" a="1"/>
  <c r="AE19" i="13"/>
  <c r="AD18" i="13" a="1"/>
  <c r="AD21" i="13" a="1"/>
  <c r="AE16" i="13"/>
  <c r="AE21" i="13"/>
  <c r="AD12" i="13" a="1"/>
  <c r="AH16" i="13"/>
  <c r="AC19" i="13" a="1"/>
  <c r="AH21" i="13"/>
  <c r="AG12" i="13" a="1"/>
  <c r="AF16" i="13" a="1"/>
  <c r="AC12" i="13" a="1"/>
  <c r="AD19" i="13" a="1"/>
  <c r="AG21" i="13" a="1"/>
  <c r="AC22" i="13" a="1"/>
  <c r="AG22" i="13" a="1"/>
  <c r="AF21" i="13" a="1"/>
  <c r="AF12" i="13" a="1"/>
  <c r="AD16" i="13" a="1"/>
  <c r="AE12" i="13"/>
  <c r="K17" i="5" l="1"/>
  <c r="K16" i="5"/>
  <c r="A15" i="13"/>
  <c r="B15" i="11"/>
  <c r="J17" i="5"/>
  <c r="M12" i="6" a="1"/>
  <c r="D17" i="5" l="1"/>
  <c r="B17" i="12" s="1"/>
  <c r="K15" i="11" a="1"/>
  <c r="C15" i="13"/>
  <c r="G15" i="11"/>
  <c r="F15" i="13" s="1"/>
  <c r="AH14" i="13"/>
  <c r="AE14" i="13"/>
  <c r="K15" i="13" l="1" a="1"/>
  <c r="AG14" i="13" l="1" a="1"/>
  <c r="AD14" i="13" a="1"/>
  <c r="AC14" i="13" a="1"/>
  <c r="AF14" i="13" a="1"/>
  <c r="F29" i="8" l="1" a="1"/>
  <c r="F1" i="8" a="1"/>
  <c r="A5" i="5"/>
  <c r="L71" i="6" l="1"/>
  <c r="B19" i="11"/>
  <c r="A21" i="13"/>
  <c r="A22" i="13"/>
  <c r="A16" i="13"/>
  <c r="B17" i="11"/>
  <c r="A20" i="13"/>
  <c r="B22" i="11"/>
  <c r="B16" i="11"/>
  <c r="A17" i="13"/>
  <c r="A18" i="13"/>
  <c r="A19" i="13"/>
  <c r="B23" i="11"/>
  <c r="B21" i="11"/>
  <c r="F44" i="8" a="1"/>
  <c r="F38" i="8" a="1"/>
  <c r="F50" i="8" a="1"/>
  <c r="F23" i="8" a="1"/>
  <c r="F14" i="8" a="1"/>
  <c r="F47" i="8" a="1"/>
  <c r="F32" i="8" a="1"/>
  <c r="F20" i="8" a="1"/>
  <c r="F35" i="8" a="1"/>
  <c r="F17" i="8" a="1"/>
  <c r="F41" i="8" a="1"/>
  <c r="F26" i="8" a="1"/>
  <c r="B18" i="11"/>
  <c r="A12" i="13"/>
  <c r="B12" i="11"/>
  <c r="J16" i="5"/>
  <c r="D16" i="5" s="1"/>
  <c r="B20" i="11"/>
  <c r="A23" i="13"/>
  <c r="O19" i="11" l="1" a="1"/>
  <c r="C19" i="13"/>
  <c r="AA19" i="11" a="1"/>
  <c r="AB19" i="11" a="1"/>
  <c r="G19" i="11"/>
  <c r="F19" i="13" s="1"/>
  <c r="K19" i="11" a="1"/>
  <c r="AL21" i="13"/>
  <c r="AO21" i="13"/>
  <c r="B21" i="13"/>
  <c r="AL22" i="13"/>
  <c r="AO22" i="13"/>
  <c r="B22" i="13"/>
  <c r="AO16" i="13"/>
  <c r="AL16" i="13"/>
  <c r="B16" i="13"/>
  <c r="C17" i="13"/>
  <c r="AB17" i="11" a="1"/>
  <c r="K17" i="11" a="1"/>
  <c r="G17" i="11"/>
  <c r="F17" i="13" s="1"/>
  <c r="AA17" i="11" a="1"/>
  <c r="O17" i="11" a="1"/>
  <c r="AO20" i="13"/>
  <c r="AL20" i="13"/>
  <c r="B20" i="13"/>
  <c r="AB22" i="11" a="1"/>
  <c r="K22" i="11" a="1"/>
  <c r="AA22" i="11" a="1"/>
  <c r="G22" i="11"/>
  <c r="F22" i="13" s="1"/>
  <c r="O22" i="11" a="1"/>
  <c r="C22" i="13"/>
  <c r="F10" i="8" a="1"/>
  <c r="AB16" i="11" a="1"/>
  <c r="K16" i="11" a="1"/>
  <c r="AA16" i="11" a="1"/>
  <c r="G16" i="11"/>
  <c r="F16" i="13" s="1"/>
  <c r="C16" i="13"/>
  <c r="O16" i="11" a="1"/>
  <c r="AO17" i="13"/>
  <c r="AL17" i="13"/>
  <c r="B17" i="13"/>
  <c r="AL18" i="13"/>
  <c r="AO18" i="13"/>
  <c r="B18" i="13"/>
  <c r="AO19" i="13"/>
  <c r="AL19" i="13"/>
  <c r="B19" i="13"/>
  <c r="C23" i="13"/>
  <c r="AB23" i="11" a="1"/>
  <c r="K23" i="11" a="1"/>
  <c r="G23" i="11"/>
  <c r="F23" i="13" s="1"/>
  <c r="O23" i="11" a="1"/>
  <c r="AA23" i="11" a="1"/>
  <c r="AA21" i="11" a="1"/>
  <c r="G21" i="11"/>
  <c r="F21" i="13" s="1"/>
  <c r="C21" i="13"/>
  <c r="AB21" i="11" a="1"/>
  <c r="O21" i="11" a="1"/>
  <c r="K21" i="11" a="1"/>
  <c r="O18" i="11" a="1"/>
  <c r="AB18" i="11" a="1"/>
  <c r="AA18" i="11" a="1"/>
  <c r="C18" i="13"/>
  <c r="G18" i="11"/>
  <c r="F18" i="13" s="1"/>
  <c r="K18" i="11" a="1"/>
  <c r="AO12" i="13"/>
  <c r="AL12" i="13"/>
  <c r="B12" i="13"/>
  <c r="C12" i="13"/>
  <c r="O12" i="11" a="1"/>
  <c r="AA12" i="11" a="1"/>
  <c r="AB12" i="11" a="1"/>
  <c r="K12" i="11" a="1"/>
  <c r="G12" i="11"/>
  <c r="F12" i="13" s="1"/>
  <c r="B14" i="13"/>
  <c r="B16" i="12"/>
  <c r="K20" i="11" a="1"/>
  <c r="AA20" i="11" a="1"/>
  <c r="O20" i="11" a="1"/>
  <c r="AB20" i="11" a="1"/>
  <c r="G20" i="11"/>
  <c r="F20" i="13" s="1"/>
  <c r="C20" i="13"/>
  <c r="AO23" i="13"/>
  <c r="AL23" i="13"/>
  <c r="B23" i="13"/>
  <c r="D15" i="5" l="1"/>
  <c r="B15" i="13"/>
  <c r="O19" i="13"/>
  <c r="K19" i="13" a="1"/>
  <c r="M19" i="13"/>
  <c r="O17" i="13"/>
  <c r="M17" i="13"/>
  <c r="K17" i="13" a="1"/>
  <c r="K22" i="13" a="1"/>
  <c r="M22" i="13"/>
  <c r="O22" i="13"/>
  <c r="K16" i="13" a="1"/>
  <c r="M16" i="13"/>
  <c r="O16" i="13"/>
  <c r="M23" i="13"/>
  <c r="O23" i="13"/>
  <c r="K23" i="13" a="1"/>
  <c r="O21" i="13"/>
  <c r="M21" i="13"/>
  <c r="K21" i="13" a="1"/>
  <c r="K18" i="13" a="1"/>
  <c r="O18" i="13"/>
  <c r="M18" i="13"/>
  <c r="K12" i="13" a="1"/>
  <c r="M12" i="13"/>
  <c r="O12" i="13"/>
  <c r="K20" i="13" a="1"/>
  <c r="M20" i="13"/>
  <c r="O20" i="13"/>
  <c r="AK21" i="13" a="1"/>
  <c r="AM21" i="13" a="1"/>
  <c r="AN21" i="13" a="1"/>
  <c r="AJ21" i="13" a="1"/>
  <c r="AM22" i="13" a="1"/>
  <c r="AJ22" i="13" a="1"/>
  <c r="AN22" i="13" a="1"/>
  <c r="AK22" i="13" a="1"/>
  <c r="AN16" i="13" a="1"/>
  <c r="AJ16" i="13" a="1"/>
  <c r="AM16" i="13" a="1"/>
  <c r="AK16" i="13" a="1"/>
  <c r="AJ20" i="13" a="1"/>
  <c r="AN20" i="13" a="1"/>
  <c r="AK20" i="13" a="1"/>
  <c r="AM20" i="13" a="1"/>
  <c r="AJ17" i="13" a="1"/>
  <c r="AM17" i="13" a="1"/>
  <c r="AK17" i="13" a="1"/>
  <c r="AN17" i="13" a="1"/>
  <c r="AJ18" i="13" a="1"/>
  <c r="AN18" i="13" a="1"/>
  <c r="AM18" i="13" a="1"/>
  <c r="AK18" i="13" a="1"/>
  <c r="AK19" i="13" a="1"/>
  <c r="AN19" i="13" a="1"/>
  <c r="AM19" i="13" a="1"/>
  <c r="AJ19" i="13" a="1"/>
  <c r="AM12" i="13" a="1"/>
  <c r="AN12" i="13" a="1"/>
  <c r="AK12" i="13" a="1"/>
  <c r="AJ12" i="13" a="1"/>
  <c r="AJ23" i="13" a="1"/>
  <c r="AN23" i="13" a="1"/>
  <c r="AM23" i="13" a="1"/>
  <c r="AK23" i="13" a="1"/>
  <c r="N19" i="13" l="1"/>
  <c r="N17" i="13"/>
  <c r="N22" i="13"/>
  <c r="N16" i="13"/>
  <c r="N23" i="13"/>
  <c r="N21" i="13"/>
  <c r="N18" i="13"/>
  <c r="N12" i="13"/>
  <c r="N20" i="13"/>
  <c r="B6" i="9" l="1" a="1"/>
  <c r="B39" i="14" l="1"/>
  <c r="B37" i="14"/>
  <c r="B42" i="14" s="1"/>
  <c r="E28" i="14"/>
  <c r="C14" i="14"/>
  <c r="AN23" i="13"/>
  <c r="AM23" i="13"/>
  <c r="AK23" i="13"/>
  <c r="AJ23" i="13"/>
  <c r="AG23" i="13"/>
  <c r="AF23" i="13"/>
  <c r="AD23" i="13"/>
  <c r="AC23" i="13"/>
  <c r="K23" i="13"/>
  <c r="AN22" i="13"/>
  <c r="AM22" i="13"/>
  <c r="AK22" i="13"/>
  <c r="AJ22" i="13"/>
  <c r="AG22" i="13"/>
  <c r="AF22" i="13"/>
  <c r="AD22" i="13"/>
  <c r="AC22" i="13"/>
  <c r="K22" i="13"/>
  <c r="AN21" i="13"/>
  <c r="AM21" i="13"/>
  <c r="AK21" i="13"/>
  <c r="AJ21" i="13"/>
  <c r="AG21" i="13"/>
  <c r="AF21" i="13"/>
  <c r="AD21" i="13"/>
  <c r="AC21" i="13"/>
  <c r="K21" i="13"/>
  <c r="AN20" i="13"/>
  <c r="AM20" i="13"/>
  <c r="AK20" i="13"/>
  <c r="AJ20" i="13"/>
  <c r="AG20" i="13"/>
  <c r="AF20" i="13"/>
  <c r="AD20" i="13"/>
  <c r="AC20" i="13"/>
  <c r="K20" i="13"/>
  <c r="AN19" i="13"/>
  <c r="AM19" i="13"/>
  <c r="AK19" i="13"/>
  <c r="AJ19" i="13"/>
  <c r="AG19" i="13"/>
  <c r="AF19" i="13"/>
  <c r="AD19" i="13"/>
  <c r="AC19" i="13"/>
  <c r="K19" i="13"/>
  <c r="AN18" i="13"/>
  <c r="AM18" i="13"/>
  <c r="AK18" i="13"/>
  <c r="AJ18" i="13"/>
  <c r="AG18" i="13"/>
  <c r="AF18" i="13"/>
  <c r="AD18" i="13"/>
  <c r="AC18" i="13"/>
  <c r="K18" i="13"/>
  <c r="AN17" i="13"/>
  <c r="AM17" i="13"/>
  <c r="AK17" i="13"/>
  <c r="AJ17" i="13"/>
  <c r="AG17" i="13"/>
  <c r="AF17" i="13"/>
  <c r="AD17" i="13"/>
  <c r="AC17" i="13"/>
  <c r="K17" i="13"/>
  <c r="AN16" i="13"/>
  <c r="AM16" i="13"/>
  <c r="AK16" i="13"/>
  <c r="AJ16" i="13"/>
  <c r="AG16" i="13"/>
  <c r="AF16" i="13"/>
  <c r="AD16" i="13"/>
  <c r="AC16" i="13"/>
  <c r="K16" i="13"/>
  <c r="AG15" i="13"/>
  <c r="AF15" i="13"/>
  <c r="AD15" i="13"/>
  <c r="AC15" i="13"/>
  <c r="K15" i="13"/>
  <c r="AG14" i="13"/>
  <c r="AF14" i="13"/>
  <c r="AD14" i="13"/>
  <c r="AC14" i="13"/>
  <c r="K14" i="13"/>
  <c r="AN12" i="13"/>
  <c r="AM12" i="13"/>
  <c r="AK12" i="13"/>
  <c r="AJ12" i="13"/>
  <c r="AG12" i="13"/>
  <c r="AF12" i="13"/>
  <c r="AD12" i="13"/>
  <c r="AC12" i="13"/>
  <c r="K12" i="13"/>
  <c r="D78" i="12"/>
  <c r="AB15" i="12"/>
  <c r="O15" i="12"/>
  <c r="M15" i="12"/>
  <c r="J15" i="12" s="1" a="1"/>
  <c r="J15" i="12" s="1"/>
  <c r="I15" i="12"/>
  <c r="AB13" i="12"/>
  <c r="X13" i="12"/>
  <c r="W13" i="12"/>
  <c r="V13" i="12"/>
  <c r="Q12" i="12"/>
  <c r="J12" i="12"/>
  <c r="F10" i="12"/>
  <c r="I8" i="12"/>
  <c r="I7" i="12"/>
  <c r="A7" i="12"/>
  <c r="E2" i="12"/>
  <c r="AF11" i="10"/>
  <c r="AE11" i="10"/>
  <c r="AD11" i="10"/>
  <c r="AC11" i="10"/>
  <c r="AB11" i="10"/>
  <c r="AA11" i="10"/>
  <c r="Z11" i="10"/>
  <c r="Y11" i="10"/>
  <c r="X11" i="10"/>
  <c r="W11" i="10"/>
  <c r="V11" i="10"/>
  <c r="U11" i="10"/>
  <c r="T11" i="10"/>
  <c r="S11" i="10"/>
  <c r="R11" i="10"/>
  <c r="Q11" i="10"/>
  <c r="P11" i="10"/>
  <c r="O11" i="10"/>
  <c r="N11" i="10"/>
  <c r="M11" i="10"/>
  <c r="L11" i="10"/>
  <c r="K11" i="10"/>
  <c r="J11" i="10"/>
  <c r="I11" i="10"/>
  <c r="H11" i="10"/>
  <c r="F11" i="10"/>
  <c r="C11" i="10"/>
  <c r="AE7" i="10"/>
  <c r="V7" i="10"/>
  <c r="AE6" i="10"/>
  <c r="V6" i="10"/>
  <c r="AB23" i="11"/>
  <c r="AA23" i="11"/>
  <c r="O23" i="11"/>
  <c r="K23" i="11"/>
  <c r="J23" i="13" s="1"/>
  <c r="AB22" i="11"/>
  <c r="AA22" i="11"/>
  <c r="O22" i="11"/>
  <c r="K22" i="11"/>
  <c r="J22" i="13" s="1"/>
  <c r="AB21" i="11"/>
  <c r="AA21" i="11"/>
  <c r="O21" i="11"/>
  <c r="K21" i="11"/>
  <c r="J21" i="13" s="1"/>
  <c r="AB20" i="11"/>
  <c r="AA20" i="11"/>
  <c r="O20" i="11"/>
  <c r="K20" i="11"/>
  <c r="J20" i="13" s="1"/>
  <c r="AB19" i="11"/>
  <c r="AA19" i="11"/>
  <c r="O19" i="11"/>
  <c r="K19" i="11"/>
  <c r="J19" i="13" s="1"/>
  <c r="AB18" i="11"/>
  <c r="AA18" i="11"/>
  <c r="O18" i="11"/>
  <c r="K18" i="11"/>
  <c r="J18" i="13" s="1"/>
  <c r="AB17" i="11"/>
  <c r="AA17" i="11"/>
  <c r="O17" i="11"/>
  <c r="K17" i="11"/>
  <c r="J17" i="13" s="1"/>
  <c r="AB16" i="11"/>
  <c r="AA16" i="11"/>
  <c r="O16" i="11"/>
  <c r="K16" i="11"/>
  <c r="J16" i="13" s="1"/>
  <c r="K15" i="11"/>
  <c r="J15" i="13" s="1"/>
  <c r="K14" i="11"/>
  <c r="J14" i="13" s="1"/>
  <c r="AB12" i="11"/>
  <c r="AA12" i="11"/>
  <c r="O12" i="11"/>
  <c r="K12" i="11"/>
  <c r="J12" i="13" s="1"/>
  <c r="H65" i="8"/>
  <c r="H63" i="8"/>
  <c r="F50" i="8"/>
  <c r="F51" i="8" s="1"/>
  <c r="F47" i="8"/>
  <c r="F48" i="8" s="1"/>
  <c r="F44" i="8"/>
  <c r="F45" i="8" s="1"/>
  <c r="F41" i="8"/>
  <c r="F42" i="8" s="1"/>
  <c r="F38" i="8"/>
  <c r="F39" i="8" s="1"/>
  <c r="F35" i="8"/>
  <c r="F36" i="8" s="1"/>
  <c r="F32" i="8"/>
  <c r="F33" i="8" s="1"/>
  <c r="F29" i="8"/>
  <c r="F30" i="8" s="1"/>
  <c r="F26" i="8"/>
  <c r="F27" i="8" s="1"/>
  <c r="F23" i="8"/>
  <c r="F24" i="8" s="1"/>
  <c r="F20" i="8"/>
  <c r="F21" i="8" s="1"/>
  <c r="F17" i="8"/>
  <c r="F18" i="8" s="1"/>
  <c r="F14" i="8"/>
  <c r="F15" i="8" s="1"/>
  <c r="F10" i="8"/>
  <c r="AF8" i="8"/>
  <c r="Z8" i="8"/>
  <c r="AF7" i="8"/>
  <c r="Z7" i="8"/>
  <c r="S4" i="8"/>
  <c r="F1" i="8"/>
  <c r="F2" i="8" s="1"/>
  <c r="B7" i="9"/>
  <c r="B6" i="9"/>
  <c r="M13" i="9" s="1"/>
  <c r="J70" i="6"/>
  <c r="H70" i="6"/>
  <c r="J69" i="6"/>
  <c r="H69" i="6"/>
  <c r="J68" i="6"/>
  <c r="H68" i="6"/>
  <c r="J67" i="6"/>
  <c r="H67" i="6"/>
  <c r="J66" i="6"/>
  <c r="H66" i="6"/>
  <c r="J65" i="6"/>
  <c r="H65" i="6"/>
  <c r="J64" i="6"/>
  <c r="H64" i="6"/>
  <c r="J63" i="6"/>
  <c r="H63" i="6"/>
  <c r="J62" i="6"/>
  <c r="H62" i="6"/>
  <c r="J61" i="6"/>
  <c r="H61" i="6"/>
  <c r="J60" i="6"/>
  <c r="H60" i="6"/>
  <c r="J59" i="6"/>
  <c r="H59" i="6"/>
  <c r="J58" i="6"/>
  <c r="H58" i="6"/>
  <c r="J57" i="6"/>
  <c r="H57" i="6"/>
  <c r="J56" i="6"/>
  <c r="H56" i="6"/>
  <c r="J55" i="6"/>
  <c r="H55" i="6"/>
  <c r="J54" i="6"/>
  <c r="H54" i="6"/>
  <c r="J53" i="6"/>
  <c r="H53" i="6"/>
  <c r="J52" i="6"/>
  <c r="H52" i="6"/>
  <c r="J51" i="6"/>
  <c r="H51" i="6"/>
  <c r="J50" i="6"/>
  <c r="H50" i="6"/>
  <c r="J49" i="6"/>
  <c r="H49" i="6"/>
  <c r="J48" i="6"/>
  <c r="H48" i="6"/>
  <c r="J47" i="6"/>
  <c r="H47" i="6"/>
  <c r="J46" i="6"/>
  <c r="H46" i="6"/>
  <c r="J45" i="6"/>
  <c r="H45" i="6"/>
  <c r="J44" i="6"/>
  <c r="H44" i="6"/>
  <c r="J43" i="6"/>
  <c r="H43" i="6"/>
  <c r="J42" i="6"/>
  <c r="H42" i="6"/>
  <c r="J41" i="6"/>
  <c r="H41" i="6"/>
  <c r="J40" i="6"/>
  <c r="H40" i="6"/>
  <c r="J39" i="6"/>
  <c r="H39" i="6"/>
  <c r="J38" i="6"/>
  <c r="H38" i="6"/>
  <c r="J37" i="6"/>
  <c r="H37" i="6"/>
  <c r="J36" i="6"/>
  <c r="H36" i="6"/>
  <c r="J35" i="6"/>
  <c r="H35" i="6"/>
  <c r="J34" i="6"/>
  <c r="H34" i="6"/>
  <c r="J33" i="6"/>
  <c r="H33" i="6"/>
  <c r="J32" i="6"/>
  <c r="H32" i="6"/>
  <c r="J31" i="6"/>
  <c r="H31" i="6"/>
  <c r="J30" i="6"/>
  <c r="H30" i="6"/>
  <c r="J29" i="6"/>
  <c r="H29" i="6"/>
  <c r="J28" i="6"/>
  <c r="H28" i="6"/>
  <c r="J27" i="6"/>
  <c r="H27" i="6"/>
  <c r="J26" i="6"/>
  <c r="H26" i="6"/>
  <c r="J25" i="6"/>
  <c r="H25" i="6"/>
  <c r="J24" i="6"/>
  <c r="H24" i="6"/>
  <c r="J23" i="6"/>
  <c r="H23" i="6"/>
  <c r="J22" i="6"/>
  <c r="H22" i="6"/>
  <c r="J21" i="6"/>
  <c r="H21" i="6"/>
  <c r="J20" i="6"/>
  <c r="H20" i="6"/>
  <c r="J19" i="6"/>
  <c r="H19" i="6"/>
  <c r="J18" i="6"/>
  <c r="H18" i="6"/>
  <c r="J17" i="6"/>
  <c r="H17" i="6"/>
  <c r="J16" i="6"/>
  <c r="H16" i="6"/>
  <c r="D15" i="6"/>
  <c r="A15" i="6"/>
  <c r="J14" i="6"/>
  <c r="H14" i="6"/>
  <c r="M12" i="6"/>
  <c r="G10" i="6"/>
  <c r="F7" i="6"/>
  <c r="F6" i="6"/>
  <c r="Z1" i="6"/>
  <c r="Y1" i="6"/>
  <c r="X1" i="6"/>
  <c r="W1" i="6"/>
  <c r="V1" i="6"/>
  <c r="U1" i="6"/>
  <c r="T1" i="6"/>
  <c r="S1" i="6"/>
  <c r="R1" i="6"/>
  <c r="Q1" i="6"/>
  <c r="O1" i="6"/>
  <c r="O11" i="6" s="1"/>
  <c r="Y64" i="7"/>
  <c r="X64" i="7"/>
  <c r="W64" i="7"/>
  <c r="V64" i="7"/>
  <c r="U64" i="7"/>
  <c r="T64" i="7"/>
  <c r="S64" i="7"/>
  <c r="R64" i="7"/>
  <c r="Q64" i="7"/>
  <c r="P64" i="7"/>
  <c r="O64" i="7"/>
  <c r="N64" i="7"/>
  <c r="M64" i="7"/>
  <c r="L64" i="7"/>
  <c r="K64" i="7"/>
  <c r="J64" i="7"/>
  <c r="I64" i="7"/>
  <c r="H64" i="7"/>
  <c r="E64" i="7"/>
  <c r="Y63" i="7"/>
  <c r="X63" i="7"/>
  <c r="W63" i="7"/>
  <c r="V63" i="7"/>
  <c r="U63" i="7"/>
  <c r="T63" i="7"/>
  <c r="S63" i="7"/>
  <c r="R63" i="7"/>
  <c r="Q63" i="7"/>
  <c r="P63" i="7"/>
  <c r="O63" i="7"/>
  <c r="N63" i="7"/>
  <c r="M63" i="7"/>
  <c r="L63" i="7"/>
  <c r="K63" i="7"/>
  <c r="J63" i="7"/>
  <c r="I63" i="7"/>
  <c r="H63" i="7"/>
  <c r="E63" i="7"/>
  <c r="Y62" i="7"/>
  <c r="X62" i="7"/>
  <c r="W62" i="7"/>
  <c r="V62" i="7"/>
  <c r="U62" i="7"/>
  <c r="T62" i="7"/>
  <c r="S62" i="7"/>
  <c r="R62" i="7"/>
  <c r="Q62" i="7"/>
  <c r="P62" i="7"/>
  <c r="O62" i="7"/>
  <c r="N62" i="7"/>
  <c r="M62" i="7"/>
  <c r="L62" i="7"/>
  <c r="K62" i="7"/>
  <c r="J62" i="7"/>
  <c r="I62" i="7"/>
  <c r="H62" i="7"/>
  <c r="E62" i="7"/>
  <c r="Y61" i="7"/>
  <c r="X61" i="7"/>
  <c r="W61" i="7"/>
  <c r="V61" i="7"/>
  <c r="U61" i="7"/>
  <c r="T61" i="7"/>
  <c r="S61" i="7"/>
  <c r="R61" i="7"/>
  <c r="Q61" i="7"/>
  <c r="P61" i="7"/>
  <c r="O61" i="7"/>
  <c r="N61" i="7"/>
  <c r="M61" i="7"/>
  <c r="L61" i="7"/>
  <c r="K61" i="7"/>
  <c r="J61" i="7"/>
  <c r="I61" i="7"/>
  <c r="H61" i="7"/>
  <c r="E61" i="7"/>
  <c r="Y60" i="7"/>
  <c r="X60" i="7"/>
  <c r="W60" i="7"/>
  <c r="V60" i="7"/>
  <c r="U60" i="7"/>
  <c r="T60" i="7"/>
  <c r="S60" i="7"/>
  <c r="R60" i="7"/>
  <c r="Q60" i="7"/>
  <c r="P60" i="7"/>
  <c r="O60" i="7"/>
  <c r="N60" i="7"/>
  <c r="M60" i="7"/>
  <c r="L60" i="7"/>
  <c r="K60" i="7"/>
  <c r="J60" i="7"/>
  <c r="I60" i="7"/>
  <c r="H60" i="7"/>
  <c r="E60" i="7"/>
  <c r="Y59" i="7"/>
  <c r="X59" i="7"/>
  <c r="W59" i="7"/>
  <c r="V59" i="7"/>
  <c r="U59" i="7"/>
  <c r="T59" i="7"/>
  <c r="S59" i="7"/>
  <c r="R59" i="7"/>
  <c r="Q59" i="7"/>
  <c r="P59" i="7"/>
  <c r="O59" i="7"/>
  <c r="N59" i="7"/>
  <c r="M59" i="7"/>
  <c r="L59" i="7"/>
  <c r="K59" i="7"/>
  <c r="J59" i="7"/>
  <c r="I59" i="7"/>
  <c r="H59" i="7"/>
  <c r="E59" i="7"/>
  <c r="Y58" i="7"/>
  <c r="X58" i="7"/>
  <c r="W58" i="7"/>
  <c r="V58" i="7"/>
  <c r="U58" i="7"/>
  <c r="T58" i="7"/>
  <c r="S58" i="7"/>
  <c r="R58" i="7"/>
  <c r="Q58" i="7"/>
  <c r="P58" i="7"/>
  <c r="O58" i="7"/>
  <c r="N58" i="7"/>
  <c r="M58" i="7"/>
  <c r="L58" i="7"/>
  <c r="K58" i="7"/>
  <c r="J58" i="7"/>
  <c r="I58" i="7"/>
  <c r="H58" i="7"/>
  <c r="E58" i="7"/>
  <c r="Y57" i="7"/>
  <c r="X57" i="7"/>
  <c r="W57" i="7"/>
  <c r="V57" i="7"/>
  <c r="U57" i="7"/>
  <c r="T57" i="7"/>
  <c r="S57" i="7"/>
  <c r="R57" i="7"/>
  <c r="Q57" i="7"/>
  <c r="P57" i="7"/>
  <c r="O57" i="7"/>
  <c r="N57" i="7"/>
  <c r="M57" i="7"/>
  <c r="L57" i="7"/>
  <c r="K57" i="7"/>
  <c r="J57" i="7"/>
  <c r="I57" i="7"/>
  <c r="H57" i="7"/>
  <c r="E57" i="7"/>
  <c r="Y56" i="7"/>
  <c r="X56" i="7"/>
  <c r="W56" i="7"/>
  <c r="V56" i="7"/>
  <c r="U56" i="7"/>
  <c r="T56" i="7"/>
  <c r="S56" i="7"/>
  <c r="R56" i="7"/>
  <c r="Q56" i="7"/>
  <c r="P56" i="7"/>
  <c r="O56" i="7"/>
  <c r="N56" i="7"/>
  <c r="M56" i="7"/>
  <c r="L56" i="7"/>
  <c r="K56" i="7"/>
  <c r="J56" i="7"/>
  <c r="I56" i="7"/>
  <c r="H56" i="7"/>
  <c r="E56" i="7"/>
  <c r="Y55" i="7"/>
  <c r="X55" i="7"/>
  <c r="W55" i="7"/>
  <c r="V55" i="7"/>
  <c r="U55" i="7"/>
  <c r="T55" i="7"/>
  <c r="S55" i="7"/>
  <c r="R55" i="7"/>
  <c r="Q55" i="7"/>
  <c r="P55" i="7"/>
  <c r="O55" i="7"/>
  <c r="N55" i="7"/>
  <c r="M55" i="7"/>
  <c r="L55" i="7"/>
  <c r="K55" i="7"/>
  <c r="J55" i="7"/>
  <c r="I55" i="7"/>
  <c r="H55" i="7"/>
  <c r="E55" i="7"/>
  <c r="Y54" i="7"/>
  <c r="X54" i="7"/>
  <c r="W54" i="7"/>
  <c r="V54" i="7"/>
  <c r="U54" i="7"/>
  <c r="T54" i="7"/>
  <c r="S54" i="7"/>
  <c r="R54" i="7"/>
  <c r="Q54" i="7"/>
  <c r="P54" i="7"/>
  <c r="O54" i="7"/>
  <c r="N54" i="7"/>
  <c r="M54" i="7"/>
  <c r="L54" i="7"/>
  <c r="K54" i="7"/>
  <c r="J54" i="7"/>
  <c r="I54" i="7"/>
  <c r="H54" i="7"/>
  <c r="E54" i="7"/>
  <c r="Y53" i="7"/>
  <c r="X53" i="7"/>
  <c r="W53" i="7"/>
  <c r="V53" i="7"/>
  <c r="U53" i="7"/>
  <c r="T53" i="7"/>
  <c r="S53" i="7"/>
  <c r="R53" i="7"/>
  <c r="Q53" i="7"/>
  <c r="P53" i="7"/>
  <c r="O53" i="7"/>
  <c r="N53" i="7"/>
  <c r="M53" i="7"/>
  <c r="L53" i="7"/>
  <c r="K53" i="7"/>
  <c r="J53" i="7"/>
  <c r="I53" i="7"/>
  <c r="H53" i="7"/>
  <c r="E53" i="7"/>
  <c r="Y52" i="7"/>
  <c r="X52" i="7"/>
  <c r="W52" i="7"/>
  <c r="V52" i="7"/>
  <c r="U52" i="7"/>
  <c r="T52" i="7"/>
  <c r="S52" i="7"/>
  <c r="R52" i="7"/>
  <c r="Q52" i="7"/>
  <c r="P52" i="7"/>
  <c r="O52" i="7"/>
  <c r="N52" i="7"/>
  <c r="M52" i="7"/>
  <c r="L52" i="7"/>
  <c r="K52" i="7"/>
  <c r="J52" i="7"/>
  <c r="I52" i="7"/>
  <c r="H52" i="7"/>
  <c r="E52" i="7"/>
  <c r="Y51" i="7"/>
  <c r="X51" i="7"/>
  <c r="W51" i="7"/>
  <c r="V51" i="7"/>
  <c r="U51" i="7"/>
  <c r="T51" i="7"/>
  <c r="S51" i="7"/>
  <c r="R51" i="7"/>
  <c r="Q51" i="7"/>
  <c r="P51" i="7"/>
  <c r="O51" i="7"/>
  <c r="N51" i="7"/>
  <c r="M51" i="7"/>
  <c r="L51" i="7"/>
  <c r="K51" i="7"/>
  <c r="J51" i="7"/>
  <c r="I51" i="7"/>
  <c r="H51" i="7"/>
  <c r="E51" i="7"/>
  <c r="Y50" i="7"/>
  <c r="X50" i="7"/>
  <c r="W50" i="7"/>
  <c r="V50" i="7"/>
  <c r="U50" i="7"/>
  <c r="T50" i="7"/>
  <c r="S50" i="7"/>
  <c r="R50" i="7"/>
  <c r="Q50" i="7"/>
  <c r="P50" i="7"/>
  <c r="O50" i="7"/>
  <c r="N50" i="7"/>
  <c r="M50" i="7"/>
  <c r="L50" i="7"/>
  <c r="K50" i="7"/>
  <c r="J50" i="7"/>
  <c r="I50" i="7"/>
  <c r="H50" i="7"/>
  <c r="E50" i="7"/>
  <c r="Y49" i="7"/>
  <c r="X49" i="7"/>
  <c r="W49" i="7"/>
  <c r="V49" i="7"/>
  <c r="U49" i="7"/>
  <c r="T49" i="7"/>
  <c r="S49" i="7"/>
  <c r="R49" i="7"/>
  <c r="Q49" i="7"/>
  <c r="P49" i="7"/>
  <c r="O49" i="7"/>
  <c r="N49" i="7"/>
  <c r="M49" i="7"/>
  <c r="L49" i="7"/>
  <c r="K49" i="7"/>
  <c r="J49" i="7"/>
  <c r="I49" i="7"/>
  <c r="H49" i="7"/>
  <c r="E49" i="7"/>
  <c r="Y48" i="7"/>
  <c r="X48" i="7"/>
  <c r="W48" i="7"/>
  <c r="V48" i="7"/>
  <c r="U48" i="7"/>
  <c r="T48" i="7"/>
  <c r="S48" i="7"/>
  <c r="R48" i="7"/>
  <c r="Q48" i="7"/>
  <c r="P48" i="7"/>
  <c r="O48" i="7"/>
  <c r="N48" i="7"/>
  <c r="M48" i="7"/>
  <c r="L48" i="7"/>
  <c r="K48" i="7"/>
  <c r="J48" i="7"/>
  <c r="I48" i="7"/>
  <c r="H48" i="7"/>
  <c r="E48" i="7"/>
  <c r="Y47" i="7"/>
  <c r="X47" i="7"/>
  <c r="W47" i="7"/>
  <c r="V47" i="7"/>
  <c r="U47" i="7"/>
  <c r="T47" i="7"/>
  <c r="S47" i="7"/>
  <c r="R47" i="7"/>
  <c r="Q47" i="7"/>
  <c r="P47" i="7"/>
  <c r="O47" i="7"/>
  <c r="N47" i="7"/>
  <c r="M47" i="7"/>
  <c r="L47" i="7"/>
  <c r="K47" i="7"/>
  <c r="J47" i="7"/>
  <c r="I47" i="7"/>
  <c r="H47" i="7"/>
  <c r="E47" i="7"/>
  <c r="Y46" i="7"/>
  <c r="X46" i="7"/>
  <c r="W46" i="7"/>
  <c r="V46" i="7"/>
  <c r="U46" i="7"/>
  <c r="T46" i="7"/>
  <c r="S46" i="7"/>
  <c r="R46" i="7"/>
  <c r="Q46" i="7"/>
  <c r="P46" i="7"/>
  <c r="O46" i="7"/>
  <c r="N46" i="7"/>
  <c r="M46" i="7"/>
  <c r="L46" i="7"/>
  <c r="K46" i="7"/>
  <c r="J46" i="7"/>
  <c r="I46" i="7"/>
  <c r="H46" i="7"/>
  <c r="E46" i="7"/>
  <c r="Y45" i="7"/>
  <c r="X45" i="7"/>
  <c r="W45" i="7"/>
  <c r="V45" i="7"/>
  <c r="U45" i="7"/>
  <c r="T45" i="7"/>
  <c r="S45" i="7"/>
  <c r="R45" i="7"/>
  <c r="Q45" i="7"/>
  <c r="P45" i="7"/>
  <c r="O45" i="7"/>
  <c r="N45" i="7"/>
  <c r="M45" i="7"/>
  <c r="L45" i="7"/>
  <c r="K45" i="7"/>
  <c r="J45" i="7"/>
  <c r="I45" i="7"/>
  <c r="H45" i="7"/>
  <c r="E45" i="7"/>
  <c r="Y44" i="7"/>
  <c r="X44" i="7"/>
  <c r="W44" i="7"/>
  <c r="V44" i="7"/>
  <c r="U44" i="7"/>
  <c r="T44" i="7"/>
  <c r="S44" i="7"/>
  <c r="R44" i="7"/>
  <c r="Q44" i="7"/>
  <c r="P44" i="7"/>
  <c r="O44" i="7"/>
  <c r="N44" i="7"/>
  <c r="M44" i="7"/>
  <c r="L44" i="7"/>
  <c r="K44" i="7"/>
  <c r="J44" i="7"/>
  <c r="I44" i="7"/>
  <c r="H44" i="7"/>
  <c r="E44" i="7"/>
  <c r="Y43" i="7"/>
  <c r="X43" i="7"/>
  <c r="W43" i="7"/>
  <c r="V43" i="7"/>
  <c r="U43" i="7"/>
  <c r="T43" i="7"/>
  <c r="S43" i="7"/>
  <c r="R43" i="7"/>
  <c r="Q43" i="7"/>
  <c r="P43" i="7"/>
  <c r="O43" i="7"/>
  <c r="N43" i="7"/>
  <c r="M43" i="7"/>
  <c r="L43" i="7"/>
  <c r="K43" i="7"/>
  <c r="J43" i="7"/>
  <c r="I43" i="7"/>
  <c r="H43" i="7"/>
  <c r="E43" i="7"/>
  <c r="Y42" i="7"/>
  <c r="X42" i="7"/>
  <c r="W42" i="7"/>
  <c r="V42" i="7"/>
  <c r="U42" i="7"/>
  <c r="T42" i="7"/>
  <c r="S42" i="7"/>
  <c r="R42" i="7"/>
  <c r="Q42" i="7"/>
  <c r="P42" i="7"/>
  <c r="O42" i="7"/>
  <c r="N42" i="7"/>
  <c r="M42" i="7"/>
  <c r="L42" i="7"/>
  <c r="K42" i="7"/>
  <c r="J42" i="7"/>
  <c r="I42" i="7"/>
  <c r="H42" i="7"/>
  <c r="E42" i="7"/>
  <c r="Y41" i="7"/>
  <c r="X41" i="7"/>
  <c r="W41" i="7"/>
  <c r="V41" i="7"/>
  <c r="U41" i="7"/>
  <c r="T41" i="7"/>
  <c r="S41" i="7"/>
  <c r="R41" i="7"/>
  <c r="Q41" i="7"/>
  <c r="P41" i="7"/>
  <c r="O41" i="7"/>
  <c r="N41" i="7"/>
  <c r="M41" i="7"/>
  <c r="L41" i="7"/>
  <c r="K41" i="7"/>
  <c r="J41" i="7"/>
  <c r="I41" i="7"/>
  <c r="H41" i="7"/>
  <c r="E41" i="7"/>
  <c r="Y40" i="7"/>
  <c r="X40" i="7"/>
  <c r="W40" i="7"/>
  <c r="V40" i="7"/>
  <c r="U40" i="7"/>
  <c r="T40" i="7"/>
  <c r="S40" i="7"/>
  <c r="R40" i="7"/>
  <c r="Q40" i="7"/>
  <c r="P40" i="7"/>
  <c r="O40" i="7"/>
  <c r="N40" i="7"/>
  <c r="M40" i="7"/>
  <c r="L40" i="7"/>
  <c r="K40" i="7"/>
  <c r="J40" i="7"/>
  <c r="I40" i="7"/>
  <c r="H40" i="7"/>
  <c r="E40" i="7"/>
  <c r="Y39" i="7"/>
  <c r="X39" i="7"/>
  <c r="W39" i="7"/>
  <c r="V39" i="7"/>
  <c r="U39" i="7"/>
  <c r="T39" i="7"/>
  <c r="S39" i="7"/>
  <c r="R39" i="7"/>
  <c r="Q39" i="7"/>
  <c r="P39" i="7"/>
  <c r="O39" i="7"/>
  <c r="N39" i="7"/>
  <c r="M39" i="7"/>
  <c r="L39" i="7"/>
  <c r="K39" i="7"/>
  <c r="J39" i="7"/>
  <c r="I39" i="7"/>
  <c r="H39" i="7"/>
  <c r="E39" i="7"/>
  <c r="Y38" i="7"/>
  <c r="X38" i="7"/>
  <c r="W38" i="7"/>
  <c r="V38" i="7"/>
  <c r="U38" i="7"/>
  <c r="T38" i="7"/>
  <c r="S38" i="7"/>
  <c r="R38" i="7"/>
  <c r="Q38" i="7"/>
  <c r="P38" i="7"/>
  <c r="O38" i="7"/>
  <c r="N38" i="7"/>
  <c r="M38" i="7"/>
  <c r="L38" i="7"/>
  <c r="K38" i="7"/>
  <c r="J38" i="7"/>
  <c r="I38" i="7"/>
  <c r="H38" i="7"/>
  <c r="E38" i="7"/>
  <c r="Y37" i="7"/>
  <c r="X37" i="7"/>
  <c r="W37" i="7"/>
  <c r="V37" i="7"/>
  <c r="U37" i="7"/>
  <c r="T37" i="7"/>
  <c r="S37" i="7"/>
  <c r="R37" i="7"/>
  <c r="Q37" i="7"/>
  <c r="P37" i="7"/>
  <c r="O37" i="7"/>
  <c r="N37" i="7"/>
  <c r="M37" i="7"/>
  <c r="L37" i="7"/>
  <c r="K37" i="7"/>
  <c r="J37" i="7"/>
  <c r="I37" i="7"/>
  <c r="H37" i="7"/>
  <c r="E37" i="7"/>
  <c r="Y36" i="7"/>
  <c r="X36" i="7"/>
  <c r="W36" i="7"/>
  <c r="V36" i="7"/>
  <c r="U36" i="7"/>
  <c r="T36" i="7"/>
  <c r="S36" i="7"/>
  <c r="R36" i="7"/>
  <c r="Q36" i="7"/>
  <c r="P36" i="7"/>
  <c r="O36" i="7"/>
  <c r="N36" i="7"/>
  <c r="M36" i="7"/>
  <c r="L36" i="7"/>
  <c r="K36" i="7"/>
  <c r="J36" i="7"/>
  <c r="I36" i="7"/>
  <c r="H36" i="7"/>
  <c r="E36" i="7"/>
  <c r="Y35" i="7"/>
  <c r="X35" i="7"/>
  <c r="W35" i="7"/>
  <c r="V35" i="7"/>
  <c r="U35" i="7"/>
  <c r="T35" i="7"/>
  <c r="S35" i="7"/>
  <c r="R35" i="7"/>
  <c r="Q35" i="7"/>
  <c r="P35" i="7"/>
  <c r="O35" i="7"/>
  <c r="N35" i="7"/>
  <c r="M35" i="7"/>
  <c r="L35" i="7"/>
  <c r="K35" i="7"/>
  <c r="J35" i="7"/>
  <c r="I35" i="7"/>
  <c r="H35" i="7"/>
  <c r="E35" i="7"/>
  <c r="Y34" i="7"/>
  <c r="X34" i="7"/>
  <c r="W34" i="7"/>
  <c r="V34" i="7"/>
  <c r="U34" i="7"/>
  <c r="T34" i="7"/>
  <c r="S34" i="7"/>
  <c r="R34" i="7"/>
  <c r="Q34" i="7"/>
  <c r="P34" i="7"/>
  <c r="O34" i="7"/>
  <c r="N34" i="7"/>
  <c r="M34" i="7"/>
  <c r="L34" i="7"/>
  <c r="K34" i="7"/>
  <c r="J34" i="7"/>
  <c r="I34" i="7"/>
  <c r="H34" i="7"/>
  <c r="E34" i="7"/>
  <c r="Y33" i="7"/>
  <c r="X33" i="7"/>
  <c r="W33" i="7"/>
  <c r="V33" i="7"/>
  <c r="U33" i="7"/>
  <c r="T33" i="7"/>
  <c r="S33" i="7"/>
  <c r="R33" i="7"/>
  <c r="Q33" i="7"/>
  <c r="P33" i="7"/>
  <c r="O33" i="7"/>
  <c r="N33" i="7"/>
  <c r="M33" i="7"/>
  <c r="L33" i="7"/>
  <c r="K33" i="7"/>
  <c r="J33" i="7"/>
  <c r="I33" i="7"/>
  <c r="H33" i="7"/>
  <c r="E33" i="7"/>
  <c r="Y32" i="7"/>
  <c r="X32" i="7"/>
  <c r="W32" i="7"/>
  <c r="V32" i="7"/>
  <c r="U32" i="7"/>
  <c r="T32" i="7"/>
  <c r="S32" i="7"/>
  <c r="R32" i="7"/>
  <c r="Q32" i="7"/>
  <c r="P32" i="7"/>
  <c r="O32" i="7"/>
  <c r="N32" i="7"/>
  <c r="M32" i="7"/>
  <c r="L32" i="7"/>
  <c r="K32" i="7"/>
  <c r="J32" i="7"/>
  <c r="I32" i="7"/>
  <c r="H32" i="7"/>
  <c r="E32" i="7"/>
  <c r="Y31" i="7"/>
  <c r="X31" i="7"/>
  <c r="W31" i="7"/>
  <c r="V31" i="7"/>
  <c r="U31" i="7"/>
  <c r="T31" i="7"/>
  <c r="S31" i="7"/>
  <c r="R31" i="7"/>
  <c r="Q31" i="7"/>
  <c r="P31" i="7"/>
  <c r="O31" i="7"/>
  <c r="N31" i="7"/>
  <c r="M31" i="7"/>
  <c r="L31" i="7"/>
  <c r="K31" i="7"/>
  <c r="J31" i="7"/>
  <c r="I31" i="7"/>
  <c r="H31" i="7"/>
  <c r="E31" i="7"/>
  <c r="Y30" i="7"/>
  <c r="X30" i="7"/>
  <c r="W30" i="7"/>
  <c r="V30" i="7"/>
  <c r="U30" i="7"/>
  <c r="T30" i="7"/>
  <c r="S30" i="7"/>
  <c r="R30" i="7"/>
  <c r="Q30" i="7"/>
  <c r="P30" i="7"/>
  <c r="O30" i="7"/>
  <c r="N30" i="7"/>
  <c r="M30" i="7"/>
  <c r="L30" i="7"/>
  <c r="K30" i="7"/>
  <c r="J30" i="7"/>
  <c r="I30" i="7"/>
  <c r="H30" i="7"/>
  <c r="E30" i="7"/>
  <c r="Y29" i="7"/>
  <c r="X29" i="7"/>
  <c r="W29" i="7"/>
  <c r="V29" i="7"/>
  <c r="U29" i="7"/>
  <c r="T29" i="7"/>
  <c r="S29" i="7"/>
  <c r="R29" i="7"/>
  <c r="Q29" i="7"/>
  <c r="P29" i="7"/>
  <c r="O29" i="7"/>
  <c r="N29" i="7"/>
  <c r="M29" i="7"/>
  <c r="L29" i="7"/>
  <c r="K29" i="7"/>
  <c r="J29" i="7"/>
  <c r="I29" i="7"/>
  <c r="H29" i="7"/>
  <c r="E29" i="7"/>
  <c r="Y28" i="7"/>
  <c r="X28" i="7"/>
  <c r="W28" i="7"/>
  <c r="V28" i="7"/>
  <c r="U28" i="7"/>
  <c r="T28" i="7"/>
  <c r="S28" i="7"/>
  <c r="R28" i="7"/>
  <c r="Q28" i="7"/>
  <c r="P28" i="7"/>
  <c r="O28" i="7"/>
  <c r="N28" i="7"/>
  <c r="M28" i="7"/>
  <c r="L28" i="7"/>
  <c r="K28" i="7"/>
  <c r="J28" i="7"/>
  <c r="I28" i="7"/>
  <c r="H28" i="7"/>
  <c r="E28" i="7"/>
  <c r="Y27" i="7"/>
  <c r="X27" i="7"/>
  <c r="W27" i="7"/>
  <c r="V27" i="7"/>
  <c r="U27" i="7"/>
  <c r="T27" i="7"/>
  <c r="S27" i="7"/>
  <c r="R27" i="7"/>
  <c r="Q27" i="7"/>
  <c r="P27" i="7"/>
  <c r="O27" i="7"/>
  <c r="N27" i="7"/>
  <c r="M27" i="7"/>
  <c r="L27" i="7"/>
  <c r="K27" i="7"/>
  <c r="J27" i="7"/>
  <c r="I27" i="7"/>
  <c r="H27" i="7"/>
  <c r="E27" i="7"/>
  <c r="Y26" i="7"/>
  <c r="X26" i="7"/>
  <c r="W26" i="7"/>
  <c r="V26" i="7"/>
  <c r="U26" i="7"/>
  <c r="T26" i="7"/>
  <c r="S26" i="7"/>
  <c r="R26" i="7"/>
  <c r="Q26" i="7"/>
  <c r="P26" i="7"/>
  <c r="O26" i="7"/>
  <c r="N26" i="7"/>
  <c r="M26" i="7"/>
  <c r="L26" i="7"/>
  <c r="K26" i="7"/>
  <c r="J26" i="7"/>
  <c r="I26" i="7"/>
  <c r="H26" i="7"/>
  <c r="E26" i="7"/>
  <c r="Y25" i="7"/>
  <c r="X25" i="7"/>
  <c r="W25" i="7"/>
  <c r="V25" i="7"/>
  <c r="U25" i="7"/>
  <c r="T25" i="7"/>
  <c r="S25" i="7"/>
  <c r="R25" i="7"/>
  <c r="Q25" i="7"/>
  <c r="P25" i="7"/>
  <c r="O25" i="7"/>
  <c r="N25" i="7"/>
  <c r="M25" i="7"/>
  <c r="L25" i="7"/>
  <c r="K25" i="7"/>
  <c r="J25" i="7"/>
  <c r="I25" i="7"/>
  <c r="H25" i="7"/>
  <c r="E25" i="7"/>
  <c r="Y24" i="7"/>
  <c r="X24" i="7"/>
  <c r="W24" i="7"/>
  <c r="V24" i="7"/>
  <c r="U24" i="7"/>
  <c r="T24" i="7"/>
  <c r="S24" i="7"/>
  <c r="R24" i="7"/>
  <c r="Q24" i="7"/>
  <c r="P24" i="7"/>
  <c r="O24" i="7"/>
  <c r="N24" i="7"/>
  <c r="M24" i="7"/>
  <c r="L24" i="7"/>
  <c r="K24" i="7"/>
  <c r="J24" i="7"/>
  <c r="I24" i="7"/>
  <c r="H24" i="7"/>
  <c r="E24" i="7"/>
  <c r="Y23" i="7"/>
  <c r="X23" i="7"/>
  <c r="W23" i="7"/>
  <c r="V23" i="7"/>
  <c r="U23" i="7"/>
  <c r="T23" i="7"/>
  <c r="S23" i="7"/>
  <c r="R23" i="7"/>
  <c r="Q23" i="7"/>
  <c r="P23" i="7"/>
  <c r="O23" i="7"/>
  <c r="N23" i="7"/>
  <c r="M23" i="7"/>
  <c r="L23" i="7"/>
  <c r="K23" i="7"/>
  <c r="J23" i="7"/>
  <c r="I23" i="7"/>
  <c r="H23" i="7"/>
  <c r="E23" i="7"/>
  <c r="Y22" i="7"/>
  <c r="X22" i="7"/>
  <c r="W22" i="7"/>
  <c r="V22" i="7"/>
  <c r="U22" i="7"/>
  <c r="T22" i="7"/>
  <c r="S22" i="7"/>
  <c r="R22" i="7"/>
  <c r="Q22" i="7"/>
  <c r="P22" i="7"/>
  <c r="O22" i="7"/>
  <c r="N22" i="7"/>
  <c r="M22" i="7"/>
  <c r="L22" i="7"/>
  <c r="K22" i="7"/>
  <c r="J22" i="7"/>
  <c r="I22" i="7"/>
  <c r="H22" i="7"/>
  <c r="E22" i="7"/>
  <c r="Y21" i="7"/>
  <c r="X21" i="7"/>
  <c r="W21" i="7"/>
  <c r="V21" i="7"/>
  <c r="U21" i="7"/>
  <c r="T21" i="7"/>
  <c r="S21" i="7"/>
  <c r="R21" i="7"/>
  <c r="Q21" i="7"/>
  <c r="P21" i="7"/>
  <c r="O21" i="7"/>
  <c r="N21" i="7"/>
  <c r="M21" i="7"/>
  <c r="L21" i="7"/>
  <c r="K21" i="7"/>
  <c r="J21" i="7"/>
  <c r="I21" i="7"/>
  <c r="H21" i="7"/>
  <c r="E21" i="7"/>
  <c r="Y20" i="7"/>
  <c r="X20" i="7"/>
  <c r="W20" i="7"/>
  <c r="V20" i="7"/>
  <c r="U20" i="7"/>
  <c r="T20" i="7"/>
  <c r="S20" i="7"/>
  <c r="R20" i="7"/>
  <c r="Q20" i="7"/>
  <c r="P20" i="7"/>
  <c r="O20" i="7"/>
  <c r="N20" i="7"/>
  <c r="M20" i="7"/>
  <c r="L20" i="7"/>
  <c r="K20" i="7"/>
  <c r="J20" i="7"/>
  <c r="I20" i="7"/>
  <c r="H20" i="7"/>
  <c r="E20" i="7"/>
  <c r="Y19" i="7"/>
  <c r="X19" i="7"/>
  <c r="W19" i="7"/>
  <c r="V19" i="7"/>
  <c r="U19" i="7"/>
  <c r="T19" i="7"/>
  <c r="S19" i="7"/>
  <c r="R19" i="7"/>
  <c r="Q19" i="7"/>
  <c r="P19" i="7"/>
  <c r="O19" i="7"/>
  <c r="N19" i="7"/>
  <c r="M19" i="7"/>
  <c r="L19" i="7"/>
  <c r="K19" i="7"/>
  <c r="J19" i="7"/>
  <c r="I19" i="7"/>
  <c r="H19" i="7"/>
  <c r="E19" i="7"/>
  <c r="Y18" i="7"/>
  <c r="X18" i="7"/>
  <c r="W18" i="7"/>
  <c r="V18" i="7"/>
  <c r="U18" i="7"/>
  <c r="T18" i="7"/>
  <c r="S18" i="7"/>
  <c r="R18" i="7"/>
  <c r="Q18" i="7"/>
  <c r="P18" i="7"/>
  <c r="O18" i="7"/>
  <c r="N18" i="7"/>
  <c r="M18" i="7"/>
  <c r="L18" i="7"/>
  <c r="K18" i="7"/>
  <c r="J18" i="7"/>
  <c r="I18" i="7"/>
  <c r="H18" i="7"/>
  <c r="E18" i="7"/>
  <c r="Y17" i="7"/>
  <c r="X17" i="7"/>
  <c r="W17" i="7"/>
  <c r="V17" i="7"/>
  <c r="U17" i="7"/>
  <c r="T17" i="7"/>
  <c r="S17" i="7"/>
  <c r="R17" i="7"/>
  <c r="Q17" i="7"/>
  <c r="P17" i="7"/>
  <c r="O17" i="7"/>
  <c r="N17" i="7"/>
  <c r="M17" i="7"/>
  <c r="L17" i="7"/>
  <c r="K17" i="7"/>
  <c r="J17" i="7"/>
  <c r="I17" i="7"/>
  <c r="H17" i="7"/>
  <c r="E17" i="7"/>
  <c r="Y16" i="7"/>
  <c r="X16" i="7"/>
  <c r="W16" i="7"/>
  <c r="V16" i="7"/>
  <c r="U16" i="7"/>
  <c r="T16" i="7"/>
  <c r="S16" i="7"/>
  <c r="R16" i="7"/>
  <c r="Q16" i="7"/>
  <c r="P16" i="7"/>
  <c r="O16" i="7"/>
  <c r="N16" i="7"/>
  <c r="M16" i="7"/>
  <c r="L16" i="7"/>
  <c r="K16" i="7"/>
  <c r="J16" i="7"/>
  <c r="I16" i="7"/>
  <c r="H16" i="7"/>
  <c r="E16" i="7"/>
  <c r="C16" i="7"/>
  <c r="F15" i="7"/>
  <c r="C15" i="7"/>
  <c r="C11" i="7"/>
  <c r="Y1" i="7"/>
  <c r="X1" i="7"/>
  <c r="W1" i="7"/>
  <c r="V1" i="7"/>
  <c r="U1" i="7"/>
  <c r="T1" i="7"/>
  <c r="S1" i="7"/>
  <c r="R1" i="7"/>
  <c r="Q1" i="7"/>
  <c r="P1" i="7"/>
  <c r="O1" i="7"/>
  <c r="N1" i="7"/>
  <c r="M1" i="7"/>
  <c r="L1" i="7"/>
  <c r="K1" i="7"/>
  <c r="J1" i="7"/>
  <c r="I1" i="7"/>
  <c r="H1" i="7"/>
  <c r="E1" i="7"/>
  <c r="C1" i="7"/>
  <c r="B1" i="7" s="1"/>
  <c r="AC71" i="5"/>
  <c r="AN70" i="5"/>
  <c r="AE70" i="5"/>
  <c r="W70" i="5"/>
  <c r="H70" i="12" s="1" a="1"/>
  <c r="H70" i="12" s="1"/>
  <c r="AN69" i="5"/>
  <c r="AE69" i="5"/>
  <c r="W69" i="5"/>
  <c r="H69" i="12" s="1" a="1"/>
  <c r="H69" i="12" s="1"/>
  <c r="AE68" i="5"/>
  <c r="W68" i="5"/>
  <c r="H68" i="12" s="1" a="1"/>
  <c r="H68" i="12" s="1"/>
  <c r="AN67" i="5"/>
  <c r="AE67" i="5"/>
  <c r="W67" i="5"/>
  <c r="H67" i="12" s="1" a="1"/>
  <c r="H67" i="12" s="1"/>
  <c r="AN66" i="5"/>
  <c r="AE66" i="5"/>
  <c r="W66" i="5"/>
  <c r="H66" i="12" s="1" a="1"/>
  <c r="H66" i="12" s="1"/>
  <c r="AN65" i="5"/>
  <c r="AE65" i="5"/>
  <c r="W65" i="5"/>
  <c r="H65" i="12" s="1" a="1"/>
  <c r="H65" i="12" s="1"/>
  <c r="AN64" i="5"/>
  <c r="AE64" i="5"/>
  <c r="W64" i="5"/>
  <c r="H64" i="12" s="1" a="1"/>
  <c r="H64" i="12" s="1"/>
  <c r="AE63" i="5"/>
  <c r="W63" i="5"/>
  <c r="H63" i="12" s="1" a="1"/>
  <c r="H63" i="12" s="1"/>
  <c r="AN62" i="5"/>
  <c r="AE62" i="5"/>
  <c r="W62" i="5"/>
  <c r="H62" i="12" s="1" a="1"/>
  <c r="H62" i="12" s="1"/>
  <c r="AN61" i="5"/>
  <c r="AE61" i="5"/>
  <c r="W61" i="5"/>
  <c r="H61" i="12" s="1" a="1"/>
  <c r="H61" i="12" s="1"/>
  <c r="AN60" i="5"/>
  <c r="AE60" i="5"/>
  <c r="W60" i="5"/>
  <c r="H60" i="12" s="1" a="1"/>
  <c r="H60" i="12" s="1"/>
  <c r="AN59" i="5"/>
  <c r="AE59" i="5"/>
  <c r="W59" i="5"/>
  <c r="H59" i="12" s="1" a="1"/>
  <c r="H59" i="12" s="1"/>
  <c r="AN58" i="5"/>
  <c r="AE58" i="5"/>
  <c r="W58" i="5"/>
  <c r="H58" i="12" s="1" a="1"/>
  <c r="H58" i="12" s="1"/>
  <c r="AE57" i="5"/>
  <c r="W57" i="5"/>
  <c r="H57" i="12" s="1" a="1"/>
  <c r="H57" i="12" s="1"/>
  <c r="AN56" i="5"/>
  <c r="AE56" i="5"/>
  <c r="W56" i="5"/>
  <c r="H56" i="12" s="1" a="1"/>
  <c r="H56" i="12" s="1"/>
  <c r="AN55" i="5"/>
  <c r="AE55" i="5"/>
  <c r="W55" i="5"/>
  <c r="H55" i="12" s="1" a="1"/>
  <c r="H55" i="12" s="1"/>
  <c r="AN54" i="5"/>
  <c r="AE54" i="5"/>
  <c r="W54" i="5"/>
  <c r="H54" i="12" s="1" a="1"/>
  <c r="H54" i="12" s="1"/>
  <c r="AE53" i="5"/>
  <c r="W53" i="5"/>
  <c r="H53" i="12" s="1" a="1"/>
  <c r="H53" i="12" s="1"/>
  <c r="AN52" i="5"/>
  <c r="AE52" i="5"/>
  <c r="W52" i="5"/>
  <c r="H52" i="12" s="1" a="1"/>
  <c r="H52" i="12" s="1"/>
  <c r="AN51" i="5"/>
  <c r="AE51" i="5"/>
  <c r="W51" i="5"/>
  <c r="H51" i="12" s="1" a="1"/>
  <c r="H51" i="12" s="1"/>
  <c r="AN50" i="5"/>
  <c r="AE50" i="5"/>
  <c r="W50" i="5"/>
  <c r="H50" i="12" s="1" a="1"/>
  <c r="H50" i="12" s="1"/>
  <c r="AN49" i="5"/>
  <c r="AE49" i="5"/>
  <c r="W49" i="5"/>
  <c r="H49" i="12" s="1" a="1"/>
  <c r="H49" i="12" s="1"/>
  <c r="AN48" i="5"/>
  <c r="AE48" i="5"/>
  <c r="W48" i="5"/>
  <c r="H48" i="12" s="1" a="1"/>
  <c r="H48" i="12" s="1"/>
  <c r="AN47" i="5"/>
  <c r="AE47" i="5"/>
  <c r="W47" i="5"/>
  <c r="H47" i="12" s="1" a="1"/>
  <c r="H47" i="12" s="1"/>
  <c r="AN46" i="5"/>
  <c r="AE46" i="5"/>
  <c r="W46" i="5"/>
  <c r="H46" i="12" s="1" a="1"/>
  <c r="H46" i="12" s="1"/>
  <c r="AN45" i="5"/>
  <c r="AE45" i="5"/>
  <c r="W45" i="5"/>
  <c r="H45" i="12" s="1" a="1"/>
  <c r="H45" i="12" s="1"/>
  <c r="AN44" i="5"/>
  <c r="AE44" i="5"/>
  <c r="W44" i="5"/>
  <c r="H44" i="12" s="1" a="1"/>
  <c r="H44" i="12" s="1"/>
  <c r="AN43" i="5"/>
  <c r="AE43" i="5"/>
  <c r="W43" i="5"/>
  <c r="H43" i="12" s="1" a="1"/>
  <c r="H43" i="12" s="1"/>
  <c r="AN42" i="5"/>
  <c r="AE42" i="5"/>
  <c r="W42" i="5"/>
  <c r="H42" i="12" s="1" a="1"/>
  <c r="H42" i="12" s="1"/>
  <c r="AN41" i="5"/>
  <c r="AE41" i="5"/>
  <c r="W41" i="5"/>
  <c r="H41" i="12" s="1" a="1"/>
  <c r="H41" i="12" s="1"/>
  <c r="AN40" i="5"/>
  <c r="AE40" i="5"/>
  <c r="W40" i="5"/>
  <c r="H40" i="12" s="1" a="1"/>
  <c r="H40" i="12" s="1"/>
  <c r="AN39" i="5"/>
  <c r="AE39" i="5"/>
  <c r="W39" i="5"/>
  <c r="H39" i="12" s="1" a="1"/>
  <c r="H39" i="12" s="1"/>
  <c r="AN38" i="5"/>
  <c r="AE38" i="5"/>
  <c r="W38" i="5"/>
  <c r="H38" i="12" s="1" a="1"/>
  <c r="H38" i="12" s="1"/>
  <c r="AN37" i="5"/>
  <c r="AE37" i="5"/>
  <c r="W37" i="5"/>
  <c r="H37" i="12" s="1" a="1"/>
  <c r="H37" i="12" s="1"/>
  <c r="AN36" i="5"/>
  <c r="AE36" i="5"/>
  <c r="W36" i="5"/>
  <c r="H36" i="12" s="1" a="1"/>
  <c r="H36" i="12" s="1"/>
  <c r="AN35" i="5"/>
  <c r="AE35" i="5"/>
  <c r="W35" i="5"/>
  <c r="H35" i="12" s="1" a="1"/>
  <c r="H35" i="12" s="1"/>
  <c r="AN34" i="5"/>
  <c r="AE34" i="5"/>
  <c r="W34" i="5"/>
  <c r="H34" i="12" s="1" a="1"/>
  <c r="H34" i="12" s="1"/>
  <c r="AN33" i="5"/>
  <c r="AE33" i="5"/>
  <c r="W33" i="5"/>
  <c r="H33" i="12" s="1" a="1"/>
  <c r="H33" i="12" s="1"/>
  <c r="AN32" i="5"/>
  <c r="AE32" i="5"/>
  <c r="W32" i="5"/>
  <c r="H32" i="12" s="1" a="1"/>
  <c r="H32" i="12" s="1"/>
  <c r="AN31" i="5"/>
  <c r="AE31" i="5"/>
  <c r="W31" i="5"/>
  <c r="H31" i="12" s="1" a="1"/>
  <c r="H31" i="12" s="1"/>
  <c r="AN30" i="5"/>
  <c r="AE30" i="5"/>
  <c r="W30" i="5"/>
  <c r="H30" i="12" s="1" a="1"/>
  <c r="H30" i="12" s="1"/>
  <c r="AN29" i="5"/>
  <c r="AE29" i="5"/>
  <c r="W29" i="5"/>
  <c r="H29" i="12" s="1" a="1"/>
  <c r="H29" i="12" s="1"/>
  <c r="AN28" i="5"/>
  <c r="AE28" i="5"/>
  <c r="W28" i="5"/>
  <c r="H28" i="12" s="1" a="1"/>
  <c r="H28" i="12" s="1"/>
  <c r="AN27" i="5"/>
  <c r="AE27" i="5"/>
  <c r="W27" i="5"/>
  <c r="H27" i="12" s="1" a="1"/>
  <c r="H27" i="12" s="1"/>
  <c r="AN26" i="5"/>
  <c r="AE26" i="5"/>
  <c r="W26" i="5"/>
  <c r="H26" i="12" s="1" a="1"/>
  <c r="H26" i="12" s="1"/>
  <c r="AN25" i="5"/>
  <c r="AE25" i="5"/>
  <c r="W25" i="5"/>
  <c r="H25" i="12" s="1" a="1"/>
  <c r="H25" i="12" s="1"/>
  <c r="AN24" i="5"/>
  <c r="AE24" i="5"/>
  <c r="W24" i="5"/>
  <c r="H24" i="12" s="1" a="1"/>
  <c r="H24" i="12" s="1"/>
  <c r="AN23" i="5"/>
  <c r="AE23" i="5"/>
  <c r="W23" i="5"/>
  <c r="H23" i="12" s="1" a="1"/>
  <c r="H23" i="12" s="1"/>
  <c r="AN22" i="5"/>
  <c r="AE22" i="5"/>
  <c r="W22" i="5"/>
  <c r="H22" i="12" s="1" a="1"/>
  <c r="H22" i="12" s="1"/>
  <c r="AN21" i="5"/>
  <c r="AE21" i="5"/>
  <c r="W21" i="5"/>
  <c r="H21" i="12" s="1" a="1"/>
  <c r="H21" i="12" s="1"/>
  <c r="AN20" i="5"/>
  <c r="AE20" i="5"/>
  <c r="W20" i="5"/>
  <c r="H20" i="12" s="1" a="1"/>
  <c r="H20" i="12" s="1"/>
  <c r="AN19" i="5"/>
  <c r="AE19" i="5"/>
  <c r="W19" i="5"/>
  <c r="H19" i="12" s="1" a="1"/>
  <c r="H19" i="12" s="1"/>
  <c r="AN18" i="5"/>
  <c r="AE18" i="5"/>
  <c r="W18" i="5"/>
  <c r="H18" i="12" s="1" a="1"/>
  <c r="H18" i="12" s="1"/>
  <c r="AN17" i="5"/>
  <c r="AE17" i="5"/>
  <c r="W17" i="5"/>
  <c r="H17" i="12" s="1" a="1"/>
  <c r="H17" i="12" s="1"/>
  <c r="AN16" i="5"/>
  <c r="AE16" i="5"/>
  <c r="W16" i="5"/>
  <c r="H16" i="12" s="1" a="1"/>
  <c r="H16" i="12" s="1"/>
  <c r="N15" i="5"/>
  <c r="M15" i="5"/>
  <c r="AN14" i="5"/>
  <c r="AE14" i="5"/>
  <c r="W14" i="5"/>
  <c r="H14" i="12" s="1" a="1"/>
  <c r="H14" i="12" s="1"/>
  <c r="AH13" i="5"/>
  <c r="V13" i="5"/>
  <c r="U13" i="5"/>
  <c r="G11" i="5"/>
  <c r="F10" i="5"/>
  <c r="F9" i="5"/>
  <c r="X8" i="5"/>
  <c r="W8" i="5"/>
  <c r="V8" i="5"/>
  <c r="S8" i="5"/>
  <c r="R8" i="5"/>
  <c r="Q8" i="5"/>
  <c r="F8" i="5"/>
  <c r="X7" i="5"/>
  <c r="W7" i="5"/>
  <c r="V7" i="5"/>
  <c r="S7" i="5"/>
  <c r="R7" i="5"/>
  <c r="Q5" i="5"/>
  <c r="R2" i="5"/>
  <c r="J120" i="4"/>
  <c r="S108" i="4"/>
  <c r="J80" i="4"/>
  <c r="S68" i="4"/>
  <c r="J40" i="4"/>
  <c r="S28" i="4"/>
  <c r="D41" i="2"/>
  <c r="D40" i="2"/>
  <c r="D39" i="2"/>
  <c r="D38" i="2"/>
  <c r="D37" i="2"/>
  <c r="D36" i="2"/>
  <c r="D35" i="2" s="1"/>
  <c r="E24" i="15"/>
  <c r="G22" i="15"/>
  <c r="E22" i="15"/>
  <c r="C22" i="15"/>
  <c r="G18" i="15"/>
  <c r="E18" i="15"/>
  <c r="C18" i="15"/>
  <c r="C14" i="15"/>
  <c r="E12" i="15"/>
  <c r="C12" i="15"/>
  <c r="G10" i="15"/>
  <c r="E10" i="15"/>
  <c r="C10" i="15"/>
  <c r="F11" i="5" a="1"/>
  <c r="O8" i="5" a="1"/>
  <c r="O8" i="5" l="1"/>
  <c r="F11" i="5"/>
  <c r="X28" i="4"/>
  <c r="Y28" i="4"/>
  <c r="Z28" i="4"/>
  <c r="U28" i="4" s="1"/>
  <c r="S30" i="4"/>
  <c r="X108" i="4"/>
  <c r="Y108" i="4"/>
  <c r="Z108" i="4"/>
  <c r="U108" i="4"/>
  <c r="S110" i="4"/>
  <c r="AF17" i="5" a="1"/>
  <c r="AF17" i="5" s="1"/>
  <c r="AF16" i="5" a="1"/>
  <c r="AF16" i="5" s="1"/>
  <c r="AF24" i="5" a="1"/>
  <c r="AF24" i="5" s="1"/>
  <c r="AF30" i="5" a="1"/>
  <c r="AF30" i="5" s="1"/>
  <c r="AF33" i="5" a="1"/>
  <c r="AF33" i="5" s="1"/>
  <c r="AF40" i="5" a="1"/>
  <c r="AF40" i="5" s="1"/>
  <c r="AF41" i="5" a="1"/>
  <c r="AF41" i="5" s="1"/>
  <c r="AF43" i="5" a="1"/>
  <c r="AF43" i="5" s="1"/>
  <c r="AF48" i="5" a="1"/>
  <c r="AF48" i="5" s="1"/>
  <c r="AF14" i="5" a="1"/>
  <c r="AF14" i="5" s="1"/>
  <c r="AF53" i="5" a="1"/>
  <c r="AF53" i="5" s="1"/>
  <c r="AF57" i="5" a="1"/>
  <c r="AF57" i="5" s="1"/>
  <c r="AF63" i="5" a="1"/>
  <c r="AF63" i="5" s="1"/>
  <c r="AF68" i="5" a="1"/>
  <c r="AF68" i="5" s="1"/>
  <c r="Y68" i="4"/>
  <c r="X68" i="4"/>
  <c r="Z68" i="4"/>
  <c r="S70" i="4"/>
  <c r="U68" i="4"/>
  <c r="I15" i="7"/>
  <c r="I14" i="7" s="1"/>
  <c r="K15" i="7"/>
  <c r="K14" i="7" s="1"/>
  <c r="J15" i="7"/>
  <c r="J14" i="7" s="1"/>
  <c r="L15" i="7"/>
  <c r="L14" i="7" s="1"/>
  <c r="Q15" i="7"/>
  <c r="Q14" i="7" s="1"/>
  <c r="S15" i="7"/>
  <c r="S14" i="7" s="1"/>
  <c r="O15" i="7"/>
  <c r="O14" i="7" s="1"/>
  <c r="M15" i="7"/>
  <c r="M14" i="7" s="1"/>
  <c r="N15" i="7"/>
  <c r="N14" i="7" s="1"/>
  <c r="V15" i="7"/>
  <c r="V14" i="7" s="1"/>
  <c r="X15" i="7"/>
  <c r="X14" i="7" s="1"/>
  <c r="Y15" i="7"/>
  <c r="Y14" i="7" s="1"/>
  <c r="W15" i="7"/>
  <c r="W14" i="7" s="1"/>
  <c r="P15" i="7"/>
  <c r="P14" i="7" s="1"/>
  <c r="R15" i="7"/>
  <c r="R14" i="7" s="1"/>
  <c r="U15" i="7"/>
  <c r="U14" i="7" s="1"/>
  <c r="T15" i="7"/>
  <c r="T14" i="7" s="1"/>
  <c r="E15" i="7"/>
  <c r="E14" i="7" s="1"/>
  <c r="H15" i="7"/>
  <c r="H14" i="7" s="1"/>
  <c r="F14" i="7"/>
  <c r="T14" i="5"/>
  <c r="AJ14" i="6"/>
  <c r="AF14" i="6"/>
  <c r="AE14" i="6"/>
  <c r="AD14" i="6"/>
  <c r="AI14" i="6"/>
  <c r="AG14" i="6"/>
  <c r="AH14" i="6"/>
  <c r="AK14" i="6"/>
  <c r="AB14" i="6"/>
  <c r="AC14" i="6"/>
  <c r="AN16" i="6"/>
  <c r="BA17" i="6" a="1"/>
  <c r="BA17" i="6" s="1"/>
  <c r="AZ17" i="6" a="1"/>
  <c r="AZ17" i="6" s="1"/>
  <c r="AX17" i="6" a="1"/>
  <c r="AX17" i="6" s="1"/>
  <c r="AV16" i="6"/>
  <c r="BF16" i="6" a="1"/>
  <c r="BF16" i="6" s="1"/>
  <c r="AZ16" i="6" a="1"/>
  <c r="AZ16" i="6" s="1"/>
  <c r="BE16" i="6" a="1"/>
  <c r="BE16" i="6" s="1"/>
  <c r="AP16" i="6"/>
  <c r="BB16" i="6" a="1"/>
  <c r="BB16" i="6" s="1"/>
  <c r="AO17" i="6"/>
  <c r="AN17" i="6"/>
  <c r="AR17" i="6"/>
  <c r="AS16" i="6"/>
  <c r="AT17" i="6"/>
  <c r="AM17" i="6"/>
  <c r="BC16" i="6" a="1"/>
  <c r="BC16" i="6" s="1"/>
  <c r="AQ17" i="6"/>
  <c r="BA16" i="6" a="1"/>
  <c r="BA16" i="6" s="1"/>
  <c r="BB17" i="6" a="1"/>
  <c r="BB17" i="6" s="1"/>
  <c r="AO16" i="6"/>
  <c r="AU16" i="6"/>
  <c r="AR16" i="6"/>
  <c r="BG16" i="6" a="1"/>
  <c r="BG16" i="6" s="1"/>
  <c r="AQ16" i="6"/>
  <c r="BE17" i="6" a="1"/>
  <c r="BE17" i="6" s="1"/>
  <c r="BG17" i="6" a="1"/>
  <c r="BG17" i="6" s="1"/>
  <c r="AY16" i="6" a="1"/>
  <c r="AY16" i="6" s="1"/>
  <c r="AV17" i="6"/>
  <c r="M18" i="6"/>
  <c r="AM16" i="6"/>
  <c r="AX16" i="6" a="1"/>
  <c r="AX16" i="6" s="1"/>
  <c r="BD17" i="6" a="1"/>
  <c r="BD17" i="6" s="1"/>
  <c r="AS17" i="6"/>
  <c r="AY17" i="6" a="1"/>
  <c r="AY17" i="6" s="1"/>
  <c r="BC17" i="6" a="1"/>
  <c r="BC17" i="6" s="1"/>
  <c r="AP17" i="6"/>
  <c r="AT16" i="6"/>
  <c r="BD16" i="6" a="1"/>
  <c r="BD16" i="6" s="1"/>
  <c r="AU17" i="6"/>
  <c r="BF17" i="6" a="1"/>
  <c r="BF17" i="6" s="1"/>
  <c r="M19" i="6"/>
  <c r="M21" i="6"/>
  <c r="AN24" i="6"/>
  <c r="AM24" i="6"/>
  <c r="M23" i="6"/>
  <c r="M20" i="6"/>
  <c r="AZ24" i="6" a="1"/>
  <c r="AZ24" i="6" s="1"/>
  <c r="AX24" i="6" a="1"/>
  <c r="AX24" i="6" s="1"/>
  <c r="AO24" i="6"/>
  <c r="AY24" i="6" a="1"/>
  <c r="AY24" i="6" s="1"/>
  <c r="M22" i="6"/>
  <c r="BA24" i="6" a="1"/>
  <c r="BA24" i="6" s="1"/>
  <c r="AP24" i="6"/>
  <c r="BB24" i="6" a="1"/>
  <c r="BB24" i="6" s="1"/>
  <c r="AQ24" i="6"/>
  <c r="AM30" i="6"/>
  <c r="BA30" i="6" a="1"/>
  <c r="BA30" i="6" s="1"/>
  <c r="AO30" i="6"/>
  <c r="BA33" i="6" a="1"/>
  <c r="BA33" i="6" s="1"/>
  <c r="BB33" i="6" a="1"/>
  <c r="BB33" i="6" s="1"/>
  <c r="AN30" i="6"/>
  <c r="BC30" i="6" a="1"/>
  <c r="BC30" i="6" s="1"/>
  <c r="AN33" i="6"/>
  <c r="AQ33" i="6"/>
  <c r="AX30" i="6" a="1"/>
  <c r="AX30" i="6" s="1"/>
  <c r="AR30" i="6"/>
  <c r="AQ30" i="6"/>
  <c r="AO33" i="6"/>
  <c r="AM33" i="6"/>
  <c r="AR24" i="6"/>
  <c r="BB30" i="6" a="1"/>
  <c r="BB30" i="6" s="1"/>
  <c r="AY30" i="6" a="1"/>
  <c r="AY30" i="6" s="1"/>
  <c r="AP30" i="6"/>
  <c r="AZ30" i="6" a="1"/>
  <c r="AZ30" i="6" s="1"/>
  <c r="AP33" i="6"/>
  <c r="AX33" i="6" a="1"/>
  <c r="AX33" i="6" s="1"/>
  <c r="AZ33" i="6" a="1"/>
  <c r="AZ33" i="6" s="1"/>
  <c r="AR33" i="6"/>
  <c r="AY33" i="6" a="1"/>
  <c r="AY33" i="6" s="1"/>
  <c r="BC24" i="6" a="1"/>
  <c r="BC24" i="6" s="1"/>
  <c r="BC33" i="6" a="1"/>
  <c r="BC33" i="6" s="1"/>
  <c r="AS30" i="6"/>
  <c r="BD30" i="6" a="1"/>
  <c r="BD30" i="6" s="1"/>
  <c r="AS24" i="6"/>
  <c r="BD33" i="6" a="1"/>
  <c r="BD33" i="6" s="1"/>
  <c r="AS33" i="6"/>
  <c r="BD24" i="6" a="1"/>
  <c r="BD24" i="6" s="1"/>
  <c r="AS40" i="6"/>
  <c r="BE30" i="6" a="1"/>
  <c r="BE30" i="6" s="1"/>
  <c r="BD40" i="6" a="1"/>
  <c r="BD40" i="6" s="1"/>
  <c r="AR40" i="6"/>
  <c r="AP40" i="6"/>
  <c r="AN40" i="6"/>
  <c r="AX40" i="6" a="1"/>
  <c r="AX40" i="6" s="1"/>
  <c r="BE33" i="6" a="1"/>
  <c r="BE33" i="6" s="1"/>
  <c r="AT40" i="6"/>
  <c r="BC40" i="6" a="1"/>
  <c r="BC40" i="6" s="1"/>
  <c r="AQ40" i="6"/>
  <c r="BA40" i="6" a="1"/>
  <c r="BA40" i="6" s="1"/>
  <c r="AZ40" i="6" a="1"/>
  <c r="AZ40" i="6" s="1"/>
  <c r="AY40" i="6" a="1"/>
  <c r="AY40" i="6" s="1"/>
  <c r="BE40" i="6" a="1"/>
  <c r="BE40" i="6" s="1"/>
  <c r="AT30" i="6"/>
  <c r="AO40" i="6"/>
  <c r="AM40" i="6"/>
  <c r="BB40" i="6" a="1"/>
  <c r="BB40" i="6" s="1"/>
  <c r="AT33" i="6"/>
  <c r="BE24" i="6" a="1"/>
  <c r="BE24" i="6" s="1"/>
  <c r="AT24" i="6"/>
  <c r="AS41" i="6"/>
  <c r="BD41" i="6" a="1"/>
  <c r="BD41" i="6" s="1"/>
  <c r="AR41" i="6"/>
  <c r="AN41" i="6"/>
  <c r="AO41" i="6"/>
  <c r="AT41" i="6"/>
  <c r="BF33" i="6" a="1"/>
  <c r="BF33" i="6" s="1"/>
  <c r="BF24" i="6" a="1"/>
  <c r="BF24" i="6" s="1"/>
  <c r="AU30" i="6"/>
  <c r="BA41" i="6" a="1"/>
  <c r="BA41" i="6" s="1"/>
  <c r="BC41" i="6" a="1"/>
  <c r="BC41" i="6" s="1"/>
  <c r="AY41" i="6" a="1"/>
  <c r="AY41" i="6" s="1"/>
  <c r="AX41" i="6" a="1"/>
  <c r="AX41" i="6" s="1"/>
  <c r="BF41" i="6" a="1"/>
  <c r="BF41" i="6" s="1"/>
  <c r="AU33" i="6"/>
  <c r="AU24" i="6"/>
  <c r="BF30" i="6" a="1"/>
  <c r="BF30" i="6" s="1"/>
  <c r="AP41" i="6"/>
  <c r="AM41" i="6"/>
  <c r="BF40" i="6" a="1"/>
  <c r="BF40" i="6" s="1"/>
  <c r="BE41" i="6" a="1"/>
  <c r="BE41" i="6" s="1"/>
  <c r="BB41" i="6" a="1"/>
  <c r="BB41" i="6" s="1"/>
  <c r="AQ41" i="6"/>
  <c r="AZ41" i="6" a="1"/>
  <c r="AZ41" i="6" s="1"/>
  <c r="AU40" i="6"/>
  <c r="AU41" i="6"/>
  <c r="BG33" i="6" a="1"/>
  <c r="BG33" i="6" s="1"/>
  <c r="BG41" i="6" a="1"/>
  <c r="BG41" i="6" s="1"/>
  <c r="AV24" i="6"/>
  <c r="AV33" i="6"/>
  <c r="AV30" i="6"/>
  <c r="BG40" i="6" a="1"/>
  <c r="BG40" i="6" s="1"/>
  <c r="BG30" i="6" a="1"/>
  <c r="BG30" i="6" s="1"/>
  <c r="AV41" i="6"/>
  <c r="BG24" i="6" a="1"/>
  <c r="BG24" i="6" s="1"/>
  <c r="AV40" i="6"/>
  <c r="BG43" i="6" a="1"/>
  <c r="BG43" i="6" s="1"/>
  <c r="BB43" i="6" a="1"/>
  <c r="BB43" i="6" s="1"/>
  <c r="BD43" i="6" a="1"/>
  <c r="BD43" i="6" s="1"/>
  <c r="AP43" i="6"/>
  <c r="AU43" i="6"/>
  <c r="AV43" i="6"/>
  <c r="BA43" i="6" a="1"/>
  <c r="BA43" i="6" s="1"/>
  <c r="AQ43" i="6"/>
  <c r="AN43" i="6"/>
  <c r="AZ43" i="6" a="1"/>
  <c r="AZ43" i="6" s="1"/>
  <c r="BC43" i="6" a="1"/>
  <c r="BC43" i="6" s="1"/>
  <c r="AT43" i="6"/>
  <c r="AM43" i="6"/>
  <c r="AY43" i="6" a="1"/>
  <c r="AY43" i="6" s="1"/>
  <c r="AS43" i="6"/>
  <c r="AO43" i="6"/>
  <c r="BE43" i="6" a="1"/>
  <c r="BE43" i="6" s="1"/>
  <c r="AR43" i="6"/>
  <c r="AX43" i="6" a="1"/>
  <c r="AX43" i="6" s="1"/>
  <c r="BF43" i="6" a="1"/>
  <c r="BF43" i="6" s="1"/>
  <c r="BG48" i="6" a="1"/>
  <c r="BG48" i="6" s="1"/>
  <c r="BF48" i="6" a="1"/>
  <c r="BF48" i="6" s="1"/>
  <c r="AS48" i="6"/>
  <c r="AO48" i="6"/>
  <c r="AP48" i="6"/>
  <c r="BD48" i="6" a="1"/>
  <c r="BD48" i="6" s="1"/>
  <c r="AR48" i="6"/>
  <c r="AX48" i="6" a="1"/>
  <c r="AX48" i="6" s="1"/>
  <c r="AZ48" i="6" a="1"/>
  <c r="AZ48" i="6" s="1"/>
  <c r="AT48" i="6"/>
  <c r="AU48" i="6"/>
  <c r="BC48" i="6" a="1"/>
  <c r="BC48" i="6" s="1"/>
  <c r="AM48" i="6"/>
  <c r="BA48" i="6" a="1"/>
  <c r="BA48" i="6" s="1"/>
  <c r="AQ48" i="6"/>
  <c r="BE48" i="6" a="1"/>
  <c r="BE48" i="6" s="1"/>
  <c r="AV48" i="6"/>
  <c r="AY48" i="6" a="1"/>
  <c r="AY48" i="6" s="1"/>
  <c r="AN48" i="6"/>
  <c r="BB48" i="6" a="1"/>
  <c r="BB48" i="6" s="1"/>
  <c r="AS53" i="6"/>
  <c r="BC53" i="6" a="1"/>
  <c r="BC53" i="6" s="1"/>
  <c r="AO53" i="6"/>
  <c r="AY53" i="6" a="1"/>
  <c r="AY53" i="6" s="1"/>
  <c r="AU53" i="6"/>
  <c r="AM53" i="6"/>
  <c r="AT53" i="6"/>
  <c r="BD53" i="6" a="1"/>
  <c r="BD53" i="6" s="1"/>
  <c r="BB53" i="6" a="1"/>
  <c r="BB53" i="6" s="1"/>
  <c r="AZ53" i="6" a="1"/>
  <c r="AZ53" i="6" s="1"/>
  <c r="AN53" i="6"/>
  <c r="BE53" i="6" a="1"/>
  <c r="BE53" i="6" s="1"/>
  <c r="AV53" i="6"/>
  <c r="AQ53" i="6"/>
  <c r="AP53" i="6"/>
  <c r="BA53" i="6" a="1"/>
  <c r="BA53" i="6" s="1"/>
  <c r="BG53" i="6" a="1"/>
  <c r="BG53" i="6" s="1"/>
  <c r="AR53" i="6"/>
  <c r="AX53" i="6" a="1"/>
  <c r="AX53" i="6" s="1"/>
  <c r="BF53" i="6" a="1"/>
  <c r="BF53" i="6" s="1"/>
  <c r="BC57" i="6" a="1"/>
  <c r="BC57" i="6" s="1"/>
  <c r="AR57" i="6"/>
  <c r="AP57" i="6"/>
  <c r="BG57" i="6" a="1"/>
  <c r="BG57" i="6" s="1"/>
  <c r="BF57" i="6" a="1"/>
  <c r="BF57" i="6" s="1"/>
  <c r="BD57" i="6" a="1"/>
  <c r="BD57" i="6" s="1"/>
  <c r="AT57" i="6"/>
  <c r="AV57" i="6"/>
  <c r="BA57" i="6" a="1"/>
  <c r="BA57" i="6" s="1"/>
  <c r="AX57" i="6" a="1"/>
  <c r="AX57" i="6" s="1"/>
  <c r="AM57" i="6"/>
  <c r="BB57" i="6" a="1"/>
  <c r="BB57" i="6" s="1"/>
  <c r="AZ57" i="6" a="1"/>
  <c r="AZ57" i="6" s="1"/>
  <c r="AO57" i="6"/>
  <c r="AQ57" i="6"/>
  <c r="AU57" i="6"/>
  <c r="BE57" i="6" a="1"/>
  <c r="BE57" i="6" s="1"/>
  <c r="AY57" i="6" a="1"/>
  <c r="AY57" i="6" s="1"/>
  <c r="AS57" i="6"/>
  <c r="AN57" i="6"/>
  <c r="AP63" i="6"/>
  <c r="BA63" i="6" a="1"/>
  <c r="BA63" i="6" s="1"/>
  <c r="AR63" i="6"/>
  <c r="BF63" i="6" a="1"/>
  <c r="BF63" i="6" s="1"/>
  <c r="BB63" i="6" a="1"/>
  <c r="BB63" i="6" s="1"/>
  <c r="AQ63" i="6"/>
  <c r="AX63" i="6" a="1"/>
  <c r="AX63" i="6" s="1"/>
  <c r="AY63" i="6" a="1"/>
  <c r="AY63" i="6" s="1"/>
  <c r="BE63" i="6" a="1"/>
  <c r="BE63" i="6" s="1"/>
  <c r="AU63" i="6"/>
  <c r="AS63" i="6"/>
  <c r="AZ63" i="6" a="1"/>
  <c r="AZ63" i="6" s="1"/>
  <c r="AO63" i="6"/>
  <c r="AM63" i="6"/>
  <c r="BC63" i="6" a="1"/>
  <c r="BC63" i="6" s="1"/>
  <c r="BD63" i="6" a="1"/>
  <c r="BD63" i="6" s="1"/>
  <c r="AT63" i="6"/>
  <c r="BG63" i="6" a="1"/>
  <c r="BG63" i="6" s="1"/>
  <c r="AN63" i="6"/>
  <c r="AV63" i="6"/>
  <c r="AN68" i="6"/>
  <c r="AP68" i="6"/>
  <c r="BA68" i="6" a="1"/>
  <c r="BA68" i="6" s="1"/>
  <c r="BB68" i="6" a="1"/>
  <c r="BB68" i="6" s="1"/>
  <c r="AV68" i="6"/>
  <c r="AX68" i="6" a="1"/>
  <c r="AX68" i="6" s="1"/>
  <c r="AZ68" i="6" a="1"/>
  <c r="AZ68" i="6" s="1"/>
  <c r="BD68" i="6" a="1"/>
  <c r="BD68" i="6" s="1"/>
  <c r="AQ68" i="6"/>
  <c r="AR68" i="6"/>
  <c r="AT68" i="6"/>
  <c r="AO68" i="6"/>
  <c r="BG68" i="6" a="1"/>
  <c r="BG68" i="6" s="1"/>
  <c r="AS68" i="6"/>
  <c r="AU68" i="6"/>
  <c r="BF68" i="6" a="1"/>
  <c r="BF68" i="6" s="1"/>
  <c r="BC68" i="6" a="1"/>
  <c r="BC68" i="6" s="1"/>
  <c r="BE68" i="6" a="1"/>
  <c r="BE68" i="6" s="1"/>
  <c r="AY68" i="6" a="1"/>
  <c r="AY68" i="6" s="1"/>
  <c r="AM68" i="6"/>
  <c r="AT14" i="6"/>
  <c r="AN14" i="6"/>
  <c r="AO14" i="6"/>
  <c r="BB14" i="6" a="1"/>
  <c r="BB14" i="6" s="1"/>
  <c r="AY14" i="6" a="1"/>
  <c r="AY14" i="6" s="1"/>
  <c r="BD14" i="6" a="1"/>
  <c r="BD14" i="6" s="1"/>
  <c r="AR14" i="6"/>
  <c r="AU14" i="6"/>
  <c r="BC14" i="6" a="1"/>
  <c r="BC14" i="6" s="1"/>
  <c r="BE14" i="6" a="1"/>
  <c r="BE14" i="6" s="1"/>
  <c r="AP14" i="6"/>
  <c r="BF14" i="6" a="1"/>
  <c r="BF14" i="6" s="1"/>
  <c r="AX14" i="6" a="1"/>
  <c r="AX14" i="6" s="1"/>
  <c r="AM14" i="6"/>
  <c r="BG14" i="6" a="1"/>
  <c r="BG14" i="6" s="1"/>
  <c r="BA14" i="6" a="1"/>
  <c r="BA14" i="6" s="1"/>
  <c r="AS14" i="6"/>
  <c r="AZ14" i="6" a="1"/>
  <c r="AZ14" i="6" s="1"/>
  <c r="AV14" i="6"/>
  <c r="AQ14" i="6"/>
  <c r="B16" i="7"/>
  <c r="C17" i="7" a="1"/>
  <c r="C17" i="7" s="1"/>
  <c r="T16" i="5"/>
  <c r="AB16" i="6"/>
  <c r="AC16" i="6"/>
  <c r="AD16" i="6"/>
  <c r="AE16" i="6"/>
  <c r="AF16" i="6"/>
  <c r="AG16" i="6"/>
  <c r="AH16" i="6"/>
  <c r="AI16" i="6"/>
  <c r="AJ16" i="6"/>
  <c r="AK16" i="6"/>
  <c r="T17" i="5"/>
  <c r="AC17" i="6"/>
  <c r="AB17" i="6"/>
  <c r="AD17" i="6"/>
  <c r="AE17" i="6"/>
  <c r="AF17" i="6"/>
  <c r="AG17" i="6"/>
  <c r="AH17" i="6"/>
  <c r="AI17" i="6"/>
  <c r="AJ17" i="6"/>
  <c r="AK17" i="6"/>
  <c r="T18" i="5"/>
  <c r="AB18" i="6"/>
  <c r="AC18" i="6"/>
  <c r="AD18" i="6"/>
  <c r="AF18" i="6"/>
  <c r="AE18" i="6"/>
  <c r="AG18" i="6"/>
  <c r="AH18" i="6"/>
  <c r="AI18" i="6"/>
  <c r="AJ18" i="6"/>
  <c r="AK18" i="6"/>
  <c r="T19" i="5"/>
  <c r="AD19" i="6"/>
  <c r="AB19" i="6"/>
  <c r="AC19" i="6"/>
  <c r="AF19" i="6"/>
  <c r="AE19" i="6"/>
  <c r="AG19" i="6"/>
  <c r="AH19" i="6"/>
  <c r="AI19" i="6"/>
  <c r="AJ19" i="6"/>
  <c r="AK19" i="6"/>
  <c r="T20" i="5"/>
  <c r="AB20" i="6"/>
  <c r="AC20" i="6"/>
  <c r="AE20" i="6"/>
  <c r="AF20" i="6"/>
  <c r="AG20" i="6"/>
  <c r="AH20" i="6"/>
  <c r="AI20" i="6"/>
  <c r="AJ20" i="6"/>
  <c r="AK20" i="6"/>
  <c r="T21" i="5"/>
  <c r="AD21" i="6"/>
  <c r="AB21" i="6"/>
  <c r="AC21" i="6"/>
  <c r="AF21" i="6"/>
  <c r="AE21" i="6"/>
  <c r="AG21" i="6"/>
  <c r="AH21" i="6"/>
  <c r="AI21" i="6"/>
  <c r="AJ21" i="6"/>
  <c r="AK21" i="6"/>
  <c r="T22" i="5"/>
  <c r="AC22" i="6"/>
  <c r="AD22" i="6"/>
  <c r="AB22" i="6"/>
  <c r="AF22" i="6"/>
  <c r="AE22" i="6"/>
  <c r="AG22" i="6"/>
  <c r="AH22" i="6"/>
  <c r="AI22" i="6"/>
  <c r="AJ22" i="6"/>
  <c r="AK22" i="6"/>
  <c r="T23" i="5"/>
  <c r="AB23" i="6"/>
  <c r="AC23" i="6"/>
  <c r="AD23" i="6"/>
  <c r="AF23" i="6"/>
  <c r="AE23" i="6"/>
  <c r="AG23" i="6"/>
  <c r="AH23" i="6"/>
  <c r="AI23" i="6"/>
  <c r="AJ23" i="6"/>
  <c r="AK23" i="6"/>
  <c r="M1" i="8"/>
  <c r="P1" i="8"/>
  <c r="O1" i="8"/>
  <c r="I1" i="8"/>
  <c r="Q1" i="8"/>
  <c r="S1" i="8"/>
  <c r="N1" i="8"/>
  <c r="J1" i="8"/>
  <c r="J20" i="8"/>
  <c r="M20" i="8"/>
  <c r="Q20" i="8"/>
  <c r="P20" i="8"/>
  <c r="J17" i="8"/>
  <c r="M17" i="8"/>
  <c r="Q17" i="8"/>
  <c r="P17" i="8"/>
  <c r="O17" i="8"/>
  <c r="M29" i="8"/>
  <c r="O29" i="8" s="1"/>
  <c r="J29" i="8"/>
  <c r="P29" i="8"/>
  <c r="Q29" i="8"/>
  <c r="M35" i="8"/>
  <c r="O35" i="8" s="1"/>
  <c r="J35" i="8"/>
  <c r="P35" i="8"/>
  <c r="Q35" i="8"/>
  <c r="M41" i="8"/>
  <c r="O41" i="8" s="1"/>
  <c r="J41" i="8"/>
  <c r="T24" i="5"/>
  <c r="AC24" i="6"/>
  <c r="AB24" i="6"/>
  <c r="AD24" i="6"/>
  <c r="AE24" i="6"/>
  <c r="AF24" i="6"/>
  <c r="AG24" i="6"/>
  <c r="AH24" i="6"/>
  <c r="AI24" i="6"/>
  <c r="AJ24" i="6"/>
  <c r="AK24" i="6"/>
  <c r="T25" i="5"/>
  <c r="T26" i="5"/>
  <c r="T27" i="5"/>
  <c r="T28" i="5"/>
  <c r="T29" i="5"/>
  <c r="T30" i="5"/>
  <c r="AD30" i="6"/>
  <c r="AC30" i="6"/>
  <c r="AB30" i="6"/>
  <c r="AF30" i="6"/>
  <c r="AE30" i="6"/>
  <c r="AG30" i="6"/>
  <c r="AH30" i="6"/>
  <c r="AI30" i="6"/>
  <c r="AJ30" i="6"/>
  <c r="AK30" i="6"/>
  <c r="T31" i="5"/>
  <c r="T32" i="5"/>
  <c r="T33" i="5"/>
  <c r="AB33" i="6"/>
  <c r="AC33" i="6"/>
  <c r="AF33" i="6"/>
  <c r="AD33" i="6"/>
  <c r="AG33" i="6"/>
  <c r="AE33" i="6"/>
  <c r="AH33" i="6"/>
  <c r="AI33" i="6"/>
  <c r="AJ33" i="6"/>
  <c r="AK33" i="6"/>
  <c r="T34" i="5"/>
  <c r="T35" i="5"/>
  <c r="T36" i="5"/>
  <c r="T37" i="5"/>
  <c r="T38" i="5"/>
  <c r="T39" i="5"/>
  <c r="T40" i="5"/>
  <c r="AC40" i="6"/>
  <c r="AB40" i="6"/>
  <c r="AH40" i="6"/>
  <c r="AF40" i="6"/>
  <c r="AD40" i="6"/>
  <c r="AG40" i="6"/>
  <c r="AE40" i="6"/>
  <c r="AI40" i="6"/>
  <c r="AJ40" i="6"/>
  <c r="AK40" i="6"/>
  <c r="T41" i="5"/>
  <c r="AE41" i="6"/>
  <c r="AH41" i="6"/>
  <c r="AF41" i="6"/>
  <c r="AG41" i="6"/>
  <c r="AC41" i="6"/>
  <c r="AD41" i="6"/>
  <c r="AJ41" i="6"/>
  <c r="AB41" i="6"/>
  <c r="AI41" i="6"/>
  <c r="AK41" i="6"/>
  <c r="T42" i="5"/>
  <c r="T43" i="5"/>
  <c r="AI43" i="6"/>
  <c r="AD43" i="6"/>
  <c r="AF43" i="6"/>
  <c r="AH43" i="6"/>
  <c r="AG43" i="6"/>
  <c r="AJ43" i="6"/>
  <c r="AB43" i="6"/>
  <c r="AE43" i="6"/>
  <c r="AC43" i="6"/>
  <c r="AK43" i="6"/>
  <c r="T44" i="5"/>
  <c r="T45" i="5"/>
  <c r="T46" i="5"/>
  <c r="T47" i="5"/>
  <c r="T48" i="5"/>
  <c r="AI48" i="6"/>
  <c r="AD48" i="6"/>
  <c r="AF48" i="6"/>
  <c r="AJ48" i="6"/>
  <c r="AB48" i="6"/>
  <c r="AE48" i="6"/>
  <c r="AH48" i="6"/>
  <c r="AC48" i="6"/>
  <c r="AK48" i="6"/>
  <c r="AG48" i="6"/>
  <c r="T49" i="5"/>
  <c r="T50" i="5"/>
  <c r="T51" i="5"/>
  <c r="T52" i="5"/>
  <c r="T53" i="5"/>
  <c r="AF53" i="6"/>
  <c r="AD53" i="6"/>
  <c r="AG53" i="6"/>
  <c r="AK53" i="6"/>
  <c r="AH53" i="6"/>
  <c r="AC53" i="6"/>
  <c r="AI53" i="6"/>
  <c r="AJ53" i="6"/>
  <c r="AE53" i="6"/>
  <c r="AB53" i="6"/>
  <c r="T54" i="5"/>
  <c r="T55" i="5"/>
  <c r="T56" i="5"/>
  <c r="T57" i="5"/>
  <c r="G57" i="12" s="1" a="1"/>
  <c r="G57" i="12" s="1"/>
  <c r="AI57" i="6"/>
  <c r="AE57" i="6"/>
  <c r="AB57" i="6"/>
  <c r="AG57" i="6"/>
  <c r="AK57" i="6"/>
  <c r="AF57" i="6"/>
  <c r="AJ57" i="6"/>
  <c r="AH57" i="6"/>
  <c r="AC57" i="6"/>
  <c r="AD57" i="6"/>
  <c r="T58" i="5"/>
  <c r="T59" i="5"/>
  <c r="T60" i="5"/>
  <c r="T61" i="5"/>
  <c r="T62" i="5"/>
  <c r="T63" i="5"/>
  <c r="AE63" i="6"/>
  <c r="AC63" i="6"/>
  <c r="AI63" i="6"/>
  <c r="AK63" i="6"/>
  <c r="AF63" i="6"/>
  <c r="AJ63" i="6"/>
  <c r="AB63" i="6"/>
  <c r="AH63" i="6"/>
  <c r="AD63" i="6"/>
  <c r="AG63" i="6"/>
  <c r="T64" i="5"/>
  <c r="T65" i="5"/>
  <c r="T66" i="5"/>
  <c r="T67" i="5"/>
  <c r="T68" i="5"/>
  <c r="G68" i="12" s="1" a="1"/>
  <c r="G68" i="12" s="1"/>
  <c r="AI68" i="6"/>
  <c r="AF68" i="6"/>
  <c r="AH68" i="6"/>
  <c r="AJ68" i="6"/>
  <c r="AB68" i="6"/>
  <c r="AK68" i="6"/>
  <c r="AD68" i="6"/>
  <c r="AC68" i="6"/>
  <c r="AE68" i="6"/>
  <c r="AG68" i="6"/>
  <c r="T69" i="5"/>
  <c r="T70" i="5"/>
  <c r="J14" i="8"/>
  <c r="M14" i="8"/>
  <c r="Q14" i="8"/>
  <c r="P14" i="8"/>
  <c r="O14" i="8"/>
  <c r="M23" i="8"/>
  <c r="N20" i="8" s="1"/>
  <c r="J23" i="8"/>
  <c r="Q23" i="8"/>
  <c r="O23" i="8"/>
  <c r="C12" i="11"/>
  <c r="P12" i="11"/>
  <c r="Z12" i="11"/>
  <c r="L12" i="13"/>
  <c r="Z16" i="11"/>
  <c r="P16" i="11"/>
  <c r="C16" i="11"/>
  <c r="L16" i="13"/>
  <c r="Z17" i="11"/>
  <c r="C17" i="11"/>
  <c r="P17" i="11"/>
  <c r="L17" i="13"/>
  <c r="P18" i="11"/>
  <c r="Z18" i="11"/>
  <c r="C18" i="11"/>
  <c r="L18" i="13"/>
  <c r="Z19" i="11"/>
  <c r="L19" i="13"/>
  <c r="P19" i="11"/>
  <c r="C19" i="11"/>
  <c r="C20" i="11"/>
  <c r="P20" i="11"/>
  <c r="L20" i="13"/>
  <c r="Z20" i="11"/>
  <c r="L21" i="13"/>
  <c r="C21" i="11"/>
  <c r="P21" i="11"/>
  <c r="Z21" i="11"/>
  <c r="Z22" i="11"/>
  <c r="P22" i="11"/>
  <c r="L22" i="13"/>
  <c r="C22" i="11"/>
  <c r="P23" i="11"/>
  <c r="Z23" i="11"/>
  <c r="L23" i="13"/>
  <c r="C23" i="11"/>
  <c r="M26" i="8"/>
  <c r="O26" i="8" s="1"/>
  <c r="R26" i="8" s="1"/>
  <c r="J26" i="8"/>
  <c r="P26" i="8"/>
  <c r="N26" i="8"/>
  <c r="J32" i="8"/>
  <c r="M32" i="8"/>
  <c r="P32" i="8"/>
  <c r="Q32" i="8"/>
  <c r="N32" i="8"/>
  <c r="O32" i="8"/>
  <c r="J38" i="8"/>
  <c r="M38" i="8"/>
  <c r="P38" i="8"/>
  <c r="Q38" i="8"/>
  <c r="N38" i="8"/>
  <c r="O38" i="8"/>
  <c r="M44" i="8"/>
  <c r="N41" i="8" s="1"/>
  <c r="J44" i="8"/>
  <c r="P44" i="8"/>
  <c r="Q44" i="8"/>
  <c r="N44" i="8"/>
  <c r="J50" i="8"/>
  <c r="M50" i="8"/>
  <c r="Q50" i="8"/>
  <c r="N50" i="8"/>
  <c r="O50" i="8"/>
  <c r="R12" i="13"/>
  <c r="T12" i="13"/>
  <c r="R16" i="13"/>
  <c r="T16" i="13"/>
  <c r="T17" i="13"/>
  <c r="R17" i="13"/>
  <c r="T18" i="13"/>
  <c r="R18" i="13"/>
  <c r="T19" i="13"/>
  <c r="R19" i="13"/>
  <c r="T20" i="13"/>
  <c r="R20" i="13"/>
  <c r="R21" i="13"/>
  <c r="T21" i="13"/>
  <c r="R22" i="13"/>
  <c r="T22" i="13"/>
  <c r="R23" i="13"/>
  <c r="T23" i="13"/>
  <c r="N12" i="11"/>
  <c r="S12" i="13"/>
  <c r="U12" i="13"/>
  <c r="N16" i="11"/>
  <c r="U16" i="13"/>
  <c r="S16" i="13"/>
  <c r="U17" i="13"/>
  <c r="N17" i="11"/>
  <c r="S17" i="13"/>
  <c r="N18" i="11"/>
  <c r="S18" i="13"/>
  <c r="U18" i="13"/>
  <c r="N19" i="11"/>
  <c r="U19" i="13"/>
  <c r="S19" i="13"/>
  <c r="N20" i="11"/>
  <c r="S20" i="13"/>
  <c r="U20" i="13"/>
  <c r="S21" i="13"/>
  <c r="N21" i="11"/>
  <c r="U21" i="13"/>
  <c r="N22" i="11"/>
  <c r="S22" i="13"/>
  <c r="U22" i="13"/>
  <c r="S23" i="13"/>
  <c r="N23" i="11"/>
  <c r="U23" i="13"/>
  <c r="M47" i="8"/>
  <c r="O44" i="8" s="1"/>
  <c r="R44" i="8" s="1"/>
  <c r="J47" i="8"/>
  <c r="P47" i="8"/>
  <c r="Q47" i="8"/>
  <c r="M8" i="12" a="1"/>
  <c r="M8" i="12" s="1"/>
  <c r="AC13" i="12"/>
  <c r="AD13" i="12" s="1"/>
  <c r="AE13" i="12" s="1"/>
  <c r="AF13" i="12" s="1"/>
  <c r="AG13" i="12" s="1"/>
  <c r="AH13" i="12" s="1"/>
  <c r="AI13" i="12" s="1"/>
  <c r="AJ13" i="12" s="1"/>
  <c r="AK13" i="12" s="1"/>
  <c r="AL13" i="12" s="1"/>
  <c r="AM13" i="12" s="1"/>
  <c r="AB10" i="12"/>
  <c r="L60" i="12" a="1"/>
  <c r="L60" i="12" s="1"/>
  <c r="J27" i="12" a="1"/>
  <c r="L45" i="12" a="1"/>
  <c r="L47" i="12" a="1"/>
  <c r="J54" i="12" a="1"/>
  <c r="L62" i="12" a="1"/>
  <c r="L62" i="12" s="1"/>
  <c r="J28" i="12" a="1"/>
  <c r="L44" i="12" a="1"/>
  <c r="L20" i="12" a="1"/>
  <c r="L49" i="12" a="1"/>
  <c r="L61" i="12" a="1"/>
  <c r="L61" i="12" s="1"/>
  <c r="L59" i="12" a="1"/>
  <c r="L59" i="12" s="1"/>
  <c r="L39" i="12" a="1"/>
  <c r="L28" i="12" a="1"/>
  <c r="L36" i="12" a="1"/>
  <c r="L37" i="12" a="1"/>
  <c r="J21" i="12" a="1"/>
  <c r="J22" i="12" a="1"/>
  <c r="J51" i="12" a="1"/>
  <c r="AO7" i="12" a="1"/>
  <c r="AO7" i="12" s="1"/>
  <c r="J32" i="12" a="1"/>
  <c r="J60" i="12" a="1"/>
  <c r="J60" i="12" s="1"/>
  <c r="L19" i="12" a="1"/>
  <c r="J42" i="12" a="1"/>
  <c r="J36" i="12" a="1"/>
  <c r="J38" i="12" a="1"/>
  <c r="L56" i="12" a="1"/>
  <c r="L25" i="12" a="1"/>
  <c r="L54" i="12" a="1"/>
  <c r="L52" i="12" a="1"/>
  <c r="L65" i="12" a="1"/>
  <c r="L65" i="12" s="1"/>
  <c r="J65" i="12" a="1"/>
  <c r="J65" i="12" s="1"/>
  <c r="L66" i="12" a="1"/>
  <c r="L66" i="12" s="1"/>
  <c r="L67" i="12" a="1"/>
  <c r="L67" i="12" s="1"/>
  <c r="J70" i="12" a="1"/>
  <c r="J70" i="12" s="1"/>
  <c r="L70" i="12" a="1"/>
  <c r="L15" i="12" a="1"/>
  <c r="L15" i="12" s="1"/>
  <c r="K15" i="12" s="1"/>
  <c r="P10" i="12"/>
  <c r="O10" i="12" s="1"/>
  <c r="N15" i="12"/>
  <c r="AF23" i="5" a="1"/>
  <c r="AF22" i="5" a="1"/>
  <c r="AF27" i="5" a="1"/>
  <c r="AF31" i="5" a="1"/>
  <c r="AF35" i="5" a="1"/>
  <c r="AF39" i="5" a="1"/>
  <c r="AF47" i="5" a="1"/>
  <c r="AF49" i="5" a="1"/>
  <c r="AF54" i="5" a="1"/>
  <c r="AF58" i="5" a="1"/>
  <c r="AF62" i="5" a="1"/>
  <c r="AF66" i="5" a="1"/>
  <c r="AF70" i="5" a="1"/>
  <c r="AF19" i="5" a="1"/>
  <c r="AF20" i="5" a="1"/>
  <c r="AF28" i="5" a="1"/>
  <c r="AF32" i="5" a="1"/>
  <c r="AF36" i="5" a="1"/>
  <c r="AF44" i="5" a="1"/>
  <c r="AF51" i="5" a="1"/>
  <c r="AF55" i="5" a="1"/>
  <c r="AF59" i="5" a="1"/>
  <c r="AF67" i="5" a="1"/>
  <c r="AF21" i="5" a="1"/>
  <c r="AF25" i="5" a="1"/>
  <c r="AF29" i="5" a="1"/>
  <c r="AF37" i="5" a="1"/>
  <c r="AF45" i="5" a="1"/>
  <c r="AF50" i="5" a="1"/>
  <c r="AF52" i="5" a="1"/>
  <c r="AF56" i="5" a="1"/>
  <c r="AF60" i="5" a="1"/>
  <c r="AF64" i="5" a="1"/>
  <c r="AF18" i="5" a="1"/>
  <c r="AF26" i="5" a="1"/>
  <c r="AF34" i="5" a="1"/>
  <c r="AF38" i="5" a="1"/>
  <c r="AF42" i="5" a="1"/>
  <c r="AF46" i="5" a="1"/>
  <c r="AF61" i="5" a="1"/>
  <c r="AF65" i="5" a="1"/>
  <c r="AF69" i="5" a="1"/>
  <c r="AF69" i="5" l="1"/>
  <c r="AF65" i="5"/>
  <c r="AF61" i="5"/>
  <c r="AF46" i="5"/>
  <c r="AF42" i="5"/>
  <c r="AF38" i="5"/>
  <c r="AG38" i="5" s="1" a="1"/>
  <c r="AG38" i="5" s="1"/>
  <c r="S34" i="5" a="1"/>
  <c r="S34" i="5" s="1"/>
  <c r="AF34" i="5"/>
  <c r="AF26" i="5"/>
  <c r="AF18" i="5"/>
  <c r="AF64" i="5"/>
  <c r="AF60" i="5"/>
  <c r="AF56" i="5"/>
  <c r="AF52" i="5"/>
  <c r="AF50" i="5"/>
  <c r="AF45" i="5"/>
  <c r="S37" i="5" a="1"/>
  <c r="S37" i="5" s="1"/>
  <c r="AF37" i="5"/>
  <c r="AF29" i="5"/>
  <c r="AF25" i="5"/>
  <c r="AF21" i="5"/>
  <c r="AF67" i="5"/>
  <c r="AF59" i="5"/>
  <c r="AF55" i="5"/>
  <c r="AF51" i="5"/>
  <c r="AF44" i="5"/>
  <c r="AF36" i="5"/>
  <c r="AF32" i="5"/>
  <c r="R28" i="5" a="1"/>
  <c r="R28" i="5" s="1"/>
  <c r="AF28" i="5"/>
  <c r="AF20" i="5"/>
  <c r="AF19" i="5"/>
  <c r="AF70" i="5"/>
  <c r="AF66" i="5"/>
  <c r="AF62" i="5"/>
  <c r="AF58" i="5"/>
  <c r="AF54" i="5"/>
  <c r="AF49" i="5"/>
  <c r="AF47" i="5"/>
  <c r="AF39" i="5"/>
  <c r="AF35" i="5"/>
  <c r="AF31" i="5"/>
  <c r="AF27" i="5"/>
  <c r="AF22" i="5"/>
  <c r="AF23" i="5"/>
  <c r="F46" i="8"/>
  <c r="R41" i="8"/>
  <c r="R35" i="8"/>
  <c r="F28" i="8"/>
  <c r="Y26" i="8" a="1"/>
  <c r="Y26" i="8" s="1"/>
  <c r="AE26" i="8" a="1"/>
  <c r="AE26" i="8" s="1"/>
  <c r="AB26" i="8" a="1"/>
  <c r="AB26" i="8" s="1"/>
  <c r="V26" i="8" a="1"/>
  <c r="V26" i="8" s="1"/>
  <c r="AC26" i="8" a="1"/>
  <c r="AC26" i="8" s="1"/>
  <c r="AA26" i="8" a="1"/>
  <c r="AA26" i="8" s="1"/>
  <c r="U26" i="8" a="1"/>
  <c r="U26" i="8" s="1"/>
  <c r="AF26" i="8" a="1"/>
  <c r="AF26" i="8" s="1"/>
  <c r="W26" i="8" a="1"/>
  <c r="W26" i="8" s="1"/>
  <c r="X26" i="8" a="1"/>
  <c r="X26" i="8" s="1"/>
  <c r="Z26" i="8" a="1"/>
  <c r="Z26" i="8" s="1"/>
  <c r="E26" i="8" a="1"/>
  <c r="E26" i="8" s="1"/>
  <c r="AD26" i="8" a="1"/>
  <c r="AD26" i="8" s="1"/>
  <c r="L25" i="12"/>
  <c r="J42" i="12"/>
  <c r="J22" i="12"/>
  <c r="L44" i="12"/>
  <c r="L54" i="12"/>
  <c r="K54" i="12" s="1"/>
  <c r="L19" i="12"/>
  <c r="L36" i="12"/>
  <c r="L69" i="12" a="1"/>
  <c r="J66" i="12" a="1"/>
  <c r="J66" i="12" s="1"/>
  <c r="J64" i="12" a="1"/>
  <c r="J64" i="12" s="1"/>
  <c r="J20" i="12" a="1"/>
  <c r="L38" i="12" a="1"/>
  <c r="L26" i="12" a="1"/>
  <c r="J58" i="12" a="1"/>
  <c r="L51" i="12" a="1"/>
  <c r="L46" i="12" a="1"/>
  <c r="J25" i="12" a="1"/>
  <c r="J44" i="12" a="1"/>
  <c r="L35" i="12" a="1"/>
  <c r="L35" i="12" s="1"/>
  <c r="L18" i="12" a="1"/>
  <c r="J46" i="12" a="1"/>
  <c r="J26" i="12" a="1"/>
  <c r="J61" i="12" a="1"/>
  <c r="J61" i="12" s="1"/>
  <c r="K61" i="12" s="1"/>
  <c r="L14" i="12" a="1"/>
  <c r="L14" i="12" s="1"/>
  <c r="L22" i="12" a="1"/>
  <c r="L42" i="12" a="1"/>
  <c r="J29" i="12" a="1"/>
  <c r="L58" i="12" a="1"/>
  <c r="L58" i="12" s="1"/>
  <c r="N47" i="8"/>
  <c r="R50" i="8"/>
  <c r="S52" i="8"/>
  <c r="R38" i="8"/>
  <c r="S40" i="8"/>
  <c r="R32" i="8"/>
  <c r="S34" i="8"/>
  <c r="D16" i="13"/>
  <c r="P16" i="13"/>
  <c r="P23" i="8"/>
  <c r="S16" i="8"/>
  <c r="A14" i="8"/>
  <c r="G70" i="12" a="1"/>
  <c r="G70" i="12" s="1"/>
  <c r="X70" i="5" a="1"/>
  <c r="X66" i="5" a="1"/>
  <c r="X66" i="5" s="1"/>
  <c r="G66" i="12" a="1"/>
  <c r="G66" i="12" s="1"/>
  <c r="G62" i="12" a="1"/>
  <c r="G62" i="12" s="1"/>
  <c r="X62" i="5" a="1"/>
  <c r="X62" i="5" s="1"/>
  <c r="G58" i="12" a="1"/>
  <c r="G58" i="12" s="1"/>
  <c r="X58" i="5" a="1"/>
  <c r="G54" i="12" a="1"/>
  <c r="G54" i="12" s="1"/>
  <c r="X54" i="5" a="1"/>
  <c r="X54" i="5" s="1"/>
  <c r="G50" i="12" a="1"/>
  <c r="G50" i="12" s="1"/>
  <c r="X50" i="5" a="1"/>
  <c r="X50" i="5" s="1"/>
  <c r="G46" i="12" a="1"/>
  <c r="G46" i="12" s="1"/>
  <c r="X46" i="5" a="1"/>
  <c r="X46" i="5" s="1"/>
  <c r="G43" i="12" a="1"/>
  <c r="G43" i="12" s="1"/>
  <c r="G39" i="12" a="1"/>
  <c r="G39" i="12" s="1"/>
  <c r="X39" i="5" a="1"/>
  <c r="X39" i="5" s="1"/>
  <c r="G35" i="12" a="1"/>
  <c r="G35" i="12" s="1"/>
  <c r="X35" i="5" a="1"/>
  <c r="X35" i="5" s="1"/>
  <c r="G29" i="12" a="1"/>
  <c r="G29" i="12" s="1"/>
  <c r="X29" i="5" a="1"/>
  <c r="X29" i="5" s="1"/>
  <c r="G25" i="12" a="1"/>
  <c r="G25" i="12" s="1"/>
  <c r="X25" i="5" a="1"/>
  <c r="X25" i="5" s="1"/>
  <c r="S19" i="8"/>
  <c r="O20" i="8"/>
  <c r="R20" i="8" s="1"/>
  <c r="S22" i="8"/>
  <c r="G21" i="12" a="1"/>
  <c r="G21" i="12" s="1"/>
  <c r="X21" i="5" a="1"/>
  <c r="X21" i="5" s="1"/>
  <c r="G18" i="12" a="1"/>
  <c r="G18" i="12" s="1"/>
  <c r="X18" i="5" a="1"/>
  <c r="X18" i="5" s="1"/>
  <c r="B17" i="7"/>
  <c r="C18" i="7" a="1"/>
  <c r="C18" i="7" s="1"/>
  <c r="AM22" i="6"/>
  <c r="AO22" i="6"/>
  <c r="AZ22" i="6" a="1"/>
  <c r="AZ22" i="6" s="1"/>
  <c r="BA22" i="6" a="1"/>
  <c r="BA22" i="6" s="1"/>
  <c r="AP22" i="6"/>
  <c r="AY22" i="6" a="1"/>
  <c r="AY22" i="6" s="1"/>
  <c r="AN22" i="6"/>
  <c r="AX22" i="6" a="1"/>
  <c r="AX22" i="6" s="1"/>
  <c r="BB22" i="6" a="1"/>
  <c r="BB22" i="6" s="1"/>
  <c r="AQ22" i="6"/>
  <c r="BC22" i="6" a="1"/>
  <c r="BC22" i="6" s="1"/>
  <c r="AR22" i="6"/>
  <c r="BD22" i="6" a="1"/>
  <c r="BD22" i="6" s="1"/>
  <c r="AS22" i="6"/>
  <c r="BE22" i="6" a="1"/>
  <c r="BE22" i="6" s="1"/>
  <c r="AT22" i="6"/>
  <c r="BF22" i="6" a="1"/>
  <c r="BF22" i="6" s="1"/>
  <c r="AU22" i="6"/>
  <c r="AV22" i="6"/>
  <c r="BG22" i="6" a="1"/>
  <c r="BG22" i="6" s="1"/>
  <c r="AG57" i="5" a="1"/>
  <c r="S57" i="5" a="1"/>
  <c r="AG53" i="5" a="1"/>
  <c r="S53" i="5" a="1"/>
  <c r="R14" i="5" a="1"/>
  <c r="R14" i="5" s="1"/>
  <c r="S14" i="5" a="1"/>
  <c r="AG14" i="5" a="1"/>
  <c r="AG14" i="5" s="1"/>
  <c r="AG30" i="5" a="1"/>
  <c r="AG30" i="5" s="1"/>
  <c r="S30" i="5" a="1"/>
  <c r="AG24" i="5" a="1"/>
  <c r="AG24" i="5" s="1"/>
  <c r="S24" i="5" a="1"/>
  <c r="L70" i="12"/>
  <c r="K70" i="12" s="1"/>
  <c r="J28" i="12"/>
  <c r="J54" i="12"/>
  <c r="L47" i="12"/>
  <c r="L45" i="12"/>
  <c r="J27" i="12"/>
  <c r="K60" i="12"/>
  <c r="D20" i="13"/>
  <c r="P20" i="13"/>
  <c r="V12" i="13"/>
  <c r="D12" i="13"/>
  <c r="P12" i="13"/>
  <c r="R23" i="8"/>
  <c r="G67" i="12" a="1"/>
  <c r="G67" i="12" s="1"/>
  <c r="X67" i="5" a="1"/>
  <c r="X67" i="5" s="1"/>
  <c r="G63" i="12" a="1"/>
  <c r="G63" i="12" s="1"/>
  <c r="G59" i="12" a="1"/>
  <c r="G59" i="12" s="1"/>
  <c r="X59" i="5" a="1"/>
  <c r="X59" i="5" s="1"/>
  <c r="G55" i="12" a="1"/>
  <c r="G55" i="12" s="1"/>
  <c r="X55" i="5" a="1"/>
  <c r="X55" i="5" s="1"/>
  <c r="G51" i="12" a="1"/>
  <c r="G51" i="12" s="1"/>
  <c r="X51" i="5" a="1"/>
  <c r="X51" i="5" s="1"/>
  <c r="G47" i="12" a="1"/>
  <c r="G47" i="12" s="1"/>
  <c r="X47" i="5" a="1"/>
  <c r="X47" i="5" s="1"/>
  <c r="G44" i="12" a="1"/>
  <c r="G44" i="12" s="1"/>
  <c r="X44" i="5" a="1"/>
  <c r="X44" i="5" s="1"/>
  <c r="G40" i="12" a="1"/>
  <c r="G40" i="12" s="1"/>
  <c r="G36" i="12" a="1"/>
  <c r="G36" i="12" s="1"/>
  <c r="X36" i="5" a="1"/>
  <c r="X36" i="5" s="1"/>
  <c r="G33" i="12" a="1"/>
  <c r="G33" i="12" s="1"/>
  <c r="G30" i="12" a="1"/>
  <c r="G30" i="12" s="1"/>
  <c r="G26" i="12" a="1"/>
  <c r="G26" i="12" s="1"/>
  <c r="X26" i="5" a="1"/>
  <c r="X26" i="5" s="1"/>
  <c r="S43" i="8"/>
  <c r="N35" i="8"/>
  <c r="N29" i="8"/>
  <c r="R29" i="8" s="1"/>
  <c r="N17" i="8"/>
  <c r="R17" i="8" s="1"/>
  <c r="G22" i="12" a="1"/>
  <c r="G22" i="12" s="1"/>
  <c r="X22" i="5" a="1"/>
  <c r="X22" i="5" s="1"/>
  <c r="G19" i="12" a="1"/>
  <c r="G19" i="12" s="1"/>
  <c r="X19" i="5" a="1"/>
  <c r="X19" i="5" s="1"/>
  <c r="AD20" i="6"/>
  <c r="AO20" i="6"/>
  <c r="AX20" i="6" a="1"/>
  <c r="AX20" i="6" s="1"/>
  <c r="AZ20" i="6" a="1"/>
  <c r="AZ20" i="6" s="1"/>
  <c r="AY20" i="6" a="1"/>
  <c r="AY20" i="6" s="1"/>
  <c r="AM20" i="6"/>
  <c r="AP20" i="6"/>
  <c r="AN20" i="6"/>
  <c r="BA20" i="6" a="1"/>
  <c r="BA20" i="6" s="1"/>
  <c r="AQ20" i="6"/>
  <c r="BB20" i="6" a="1"/>
  <c r="BB20" i="6" s="1"/>
  <c r="BC20" i="6" a="1"/>
  <c r="BC20" i="6" s="1"/>
  <c r="AR20" i="6"/>
  <c r="AS20" i="6"/>
  <c r="BD20" i="6" a="1"/>
  <c r="BD20" i="6" s="1"/>
  <c r="AT20" i="6"/>
  <c r="BE20" i="6" a="1"/>
  <c r="BE20" i="6" s="1"/>
  <c r="BF20" i="6" a="1"/>
  <c r="BF20" i="6" s="1"/>
  <c r="AU20" i="6"/>
  <c r="BG20" i="6" a="1"/>
  <c r="BG20" i="6" s="1"/>
  <c r="AV20" i="6"/>
  <c r="AY21" i="6" a="1"/>
  <c r="AY21" i="6" s="1"/>
  <c r="AX21" i="6" a="1"/>
  <c r="AX21" i="6" s="1"/>
  <c r="BA21" i="6" a="1"/>
  <c r="BA21" i="6" s="1"/>
  <c r="AO21" i="6"/>
  <c r="AN21" i="6"/>
  <c r="AP21" i="6"/>
  <c r="AM21" i="6"/>
  <c r="AZ21" i="6" a="1"/>
  <c r="AZ21" i="6" s="1"/>
  <c r="BB21" i="6" a="1"/>
  <c r="BB21" i="6" s="1"/>
  <c r="AQ21" i="6"/>
  <c r="BC21" i="6" a="1"/>
  <c r="BC21" i="6" s="1"/>
  <c r="AR21" i="6"/>
  <c r="BD21" i="6" a="1"/>
  <c r="BD21" i="6" s="1"/>
  <c r="AS21" i="6"/>
  <c r="AT21" i="6"/>
  <c r="BE21" i="6" a="1"/>
  <c r="BE21" i="6" s="1"/>
  <c r="AU21" i="6"/>
  <c r="BF21" i="6" a="1"/>
  <c r="BF21" i="6" s="1"/>
  <c r="BG21" i="6" a="1"/>
  <c r="BG21" i="6" s="1"/>
  <c r="AV21" i="6"/>
  <c r="AG68" i="5" a="1"/>
  <c r="S68" i="5" a="1"/>
  <c r="AG41" i="5" a="1"/>
  <c r="AG41" i="5" s="1"/>
  <c r="S41" i="5" a="1"/>
  <c r="AG33" i="5" a="1"/>
  <c r="AG33" i="5" s="1"/>
  <c r="S33" i="5" a="1"/>
  <c r="AG16" i="5" a="1"/>
  <c r="AG16" i="5" s="1"/>
  <c r="S16" i="5" a="1"/>
  <c r="S16" i="5" s="1"/>
  <c r="F16" i="12" s="1" a="1"/>
  <c r="F16" i="12" s="1"/>
  <c r="J38" i="12"/>
  <c r="L37" i="12"/>
  <c r="L49" i="12"/>
  <c r="K66" i="12"/>
  <c r="L56" i="12"/>
  <c r="J32" i="12"/>
  <c r="J21" i="12"/>
  <c r="L39" i="12"/>
  <c r="L20" i="12"/>
  <c r="J39" i="12" a="1"/>
  <c r="J35" i="12" a="1"/>
  <c r="J31" i="12" a="1"/>
  <c r="J50" i="12" a="1"/>
  <c r="J55" i="12" a="1"/>
  <c r="L34" i="12" a="1"/>
  <c r="J19" i="12" a="1"/>
  <c r="J62" i="12" a="1"/>
  <c r="J62" i="12" s="1"/>
  <c r="S49" i="8"/>
  <c r="S28" i="8"/>
  <c r="D23" i="13"/>
  <c r="P23" i="13"/>
  <c r="D21" i="13"/>
  <c r="P21" i="13"/>
  <c r="D18" i="13"/>
  <c r="P18" i="13"/>
  <c r="N23" i="8"/>
  <c r="N14" i="8"/>
  <c r="R14" i="8" s="1"/>
  <c r="G64" i="12" a="1"/>
  <c r="G64" i="12" s="1"/>
  <c r="X64" i="5" a="1"/>
  <c r="X64" i="5" s="1"/>
  <c r="G60" i="12" a="1"/>
  <c r="G60" i="12" s="1"/>
  <c r="X60" i="5" a="1"/>
  <c r="X60" i="5" s="1"/>
  <c r="G56" i="12" a="1"/>
  <c r="G56" i="12" s="1"/>
  <c r="X56" i="5" a="1"/>
  <c r="X56" i="5" s="1"/>
  <c r="G52" i="12" a="1"/>
  <c r="G52" i="12" s="1"/>
  <c r="X52" i="5" a="1"/>
  <c r="X52" i="5" s="1"/>
  <c r="G48" i="12" a="1"/>
  <c r="G48" i="12" s="1"/>
  <c r="G41" i="12" a="1"/>
  <c r="G41" i="12" s="1"/>
  <c r="G37" i="12" a="1"/>
  <c r="G37" i="12" s="1"/>
  <c r="X37" i="5" a="1"/>
  <c r="X37" i="5" s="1"/>
  <c r="G34" i="12" a="1"/>
  <c r="G34" i="12" s="1"/>
  <c r="X34" i="5" a="1"/>
  <c r="X34" i="5" s="1"/>
  <c r="G31" i="12" a="1"/>
  <c r="G31" i="12" s="1"/>
  <c r="X31" i="5" a="1"/>
  <c r="X31" i="5" s="1"/>
  <c r="G27" i="12" a="1"/>
  <c r="G27" i="12" s="1"/>
  <c r="X27" i="5" a="1"/>
  <c r="X27" i="5" s="1"/>
  <c r="P41" i="8"/>
  <c r="H1" i="8" a="1"/>
  <c r="H2" i="8" a="1"/>
  <c r="H2" i="8" s="1"/>
  <c r="G23" i="12" a="1"/>
  <c r="G23" i="12" s="1"/>
  <c r="X23" i="5" a="1"/>
  <c r="X23" i="5" s="1"/>
  <c r="G20" i="12" a="1"/>
  <c r="G20" i="12" s="1"/>
  <c r="X20" i="5" a="1"/>
  <c r="X20" i="5" s="1"/>
  <c r="G16" i="12" a="1"/>
  <c r="G16" i="12" s="1"/>
  <c r="AM23" i="6"/>
  <c r="BA23" i="6" a="1"/>
  <c r="BA23" i="6" s="1"/>
  <c r="AO23" i="6"/>
  <c r="AY23" i="6" a="1"/>
  <c r="AY23" i="6" s="1"/>
  <c r="AN23" i="6"/>
  <c r="AX23" i="6" a="1"/>
  <c r="AX23" i="6" s="1"/>
  <c r="AZ23" i="6" a="1"/>
  <c r="AZ23" i="6" s="1"/>
  <c r="AP23" i="6"/>
  <c r="BB23" i="6" a="1"/>
  <c r="BB23" i="6" s="1"/>
  <c r="AQ23" i="6"/>
  <c r="AR23" i="6"/>
  <c r="BC23" i="6" a="1"/>
  <c r="BC23" i="6" s="1"/>
  <c r="AS23" i="6"/>
  <c r="BD23" i="6" a="1"/>
  <c r="BD23" i="6" s="1"/>
  <c r="BE23" i="6" a="1"/>
  <c r="BE23" i="6" s="1"/>
  <c r="AT23" i="6"/>
  <c r="BF23" i="6" a="1"/>
  <c r="BF23" i="6" s="1"/>
  <c r="AU23" i="6"/>
  <c r="AV23" i="6"/>
  <c r="BG23" i="6" a="1"/>
  <c r="BG23" i="6" s="1"/>
  <c r="AO19" i="6"/>
  <c r="AZ19" i="6" a="1"/>
  <c r="AZ19" i="6" s="1"/>
  <c r="AP19" i="6"/>
  <c r="AY19" i="6" a="1"/>
  <c r="AY19" i="6" s="1"/>
  <c r="AM19" i="6"/>
  <c r="BA19" i="6" a="1"/>
  <c r="BA19" i="6" s="1"/>
  <c r="AN19" i="6"/>
  <c r="AX19" i="6" a="1"/>
  <c r="AX19" i="6" s="1"/>
  <c r="BB19" i="6" a="1"/>
  <c r="BB19" i="6" s="1"/>
  <c r="AQ19" i="6"/>
  <c r="BC19" i="6" a="1"/>
  <c r="BC19" i="6" s="1"/>
  <c r="AR19" i="6"/>
  <c r="BD19" i="6" a="1"/>
  <c r="BD19" i="6" s="1"/>
  <c r="AS19" i="6"/>
  <c r="BE19" i="6" a="1"/>
  <c r="BE19" i="6" s="1"/>
  <c r="AT19" i="6"/>
  <c r="AU19" i="6"/>
  <c r="BF19" i="6" a="1"/>
  <c r="BF19" i="6" s="1"/>
  <c r="BG19" i="6" a="1"/>
  <c r="BG19" i="6" s="1"/>
  <c r="AV19" i="6"/>
  <c r="AZ18" i="6" a="1"/>
  <c r="AZ18" i="6" s="1"/>
  <c r="AM18" i="6"/>
  <c r="AN18" i="6"/>
  <c r="AO18" i="6"/>
  <c r="AX18" i="6" a="1"/>
  <c r="AX18" i="6" s="1"/>
  <c r="AY18" i="6" a="1"/>
  <c r="AY18" i="6" s="1"/>
  <c r="BA18" i="6" a="1"/>
  <c r="BA18" i="6" s="1"/>
  <c r="AP18" i="6"/>
  <c r="BB18" i="6" a="1"/>
  <c r="BB18" i="6" s="1"/>
  <c r="AQ18" i="6"/>
  <c r="AR18" i="6"/>
  <c r="BC18" i="6" a="1"/>
  <c r="BC18" i="6" s="1"/>
  <c r="AS18" i="6"/>
  <c r="BD18" i="6" a="1"/>
  <c r="BD18" i="6" s="1"/>
  <c r="BE18" i="6" a="1"/>
  <c r="BE18" i="6" s="1"/>
  <c r="AT18" i="6"/>
  <c r="BF18" i="6" a="1"/>
  <c r="BF18" i="6" s="1"/>
  <c r="AU18" i="6"/>
  <c r="AV18" i="6"/>
  <c r="BG18" i="6" a="1"/>
  <c r="BG18" i="6" s="1"/>
  <c r="G14" i="12" a="1"/>
  <c r="G14" i="12" s="1"/>
  <c r="X14" i="5" a="1"/>
  <c r="X14" i="5" s="1"/>
  <c r="S63" i="5" a="1"/>
  <c r="AG63" i="5" a="1"/>
  <c r="S48" i="5" a="1"/>
  <c r="AG48" i="5" a="1"/>
  <c r="AG48" i="5" s="1"/>
  <c r="S40" i="5" a="1"/>
  <c r="AG40" i="5" a="1"/>
  <c r="AG40" i="5" s="1"/>
  <c r="AG17" i="5" a="1"/>
  <c r="AG17" i="5" s="1"/>
  <c r="S17" i="5" a="1"/>
  <c r="S17" i="5" s="1"/>
  <c r="F17" i="12" s="1" a="1"/>
  <c r="F17" i="12" s="1"/>
  <c r="L52" i="12"/>
  <c r="L28" i="12"/>
  <c r="K28" i="12" s="1"/>
  <c r="K62" i="12"/>
  <c r="K65" i="12"/>
  <c r="J36" i="12"/>
  <c r="J51" i="12"/>
  <c r="J69" i="12" a="1"/>
  <c r="J69" i="12" s="1"/>
  <c r="J67" i="12" a="1"/>
  <c r="J67" i="12" s="1"/>
  <c r="K67" i="12" s="1"/>
  <c r="L64" i="12" a="1"/>
  <c r="J47" i="12" a="1"/>
  <c r="L21" i="12" a="1"/>
  <c r="J45" i="12" a="1"/>
  <c r="J23" i="12" a="1"/>
  <c r="J14" i="12" a="1"/>
  <c r="J14" i="12" s="1"/>
  <c r="J52" i="12" a="1"/>
  <c r="J56" i="12" a="1"/>
  <c r="J37" i="12" a="1"/>
  <c r="L27" i="12" a="1"/>
  <c r="L32" i="12" a="1"/>
  <c r="L55" i="12" a="1"/>
  <c r="J34" i="12" a="1"/>
  <c r="J59" i="12" a="1"/>
  <c r="L50" i="12" a="1"/>
  <c r="J49" i="12" a="1"/>
  <c r="J18" i="12" a="1"/>
  <c r="L29" i="12" a="1"/>
  <c r="L23" i="12" a="1"/>
  <c r="L23" i="12" s="1"/>
  <c r="L31" i="12" a="1"/>
  <c r="O47" i="8"/>
  <c r="R47" i="8" s="1"/>
  <c r="P50" i="8"/>
  <c r="S46" i="8"/>
  <c r="Q26" i="8"/>
  <c r="D22" i="13"/>
  <c r="P22" i="13"/>
  <c r="D19" i="13"/>
  <c r="P19" i="13"/>
  <c r="D17" i="13"/>
  <c r="P17" i="13"/>
  <c r="S25" i="8"/>
  <c r="G69" i="12" a="1"/>
  <c r="G69" i="12" s="1"/>
  <c r="X69" i="5" a="1"/>
  <c r="X69" i="5" s="1"/>
  <c r="G65" i="12" a="1"/>
  <c r="G65" i="12" s="1"/>
  <c r="X65" i="5" a="1"/>
  <c r="X65" i="5" s="1"/>
  <c r="G61" i="12" a="1"/>
  <c r="G61" i="12" s="1"/>
  <c r="X61" i="5" a="1"/>
  <c r="X61" i="5" s="1"/>
  <c r="G53" i="12" a="1"/>
  <c r="G53" i="12" s="1"/>
  <c r="G49" i="12" a="1"/>
  <c r="G49" i="12" s="1"/>
  <c r="X49" i="5" a="1"/>
  <c r="X49" i="5" s="1"/>
  <c r="G45" i="12" a="1"/>
  <c r="G45" i="12" s="1"/>
  <c r="X45" i="5" a="1"/>
  <c r="X45" i="5" s="1"/>
  <c r="G42" i="12" a="1"/>
  <c r="G42" i="12" s="1"/>
  <c r="X42" i="5" a="1"/>
  <c r="X42" i="5" s="1"/>
  <c r="G38" i="12" a="1"/>
  <c r="G38" i="12" s="1"/>
  <c r="X38" i="5" a="1"/>
  <c r="X38" i="5" s="1"/>
  <c r="G32" i="12" a="1"/>
  <c r="G32" i="12" s="1"/>
  <c r="X32" i="5" a="1"/>
  <c r="X32" i="5" s="1"/>
  <c r="G28" i="12" a="1"/>
  <c r="G28" i="12" s="1"/>
  <c r="X28" i="5" a="1"/>
  <c r="X28" i="5" s="1"/>
  <c r="G24" i="12" a="1"/>
  <c r="G24" i="12" s="1"/>
  <c r="Q41" i="8"/>
  <c r="S37" i="8"/>
  <c r="S31" i="8"/>
  <c r="A29" i="8"/>
  <c r="G1" i="8"/>
  <c r="G2" i="8" s="1" a="1"/>
  <c r="G2" i="8" s="1"/>
  <c r="A1" i="8"/>
  <c r="S3" i="8"/>
  <c r="R1" i="8"/>
  <c r="G17" i="12" a="1"/>
  <c r="G17" i="12" s="1"/>
  <c r="M25" i="6"/>
  <c r="G36" i="7"/>
  <c r="G39" i="7"/>
  <c r="G32" i="7"/>
  <c r="G35" i="7"/>
  <c r="G51" i="7"/>
  <c r="G46" i="7"/>
  <c r="G25" i="7"/>
  <c r="G38" i="7"/>
  <c r="G45" i="7"/>
  <c r="G42" i="7"/>
  <c r="G55" i="7"/>
  <c r="G16" i="7"/>
  <c r="G1" i="7"/>
  <c r="G24" i="7"/>
  <c r="G28" i="7"/>
  <c r="G59" i="7"/>
  <c r="G19" i="7"/>
  <c r="G60" i="7"/>
  <c r="G33" i="7"/>
  <c r="G64" i="7"/>
  <c r="G47" i="7"/>
  <c r="G34" i="7"/>
  <c r="G58" i="7"/>
  <c r="G17" i="7"/>
  <c r="G61" i="7"/>
  <c r="G31" i="7"/>
  <c r="G56" i="7"/>
  <c r="G57" i="7"/>
  <c r="G29" i="7"/>
  <c r="G53" i="7"/>
  <c r="G43" i="7"/>
  <c r="G40" i="7"/>
  <c r="G27" i="7"/>
  <c r="G44" i="7"/>
  <c r="G52" i="7"/>
  <c r="G41" i="7"/>
  <c r="G21" i="7"/>
  <c r="G30" i="7"/>
  <c r="G26" i="7"/>
  <c r="G63" i="7"/>
  <c r="G22" i="7"/>
  <c r="G23" i="7"/>
  <c r="G54" i="7"/>
  <c r="G48" i="7"/>
  <c r="G62" i="7"/>
  <c r="G18" i="7"/>
  <c r="G49" i="7"/>
  <c r="G50" i="7"/>
  <c r="G37" i="7"/>
  <c r="G20" i="7"/>
  <c r="S43" i="5" a="1"/>
  <c r="AG43" i="5" a="1"/>
  <c r="AG43" i="5" s="1"/>
  <c r="A50" i="8"/>
  <c r="A41" i="8"/>
  <c r="A38" i="8"/>
  <c r="A44" i="8"/>
  <c r="A23" i="8"/>
  <c r="A32" i="8"/>
  <c r="A26" i="8"/>
  <c r="A20" i="8"/>
  <c r="A17" i="8"/>
  <c r="A35" i="8"/>
  <c r="A47" i="8"/>
  <c r="F19" i="8" l="1"/>
  <c r="W17" i="8" a="1"/>
  <c r="W17" i="8" s="1"/>
  <c r="Z17" i="8" a="1"/>
  <c r="Z17" i="8" s="1"/>
  <c r="V17" i="8" a="1"/>
  <c r="V17" i="8" s="1"/>
  <c r="X17" i="8" a="1"/>
  <c r="X17" i="8" s="1"/>
  <c r="AD17" i="8" a="1"/>
  <c r="AD17" i="8" s="1"/>
  <c r="AA17" i="8" a="1"/>
  <c r="AA17" i="8" s="1"/>
  <c r="Y17" i="8" a="1"/>
  <c r="Y17" i="8" s="1"/>
  <c r="AE17" i="8" a="1"/>
  <c r="AE17" i="8" s="1"/>
  <c r="E17" i="8" a="1"/>
  <c r="E17" i="8" s="1"/>
  <c r="AB17" i="8" a="1"/>
  <c r="AB17" i="8" s="1"/>
  <c r="AC17" i="8" a="1"/>
  <c r="AC17" i="8" s="1"/>
  <c r="U17" i="8" a="1"/>
  <c r="U17" i="8" s="1"/>
  <c r="AF17" i="8" a="1"/>
  <c r="AF17" i="8" s="1"/>
  <c r="C29" i="8"/>
  <c r="F31" i="8"/>
  <c r="D29" i="8"/>
  <c r="L31" i="12"/>
  <c r="Z47" i="5"/>
  <c r="AM47" i="5"/>
  <c r="I47" i="12"/>
  <c r="L47" i="5"/>
  <c r="L55" i="5"/>
  <c r="AM55" i="5"/>
  <c r="I55" i="12"/>
  <c r="Z55" i="5"/>
  <c r="F25" i="8"/>
  <c r="L29" i="5"/>
  <c r="Z29" i="5"/>
  <c r="I29" i="12"/>
  <c r="M29" i="12" s="1" a="1"/>
  <c r="M29" i="12" s="1"/>
  <c r="AM29" i="5"/>
  <c r="Z62" i="5"/>
  <c r="I62" i="12"/>
  <c r="AM62" i="5"/>
  <c r="L62" i="5"/>
  <c r="O42" i="12" a="1"/>
  <c r="O42" i="12" s="1"/>
  <c r="L42" i="12"/>
  <c r="K42" i="12" s="1"/>
  <c r="J44" i="12"/>
  <c r="K36" i="12"/>
  <c r="F37" i="8"/>
  <c r="AG21" i="5" a="1"/>
  <c r="AG21" i="5" s="1"/>
  <c r="S21" i="5" a="1"/>
  <c r="S21" i="5" s="1"/>
  <c r="R21" i="5" a="1"/>
  <c r="R21" i="5" s="1"/>
  <c r="AY25" i="6" a="1"/>
  <c r="AY25" i="6" s="1"/>
  <c r="AM25" i="6"/>
  <c r="AP25" i="6"/>
  <c r="AZ25" i="6" a="1"/>
  <c r="AZ25" i="6" s="1"/>
  <c r="AN25" i="6"/>
  <c r="BA25" i="6" a="1"/>
  <c r="BA25" i="6" s="1"/>
  <c r="AQ25" i="6"/>
  <c r="AX25" i="6" a="1"/>
  <c r="AX25" i="6" s="1"/>
  <c r="BB25" i="6" a="1"/>
  <c r="BB25" i="6" s="1"/>
  <c r="AO25" i="6"/>
  <c r="AR25" i="6"/>
  <c r="BC25" i="6" a="1"/>
  <c r="BC25" i="6" s="1"/>
  <c r="BD25" i="6" a="1"/>
  <c r="BD25" i="6" s="1"/>
  <c r="AS25" i="6"/>
  <c r="AT25" i="6"/>
  <c r="BE25" i="6" a="1"/>
  <c r="BE25" i="6" s="1"/>
  <c r="BF25" i="6" a="1"/>
  <c r="BF25" i="6" s="1"/>
  <c r="AU25" i="6"/>
  <c r="BG25" i="6" a="1"/>
  <c r="BG25" i="6" s="1"/>
  <c r="AV25" i="6"/>
  <c r="M29" i="6"/>
  <c r="M27" i="6"/>
  <c r="AB25" i="6"/>
  <c r="AC25" i="6"/>
  <c r="AJ25" i="6"/>
  <c r="M28" i="6"/>
  <c r="M31" i="6"/>
  <c r="AF25" i="6"/>
  <c r="AG25" i="6"/>
  <c r="AK25" i="6"/>
  <c r="AE25" i="6"/>
  <c r="AH25" i="6"/>
  <c r="M26" i="6"/>
  <c r="AD25" i="6"/>
  <c r="AI25" i="6"/>
  <c r="AM28" i="5"/>
  <c r="Z28" i="5"/>
  <c r="I28" i="12"/>
  <c r="L28" i="5"/>
  <c r="L38" i="5"/>
  <c r="Z38" i="5"/>
  <c r="I38" i="12"/>
  <c r="AM38" i="5"/>
  <c r="I45" i="12"/>
  <c r="Z45" i="5"/>
  <c r="L45" i="5"/>
  <c r="AM45" i="5"/>
  <c r="Z65" i="5"/>
  <c r="AM65" i="5"/>
  <c r="L65" i="5"/>
  <c r="I65" i="12"/>
  <c r="I65" i="5"/>
  <c r="I66" i="5" s="1"/>
  <c r="I67" i="5" s="1"/>
  <c r="F49" i="8"/>
  <c r="J18" i="12"/>
  <c r="M34" i="12" a="1"/>
  <c r="M34" i="12" s="1"/>
  <c r="J34" i="12"/>
  <c r="J37" i="12"/>
  <c r="J23" i="12"/>
  <c r="K23" i="12" s="1"/>
  <c r="K64" i="12"/>
  <c r="L64" i="12"/>
  <c r="AN63" i="5" a="1"/>
  <c r="AN63" i="5" s="1"/>
  <c r="AG63" i="5"/>
  <c r="H1" i="8"/>
  <c r="J2" i="8" s="1"/>
  <c r="Z31" i="5"/>
  <c r="AM31" i="5"/>
  <c r="I31" i="12"/>
  <c r="O31" i="12" s="1" a="1"/>
  <c r="O31" i="12" s="1"/>
  <c r="L31" i="5"/>
  <c r="I31" i="5"/>
  <c r="I32" i="5" s="1"/>
  <c r="X30" i="5" a="1"/>
  <c r="X30" i="5" s="1"/>
  <c r="I37" i="12"/>
  <c r="M37" i="12" s="1" a="1"/>
  <c r="M37" i="12" s="1"/>
  <c r="AM37" i="5"/>
  <c r="Z37" i="5"/>
  <c r="L37" i="5"/>
  <c r="I56" i="12"/>
  <c r="L56" i="5"/>
  <c r="AM56" i="5"/>
  <c r="Z56" i="5"/>
  <c r="AM64" i="5"/>
  <c r="I64" i="12"/>
  <c r="Z64" i="5"/>
  <c r="L64" i="5"/>
  <c r="I64" i="5"/>
  <c r="X63" i="5" a="1"/>
  <c r="X63" i="5" s="1"/>
  <c r="L34" i="12"/>
  <c r="J35" i="12"/>
  <c r="K35" i="12" s="1"/>
  <c r="S41" i="5"/>
  <c r="AM19" i="5"/>
  <c r="Z19" i="5"/>
  <c r="I19" i="12"/>
  <c r="L19" i="5"/>
  <c r="K47" i="12"/>
  <c r="F53" i="12" a="1"/>
  <c r="F53" i="12" s="1"/>
  <c r="S53" i="5"/>
  <c r="C19" i="7" a="1"/>
  <c r="C19" i="7" s="1"/>
  <c r="B18" i="7"/>
  <c r="L66" i="5"/>
  <c r="I66" i="12"/>
  <c r="AM66" i="5"/>
  <c r="Z66" i="5"/>
  <c r="J29" i="12"/>
  <c r="O51" i="12" a="1"/>
  <c r="O51" i="12" s="1"/>
  <c r="L51" i="12"/>
  <c r="K51" i="12" s="1"/>
  <c r="J20" i="12"/>
  <c r="K20" i="12" s="1"/>
  <c r="AG22" i="5" a="1"/>
  <c r="AG22" i="5" s="1"/>
  <c r="R22" i="5" a="1"/>
  <c r="R22" i="5" s="1"/>
  <c r="S22" i="5" a="1"/>
  <c r="S22" i="5" s="1"/>
  <c r="S39" i="5" a="1"/>
  <c r="S39" i="5" s="1"/>
  <c r="AG39" i="5" a="1"/>
  <c r="AG39" i="5" s="1"/>
  <c r="R39" i="5" a="1"/>
  <c r="R39" i="5" s="1"/>
  <c r="R58" i="5" a="1"/>
  <c r="R58" i="5" s="1"/>
  <c r="AG58" i="5" a="1"/>
  <c r="AG58" i="5" s="1"/>
  <c r="S58" i="5" a="1"/>
  <c r="S58" i="5" s="1"/>
  <c r="S19" i="5" a="1"/>
  <c r="S19" i="5" s="1"/>
  <c r="AG19" i="5" a="1"/>
  <c r="AG19" i="5" s="1"/>
  <c r="R19" i="5" a="1"/>
  <c r="R19" i="5" s="1"/>
  <c r="F28" i="6"/>
  <c r="E28" i="12"/>
  <c r="AC28" i="5" a="1"/>
  <c r="AC28" i="5" s="1"/>
  <c r="S44" i="5" a="1"/>
  <c r="S44" i="5" s="1"/>
  <c r="AG44" i="5" a="1"/>
  <c r="AG44" i="5" s="1"/>
  <c r="R44" i="5" a="1"/>
  <c r="R44" i="5" s="1"/>
  <c r="S67" i="5" a="1"/>
  <c r="S67" i="5" s="1"/>
  <c r="AG67" i="5" a="1"/>
  <c r="AG67" i="5" s="1"/>
  <c r="R67" i="5" a="1"/>
  <c r="R67" i="5" s="1"/>
  <c r="R37" i="5" a="1"/>
  <c r="R37" i="5" s="1"/>
  <c r="AG37" i="5" a="1"/>
  <c r="AG37" i="5" s="1"/>
  <c r="S50" i="5" a="1"/>
  <c r="S50" i="5" s="1"/>
  <c r="AG50" i="5" a="1"/>
  <c r="AG50" i="5" s="1"/>
  <c r="R50" i="5" a="1"/>
  <c r="R50" i="5" s="1"/>
  <c r="S64" i="5" a="1"/>
  <c r="S64" i="5" s="1"/>
  <c r="R64" i="5" a="1"/>
  <c r="R64" i="5" s="1"/>
  <c r="AG64" i="5" a="1"/>
  <c r="AG64" i="5" s="1"/>
  <c r="F34" i="12" a="1"/>
  <c r="F34" i="12" s="1"/>
  <c r="G34" i="6"/>
  <c r="AG46" i="5" a="1"/>
  <c r="AG46" i="5" s="1"/>
  <c r="S46" i="5" a="1"/>
  <c r="S46" i="5" s="1"/>
  <c r="R46" i="5" a="1"/>
  <c r="R46" i="5" s="1"/>
  <c r="J49" i="12"/>
  <c r="K49" i="12" s="1"/>
  <c r="M56" i="12" a="1"/>
  <c r="M56" i="12" s="1"/>
  <c r="J56" i="12"/>
  <c r="S40" i="5"/>
  <c r="I23" i="12"/>
  <c r="AM23" i="5"/>
  <c r="Z23" i="5"/>
  <c r="L23" i="5"/>
  <c r="I23" i="5"/>
  <c r="J39" i="12"/>
  <c r="K39" i="12" s="1"/>
  <c r="L26" i="5"/>
  <c r="I26" i="12"/>
  <c r="Z26" i="5"/>
  <c r="AM26" i="5"/>
  <c r="S24" i="5"/>
  <c r="AN53" i="5" a="1"/>
  <c r="AN53" i="5" s="1"/>
  <c r="AG53" i="5"/>
  <c r="I18" i="5"/>
  <c r="I19" i="5" s="1"/>
  <c r="I20" i="5" s="1"/>
  <c r="I21" i="5" s="1"/>
  <c r="I22" i="5" s="1"/>
  <c r="I18" i="12"/>
  <c r="M18" i="12" s="1" a="1"/>
  <c r="M18" i="12" s="1"/>
  <c r="Z18" i="5"/>
  <c r="AM18" i="5"/>
  <c r="L18" i="5"/>
  <c r="X17" i="5" a="1"/>
  <c r="X17" i="5" s="1"/>
  <c r="X16" i="5" a="1"/>
  <c r="I39" i="12"/>
  <c r="M39" i="12" s="1" a="1"/>
  <c r="M39" i="12" s="1"/>
  <c r="Z39" i="5"/>
  <c r="L39" i="5"/>
  <c r="AM39" i="5"/>
  <c r="L54" i="5"/>
  <c r="I54" i="12"/>
  <c r="Z54" i="5"/>
  <c r="AM54" i="5"/>
  <c r="X53" i="5" a="1"/>
  <c r="X53" i="5" s="1"/>
  <c r="M26" i="12" a="1"/>
  <c r="M26" i="12" s="1"/>
  <c r="J26" i="12"/>
  <c r="J58" i="12"/>
  <c r="K25" i="12"/>
  <c r="AG27" i="5" a="1"/>
  <c r="AG27" i="5" s="1"/>
  <c r="S27" i="5" a="1"/>
  <c r="S27" i="5" s="1"/>
  <c r="R27" i="5" a="1"/>
  <c r="R27" i="5" s="1"/>
  <c r="AG47" i="5" a="1"/>
  <c r="AG47" i="5" s="1"/>
  <c r="S47" i="5" a="1"/>
  <c r="S47" i="5" s="1"/>
  <c r="R47" i="5" a="1"/>
  <c r="R47" i="5" s="1"/>
  <c r="R62" i="5" a="1"/>
  <c r="R62" i="5" s="1"/>
  <c r="AG62" i="5" a="1"/>
  <c r="AG62" i="5" s="1"/>
  <c r="S62" i="5" a="1"/>
  <c r="S62" i="5" s="1"/>
  <c r="S20" i="5" a="1"/>
  <c r="S20" i="5" s="1"/>
  <c r="R20" i="5" a="1"/>
  <c r="R20" i="5" s="1"/>
  <c r="R32" i="5" a="1"/>
  <c r="R32" i="5" s="1"/>
  <c r="AG32" i="5" a="1"/>
  <c r="AG32" i="5" s="1"/>
  <c r="S32" i="5" a="1"/>
  <c r="S32" i="5" s="1"/>
  <c r="S51" i="5" a="1"/>
  <c r="S51" i="5" s="1"/>
  <c r="R51" i="5" a="1"/>
  <c r="R51" i="5" s="1"/>
  <c r="AG51" i="5" a="1"/>
  <c r="AG51" i="5" s="1"/>
  <c r="F37" i="12" a="1"/>
  <c r="F37" i="12" s="1"/>
  <c r="G37" i="6"/>
  <c r="R52" i="5" a="1"/>
  <c r="R52" i="5" s="1"/>
  <c r="S52" i="5" a="1"/>
  <c r="S52" i="5" s="1"/>
  <c r="AG52" i="5" a="1"/>
  <c r="AG52" i="5" s="1"/>
  <c r="R18" i="5" a="1"/>
  <c r="R18" i="5" s="1"/>
  <c r="S18" i="5" a="1"/>
  <c r="S18" i="5" s="1"/>
  <c r="AG18" i="5" a="1"/>
  <c r="AG18" i="5" s="1"/>
  <c r="R61" i="5" a="1"/>
  <c r="R61" i="5" s="1"/>
  <c r="S61" i="5" a="1"/>
  <c r="S61" i="5" s="1"/>
  <c r="AG61" i="5" a="1"/>
  <c r="AG61" i="5" s="1"/>
  <c r="Z32" i="5"/>
  <c r="AM32" i="5"/>
  <c r="L32" i="5"/>
  <c r="I32" i="12"/>
  <c r="I42" i="12"/>
  <c r="Z42" i="5"/>
  <c r="L42" i="5"/>
  <c r="AM42" i="5"/>
  <c r="X41" i="5" a="1"/>
  <c r="X41" i="5" s="1"/>
  <c r="I49" i="12"/>
  <c r="Z49" i="5"/>
  <c r="L49" i="5"/>
  <c r="AM49" i="5"/>
  <c r="X48" i="5" a="1"/>
  <c r="X48" i="5" s="1"/>
  <c r="L61" i="5"/>
  <c r="I61" i="12"/>
  <c r="AM61" i="5"/>
  <c r="Z61" i="5"/>
  <c r="Z69" i="5"/>
  <c r="L69" i="5"/>
  <c r="I69" i="5"/>
  <c r="I69" i="12"/>
  <c r="AM69" i="5"/>
  <c r="O50" i="12" a="1"/>
  <c r="O50" i="12" s="1"/>
  <c r="L50" i="12"/>
  <c r="L32" i="12"/>
  <c r="K32" i="12" s="1"/>
  <c r="M52" i="12" a="1"/>
  <c r="M52" i="12" s="1"/>
  <c r="J52" i="12"/>
  <c r="L21" i="12"/>
  <c r="K21" i="12" s="1"/>
  <c r="I14" i="12"/>
  <c r="L14" i="5"/>
  <c r="O14" i="5" s="1"/>
  <c r="D14" i="12" s="1"/>
  <c r="AM14" i="5"/>
  <c r="I14" i="5"/>
  <c r="Z14" i="5"/>
  <c r="AM27" i="5"/>
  <c r="Z27" i="5"/>
  <c r="I27" i="12"/>
  <c r="L27" i="5"/>
  <c r="L34" i="5"/>
  <c r="Z34" i="5"/>
  <c r="I34" i="12"/>
  <c r="AM34" i="5"/>
  <c r="X33" i="5" a="1"/>
  <c r="X33" i="5" s="1"/>
  <c r="I34" i="5"/>
  <c r="I35" i="5" s="1"/>
  <c r="I36" i="5" s="1"/>
  <c r="I37" i="5" s="1"/>
  <c r="I38" i="5" s="1"/>
  <c r="I39" i="5" s="1"/>
  <c r="I40" i="5" s="1"/>
  <c r="I41" i="5" s="1"/>
  <c r="I42" i="5" s="1"/>
  <c r="I43" i="5" s="1"/>
  <c r="I44" i="5" s="1"/>
  <c r="I45" i="5" s="1"/>
  <c r="I46" i="5" s="1"/>
  <c r="I47" i="5" s="1"/>
  <c r="I48" i="5" s="1"/>
  <c r="I49" i="5" s="1"/>
  <c r="I50" i="5" s="1"/>
  <c r="I51" i="5" s="1"/>
  <c r="I52" i="5" s="1"/>
  <c r="I53" i="5" s="1"/>
  <c r="I54" i="5" s="1"/>
  <c r="I55" i="5" s="1"/>
  <c r="I56" i="5" s="1"/>
  <c r="L52" i="5"/>
  <c r="Z52" i="5"/>
  <c r="I52" i="12"/>
  <c r="AM52" i="5"/>
  <c r="I60" i="12"/>
  <c r="L60" i="5"/>
  <c r="AM60" i="5"/>
  <c r="Z60" i="5"/>
  <c r="C14" i="8"/>
  <c r="F16" i="8"/>
  <c r="D14" i="8"/>
  <c r="M50" i="12" a="1"/>
  <c r="M50" i="12" s="1"/>
  <c r="J50" i="12"/>
  <c r="K56" i="12"/>
  <c r="F33" i="12" a="1"/>
  <c r="F33" i="12" s="1"/>
  <c r="S33" i="5"/>
  <c r="S68" i="5"/>
  <c r="F68" i="12" s="1" a="1"/>
  <c r="F68" i="12" s="1"/>
  <c r="Z22" i="5"/>
  <c r="I22" i="12"/>
  <c r="L22" i="5"/>
  <c r="AM22" i="5"/>
  <c r="K45" i="12"/>
  <c r="F14" i="12" a="1"/>
  <c r="F14" i="12" s="1"/>
  <c r="S14" i="5"/>
  <c r="S57" i="5"/>
  <c r="F57" i="12" s="1" a="1"/>
  <c r="F57" i="12" s="1"/>
  <c r="F40" i="8"/>
  <c r="AB38" i="8" a="1"/>
  <c r="AB38" i="8" s="1"/>
  <c r="Z38" i="8" a="1"/>
  <c r="Z38" i="8" s="1"/>
  <c r="L22" i="12"/>
  <c r="K22" i="12" s="1"/>
  <c r="M46" i="12" a="1"/>
  <c r="M46" i="12" s="1"/>
  <c r="J46" i="12"/>
  <c r="J25" i="12"/>
  <c r="O26" i="12" a="1"/>
  <c r="O26" i="12" s="1"/>
  <c r="N26" i="12" s="1"/>
  <c r="L26" i="12"/>
  <c r="K26" i="12" s="1"/>
  <c r="F43" i="8"/>
  <c r="AG31" i="5" a="1"/>
  <c r="AG31" i="5" s="1"/>
  <c r="S31" i="5" a="1"/>
  <c r="S31" i="5" s="1"/>
  <c r="R31" i="5" a="1"/>
  <c r="R31" i="5" s="1"/>
  <c r="R49" i="5" a="1"/>
  <c r="R49" i="5" s="1"/>
  <c r="AG49" i="5" a="1"/>
  <c r="AG49" i="5" s="1"/>
  <c r="S49" i="5" a="1"/>
  <c r="S49" i="5" s="1"/>
  <c r="R66" i="5" a="1"/>
  <c r="R66" i="5" s="1"/>
  <c r="AG66" i="5" a="1"/>
  <c r="AG66" i="5" s="1"/>
  <c r="S66" i="5" a="1"/>
  <c r="S66" i="5" s="1"/>
  <c r="AG20" i="5" a="1"/>
  <c r="AG20" i="5" s="1"/>
  <c r="R36" i="5" a="1"/>
  <c r="R36" i="5" s="1"/>
  <c r="AG36" i="5" a="1"/>
  <c r="AG36" i="5" s="1"/>
  <c r="AG55" i="5" a="1"/>
  <c r="AG55" i="5" s="1"/>
  <c r="R55" i="5" a="1"/>
  <c r="R55" i="5" s="1"/>
  <c r="S55" i="5" a="1"/>
  <c r="S55" i="5" s="1"/>
  <c r="AG25" i="5" a="1"/>
  <c r="AG25" i="5" s="1"/>
  <c r="S25" i="5" a="1"/>
  <c r="S25" i="5" s="1"/>
  <c r="R25" i="5" a="1"/>
  <c r="R25" i="5" s="1"/>
  <c r="R45" i="5" a="1"/>
  <c r="R45" i="5" s="1"/>
  <c r="AG45" i="5" a="1"/>
  <c r="AG45" i="5" s="1"/>
  <c r="R56" i="5" a="1"/>
  <c r="R56" i="5" s="1"/>
  <c r="AG56" i="5" a="1"/>
  <c r="AG56" i="5" s="1"/>
  <c r="S56" i="5" a="1"/>
  <c r="S56" i="5" s="1"/>
  <c r="R26" i="5" a="1"/>
  <c r="R26" i="5" s="1"/>
  <c r="S26" i="5" a="1"/>
  <c r="S26" i="5" s="1"/>
  <c r="AG26" i="5" a="1"/>
  <c r="AG26" i="5" s="1"/>
  <c r="R65" i="5" a="1"/>
  <c r="R65" i="5" s="1"/>
  <c r="S65" i="5" a="1"/>
  <c r="S65" i="5" s="1"/>
  <c r="AG65" i="5" a="1"/>
  <c r="AG65" i="5" s="1"/>
  <c r="S43" i="5"/>
  <c r="U3" i="8" a="1"/>
  <c r="U3" i="8" s="1"/>
  <c r="X1" i="8" a="1"/>
  <c r="X1" i="8" s="1"/>
  <c r="AD3" i="8" a="1"/>
  <c r="AD3" i="8" s="1"/>
  <c r="Z3" i="8" a="1"/>
  <c r="Z3" i="8" s="1"/>
  <c r="C1" i="8"/>
  <c r="AC3" i="8" a="1"/>
  <c r="AC3" i="8" s="1"/>
  <c r="V3" i="8" a="1"/>
  <c r="V3" i="8" s="1"/>
  <c r="E1" i="8" a="1"/>
  <c r="E1" i="8" s="1"/>
  <c r="AB3" i="8" a="1"/>
  <c r="AB3" i="8" s="1"/>
  <c r="AE1" i="8" a="1"/>
  <c r="AE1" i="8" s="1"/>
  <c r="AF1" i="8" a="1"/>
  <c r="AF1" i="8" s="1"/>
  <c r="AF3" i="8" a="1"/>
  <c r="AF3" i="8" s="1"/>
  <c r="AC1" i="8" a="1"/>
  <c r="AC1" i="8" s="1"/>
  <c r="AD1" i="8" a="1"/>
  <c r="AD1" i="8" s="1"/>
  <c r="AE3" i="8" a="1"/>
  <c r="AE3" i="8" s="1"/>
  <c r="Z1" i="8" a="1"/>
  <c r="Z1" i="8" s="1"/>
  <c r="AB1" i="8" a="1"/>
  <c r="AB1" i="8" s="1"/>
  <c r="Y1" i="8" a="1"/>
  <c r="Y1" i="8" s="1"/>
  <c r="AA3" i="8" a="1"/>
  <c r="AA3" i="8" s="1"/>
  <c r="W3" i="8" a="1"/>
  <c r="W3" i="8" s="1"/>
  <c r="V1" i="8" a="1"/>
  <c r="V1" i="8" s="1"/>
  <c r="X3" i="8" a="1"/>
  <c r="X3" i="8" s="1"/>
  <c r="W1" i="8" a="1"/>
  <c r="W1" i="8" s="1"/>
  <c r="U1" i="8" a="1"/>
  <c r="U1" i="8" s="1"/>
  <c r="E3" i="8" a="1"/>
  <c r="E3" i="8" s="1"/>
  <c r="F3" i="8"/>
  <c r="Y3" i="8" a="1"/>
  <c r="Y3" i="8" s="1"/>
  <c r="AA1" i="8" a="1"/>
  <c r="AA1" i="8" s="1"/>
  <c r="D1" i="8"/>
  <c r="O55" i="12" a="1"/>
  <c r="O55" i="12" s="1"/>
  <c r="L55" i="12"/>
  <c r="K55" i="12" s="1"/>
  <c r="M45" i="12" a="1"/>
  <c r="M45" i="12" s="1"/>
  <c r="J45" i="12"/>
  <c r="S63" i="5"/>
  <c r="M55" i="12" a="1"/>
  <c r="M55" i="12" s="1"/>
  <c r="J55" i="12"/>
  <c r="Z46" i="5"/>
  <c r="AM46" i="5"/>
  <c r="L46" i="5"/>
  <c r="I46" i="12"/>
  <c r="X70" i="5"/>
  <c r="Z70" i="5" s="1"/>
  <c r="F52" i="8"/>
  <c r="U50" i="8" a="1"/>
  <c r="U50" i="8" s="1"/>
  <c r="E50" i="8" a="1"/>
  <c r="E50" i="8" s="1"/>
  <c r="AA50" i="8" a="1"/>
  <c r="AA50" i="8" s="1"/>
  <c r="R38" i="5" a="1"/>
  <c r="R38" i="5" s="1"/>
  <c r="S38" i="5" a="1"/>
  <c r="S38" i="5" s="1"/>
  <c r="L29" i="12"/>
  <c r="K29" i="12" s="1"/>
  <c r="M59" i="12" a="1"/>
  <c r="M59" i="12" s="1"/>
  <c r="J59" i="12"/>
  <c r="K59" i="12" s="1"/>
  <c r="O27" i="12" a="1"/>
  <c r="O27" i="12" s="1"/>
  <c r="L27" i="12"/>
  <c r="K27" i="12" s="1"/>
  <c r="M47" i="12" a="1"/>
  <c r="M47" i="12" s="1"/>
  <c r="J47" i="12"/>
  <c r="K52" i="12"/>
  <c r="S48" i="5"/>
  <c r="F48" i="12" s="1" a="1"/>
  <c r="F48" i="12" s="1"/>
  <c r="Z20" i="5"/>
  <c r="AM20" i="5"/>
  <c r="L20" i="5"/>
  <c r="I20" i="12"/>
  <c r="M19" i="12" a="1"/>
  <c r="M19" i="12" s="1"/>
  <c r="J19" i="12"/>
  <c r="K19" i="12" s="1"/>
  <c r="M31" i="12" a="1"/>
  <c r="M31" i="12" s="1"/>
  <c r="J31" i="12"/>
  <c r="K37" i="12"/>
  <c r="AN68" i="5" a="1"/>
  <c r="AN68" i="5" s="1"/>
  <c r="AG68" i="5"/>
  <c r="L36" i="5"/>
  <c r="Z36" i="5"/>
  <c r="AM36" i="5"/>
  <c r="I36" i="12"/>
  <c r="L44" i="5"/>
  <c r="I44" i="12"/>
  <c r="M44" i="12" s="1" a="1"/>
  <c r="M44" i="12" s="1"/>
  <c r="M43" i="12" s="1" a="1"/>
  <c r="M43" i="12" s="1"/>
  <c r="Z44" i="5"/>
  <c r="AM44" i="5"/>
  <c r="X43" i="5" a="1"/>
  <c r="X43" i="5" s="1"/>
  <c r="Z51" i="5"/>
  <c r="I51" i="12"/>
  <c r="AM51" i="5"/>
  <c r="L51" i="5"/>
  <c r="Z59" i="5"/>
  <c r="L59" i="5"/>
  <c r="AM59" i="5"/>
  <c r="I59" i="12"/>
  <c r="Z67" i="5"/>
  <c r="I67" i="12"/>
  <c r="AM67" i="5"/>
  <c r="L67" i="5"/>
  <c r="F30" i="12" a="1"/>
  <c r="F30" i="12" s="1"/>
  <c r="S30" i="5"/>
  <c r="E14" i="12"/>
  <c r="AC14" i="5" a="1"/>
  <c r="AC14" i="5" s="1"/>
  <c r="AN57" i="5" a="1"/>
  <c r="AN57" i="5" s="1"/>
  <c r="AG57" i="5"/>
  <c r="Z21" i="5"/>
  <c r="AM21" i="5"/>
  <c r="I21" i="12"/>
  <c r="L21" i="5"/>
  <c r="F22" i="8"/>
  <c r="Z25" i="5"/>
  <c r="I25" i="12"/>
  <c r="L25" i="5"/>
  <c r="AM25" i="5"/>
  <c r="X24" i="5" a="1"/>
  <c r="X24" i="5" s="1"/>
  <c r="I25" i="5"/>
  <c r="I26" i="5" s="1"/>
  <c r="I27" i="5" s="1"/>
  <c r="I28" i="5" s="1"/>
  <c r="I29" i="5" s="1"/>
  <c r="I35" i="12"/>
  <c r="M35" i="12" s="1" a="1"/>
  <c r="M35" i="12" s="1"/>
  <c r="L35" i="5"/>
  <c r="Z35" i="5"/>
  <c r="AM35" i="5"/>
  <c r="L50" i="5"/>
  <c r="Z50" i="5"/>
  <c r="AM50" i="5"/>
  <c r="I50" i="12"/>
  <c r="X58" i="5"/>
  <c r="AF32" i="8" a="1"/>
  <c r="AF32" i="8" s="1"/>
  <c r="U32" i="8" a="1"/>
  <c r="U32" i="8" s="1"/>
  <c r="F34" i="8"/>
  <c r="AD32" i="8" a="1"/>
  <c r="AD32" i="8" s="1"/>
  <c r="V32" i="8" a="1"/>
  <c r="V32" i="8" s="1"/>
  <c r="AA32" i="8" a="1"/>
  <c r="AA32" i="8" s="1"/>
  <c r="E32" i="8" a="1"/>
  <c r="E32" i="8" s="1"/>
  <c r="AB32" i="8" a="1"/>
  <c r="AB32" i="8" s="1"/>
  <c r="W32" i="8" a="1"/>
  <c r="W32" i="8" s="1"/>
  <c r="X32" i="8" a="1"/>
  <c r="X32" i="8" s="1"/>
  <c r="AE32" i="8" a="1"/>
  <c r="AE32" i="8" s="1"/>
  <c r="AC32" i="8" a="1"/>
  <c r="AC32" i="8" s="1"/>
  <c r="Y32" i="8" a="1"/>
  <c r="K58" i="12"/>
  <c r="K14" i="12"/>
  <c r="L18" i="12"/>
  <c r="K18" i="12" s="1"/>
  <c r="O46" i="12" a="1"/>
  <c r="O46" i="12" s="1"/>
  <c r="N46" i="12" s="1"/>
  <c r="L46" i="12"/>
  <c r="K46" i="12" s="1"/>
  <c r="O38" i="12" a="1"/>
  <c r="O38" i="12" s="1"/>
  <c r="L38" i="12"/>
  <c r="K38" i="12" s="1"/>
  <c r="K69" i="12"/>
  <c r="L69" i="12"/>
  <c r="K44" i="12"/>
  <c r="S23" i="5" a="1"/>
  <c r="S23" i="5" s="1"/>
  <c r="R23" i="5" a="1"/>
  <c r="R23" i="5" s="1"/>
  <c r="AG23" i="5" a="1"/>
  <c r="AG23" i="5" s="1"/>
  <c r="AG35" i="5" a="1"/>
  <c r="AG35" i="5" s="1"/>
  <c r="R35" i="5" a="1"/>
  <c r="R35" i="5" s="1"/>
  <c r="S35" i="5" a="1"/>
  <c r="S35" i="5" s="1"/>
  <c r="S54" i="5" a="1"/>
  <c r="S54" i="5" s="1"/>
  <c r="AG54" i="5" a="1"/>
  <c r="AG54" i="5" s="1"/>
  <c r="R54" i="5" a="1"/>
  <c r="R54" i="5" s="1"/>
  <c r="AG70" i="5" a="1"/>
  <c r="AG70" i="5" s="1"/>
  <c r="S70" i="5" a="1"/>
  <c r="S70" i="5" s="1"/>
  <c r="R70" i="5" a="1"/>
  <c r="R70" i="5" s="1"/>
  <c r="AG28" i="5" a="1"/>
  <c r="AG28" i="5" s="1"/>
  <c r="S28" i="5" a="1"/>
  <c r="S28" i="5" s="1"/>
  <c r="S36" i="5" a="1"/>
  <c r="S36" i="5" s="1"/>
  <c r="R59" i="5" a="1"/>
  <c r="R59" i="5" s="1"/>
  <c r="AG59" i="5" a="1"/>
  <c r="AG59" i="5" s="1"/>
  <c r="S59" i="5" a="1"/>
  <c r="S59" i="5" s="1"/>
  <c r="S29" i="5" a="1"/>
  <c r="S29" i="5" s="1"/>
  <c r="R29" i="5" a="1"/>
  <c r="R29" i="5" s="1"/>
  <c r="AG29" i="5" a="1"/>
  <c r="AG29" i="5" s="1"/>
  <c r="S45" i="5" a="1"/>
  <c r="S45" i="5" s="1"/>
  <c r="AG60" i="5" a="1"/>
  <c r="AG60" i="5" s="1"/>
  <c r="S60" i="5" a="1"/>
  <c r="S60" i="5" s="1"/>
  <c r="R60" i="5" a="1"/>
  <c r="R60" i="5" s="1"/>
  <c r="R34" i="5" a="1"/>
  <c r="R34" i="5" s="1"/>
  <c r="AG34" i="5" a="1"/>
  <c r="AG34" i="5" s="1"/>
  <c r="S42" i="5" a="1"/>
  <c r="S42" i="5" s="1"/>
  <c r="AG42" i="5" a="1"/>
  <c r="AG42" i="5" s="1"/>
  <c r="R42" i="5" a="1"/>
  <c r="R42" i="5" s="1"/>
  <c r="S69" i="5" a="1"/>
  <c r="S69" i="5" s="1"/>
  <c r="R69" i="5" a="1"/>
  <c r="R69" i="5" s="1"/>
  <c r="AG69" i="5" a="1"/>
  <c r="AG69" i="5" s="1"/>
  <c r="AB70" i="5" l="1" a="1"/>
  <c r="AB70" i="5" s="1"/>
  <c r="AA70" i="5" a="1"/>
  <c r="N31" i="12"/>
  <c r="E60" i="12"/>
  <c r="F60" i="6"/>
  <c r="AC60" i="5" a="1"/>
  <c r="AC60" i="5" s="1"/>
  <c r="F23" i="12" a="1"/>
  <c r="F23" i="12" s="1"/>
  <c r="G23" i="6"/>
  <c r="AB35" i="5" a="1"/>
  <c r="AB35" i="5" s="1"/>
  <c r="AA35" i="5" a="1"/>
  <c r="AA35" i="5" s="1"/>
  <c r="AB25" i="5" a="1"/>
  <c r="AB25" i="5" s="1"/>
  <c r="AA25" i="5" a="1"/>
  <c r="AA25" i="5" s="1"/>
  <c r="AA24" i="5" s="1" a="1"/>
  <c r="AA24" i="5" s="1"/>
  <c r="AB67" i="5" a="1"/>
  <c r="AB67" i="5" s="1"/>
  <c r="AA67" i="5" a="1"/>
  <c r="AA67" i="5" s="1"/>
  <c r="C36" i="12"/>
  <c r="AO36" i="12" a="1"/>
  <c r="AO36" i="12" s="1"/>
  <c r="Y36" i="12" s="1"/>
  <c r="O36" i="12" a="1"/>
  <c r="O36" i="12" s="1"/>
  <c r="M36" i="12" a="1"/>
  <c r="M36" i="12" s="1"/>
  <c r="C20" i="6"/>
  <c r="O20" i="5"/>
  <c r="F56" i="12" a="1"/>
  <c r="F56" i="12" s="1"/>
  <c r="G56" i="6"/>
  <c r="G55" i="6"/>
  <c r="F55" i="12" a="1"/>
  <c r="F55" i="12" s="1"/>
  <c r="E66" i="12"/>
  <c r="F66" i="6"/>
  <c r="AB27" i="5" a="1"/>
  <c r="AB27" i="5" s="1"/>
  <c r="AA27" i="5" a="1"/>
  <c r="AA27" i="5" s="1"/>
  <c r="M69" i="12" a="1"/>
  <c r="M69" i="12" s="1"/>
  <c r="AO69" i="12" a="1"/>
  <c r="AO69" i="12" s="1"/>
  <c r="O69" i="12" a="1"/>
  <c r="O69" i="12" s="1"/>
  <c r="C69" i="12"/>
  <c r="AB49" i="5" a="1"/>
  <c r="AB49" i="5" s="1"/>
  <c r="AB48" i="5" s="1" a="1"/>
  <c r="AB48" i="5" s="1"/>
  <c r="AA49" i="5" a="1"/>
  <c r="AA49" i="5" s="1"/>
  <c r="C32" i="12"/>
  <c r="AO32" i="12" a="1"/>
  <c r="AO32" i="12" s="1"/>
  <c r="M32" i="12" a="1"/>
  <c r="M32" i="12" s="1"/>
  <c r="M30" i="12" s="1" a="1"/>
  <c r="M30" i="12" s="1"/>
  <c r="F52" i="6"/>
  <c r="E52" i="12"/>
  <c r="AC52" i="5" a="1"/>
  <c r="AC52" i="5" s="1"/>
  <c r="E32" i="12"/>
  <c r="F32" i="6"/>
  <c r="AC32" i="5" a="1"/>
  <c r="AC32" i="5" s="1"/>
  <c r="C54" i="12"/>
  <c r="AO54" i="12" a="1"/>
  <c r="AO54" i="12" s="1"/>
  <c r="M54" i="12" a="1"/>
  <c r="M54" i="12" s="1"/>
  <c r="M53" i="12" s="1" a="1"/>
  <c r="M53" i="12" s="1"/>
  <c r="O54" i="12" a="1"/>
  <c r="O54" i="12" s="1"/>
  <c r="AB39" i="5" a="1"/>
  <c r="AB39" i="5" s="1"/>
  <c r="AA39" i="5" a="1"/>
  <c r="AA39" i="5" s="1"/>
  <c r="F67" i="6"/>
  <c r="E67" i="12"/>
  <c r="F58" i="12" a="1"/>
  <c r="F58" i="12" s="1"/>
  <c r="G58" i="6"/>
  <c r="C31" i="6"/>
  <c r="O31" i="5"/>
  <c r="AB65" i="5" a="1"/>
  <c r="AB65" i="5" s="1"/>
  <c r="AA65" i="5" a="1"/>
  <c r="C45" i="12"/>
  <c r="AO45" i="12" a="1"/>
  <c r="AO45" i="12" s="1"/>
  <c r="O45" i="12" a="1"/>
  <c r="O45" i="12" s="1"/>
  <c r="N45" i="12" s="1"/>
  <c r="F69" i="6"/>
  <c r="E69" i="12"/>
  <c r="F29" i="6"/>
  <c r="E29" i="12"/>
  <c r="AC29" i="5" a="1"/>
  <c r="AC29" i="5" s="1"/>
  <c r="E70" i="12"/>
  <c r="F70" i="6"/>
  <c r="AC70" i="5" a="1"/>
  <c r="AC70" i="5" s="1"/>
  <c r="I58" i="5"/>
  <c r="I59" i="5" s="1"/>
  <c r="I60" i="5" s="1"/>
  <c r="I61" i="5" s="1"/>
  <c r="I62" i="5" s="1"/>
  <c r="Z58" i="5"/>
  <c r="AM58" i="5"/>
  <c r="L58" i="5"/>
  <c r="X57" i="5" a="1"/>
  <c r="X57" i="5" s="1"/>
  <c r="C35" i="6"/>
  <c r="O35" i="5"/>
  <c r="C21" i="6"/>
  <c r="O21" i="5"/>
  <c r="AC67" i="5" a="1"/>
  <c r="AC67" i="5" s="1"/>
  <c r="C67" i="6"/>
  <c r="O67" i="5"/>
  <c r="E55" i="12"/>
  <c r="F55" i="6"/>
  <c r="G31" i="6"/>
  <c r="F31" i="12" a="1"/>
  <c r="F31" i="12" s="1"/>
  <c r="F42" i="6"/>
  <c r="E42" i="12"/>
  <c r="AC42" i="5" a="1"/>
  <c r="AC42" i="5" s="1"/>
  <c r="F34" i="6"/>
  <c r="E34" i="12"/>
  <c r="AC34" i="5" a="1"/>
  <c r="AC34" i="5" s="1"/>
  <c r="G45" i="6"/>
  <c r="F45" i="12" a="1"/>
  <c r="F45" i="12" s="1"/>
  <c r="F59" i="12" a="1"/>
  <c r="F59" i="12" s="1"/>
  <c r="G59" i="6"/>
  <c r="F28" i="12" a="1"/>
  <c r="F28" i="12" s="1"/>
  <c r="G28" i="6"/>
  <c r="F35" i="12" a="1"/>
  <c r="F35" i="12" s="1"/>
  <c r="G35" i="6"/>
  <c r="F23" i="6"/>
  <c r="E23" i="12"/>
  <c r="AC23" i="5" a="1"/>
  <c r="AC23" i="5" s="1"/>
  <c r="C50" i="12"/>
  <c r="AO50" i="12" a="1"/>
  <c r="AO50" i="12" s="1"/>
  <c r="Y50" i="12" s="1"/>
  <c r="C25" i="12"/>
  <c r="AO25" i="12" a="1"/>
  <c r="AO25" i="12" s="1"/>
  <c r="O25" i="12" a="1"/>
  <c r="O25" i="12" s="1"/>
  <c r="AO67" i="12" a="1"/>
  <c r="M67" i="12" a="1"/>
  <c r="M67" i="12" s="1"/>
  <c r="C67" i="12"/>
  <c r="O67" i="12" a="1"/>
  <c r="O67" i="12" s="1"/>
  <c r="N67" i="12" s="1"/>
  <c r="C51" i="6"/>
  <c r="O51" i="5"/>
  <c r="L43" i="5"/>
  <c r="AM43" i="5"/>
  <c r="Z43" i="5"/>
  <c r="I43" i="12"/>
  <c r="S35" i="8"/>
  <c r="C44" i="6"/>
  <c r="O44" i="5"/>
  <c r="C36" i="6"/>
  <c r="O36" i="5"/>
  <c r="C20" i="12"/>
  <c r="AO20" i="12" a="1"/>
  <c r="AO20" i="12" s="1"/>
  <c r="Y20" i="12" s="1"/>
  <c r="O20" i="12" a="1"/>
  <c r="O20" i="12" s="1"/>
  <c r="F38" i="12" a="1"/>
  <c r="F38" i="12" s="1"/>
  <c r="G38" i="6"/>
  <c r="C46" i="6"/>
  <c r="O46" i="5"/>
  <c r="F65" i="12" a="1"/>
  <c r="F65" i="12" s="1"/>
  <c r="G65" i="6"/>
  <c r="F26" i="6"/>
  <c r="E26" i="12"/>
  <c r="AC26" i="5" a="1"/>
  <c r="AC26" i="5" s="1"/>
  <c r="E49" i="12"/>
  <c r="F49" i="6"/>
  <c r="AC49" i="5" a="1"/>
  <c r="AC49" i="5" s="1"/>
  <c r="C22" i="12"/>
  <c r="AO22" i="12" a="1"/>
  <c r="AO22" i="12" s="1"/>
  <c r="M22" i="12" a="1"/>
  <c r="M22" i="12" s="1"/>
  <c r="AB60" i="5" a="1"/>
  <c r="AB60" i="5" s="1"/>
  <c r="AA60" i="5" a="1"/>
  <c r="AA60" i="5" s="1"/>
  <c r="AO60" i="12" a="1"/>
  <c r="AO60" i="12" s="1"/>
  <c r="M60" i="12" a="1"/>
  <c r="M60" i="12" s="1"/>
  <c r="C60" i="12"/>
  <c r="O60" i="12" a="1"/>
  <c r="O60" i="12" s="1"/>
  <c r="C52" i="6"/>
  <c r="O52" i="5"/>
  <c r="C34" i="12"/>
  <c r="AO34" i="12" a="1"/>
  <c r="AO34" i="12" s="1"/>
  <c r="C27" i="12"/>
  <c r="AO27" i="12" a="1"/>
  <c r="AO27" i="12" s="1"/>
  <c r="Y27" i="12" s="1"/>
  <c r="M27" i="12" a="1"/>
  <c r="M27" i="12" s="1"/>
  <c r="N27" i="12" s="1"/>
  <c r="K50" i="12"/>
  <c r="AB69" i="5" a="1"/>
  <c r="AB69" i="5" s="1"/>
  <c r="AB68" i="5" s="1" a="1"/>
  <c r="AB68" i="5" s="1"/>
  <c r="AA69" i="5" a="1"/>
  <c r="AA69" i="5" s="1"/>
  <c r="M61" i="12" a="1"/>
  <c r="M61" i="12" s="1"/>
  <c r="C61" i="12"/>
  <c r="O61" i="12" a="1"/>
  <c r="O61" i="12" s="1"/>
  <c r="N61" i="12" s="1"/>
  <c r="AO61" i="12" a="1"/>
  <c r="C49" i="6"/>
  <c r="O49" i="5"/>
  <c r="Z41" i="5"/>
  <c r="L41" i="5"/>
  <c r="AM41" i="5"/>
  <c r="I41" i="12"/>
  <c r="S32" i="8"/>
  <c r="C42" i="12"/>
  <c r="AO42" i="12" a="1"/>
  <c r="AO42" i="12" s="1"/>
  <c r="M42" i="12" a="1"/>
  <c r="M42" i="12" s="1"/>
  <c r="AB32" i="5" a="1"/>
  <c r="AB32" i="5" s="1"/>
  <c r="AA32" i="5" a="1"/>
  <c r="AA32" i="5" s="1"/>
  <c r="F52" i="12" a="1"/>
  <c r="F52" i="12" s="1"/>
  <c r="G52" i="6"/>
  <c r="F62" i="12" a="1"/>
  <c r="F62" i="12" s="1"/>
  <c r="G62" i="6"/>
  <c r="F47" i="12" a="1"/>
  <c r="F47" i="12" s="1"/>
  <c r="G47" i="6"/>
  <c r="AB54" i="5" a="1"/>
  <c r="AB54" i="5" s="1"/>
  <c r="AB53" i="5" s="1" a="1"/>
  <c r="AB53" i="5" s="1"/>
  <c r="AA54" i="5" a="1"/>
  <c r="AA54" i="5" s="1"/>
  <c r="C39" i="6"/>
  <c r="O39" i="5"/>
  <c r="S14" i="8"/>
  <c r="X16" i="5"/>
  <c r="AB18" i="5" a="1"/>
  <c r="AB18" i="5" s="1"/>
  <c r="AA18" i="5" a="1"/>
  <c r="AA18" i="5" s="1"/>
  <c r="AB26" i="5" a="1"/>
  <c r="AB26" i="5" s="1"/>
  <c r="AA26" i="5" a="1"/>
  <c r="AA26" i="5" s="1"/>
  <c r="F46" i="6"/>
  <c r="E46" i="12"/>
  <c r="AC46" i="5" a="1"/>
  <c r="AC46" i="5" s="1"/>
  <c r="F50" i="6"/>
  <c r="E50" i="12"/>
  <c r="AC50" i="5" a="1"/>
  <c r="AC50" i="5" s="1"/>
  <c r="F37" i="6"/>
  <c r="E37" i="12"/>
  <c r="AC37" i="5" a="1"/>
  <c r="AC37" i="5" s="1"/>
  <c r="E44" i="12"/>
  <c r="F44" i="6"/>
  <c r="AC44" i="5" a="1"/>
  <c r="AC44" i="5" s="1"/>
  <c r="G19" i="6"/>
  <c r="F19" i="12" a="1"/>
  <c r="F19" i="12" s="1"/>
  <c r="E39" i="12"/>
  <c r="F39" i="6"/>
  <c r="AC39" i="5" a="1"/>
  <c r="AC39" i="5" s="1"/>
  <c r="F22" i="6"/>
  <c r="E22" i="12"/>
  <c r="AC22" i="5" a="1"/>
  <c r="AC22" i="5" s="1"/>
  <c r="AC66" i="5" a="1"/>
  <c r="AC66" i="5" s="1"/>
  <c r="C66" i="6"/>
  <c r="O66" i="5"/>
  <c r="AB19" i="5" a="1"/>
  <c r="AB19" i="5" s="1"/>
  <c r="AA19" i="5" a="1"/>
  <c r="AA19" i="5" s="1"/>
  <c r="O34" i="12" a="1"/>
  <c r="O34" i="12" s="1"/>
  <c r="N34" i="12" s="1"/>
  <c r="AB64" i="5" a="1"/>
  <c r="AB64" i="5" s="1"/>
  <c r="AB63" i="5" s="1" a="1"/>
  <c r="AB63" i="5" s="1"/>
  <c r="AA64" i="5" a="1"/>
  <c r="AA64" i="5" s="1"/>
  <c r="AB37" i="5" a="1"/>
  <c r="AB37" i="5" s="1"/>
  <c r="AA37" i="5" a="1"/>
  <c r="AA37" i="5" s="1"/>
  <c r="AB31" i="5" a="1"/>
  <c r="AB31" i="5" s="1"/>
  <c r="AB30" i="5" s="1" a="1"/>
  <c r="AB30" i="5" s="1"/>
  <c r="AA31" i="5" a="1"/>
  <c r="AA31" i="5" s="1"/>
  <c r="AA30" i="5" s="1" a="1"/>
  <c r="AA30" i="5" s="1"/>
  <c r="AB45" i="5" a="1"/>
  <c r="AB45" i="5" s="1"/>
  <c r="AA45" i="5" a="1"/>
  <c r="AA45" i="5" s="1"/>
  <c r="AB38" i="5" a="1"/>
  <c r="AB38" i="5" s="1"/>
  <c r="AA38" i="5" a="1"/>
  <c r="AA38" i="5" s="1"/>
  <c r="AB28" i="5" a="1"/>
  <c r="AB28" i="5" s="1"/>
  <c r="AA28" i="5" a="1"/>
  <c r="AA28" i="5" s="1"/>
  <c r="G21" i="6"/>
  <c r="F21" i="12" a="1"/>
  <c r="F21" i="12" s="1"/>
  <c r="C55" i="12"/>
  <c r="AO55" i="12" a="1"/>
  <c r="AO55" i="12" s="1"/>
  <c r="Y55" i="12" s="1"/>
  <c r="C47" i="12"/>
  <c r="AO47" i="12" a="1"/>
  <c r="AO47" i="12" s="1"/>
  <c r="Y47" i="12" s="1"/>
  <c r="O47" i="12" a="1"/>
  <c r="O47" i="12" s="1"/>
  <c r="N47" i="12" s="1"/>
  <c r="E35" i="12"/>
  <c r="F35" i="6"/>
  <c r="AC35" i="5" a="1"/>
  <c r="AC35" i="5" s="1"/>
  <c r="Z24" i="5"/>
  <c r="AM24" i="5"/>
  <c r="I24" i="12"/>
  <c r="L24" i="5"/>
  <c r="AB21" i="5" a="1"/>
  <c r="AB21" i="5" s="1"/>
  <c r="AA21" i="5" a="1"/>
  <c r="AA21" i="5" s="1"/>
  <c r="F65" i="6"/>
  <c r="E65" i="12"/>
  <c r="AC65" i="5" a="1"/>
  <c r="AC65" i="5" s="1"/>
  <c r="E36" i="12"/>
  <c r="F36" i="6"/>
  <c r="AC36" i="5" a="1"/>
  <c r="AC36" i="5" s="1"/>
  <c r="F31" i="6"/>
  <c r="E31" i="12"/>
  <c r="AC31" i="5" a="1"/>
  <c r="AC31" i="5" s="1"/>
  <c r="AB22" i="5" a="1"/>
  <c r="AB22" i="5" s="1"/>
  <c r="AA22" i="5" a="1"/>
  <c r="AA22" i="5" s="1"/>
  <c r="AB34" i="5" a="1"/>
  <c r="AB34" i="5" s="1"/>
  <c r="AA34" i="5" a="1"/>
  <c r="AA34" i="5" s="1"/>
  <c r="AA33" i="5" s="1" a="1"/>
  <c r="AA33" i="5" s="1"/>
  <c r="AB14" i="5" a="1"/>
  <c r="AB14" i="5" s="1"/>
  <c r="AA14" i="5" a="1"/>
  <c r="AA14" i="5" s="1"/>
  <c r="M14" i="12" a="1"/>
  <c r="M14" i="12" s="1"/>
  <c r="O14" i="12" a="1"/>
  <c r="O14" i="12" s="1"/>
  <c r="N14" i="12" s="1"/>
  <c r="AO14" i="12" a="1"/>
  <c r="AO14" i="12" s="1"/>
  <c r="C14" i="12"/>
  <c r="AC61" i="5" a="1"/>
  <c r="AC61" i="5" s="1"/>
  <c r="C61" i="6"/>
  <c r="O61" i="5"/>
  <c r="F18" i="12" a="1"/>
  <c r="F18" i="12" s="1"/>
  <c r="G18" i="6"/>
  <c r="E51" i="12"/>
  <c r="F51" i="6"/>
  <c r="AC51" i="5" a="1"/>
  <c r="AC51" i="5" s="1"/>
  <c r="I17" i="12"/>
  <c r="Z17" i="5"/>
  <c r="AM17" i="5"/>
  <c r="L17" i="5"/>
  <c r="S17" i="8"/>
  <c r="C18" i="12"/>
  <c r="AO18" i="12" a="1"/>
  <c r="AO18" i="12" s="1"/>
  <c r="C26" i="12"/>
  <c r="AO26" i="12" a="1"/>
  <c r="AO26" i="12" s="1"/>
  <c r="Y26" i="12" s="1"/>
  <c r="C23" i="12"/>
  <c r="AO23" i="12" a="1"/>
  <c r="AO23" i="12" s="1"/>
  <c r="Y23" i="12" s="1"/>
  <c r="O23" i="12" a="1"/>
  <c r="O23" i="12" s="1"/>
  <c r="Z63" i="5"/>
  <c r="I63" i="12"/>
  <c r="L63" i="5"/>
  <c r="AM63" i="5"/>
  <c r="S47" i="8"/>
  <c r="M64" i="12" a="1"/>
  <c r="M64" i="12" s="1"/>
  <c r="M63" i="12" s="1" a="1"/>
  <c r="M63" i="12" s="1"/>
  <c r="C64" i="12"/>
  <c r="AO64" i="12" a="1"/>
  <c r="AO64" i="12" s="1"/>
  <c r="O64" i="12" a="1"/>
  <c r="O64" i="12" s="1"/>
  <c r="AM27" i="6"/>
  <c r="AN27" i="6"/>
  <c r="AQ27" i="6"/>
  <c r="AR27" i="6"/>
  <c r="AP27" i="6"/>
  <c r="AX27" i="6" a="1"/>
  <c r="AX27" i="6" s="1"/>
  <c r="AZ27" i="6" a="1"/>
  <c r="AZ27" i="6" s="1"/>
  <c r="AY27" i="6" a="1"/>
  <c r="AY27" i="6" s="1"/>
  <c r="AO27" i="6"/>
  <c r="BC27" i="6" a="1"/>
  <c r="BC27" i="6" s="1"/>
  <c r="BB27" i="6" a="1"/>
  <c r="BB27" i="6" s="1"/>
  <c r="BA27" i="6" a="1"/>
  <c r="BA27" i="6" s="1"/>
  <c r="BD27" i="6" a="1"/>
  <c r="BD27" i="6" s="1"/>
  <c r="AS27" i="6"/>
  <c r="BE27" i="6" a="1"/>
  <c r="BE27" i="6" s="1"/>
  <c r="AT27" i="6"/>
  <c r="BF27" i="6" a="1"/>
  <c r="BF27" i="6" s="1"/>
  <c r="AU27" i="6"/>
  <c r="BG27" i="6" a="1"/>
  <c r="BG27" i="6" s="1"/>
  <c r="AV27" i="6"/>
  <c r="AE27" i="6"/>
  <c r="AH27" i="6"/>
  <c r="AD27" i="6"/>
  <c r="AI27" i="6"/>
  <c r="AB27" i="6"/>
  <c r="AF27" i="6"/>
  <c r="AJ27" i="6"/>
  <c r="AC27" i="6"/>
  <c r="AG27" i="6"/>
  <c r="AK27" i="6"/>
  <c r="C29" i="12"/>
  <c r="AO29" i="12" a="1"/>
  <c r="AO29" i="12" s="1"/>
  <c r="F42" i="12" a="1"/>
  <c r="F42" i="12" s="1"/>
  <c r="G42" i="6"/>
  <c r="G60" i="6"/>
  <c r="F60" i="12" a="1"/>
  <c r="F60" i="12" s="1"/>
  <c r="E59" i="12"/>
  <c r="F59" i="6"/>
  <c r="Y32" i="8"/>
  <c r="AB50" i="5" a="1"/>
  <c r="AB50" i="5" s="1"/>
  <c r="AA50" i="5" a="1"/>
  <c r="AA50" i="5" s="1"/>
  <c r="AC59" i="5" a="1"/>
  <c r="AC59" i="5" s="1"/>
  <c r="C59" i="6"/>
  <c r="O59" i="5"/>
  <c r="C51" i="12"/>
  <c r="AO51" i="12" a="1"/>
  <c r="AO51" i="12" s="1"/>
  <c r="Y51" i="12" s="1"/>
  <c r="M51" i="12" a="1"/>
  <c r="M51" i="12" s="1"/>
  <c r="AC63" i="5" a="1"/>
  <c r="AC63" i="5" s="1"/>
  <c r="E25" i="12"/>
  <c r="F25" i="6"/>
  <c r="AC25" i="5" a="1"/>
  <c r="AC25" i="5" s="1"/>
  <c r="G49" i="6"/>
  <c r="F49" i="12" a="1"/>
  <c r="F49" i="12" s="1"/>
  <c r="C60" i="6"/>
  <c r="O60" i="5"/>
  <c r="C52" i="12"/>
  <c r="AO52" i="12" a="1"/>
  <c r="AO52" i="12" s="1"/>
  <c r="Y52" i="12" s="1"/>
  <c r="O52" i="12" a="1"/>
  <c r="O52" i="12" s="1"/>
  <c r="N52" i="12" s="1"/>
  <c r="C34" i="6"/>
  <c r="O34" i="5"/>
  <c r="C49" i="12"/>
  <c r="AO49" i="12" a="1"/>
  <c r="AO49" i="12" s="1"/>
  <c r="O49" i="12" a="1"/>
  <c r="O49" i="12" s="1"/>
  <c r="C32" i="6"/>
  <c r="O32" i="5"/>
  <c r="E20" i="12"/>
  <c r="F20" i="6"/>
  <c r="AC20" i="5" a="1"/>
  <c r="AC20" i="5" s="1"/>
  <c r="F27" i="6"/>
  <c r="E27" i="12"/>
  <c r="AC27" i="5" a="1"/>
  <c r="AC27" i="5" s="1"/>
  <c r="F64" i="6"/>
  <c r="E64" i="12"/>
  <c r="AC64" i="5" a="1"/>
  <c r="AC64" i="5" s="1"/>
  <c r="G50" i="6"/>
  <c r="F50" i="12" a="1"/>
  <c r="F50" i="12" s="1"/>
  <c r="G44" i="6"/>
  <c r="F44" i="12" a="1"/>
  <c r="F44" i="12" s="1"/>
  <c r="F19" i="6"/>
  <c r="E19" i="12"/>
  <c r="AC19" i="5" a="1"/>
  <c r="AC19" i="5" s="1"/>
  <c r="G39" i="6"/>
  <c r="F39" i="12" a="1"/>
  <c r="F39" i="12" s="1"/>
  <c r="C19" i="6"/>
  <c r="O19" i="5"/>
  <c r="AC41" i="5" a="1"/>
  <c r="AC41" i="5" s="1"/>
  <c r="C56" i="12"/>
  <c r="AO56" i="12" a="1"/>
  <c r="AO56" i="12" s="1"/>
  <c r="O56" i="12" a="1"/>
  <c r="O56" i="12" s="1"/>
  <c r="N56" i="12" s="1"/>
  <c r="C37" i="12"/>
  <c r="AO37" i="12" a="1"/>
  <c r="AO37" i="12" s="1"/>
  <c r="Y37" i="12" s="1"/>
  <c r="O37" i="12" a="1"/>
  <c r="O37" i="12" s="1"/>
  <c r="N37" i="12" s="1"/>
  <c r="C31" i="12"/>
  <c r="AO31" i="12" a="1"/>
  <c r="AO31" i="12" s="1"/>
  <c r="M23" i="12" a="1"/>
  <c r="M23" i="12" s="1"/>
  <c r="AO65" i="12" a="1"/>
  <c r="AO65" i="12" s="1"/>
  <c r="Y65" i="12" s="1"/>
  <c r="O65" i="12" a="1"/>
  <c r="O65" i="12" s="1"/>
  <c r="C65" i="12"/>
  <c r="M65" i="12" a="1"/>
  <c r="M65" i="12" s="1"/>
  <c r="C28" i="6"/>
  <c r="O28" i="5"/>
  <c r="BB26" i="6" a="1"/>
  <c r="BB26" i="6" s="1"/>
  <c r="BA26" i="6" a="1"/>
  <c r="BA26" i="6" s="1"/>
  <c r="AZ26" i="6" a="1"/>
  <c r="AZ26" i="6" s="1"/>
  <c r="AX26" i="6" a="1"/>
  <c r="AX26" i="6" s="1"/>
  <c r="AM26" i="6"/>
  <c r="AQ26" i="6"/>
  <c r="BC26" i="6" a="1"/>
  <c r="BC26" i="6" s="1"/>
  <c r="AY26" i="6" a="1"/>
  <c r="AY26" i="6" s="1"/>
  <c r="AP26" i="6"/>
  <c r="AO26" i="6"/>
  <c r="AN26" i="6"/>
  <c r="AR26" i="6"/>
  <c r="BD26" i="6" a="1"/>
  <c r="BD26" i="6" s="1"/>
  <c r="AS26" i="6"/>
  <c r="BE26" i="6" a="1"/>
  <c r="BE26" i="6" s="1"/>
  <c r="AT26" i="6"/>
  <c r="AU26" i="6"/>
  <c r="BF26" i="6" a="1"/>
  <c r="BF26" i="6" s="1"/>
  <c r="AV26" i="6"/>
  <c r="BG26" i="6" a="1"/>
  <c r="BG26" i="6" s="1"/>
  <c r="AF26" i="6"/>
  <c r="AD26" i="6"/>
  <c r="AK26" i="6"/>
  <c r="AE26" i="6"/>
  <c r="AH26" i="6"/>
  <c r="AC26" i="6"/>
  <c r="AI26" i="6"/>
  <c r="AB26" i="6"/>
  <c r="AG26" i="6"/>
  <c r="AJ26" i="6"/>
  <c r="BB28" i="6" a="1"/>
  <c r="BB28" i="6" s="1"/>
  <c r="AZ28" i="6" a="1"/>
  <c r="AZ28" i="6" s="1"/>
  <c r="BC28" i="6" a="1"/>
  <c r="BC28" i="6" s="1"/>
  <c r="AQ28" i="6"/>
  <c r="AY28" i="6" a="1"/>
  <c r="AY28" i="6" s="1"/>
  <c r="BA28" i="6" a="1"/>
  <c r="BA28" i="6" s="1"/>
  <c r="AX28" i="6" a="1"/>
  <c r="AX28" i="6" s="1"/>
  <c r="AN28" i="6"/>
  <c r="AR28" i="6"/>
  <c r="AP28" i="6"/>
  <c r="AO28" i="6"/>
  <c r="AM28" i="6"/>
  <c r="AS28" i="6"/>
  <c r="BD28" i="6" a="1"/>
  <c r="BD28" i="6" s="1"/>
  <c r="BE28" i="6" a="1"/>
  <c r="BE28" i="6" s="1"/>
  <c r="AT28" i="6"/>
  <c r="BF28" i="6" a="1"/>
  <c r="BF28" i="6" s="1"/>
  <c r="AU28" i="6"/>
  <c r="BG28" i="6" a="1"/>
  <c r="BG28" i="6" s="1"/>
  <c r="AV28" i="6"/>
  <c r="AB28" i="6"/>
  <c r="AI28" i="6"/>
  <c r="AC28" i="6"/>
  <c r="AD28" i="6"/>
  <c r="AJ28" i="6"/>
  <c r="AE28" i="6"/>
  <c r="AG28" i="6"/>
  <c r="AK28" i="6"/>
  <c r="AF28" i="6"/>
  <c r="AH28" i="6"/>
  <c r="BB29" i="6" a="1"/>
  <c r="BB29" i="6" s="1"/>
  <c r="BA29" i="6" a="1"/>
  <c r="BA29" i="6" s="1"/>
  <c r="AP29" i="6"/>
  <c r="AY29" i="6" a="1"/>
  <c r="AY29" i="6" s="1"/>
  <c r="AM29" i="6"/>
  <c r="AX29" i="6" a="1"/>
  <c r="AX29" i="6" s="1"/>
  <c r="AO29" i="6"/>
  <c r="AZ29" i="6" a="1"/>
  <c r="AZ29" i="6" s="1"/>
  <c r="AQ29" i="6"/>
  <c r="AR29" i="6"/>
  <c r="AN29" i="6"/>
  <c r="BC29" i="6" a="1"/>
  <c r="BC29" i="6" s="1"/>
  <c r="BD29" i="6" a="1"/>
  <c r="BD29" i="6" s="1"/>
  <c r="AS29" i="6"/>
  <c r="BE29" i="6" a="1"/>
  <c r="BE29" i="6" s="1"/>
  <c r="AT29" i="6"/>
  <c r="BF29" i="6" a="1"/>
  <c r="BF29" i="6" s="1"/>
  <c r="AU29" i="6"/>
  <c r="AV29" i="6"/>
  <c r="BG29" i="6" a="1"/>
  <c r="BG29" i="6" s="1"/>
  <c r="AB29" i="6"/>
  <c r="AC29" i="6"/>
  <c r="AJ29" i="6"/>
  <c r="AG29" i="6"/>
  <c r="AF29" i="6"/>
  <c r="AK29" i="6"/>
  <c r="AE29" i="6"/>
  <c r="AH29" i="6"/>
  <c r="AD29" i="6"/>
  <c r="AI29" i="6"/>
  <c r="N42" i="12"/>
  <c r="O41" i="12" a="1"/>
  <c r="O41" i="12" s="1"/>
  <c r="C62" i="12"/>
  <c r="O62" i="12" a="1"/>
  <c r="O62" i="12" s="1"/>
  <c r="M62" i="12" a="1"/>
  <c r="M62" i="12" s="1"/>
  <c r="AO62" i="12" a="1"/>
  <c r="AO62" i="12" s="1"/>
  <c r="Y62" i="12" s="1"/>
  <c r="AB29" i="5" a="1"/>
  <c r="AB29" i="5" s="1"/>
  <c r="AA29" i="5" a="1"/>
  <c r="AA29" i="5" s="1"/>
  <c r="AB55" i="5" a="1"/>
  <c r="AB55" i="5" s="1"/>
  <c r="AA55" i="5" a="1"/>
  <c r="AA55" i="5" s="1"/>
  <c r="AC55" i="5" a="1"/>
  <c r="AC55" i="5" s="1"/>
  <c r="C55" i="6"/>
  <c r="O55" i="5"/>
  <c r="AB47" i="5" a="1"/>
  <c r="AB47" i="5" s="1"/>
  <c r="AA47" i="5" a="1"/>
  <c r="AA47" i="5" s="1"/>
  <c r="AC19" i="8" a="1"/>
  <c r="AC19" i="8" s="1"/>
  <c r="F54" i="6"/>
  <c r="E54" i="12"/>
  <c r="AC48" i="5" a="1"/>
  <c r="AC48" i="5" s="1"/>
  <c r="E38" i="12"/>
  <c r="F38" i="6"/>
  <c r="AC38" i="5" a="1"/>
  <c r="AC38" i="5" s="1"/>
  <c r="L70" i="5"/>
  <c r="I70" i="12"/>
  <c r="AM70" i="5"/>
  <c r="I70" i="5"/>
  <c r="E45" i="12"/>
  <c r="F45" i="6"/>
  <c r="AC45" i="5" a="1"/>
  <c r="AC45" i="5" s="1"/>
  <c r="N50" i="12"/>
  <c r="AB61" i="5" a="1"/>
  <c r="AB61" i="5" s="1"/>
  <c r="AA61" i="5" a="1"/>
  <c r="AA61" i="5" s="1"/>
  <c r="F46" i="12" a="1"/>
  <c r="F46" i="12" s="1"/>
  <c r="G46" i="6"/>
  <c r="N51" i="12"/>
  <c r="AB66" i="5" a="1"/>
  <c r="AB66" i="5" s="1"/>
  <c r="AA66" i="5" a="1"/>
  <c r="AA66" i="5" s="1"/>
  <c r="C56" i="6"/>
  <c r="O56" i="5"/>
  <c r="C38" i="6"/>
  <c r="O38" i="5"/>
  <c r="AY31" i="6" a="1"/>
  <c r="AY31" i="6" s="1"/>
  <c r="AN31" i="6"/>
  <c r="AM31" i="6"/>
  <c r="AO31" i="6"/>
  <c r="AQ31" i="6"/>
  <c r="BA31" i="6" a="1"/>
  <c r="BA31" i="6" s="1"/>
  <c r="BD31" i="6" a="1"/>
  <c r="BD31" i="6" s="1"/>
  <c r="AP31" i="6"/>
  <c r="BC31" i="6" a="1"/>
  <c r="BC31" i="6" s="1"/>
  <c r="BB31" i="6" a="1"/>
  <c r="BB31" i="6" s="1"/>
  <c r="AS31" i="6"/>
  <c r="AZ31" i="6" a="1"/>
  <c r="AZ31" i="6" s="1"/>
  <c r="AR31" i="6"/>
  <c r="AX31" i="6" a="1"/>
  <c r="AX31" i="6" s="1"/>
  <c r="AT31" i="6"/>
  <c r="BE31" i="6" a="1"/>
  <c r="BE31" i="6" s="1"/>
  <c r="AU31" i="6"/>
  <c r="BF31" i="6" a="1"/>
  <c r="BF31" i="6" s="1"/>
  <c r="BG31" i="6" a="1"/>
  <c r="BG31" i="6" s="1"/>
  <c r="AV31" i="6"/>
  <c r="AF31" i="6"/>
  <c r="AB31" i="6"/>
  <c r="AH31" i="6"/>
  <c r="AI31" i="6"/>
  <c r="AD31" i="6"/>
  <c r="AC31" i="6"/>
  <c r="AJ31" i="6"/>
  <c r="M32" i="6"/>
  <c r="AG31" i="6"/>
  <c r="AE31" i="6"/>
  <c r="AK31" i="6"/>
  <c r="AB44" i="5" a="1"/>
  <c r="AB44" i="5" s="1"/>
  <c r="AA44" i="5" a="1"/>
  <c r="AA44" i="5" s="1"/>
  <c r="AA43" i="5" s="1" a="1"/>
  <c r="AA43" i="5" s="1"/>
  <c r="AB46" i="5" a="1"/>
  <c r="AB46" i="5" s="1"/>
  <c r="AA46" i="5" a="1"/>
  <c r="AA46" i="5" s="1"/>
  <c r="F43" i="12" a="1"/>
  <c r="F43" i="12" s="1"/>
  <c r="I33" i="12"/>
  <c r="AM33" i="5"/>
  <c r="L33" i="5"/>
  <c r="AC33" i="5" s="1" a="1"/>
  <c r="AC33" i="5" s="1"/>
  <c r="Z33" i="5"/>
  <c r="S26" i="8"/>
  <c r="Z48" i="5"/>
  <c r="I48" i="12"/>
  <c r="L48" i="5"/>
  <c r="AM48" i="5"/>
  <c r="S38" i="8"/>
  <c r="C42" i="6"/>
  <c r="O42" i="5"/>
  <c r="F61" i="12" a="1"/>
  <c r="F61" i="12" s="1"/>
  <c r="G61" i="6"/>
  <c r="E18" i="12"/>
  <c r="F18" i="6"/>
  <c r="AC18" i="5" a="1"/>
  <c r="AC18" i="5" s="1"/>
  <c r="G51" i="6"/>
  <c r="F51" i="12" a="1"/>
  <c r="F51" i="12" s="1"/>
  <c r="F62" i="6"/>
  <c r="E62" i="12"/>
  <c r="L53" i="5"/>
  <c r="AM53" i="5"/>
  <c r="I53" i="12"/>
  <c r="Z53" i="5"/>
  <c r="S41" i="8"/>
  <c r="AC54" i="5" a="1"/>
  <c r="AC54" i="5" s="1"/>
  <c r="C54" i="6"/>
  <c r="O54" i="5"/>
  <c r="C39" i="12"/>
  <c r="AO39" i="12" a="1"/>
  <c r="AO39" i="12" s="1"/>
  <c r="O39" i="12" a="1"/>
  <c r="O39" i="12" s="1"/>
  <c r="N39" i="12" s="1"/>
  <c r="C18" i="6"/>
  <c r="O18" i="5"/>
  <c r="F24" i="12" a="1"/>
  <c r="F24" i="12" s="1"/>
  <c r="C26" i="6"/>
  <c r="O26" i="5"/>
  <c r="C23" i="6"/>
  <c r="O23" i="5"/>
  <c r="F69" i="12" a="1"/>
  <c r="F69" i="12" s="1"/>
  <c r="G69" i="6"/>
  <c r="G29" i="6"/>
  <c r="F29" i="12" a="1"/>
  <c r="F29" i="12" s="1"/>
  <c r="F36" i="12" a="1"/>
  <c r="F36" i="12" s="1"/>
  <c r="G36" i="6"/>
  <c r="F70" i="12" a="1"/>
  <c r="F70" i="12" s="1"/>
  <c r="G70" i="6"/>
  <c r="F54" i="12" a="1"/>
  <c r="F54" i="12" s="1"/>
  <c r="G54" i="6"/>
  <c r="N38" i="12"/>
  <c r="O18" i="12" a="1"/>
  <c r="O18" i="12" s="1"/>
  <c r="I58" i="12"/>
  <c r="C50" i="6"/>
  <c r="O50" i="5"/>
  <c r="C35" i="12"/>
  <c r="AO35" i="12" a="1"/>
  <c r="AO35" i="12" s="1"/>
  <c r="O35" i="12" a="1"/>
  <c r="C25" i="6"/>
  <c r="O25" i="5"/>
  <c r="C21" i="12"/>
  <c r="AO21" i="12" a="1"/>
  <c r="AO21" i="12" s="1"/>
  <c r="M21" i="12" a="1"/>
  <c r="M21" i="12" s="1"/>
  <c r="AO59" i="12" a="1"/>
  <c r="AO59" i="12" s="1"/>
  <c r="C59" i="12"/>
  <c r="O59" i="12" a="1"/>
  <c r="O59" i="12" s="1"/>
  <c r="N59" i="12" s="1"/>
  <c r="AB59" i="5" a="1"/>
  <c r="AB59" i="5" s="1"/>
  <c r="AA59" i="5" a="1"/>
  <c r="AA59" i="5" s="1"/>
  <c r="AB51" i="5" a="1"/>
  <c r="AB51" i="5" s="1"/>
  <c r="AA51" i="5" a="1"/>
  <c r="AA51" i="5" s="1"/>
  <c r="C44" i="12"/>
  <c r="AO44" i="12" a="1"/>
  <c r="AO44" i="12" s="1"/>
  <c r="O44" i="12" a="1"/>
  <c r="O44" i="12" s="1"/>
  <c r="AB36" i="5" a="1"/>
  <c r="AB36" i="5" s="1"/>
  <c r="AA36" i="5" a="1"/>
  <c r="AA36" i="5" s="1"/>
  <c r="AB20" i="5" a="1"/>
  <c r="AB20" i="5" s="1"/>
  <c r="AA20" i="5" a="1"/>
  <c r="AA20" i="5" s="1"/>
  <c r="O29" i="12" a="1"/>
  <c r="O29" i="12" s="1"/>
  <c r="N29" i="12" s="1"/>
  <c r="C46" i="12"/>
  <c r="AO46" i="12" a="1"/>
  <c r="AO46" i="12" s="1"/>
  <c r="Y46" i="12" s="1"/>
  <c r="F63" i="12" a="1"/>
  <c r="F63" i="12" s="1"/>
  <c r="N55" i="12"/>
  <c r="F26" i="12" a="1"/>
  <c r="F26" i="12" s="1"/>
  <c r="G26" i="6"/>
  <c r="E56" i="12"/>
  <c r="F56" i="6"/>
  <c r="AC56" i="5" a="1"/>
  <c r="AC56" i="5" s="1"/>
  <c r="G25" i="6"/>
  <c r="F25" i="12" a="1"/>
  <c r="F25" i="12" s="1"/>
  <c r="F66" i="12" a="1"/>
  <c r="F66" i="12" s="1"/>
  <c r="G66" i="6"/>
  <c r="M25" i="12" a="1"/>
  <c r="M25" i="12" s="1"/>
  <c r="M24" i="12" s="1" a="1"/>
  <c r="M24" i="12" s="1"/>
  <c r="O22" i="12" a="1"/>
  <c r="O22" i="12" s="1"/>
  <c r="N22" i="12" s="1"/>
  <c r="C22" i="6"/>
  <c r="O22" i="5"/>
  <c r="AB52" i="5" a="1"/>
  <c r="AB52" i="5" s="1"/>
  <c r="AA52" i="5" a="1"/>
  <c r="AA52" i="5" s="1"/>
  <c r="C27" i="6"/>
  <c r="O27" i="5"/>
  <c r="O21" i="12" a="1"/>
  <c r="O21" i="12" s="1"/>
  <c r="N21" i="12" s="1"/>
  <c r="O32" i="12" a="1"/>
  <c r="O32" i="12" s="1"/>
  <c r="X68" i="5" a="1"/>
  <c r="X68" i="5" s="1"/>
  <c r="AC69" i="5" a="1"/>
  <c r="AC69" i="5" s="1"/>
  <c r="C69" i="6"/>
  <c r="O69" i="5"/>
  <c r="X40" i="5" a="1"/>
  <c r="X40" i="5" s="1"/>
  <c r="AB42" i="5" a="1"/>
  <c r="AB42" i="5" s="1"/>
  <c r="AA42" i="5" a="1"/>
  <c r="AA42" i="5" s="1"/>
  <c r="E61" i="12"/>
  <c r="F61" i="6"/>
  <c r="G32" i="6"/>
  <c r="F32" i="12" a="1"/>
  <c r="F32" i="12" s="1"/>
  <c r="F20" i="12" a="1"/>
  <c r="F20" i="12" s="1"/>
  <c r="G20" i="6"/>
  <c r="E47" i="12"/>
  <c r="F47" i="6"/>
  <c r="AC47" i="5" a="1"/>
  <c r="AC47" i="5" s="1"/>
  <c r="G27" i="6"/>
  <c r="F27" i="12" a="1"/>
  <c r="F27" i="12" s="1"/>
  <c r="X15" i="5"/>
  <c r="AB23" i="5" a="1"/>
  <c r="AB23" i="5" s="1"/>
  <c r="AA23" i="5" a="1"/>
  <c r="AA23" i="5" s="1"/>
  <c r="F40" i="12" a="1"/>
  <c r="F40" i="12" s="1"/>
  <c r="M49" i="12" a="1"/>
  <c r="M49" i="12" s="1"/>
  <c r="M48" i="12" s="1" a="1"/>
  <c r="M48" i="12" s="1"/>
  <c r="G64" i="6"/>
  <c r="F64" i="12" a="1"/>
  <c r="F64" i="12" s="1"/>
  <c r="F67" i="12" a="1"/>
  <c r="F67" i="12" s="1"/>
  <c r="G67" i="6"/>
  <c r="F58" i="6"/>
  <c r="E58" i="12"/>
  <c r="AC58" i="5" a="1"/>
  <c r="AC58" i="5" s="1"/>
  <c r="F22" i="12" a="1"/>
  <c r="F22" i="12" s="1"/>
  <c r="G22" i="6"/>
  <c r="M20" i="12" a="1"/>
  <c r="M20" i="12" s="1"/>
  <c r="M17" i="12" s="1" a="1"/>
  <c r="M17" i="12" s="1"/>
  <c r="M66" i="12" a="1"/>
  <c r="M66" i="12" s="1"/>
  <c r="C66" i="12"/>
  <c r="O66" i="12" a="1"/>
  <c r="O66" i="12" s="1"/>
  <c r="AO66" i="12" a="1"/>
  <c r="C20" i="7" a="1"/>
  <c r="C20" i="7" s="1"/>
  <c r="B19" i="7"/>
  <c r="C19" i="12"/>
  <c r="AO19" i="12" a="1"/>
  <c r="AO19" i="12" s="1"/>
  <c r="O19" i="12" a="1"/>
  <c r="O19" i="12" s="1"/>
  <c r="N19" i="12" s="1"/>
  <c r="F41" i="12" a="1"/>
  <c r="F41" i="12" s="1"/>
  <c r="K34" i="12"/>
  <c r="C64" i="6"/>
  <c r="O64" i="5"/>
  <c r="AB56" i="5" a="1"/>
  <c r="AB56" i="5" s="1"/>
  <c r="AA56" i="5" a="1"/>
  <c r="AA56" i="5" s="1"/>
  <c r="C37" i="6"/>
  <c r="O37" i="5"/>
  <c r="I30" i="12"/>
  <c r="Z30" i="5"/>
  <c r="AM30" i="5"/>
  <c r="L30" i="5"/>
  <c r="AC30" i="5" s="1" a="1"/>
  <c r="AC30" i="5" s="1"/>
  <c r="S23" i="8"/>
  <c r="C65" i="6"/>
  <c r="O65" i="5"/>
  <c r="C45" i="6"/>
  <c r="O45" i="5"/>
  <c r="C38" i="12"/>
  <c r="AO38" i="12" a="1"/>
  <c r="AO38" i="12" s="1"/>
  <c r="Y38" i="12" s="1"/>
  <c r="M38" i="12" a="1"/>
  <c r="M38" i="12" s="1"/>
  <c r="M33" i="12" s="1" a="1"/>
  <c r="M33" i="12" s="1"/>
  <c r="C28" i="12"/>
  <c r="AO28" i="12" a="1"/>
  <c r="AO28" i="12" s="1"/>
  <c r="Y28" i="12" s="1"/>
  <c r="O28" i="12" a="1"/>
  <c r="O28" i="12" s="1"/>
  <c r="N28" i="12" s="1"/>
  <c r="M28" i="12" a="1"/>
  <c r="M28" i="12" s="1"/>
  <c r="F21" i="6"/>
  <c r="E21" i="12"/>
  <c r="AC21" i="5" a="1"/>
  <c r="AC21" i="5" s="1"/>
  <c r="AC62" i="5" a="1"/>
  <c r="AC62" i="5" s="1"/>
  <c r="C62" i="6"/>
  <c r="O62" i="5"/>
  <c r="AB62" i="5" a="1"/>
  <c r="AB62" i="5" s="1"/>
  <c r="AA62" i="5" a="1"/>
  <c r="AA62" i="5" s="1"/>
  <c r="C29" i="6"/>
  <c r="O29" i="5"/>
  <c r="C47" i="6"/>
  <c r="O47" i="5"/>
  <c r="K31" i="12"/>
  <c r="E64" i="6" l="1"/>
  <c r="D64" i="12"/>
  <c r="AM15" i="5"/>
  <c r="Z15" i="5"/>
  <c r="AA41" i="5" a="1"/>
  <c r="AA41" i="5" s="1"/>
  <c r="E18" i="6"/>
  <c r="D18" i="12"/>
  <c r="G41" i="8"/>
  <c r="G42" i="8" s="1" a="1"/>
  <c r="G42" i="8" s="1"/>
  <c r="H42" i="8" a="1"/>
  <c r="H42" i="8" s="1"/>
  <c r="H41" i="8" a="1"/>
  <c r="U43" i="8" a="1"/>
  <c r="AC43" i="8" a="1"/>
  <c r="AA43" i="8" a="1"/>
  <c r="E43" i="8" a="1"/>
  <c r="AB43" i="8" a="1"/>
  <c r="Y43" i="8" a="1"/>
  <c r="X43" i="8" a="1"/>
  <c r="AD43" i="8" a="1"/>
  <c r="AF43" i="8" a="1"/>
  <c r="V43" i="8" a="1"/>
  <c r="AE43" i="8" a="1"/>
  <c r="D41" i="8"/>
  <c r="W43" i="8" a="1"/>
  <c r="C41" i="8"/>
  <c r="Z43" i="8" a="1"/>
  <c r="G38" i="8"/>
  <c r="G39" i="8" s="1" a="1"/>
  <c r="G39" i="8" s="1"/>
  <c r="H39" i="8" a="1"/>
  <c r="H39" i="8" s="1"/>
  <c r="H38" i="8" a="1"/>
  <c r="Z40" i="8" a="1"/>
  <c r="Z40" i="8" s="1"/>
  <c r="W40" i="8" a="1"/>
  <c r="U40" i="8" a="1"/>
  <c r="Y40" i="8" a="1"/>
  <c r="D38" i="8"/>
  <c r="AD40" i="8" a="1"/>
  <c r="E40" i="8" a="1"/>
  <c r="C38" i="8"/>
  <c r="AF40" i="8" a="1"/>
  <c r="X40" i="8" a="1"/>
  <c r="AE40" i="8" a="1"/>
  <c r="V40" i="8" a="1"/>
  <c r="AC40" i="8" a="1"/>
  <c r="AB40" i="8" a="1"/>
  <c r="AB40" i="8" s="1"/>
  <c r="AA40" i="8" a="1"/>
  <c r="X65" i="12" a="1"/>
  <c r="X65" i="12" s="1"/>
  <c r="W65" i="12" a="1"/>
  <c r="W65" i="12" s="1"/>
  <c r="L63" i="12" a="1"/>
  <c r="L63" i="12" s="1"/>
  <c r="J63" i="12" a="1"/>
  <c r="C63" i="12"/>
  <c r="C24" i="6"/>
  <c r="O24" i="5"/>
  <c r="G32" i="8"/>
  <c r="G33" i="8" s="1" a="1"/>
  <c r="G33" i="8" s="1"/>
  <c r="H33" i="8" a="1"/>
  <c r="H33" i="8" s="1"/>
  <c r="V34" i="8" a="1"/>
  <c r="V34" i="8" s="1"/>
  <c r="X34" i="8" a="1"/>
  <c r="X34" i="8" s="1"/>
  <c r="AE34" i="8" a="1"/>
  <c r="AE34" i="8" s="1"/>
  <c r="AB34" i="8" a="1"/>
  <c r="AB34" i="8" s="1"/>
  <c r="Z34" i="8" a="1"/>
  <c r="E34" i="8" a="1"/>
  <c r="E34" i="8" s="1"/>
  <c r="D32" i="8"/>
  <c r="Y34" i="8" a="1"/>
  <c r="Y34" i="8" s="1"/>
  <c r="AA34" i="8" a="1"/>
  <c r="AA34" i="8" s="1"/>
  <c r="AC34" i="8" a="1"/>
  <c r="AC34" i="8" s="1"/>
  <c r="AF34" i="8" a="1"/>
  <c r="AF34" i="8" s="1"/>
  <c r="C32" i="8"/>
  <c r="W34" i="8" a="1"/>
  <c r="W34" i="8" s="1"/>
  <c r="AD34" i="8" a="1"/>
  <c r="AD34" i="8" s="1"/>
  <c r="U34" i="8" a="1"/>
  <c r="U34" i="8" s="1"/>
  <c r="E44" i="6"/>
  <c r="D44" i="12"/>
  <c r="AB58" i="5" a="1"/>
  <c r="AB58" i="5" s="1"/>
  <c r="AB57" i="5" s="1" a="1"/>
  <c r="AB57" i="5" s="1"/>
  <c r="AA58" i="5" a="1"/>
  <c r="AA58" i="5" s="1"/>
  <c r="AA57" i="5" s="1" a="1"/>
  <c r="AA57" i="5" s="1"/>
  <c r="AA65" i="5"/>
  <c r="AA63" i="5" s="1" a="1"/>
  <c r="AA63" i="5" s="1"/>
  <c r="Y54" i="12"/>
  <c r="AO53" i="12" a="1"/>
  <c r="AO53" i="12" s="1"/>
  <c r="AA70" i="5"/>
  <c r="AA68" i="5" s="1" a="1"/>
  <c r="AA68" i="5" s="1"/>
  <c r="D47" i="12"/>
  <c r="E47" i="6"/>
  <c r="Y19" i="12"/>
  <c r="D22" i="12"/>
  <c r="E22" i="6"/>
  <c r="N44" i="12"/>
  <c r="O43" i="12" a="1"/>
  <c r="O43" i="12" s="1"/>
  <c r="N43" i="12" s="1"/>
  <c r="Y21" i="12"/>
  <c r="D26" i="12"/>
  <c r="E26" i="6"/>
  <c r="E54" i="6"/>
  <c r="D54" i="12"/>
  <c r="G26" i="8"/>
  <c r="G27" i="8" s="1" a="1"/>
  <c r="G27" i="8" s="1"/>
  <c r="H27" i="8" a="1"/>
  <c r="H27" i="8" s="1"/>
  <c r="H26" i="8" a="1"/>
  <c r="C26" i="8"/>
  <c r="AE28" i="8" a="1"/>
  <c r="AE28" i="8" s="1"/>
  <c r="AB28" i="8" a="1"/>
  <c r="AB28" i="8" s="1"/>
  <c r="E28" i="8" a="1"/>
  <c r="E28" i="8" s="1"/>
  <c r="AC28" i="8" a="1"/>
  <c r="AC28" i="8" s="1"/>
  <c r="D26" i="8"/>
  <c r="X28" i="8" a="1"/>
  <c r="X28" i="8" s="1"/>
  <c r="AD28" i="8" a="1"/>
  <c r="AD28" i="8" s="1"/>
  <c r="U28" i="8" a="1"/>
  <c r="U28" i="8" s="1"/>
  <c r="AA28" i="8" a="1"/>
  <c r="AA28" i="8" s="1"/>
  <c r="V28" i="8" a="1"/>
  <c r="V28" i="8" s="1"/>
  <c r="AF28" i="8" a="1"/>
  <c r="AF28" i="8" s="1"/>
  <c r="Z28" i="8" a="1"/>
  <c r="Z28" i="8" s="1"/>
  <c r="W28" i="8" a="1"/>
  <c r="W28" i="8" s="1"/>
  <c r="Y28" i="8" a="1"/>
  <c r="Y28" i="8" s="1"/>
  <c r="C33" i="12"/>
  <c r="J33" i="12" a="1"/>
  <c r="J33" i="12" s="1"/>
  <c r="L33" i="12" a="1"/>
  <c r="L33" i="12" s="1"/>
  <c r="AB43" i="5" a="1"/>
  <c r="AB43" i="5" s="1"/>
  <c r="AH32" i="6"/>
  <c r="AS32" i="6"/>
  <c r="BD32" i="6" a="1"/>
  <c r="BD32" i="6" s="1"/>
  <c r="BC32" i="6" a="1"/>
  <c r="BC32" i="6" s="1"/>
  <c r="BB32" i="6" a="1"/>
  <c r="BB32" i="6" s="1"/>
  <c r="AY32" i="6" a="1"/>
  <c r="AY32" i="6" s="1"/>
  <c r="AZ32" i="6" a="1"/>
  <c r="AZ32" i="6" s="1"/>
  <c r="AT32" i="6"/>
  <c r="AN32" i="6"/>
  <c r="AX32" i="6" a="1"/>
  <c r="AX32" i="6" s="1"/>
  <c r="AP32" i="6"/>
  <c r="AR32" i="6"/>
  <c r="BE32" i="6" a="1"/>
  <c r="BE32" i="6" s="1"/>
  <c r="AQ32" i="6"/>
  <c r="AO32" i="6"/>
  <c r="AM32" i="6"/>
  <c r="BA32" i="6" a="1"/>
  <c r="BA32" i="6" s="1"/>
  <c r="BF32" i="6" a="1"/>
  <c r="BF32" i="6" s="1"/>
  <c r="AU32" i="6"/>
  <c r="BG32" i="6" a="1"/>
  <c r="BG32" i="6" s="1"/>
  <c r="AV32" i="6"/>
  <c r="AC32" i="6"/>
  <c r="AJ32" i="6"/>
  <c r="AB32" i="6"/>
  <c r="AF32" i="6"/>
  <c r="AK32" i="6"/>
  <c r="AG32" i="6"/>
  <c r="AE32" i="6"/>
  <c r="AD32" i="6"/>
  <c r="AI32" i="6"/>
  <c r="D38" i="12"/>
  <c r="E38" i="6"/>
  <c r="X62" i="12" a="1"/>
  <c r="X62" i="12" s="1"/>
  <c r="W62" i="12" a="1"/>
  <c r="W62" i="12" s="1"/>
  <c r="D19" i="12"/>
  <c r="E19" i="6"/>
  <c r="N49" i="12"/>
  <c r="O48" i="12" a="1"/>
  <c r="O48" i="12" s="1"/>
  <c r="N48" i="12" s="1"/>
  <c r="E34" i="6"/>
  <c r="D34" i="12"/>
  <c r="H32" i="8" a="1"/>
  <c r="Y29" i="12"/>
  <c r="N64" i="12"/>
  <c r="O63" i="12" a="1"/>
  <c r="O63" i="12" s="1"/>
  <c r="N63" i="12" s="1"/>
  <c r="G47" i="8"/>
  <c r="G48" i="8" s="1" a="1"/>
  <c r="G48" i="8" s="1"/>
  <c r="H48" i="8" a="1"/>
  <c r="H48" i="8" s="1"/>
  <c r="W49" i="8" a="1"/>
  <c r="V49" i="8" a="1"/>
  <c r="E49" i="8" a="1"/>
  <c r="Y49" i="8" a="1"/>
  <c r="U49" i="8" a="1"/>
  <c r="AD49" i="8" a="1"/>
  <c r="AB49" i="8" a="1"/>
  <c r="AF49" i="8" a="1"/>
  <c r="X49" i="8" a="1"/>
  <c r="Z49" i="8" a="1"/>
  <c r="AE49" i="8" a="1"/>
  <c r="C47" i="8"/>
  <c r="AA49" i="8" a="1"/>
  <c r="AC49" i="8" a="1"/>
  <c r="D47" i="8"/>
  <c r="W26" i="12" a="1"/>
  <c r="W26" i="12" s="1"/>
  <c r="X26" i="12" a="1"/>
  <c r="X26" i="12" s="1"/>
  <c r="G17" i="8"/>
  <c r="G18" i="8" s="1" a="1"/>
  <c r="G18" i="8" s="1"/>
  <c r="H18" i="8" a="1"/>
  <c r="H18" i="8" s="1"/>
  <c r="H17" i="8" a="1"/>
  <c r="V19" i="8" a="1"/>
  <c r="V19" i="8" s="1"/>
  <c r="AB19" i="8" a="1"/>
  <c r="AB19" i="8" s="1"/>
  <c r="X19" i="8" a="1"/>
  <c r="X19" i="8" s="1"/>
  <c r="W19" i="8" a="1"/>
  <c r="W19" i="8" s="1"/>
  <c r="E19" i="8" a="1"/>
  <c r="E19" i="8" s="1"/>
  <c r="Z19" i="8" a="1"/>
  <c r="Z19" i="8" s="1"/>
  <c r="Y19" i="8" a="1"/>
  <c r="Y19" i="8" s="1"/>
  <c r="U19" i="8" a="1"/>
  <c r="U19" i="8" s="1"/>
  <c r="AD19" i="8" a="1"/>
  <c r="AD19" i="8" s="1"/>
  <c r="AF19" i="8" a="1"/>
  <c r="AF19" i="8" s="1"/>
  <c r="AA19" i="8" a="1"/>
  <c r="AA19" i="8" s="1"/>
  <c r="D17" i="8"/>
  <c r="AE19" i="8" a="1"/>
  <c r="AE19" i="8" s="1"/>
  <c r="C17" i="8"/>
  <c r="C17" i="12"/>
  <c r="J17" i="12" a="1"/>
  <c r="J17" i="12" s="1"/>
  <c r="L17" i="12" a="1"/>
  <c r="L17" i="12" s="1"/>
  <c r="AB33" i="5" a="1"/>
  <c r="AB33" i="5" s="1"/>
  <c r="C24" i="12"/>
  <c r="L24" i="12" a="1"/>
  <c r="L24" i="12" s="1"/>
  <c r="K24" i="12" s="1"/>
  <c r="J24" i="12" a="1"/>
  <c r="J24" i="12" s="1"/>
  <c r="AA16" i="5" a="1"/>
  <c r="AA16" i="5" s="1"/>
  <c r="AA14" i="11" s="1" a="1"/>
  <c r="AA14" i="11" s="1"/>
  <c r="AA17" i="5" a="1"/>
  <c r="AA17" i="5" s="1"/>
  <c r="E39" i="6"/>
  <c r="D39" i="12"/>
  <c r="M41" i="12" a="1"/>
  <c r="M41" i="12" s="1"/>
  <c r="L41" i="12" a="1"/>
  <c r="L41" i="12" s="1"/>
  <c r="K41" i="12" s="1"/>
  <c r="C41" i="12"/>
  <c r="J41" i="12" a="1"/>
  <c r="J41" i="12" s="1"/>
  <c r="E49" i="6"/>
  <c r="D49" i="12"/>
  <c r="W27" i="12" a="1"/>
  <c r="W27" i="12" s="1"/>
  <c r="X27" i="12" a="1"/>
  <c r="X27" i="12" s="1"/>
  <c r="E52" i="6"/>
  <c r="D52" i="12"/>
  <c r="X50" i="12" a="1"/>
  <c r="X50" i="12" s="1"/>
  <c r="W50" i="12" a="1"/>
  <c r="W50" i="12" s="1"/>
  <c r="E21" i="6"/>
  <c r="D21" i="12"/>
  <c r="L57" i="5"/>
  <c r="Z57" i="5"/>
  <c r="AM57" i="5"/>
  <c r="I57" i="12"/>
  <c r="S44" i="8"/>
  <c r="Y32" i="12"/>
  <c r="AB24" i="5" a="1"/>
  <c r="AB24" i="5" s="1"/>
  <c r="X28" i="12" a="1"/>
  <c r="X28" i="12" s="1"/>
  <c r="W28" i="12" a="1"/>
  <c r="W28" i="12" s="1"/>
  <c r="C30" i="6"/>
  <c r="O30" i="5"/>
  <c r="D50" i="12"/>
  <c r="E50" i="6"/>
  <c r="X52" i="12" a="1"/>
  <c r="X52" i="12" s="1"/>
  <c r="W52" i="12" a="1"/>
  <c r="W52" i="12" s="1"/>
  <c r="W51" i="12" a="1"/>
  <c r="W51" i="12" s="1"/>
  <c r="X51" i="12" a="1"/>
  <c r="X51" i="12" s="1"/>
  <c r="W47" i="12" a="1"/>
  <c r="W47" i="12" s="1"/>
  <c r="X47" i="12" a="1"/>
  <c r="X47" i="12" s="1"/>
  <c r="D66" i="12"/>
  <c r="E66" i="6"/>
  <c r="Y67" i="12"/>
  <c r="AO67" i="12"/>
  <c r="E20" i="6"/>
  <c r="D20" i="12"/>
  <c r="C21" i="7" a="1"/>
  <c r="C21" i="7" s="1"/>
  <c r="B20" i="7"/>
  <c r="AO66" i="12"/>
  <c r="AO63" i="12" s="1" a="1"/>
  <c r="AO63" i="12" s="1"/>
  <c r="Y63" i="12" s="1"/>
  <c r="AM40" i="5"/>
  <c r="Z40" i="5"/>
  <c r="I40" i="12"/>
  <c r="L40" i="5"/>
  <c r="O15" i="11" a="1"/>
  <c r="S29" i="8"/>
  <c r="I68" i="12"/>
  <c r="L68" i="5"/>
  <c r="Z68" i="5"/>
  <c r="AM68" i="5"/>
  <c r="S50" i="8"/>
  <c r="Y44" i="12"/>
  <c r="AO43" i="12" a="1"/>
  <c r="AO43" i="12" s="1"/>
  <c r="Y43" i="12" s="1"/>
  <c r="Y59" i="12"/>
  <c r="C58" i="12"/>
  <c r="AO58" i="12" a="1"/>
  <c r="AO58" i="12" s="1"/>
  <c r="O58" i="12" a="1"/>
  <c r="O58" i="12" s="1"/>
  <c r="O40" i="12" s="1" a="1"/>
  <c r="O40" i="12" s="1"/>
  <c r="M58" i="12" a="1"/>
  <c r="M58" i="12" s="1"/>
  <c r="M57" i="12" s="1" a="1"/>
  <c r="M57" i="12" s="1"/>
  <c r="J53" i="12" a="1"/>
  <c r="J53" i="12" s="1"/>
  <c r="L53" i="12" a="1"/>
  <c r="L53" i="12" s="1"/>
  <c r="C53" i="12"/>
  <c r="E42" i="6"/>
  <c r="D42" i="12"/>
  <c r="C48" i="6"/>
  <c r="O48" i="5"/>
  <c r="AC24" i="5" a="1"/>
  <c r="AC24" i="5" s="1"/>
  <c r="E55" i="6"/>
  <c r="D55" i="12"/>
  <c r="N41" i="12"/>
  <c r="Y56" i="12"/>
  <c r="Y49" i="12"/>
  <c r="AO48" i="12" a="1"/>
  <c r="AO48" i="12" s="1"/>
  <c r="Y48" i="12" s="1"/>
  <c r="D60" i="12"/>
  <c r="E60" i="6"/>
  <c r="E59" i="6"/>
  <c r="D59" i="12"/>
  <c r="Y64" i="12"/>
  <c r="N23" i="12"/>
  <c r="C17" i="6"/>
  <c r="O17" i="5"/>
  <c r="AC17" i="5" a="1"/>
  <c r="AC17" i="5" s="1"/>
  <c r="W55" i="12" a="1"/>
  <c r="W55" i="12" s="1"/>
  <c r="X55" i="12" a="1"/>
  <c r="X55" i="12" s="1"/>
  <c r="AB17" i="5" a="1"/>
  <c r="AB17" i="5" s="1"/>
  <c r="AB16" i="5" a="1"/>
  <c r="AB15" i="5"/>
  <c r="Y42" i="12"/>
  <c r="AO41" i="12" a="1"/>
  <c r="AO41" i="12" s="1"/>
  <c r="Y41" i="12" s="1"/>
  <c r="Y60" i="12"/>
  <c r="E46" i="6"/>
  <c r="D46" i="12"/>
  <c r="D36" i="12"/>
  <c r="E36" i="6"/>
  <c r="G35" i="8"/>
  <c r="G36" i="8" s="1" a="1"/>
  <c r="G36" i="8" s="1"/>
  <c r="H36" i="8" a="1"/>
  <c r="H36" i="8" s="1"/>
  <c r="H35" i="8" a="1"/>
  <c r="AA37" i="8" a="1"/>
  <c r="AC37" i="8" a="1"/>
  <c r="AE37" i="8" a="1"/>
  <c r="AD37" i="8" a="1"/>
  <c r="V37" i="8" a="1"/>
  <c r="Y37" i="8" a="1"/>
  <c r="AF37" i="8" a="1"/>
  <c r="Z37" i="8" a="1"/>
  <c r="D35" i="8"/>
  <c r="W37" i="8" a="1"/>
  <c r="U37" i="8" a="1"/>
  <c r="C35" i="8"/>
  <c r="X37" i="8" a="1"/>
  <c r="AB37" i="8" a="1"/>
  <c r="E37" i="8" a="1"/>
  <c r="C43" i="6"/>
  <c r="O43" i="5"/>
  <c r="N25" i="12"/>
  <c r="O24" i="12" a="1"/>
  <c r="O24" i="12" s="1"/>
  <c r="N24" i="12" s="1"/>
  <c r="E67" i="6"/>
  <c r="D67" i="12"/>
  <c r="C58" i="6"/>
  <c r="O58" i="5"/>
  <c r="Y45" i="12"/>
  <c r="E31" i="6"/>
  <c r="D31" i="12"/>
  <c r="N54" i="12"/>
  <c r="O53" i="12" a="1"/>
  <c r="O53" i="12" s="1"/>
  <c r="N53" i="12" s="1"/>
  <c r="N69" i="12"/>
  <c r="M16" i="12" a="1"/>
  <c r="E37" i="6"/>
  <c r="D37" i="12"/>
  <c r="W46" i="12" a="1"/>
  <c r="W46" i="12" s="1"/>
  <c r="X46" i="12" a="1"/>
  <c r="X46" i="12" s="1"/>
  <c r="C53" i="6"/>
  <c r="O53" i="5"/>
  <c r="C70" i="6"/>
  <c r="O70" i="5"/>
  <c r="Y31" i="12"/>
  <c r="AO30" i="12" a="1"/>
  <c r="AO30" i="12" s="1"/>
  <c r="H14" i="8" a="1"/>
  <c r="H15" i="8" a="1"/>
  <c r="H15" i="8" s="1"/>
  <c r="G14" i="8"/>
  <c r="G15" i="8" s="1" a="1"/>
  <c r="G15" i="8" s="1"/>
  <c r="R54" i="8"/>
  <c r="I54" i="8" s="1"/>
  <c r="X20" i="12" a="1"/>
  <c r="X20" i="12" s="1"/>
  <c r="W20" i="12" a="1"/>
  <c r="W20" i="12" s="1"/>
  <c r="X36" i="12" a="1"/>
  <c r="X36" i="12" s="1"/>
  <c r="W36" i="12" a="1"/>
  <c r="W36" i="12" s="1"/>
  <c r="E45" i="6"/>
  <c r="D45" i="12"/>
  <c r="AB41" i="5" a="1"/>
  <c r="AB41" i="5" s="1"/>
  <c r="AB40" i="5" a="1"/>
  <c r="AB40" i="5" s="1"/>
  <c r="AB15" i="11" s="1" a="1"/>
  <c r="AB15" i="11" s="1"/>
  <c r="N15" i="11" s="1"/>
  <c r="O33" i="12" a="1"/>
  <c r="O33" i="12" s="1"/>
  <c r="N33" i="12" s="1"/>
  <c r="O35" i="12"/>
  <c r="N35" i="12" s="1"/>
  <c r="D29" i="12"/>
  <c r="E29" i="6"/>
  <c r="E62" i="6"/>
  <c r="D62" i="12"/>
  <c r="W38" i="12" a="1"/>
  <c r="W38" i="12" s="1"/>
  <c r="X38" i="12" a="1"/>
  <c r="X38" i="12" s="1"/>
  <c r="E65" i="6"/>
  <c r="D65" i="12"/>
  <c r="H24" i="8" a="1"/>
  <c r="H24" i="8" s="1"/>
  <c r="H23" i="8" a="1"/>
  <c r="G23" i="8"/>
  <c r="G24" i="8" s="1" a="1"/>
  <c r="G24" i="8" s="1"/>
  <c r="Z25" i="8" a="1"/>
  <c r="AF25" i="8" a="1"/>
  <c r="AE25" i="8" a="1"/>
  <c r="E25" i="8" a="1"/>
  <c r="Y25" i="8" a="1"/>
  <c r="AC25" i="8" a="1"/>
  <c r="AA25" i="8" a="1"/>
  <c r="AD25" i="8" a="1"/>
  <c r="V25" i="8" a="1"/>
  <c r="C23" i="8"/>
  <c r="U25" i="8" a="1"/>
  <c r="D23" i="8"/>
  <c r="X25" i="8" a="1"/>
  <c r="AB25" i="8" a="1"/>
  <c r="W25" i="8" a="1"/>
  <c r="L30" i="12" a="1"/>
  <c r="L30" i="12" s="1"/>
  <c r="C30" i="12"/>
  <c r="J30" i="12" a="1"/>
  <c r="AC53" i="5" a="1"/>
  <c r="AC53" i="5" s="1"/>
  <c r="N66" i="12"/>
  <c r="D69" i="12"/>
  <c r="E69" i="6"/>
  <c r="N32" i="12"/>
  <c r="E27" i="6"/>
  <c r="D27" i="12"/>
  <c r="E25" i="6"/>
  <c r="D25" i="12"/>
  <c r="N18" i="12"/>
  <c r="O17" i="12" a="1"/>
  <c r="O17" i="12" s="1"/>
  <c r="N17" i="12" s="1"/>
  <c r="O16" i="12" a="1"/>
  <c r="D23" i="12"/>
  <c r="E23" i="6"/>
  <c r="Y39" i="12"/>
  <c r="C48" i="12"/>
  <c r="L48" i="12" a="1"/>
  <c r="L48" i="12" s="1"/>
  <c r="J48" i="12" a="1"/>
  <c r="J48" i="12" s="1"/>
  <c r="C33" i="6"/>
  <c r="O33" i="5"/>
  <c r="D56" i="12"/>
  <c r="E56" i="6"/>
  <c r="O70" i="12" a="1"/>
  <c r="O70" i="12" s="1"/>
  <c r="O68" i="12" s="1" a="1"/>
  <c r="O68" i="12" s="1"/>
  <c r="M70" i="12" a="1"/>
  <c r="AO70" i="12" a="1"/>
  <c r="C70" i="12"/>
  <c r="N62" i="12"/>
  <c r="D28" i="12"/>
  <c r="E28" i="6"/>
  <c r="N65" i="12"/>
  <c r="W37" i="12" a="1"/>
  <c r="W37" i="12" s="1"/>
  <c r="X37" i="12" a="1"/>
  <c r="X37" i="12" s="1"/>
  <c r="D32" i="12"/>
  <c r="E32" i="6"/>
  <c r="C63" i="6"/>
  <c r="O63" i="5"/>
  <c r="W23" i="12" a="1"/>
  <c r="W23" i="12" s="1"/>
  <c r="X23" i="12" a="1"/>
  <c r="X23" i="12" s="1"/>
  <c r="Y18" i="12"/>
  <c r="AO17" i="12" a="1"/>
  <c r="AO17" i="12" s="1"/>
  <c r="Y17" i="12" s="1"/>
  <c r="AO16" i="12" a="1"/>
  <c r="AO16" i="12" s="1"/>
  <c r="E61" i="6"/>
  <c r="D61" i="12"/>
  <c r="Y14" i="12"/>
  <c r="AM16" i="5"/>
  <c r="I16" i="12"/>
  <c r="Z16" i="5"/>
  <c r="L16" i="5"/>
  <c r="O14" i="11" a="1"/>
  <c r="O14" i="11" s="1"/>
  <c r="AA53" i="5" a="1"/>
  <c r="AA53" i="5" s="1"/>
  <c r="C41" i="6"/>
  <c r="O41" i="5"/>
  <c r="AO61" i="12"/>
  <c r="Y34" i="12"/>
  <c r="AO33" i="12" a="1"/>
  <c r="AO33" i="12" s="1"/>
  <c r="N60" i="12"/>
  <c r="Y22" i="12"/>
  <c r="N20" i="12"/>
  <c r="J43" i="12" a="1"/>
  <c r="J43" i="12" s="1"/>
  <c r="C43" i="12"/>
  <c r="L43" i="12" a="1"/>
  <c r="L43" i="12" s="1"/>
  <c r="K43" i="12" s="1"/>
  <c r="D51" i="12"/>
  <c r="E51" i="6"/>
  <c r="Y25" i="12"/>
  <c r="AO24" i="12" a="1"/>
  <c r="AO24" i="12" s="1"/>
  <c r="Y24" i="12" s="1"/>
  <c r="D35" i="12"/>
  <c r="E35" i="6"/>
  <c r="AA48" i="5" a="1"/>
  <c r="AA48" i="5" s="1"/>
  <c r="Y69" i="12"/>
  <c r="AC43" i="5" a="1"/>
  <c r="AC43" i="5" s="1"/>
  <c r="N36" i="12"/>
  <c r="O30" i="12" a="1"/>
  <c r="O30" i="12" s="1"/>
  <c r="N30" i="12" s="1"/>
  <c r="M34" i="6"/>
  <c r="AO15" i="13" l="1"/>
  <c r="O15" i="13" s="1"/>
  <c r="AN15" i="13" a="1"/>
  <c r="X63" i="12" a="1"/>
  <c r="X63" i="12" s="1"/>
  <c r="W63" i="12" a="1"/>
  <c r="W63" i="12" s="1"/>
  <c r="W34" i="12" a="1"/>
  <c r="W34" i="12" s="1"/>
  <c r="X34" i="12" a="1"/>
  <c r="X34" i="12" s="1"/>
  <c r="E63" i="6"/>
  <c r="D63" i="12"/>
  <c r="I47" i="8"/>
  <c r="AD23" i="8" a="1"/>
  <c r="AD23" i="8" s="1"/>
  <c r="AD25" i="8"/>
  <c r="T20" i="12"/>
  <c r="U20" i="12"/>
  <c r="V20" i="12" a="1"/>
  <c r="V20" i="12" s="1"/>
  <c r="M16" i="12"/>
  <c r="X45" i="12" a="1"/>
  <c r="X45" i="12" s="1"/>
  <c r="W45" i="12" a="1"/>
  <c r="W45" i="12" s="1"/>
  <c r="X41" i="12" a="1"/>
  <c r="X41" i="12" s="1"/>
  <c r="W41" i="12" a="1"/>
  <c r="W41" i="12" s="1"/>
  <c r="E48" i="6"/>
  <c r="D48" i="12"/>
  <c r="I38" i="8"/>
  <c r="B21" i="7"/>
  <c r="C22" i="7" a="1"/>
  <c r="C22" i="7" s="1"/>
  <c r="U47" i="12"/>
  <c r="V47" i="12" a="1"/>
  <c r="V47" i="12" s="1"/>
  <c r="T47" i="12"/>
  <c r="X32" i="12" a="1"/>
  <c r="X32" i="12" s="1"/>
  <c r="W32" i="12" a="1"/>
  <c r="W32" i="12" s="1"/>
  <c r="U47" i="8" a="1"/>
  <c r="U49" i="8"/>
  <c r="V38" i="8" a="1"/>
  <c r="V38" i="8" s="1"/>
  <c r="V40" i="8"/>
  <c r="J39" i="8"/>
  <c r="H38" i="8"/>
  <c r="Y41" i="8" a="1"/>
  <c r="Y41" i="8" s="1"/>
  <c r="Y43" i="8"/>
  <c r="AC41" i="8" a="1"/>
  <c r="AC41" i="8" s="1"/>
  <c r="AC43" i="8"/>
  <c r="AA40" i="5" a="1"/>
  <c r="W22" i="12" a="1"/>
  <c r="W22" i="12" s="1"/>
  <c r="X22" i="12" a="1"/>
  <c r="X22" i="12" s="1"/>
  <c r="Y61" i="12"/>
  <c r="L14" i="13"/>
  <c r="P14" i="11"/>
  <c r="C14" i="11"/>
  <c r="W18" i="12" a="1"/>
  <c r="W18" i="12" s="1"/>
  <c r="X18" i="12" a="1"/>
  <c r="X18" i="12" s="1"/>
  <c r="D33" i="12"/>
  <c r="E33" i="6"/>
  <c r="I26" i="8"/>
  <c r="K48" i="12"/>
  <c r="W23" i="8" a="1"/>
  <c r="W23" i="8" s="1"/>
  <c r="W25" i="8"/>
  <c r="U23" i="8" a="1"/>
  <c r="U23" i="8" s="1"/>
  <c r="U25" i="8"/>
  <c r="AA23" i="8" a="1"/>
  <c r="AA23" i="8" s="1"/>
  <c r="AA25" i="8"/>
  <c r="AE23" i="8" a="1"/>
  <c r="AE23" i="8" s="1"/>
  <c r="AE25" i="8"/>
  <c r="J24" i="8"/>
  <c r="H23" i="8"/>
  <c r="T36" i="12"/>
  <c r="V36" i="12" a="1"/>
  <c r="V36" i="12" s="1"/>
  <c r="U36" i="12"/>
  <c r="Y30" i="12"/>
  <c r="E53" i="6"/>
  <c r="D53" i="12"/>
  <c r="I41" i="8"/>
  <c r="Z35" i="8" a="1"/>
  <c r="Z35" i="8" s="1"/>
  <c r="Z37" i="8"/>
  <c r="AD35" i="8" a="1"/>
  <c r="AD35" i="8" s="1"/>
  <c r="AD37" i="8"/>
  <c r="H35" i="8"/>
  <c r="J36" i="8" s="1"/>
  <c r="X42" i="12" a="1"/>
  <c r="X42" i="12" s="1"/>
  <c r="W42" i="12" a="1"/>
  <c r="W42" i="12" s="1"/>
  <c r="X56" i="12" a="1"/>
  <c r="X56" i="12" s="1"/>
  <c r="W56" i="12" a="1"/>
  <c r="W56" i="12" s="1"/>
  <c r="K53" i="12"/>
  <c r="Y58" i="12"/>
  <c r="AO57" i="12" a="1"/>
  <c r="AO57" i="12" s="1"/>
  <c r="X43" i="12" a="1"/>
  <c r="X43" i="12" s="1"/>
  <c r="W43" i="12" a="1"/>
  <c r="W43" i="12" s="1"/>
  <c r="G50" i="8"/>
  <c r="G51" i="8" s="1" a="1"/>
  <c r="G51" i="8" s="1"/>
  <c r="H51" i="8" a="1"/>
  <c r="H51" i="8" s="1"/>
  <c r="H50" i="8" a="1"/>
  <c r="X52" i="8" a="1"/>
  <c r="W52" i="8" a="1"/>
  <c r="AE52" i="8" a="1"/>
  <c r="AF52" i="8" a="1"/>
  <c r="Y52" i="8" a="1"/>
  <c r="AB52" i="8" a="1"/>
  <c r="E52" i="8" a="1"/>
  <c r="E52" i="8" s="1"/>
  <c r="C50" i="8"/>
  <c r="D50" i="8"/>
  <c r="AD52" i="8" a="1"/>
  <c r="Z52" i="8" a="1"/>
  <c r="V52" i="8" a="1"/>
  <c r="AC52" i="8" a="1"/>
  <c r="AA52" i="8" a="1"/>
  <c r="AA52" i="8" s="1"/>
  <c r="U52" i="8" a="1"/>
  <c r="U52" i="8" s="1"/>
  <c r="J68" i="12" a="1"/>
  <c r="J68" i="12" s="1"/>
  <c r="C68" i="12"/>
  <c r="L68" i="12" a="1"/>
  <c r="L68" i="12" s="1"/>
  <c r="K68" i="12" s="1"/>
  <c r="L40" i="12" a="1"/>
  <c r="L40" i="12" s="1"/>
  <c r="J40" i="12" a="1"/>
  <c r="J40" i="12" s="1"/>
  <c r="C40" i="12"/>
  <c r="Y66" i="12"/>
  <c r="U28" i="12"/>
  <c r="T28" i="12"/>
  <c r="V28" i="12" a="1"/>
  <c r="V28" i="12" s="1"/>
  <c r="G44" i="8"/>
  <c r="G45" i="8" s="1" a="1"/>
  <c r="G45" i="8" s="1"/>
  <c r="H45" i="8" a="1"/>
  <c r="H45" i="8" s="1"/>
  <c r="H44" i="8" a="1"/>
  <c r="X46" i="8" a="1"/>
  <c r="C44" i="8"/>
  <c r="D44" i="8"/>
  <c r="Z46" i="8" a="1"/>
  <c r="AC46" i="8" a="1"/>
  <c r="U46" i="8" a="1"/>
  <c r="AB46" i="8" a="1"/>
  <c r="AE46" i="8" a="1"/>
  <c r="E46" i="8" a="1"/>
  <c r="W46" i="8" a="1"/>
  <c r="Y46" i="8" a="1"/>
  <c r="AA46" i="8" a="1"/>
  <c r="AD46" i="8" a="1"/>
  <c r="V46" i="8" a="1"/>
  <c r="AF46" i="8" a="1"/>
  <c r="AC57" i="5" a="1"/>
  <c r="AC57" i="5" s="1"/>
  <c r="C57" i="6"/>
  <c r="O57" i="5"/>
  <c r="U50" i="12"/>
  <c r="V50" i="12" a="1"/>
  <c r="V50" i="12" s="1"/>
  <c r="T50" i="12"/>
  <c r="U27" i="12"/>
  <c r="V27" i="12" a="1"/>
  <c r="V27" i="12" s="1"/>
  <c r="T27" i="12"/>
  <c r="M40" i="12" a="1"/>
  <c r="M40" i="12" s="1"/>
  <c r="J18" i="8"/>
  <c r="H17" i="8"/>
  <c r="U26" i="12"/>
  <c r="T26" i="12"/>
  <c r="V26" i="12" a="1"/>
  <c r="V26" i="12" s="1"/>
  <c r="AF47" i="8" a="1"/>
  <c r="AF47" i="8" s="1"/>
  <c r="AF49" i="8"/>
  <c r="Y47" i="8" a="1"/>
  <c r="Y47" i="8" s="1"/>
  <c r="Y49" i="8"/>
  <c r="X29" i="12" a="1"/>
  <c r="X29" i="12" s="1"/>
  <c r="W29" i="12" a="1"/>
  <c r="W29" i="12" s="1"/>
  <c r="K33" i="12"/>
  <c r="W54" i="12" a="1"/>
  <c r="W54" i="12" s="1"/>
  <c r="X54" i="12" a="1"/>
  <c r="X54" i="12" s="1"/>
  <c r="J63" i="12"/>
  <c r="K63" i="12" s="1"/>
  <c r="AA38" i="8" a="1"/>
  <c r="AA38" i="8" s="1"/>
  <c r="AA40" i="8"/>
  <c r="AE38" i="8" a="1"/>
  <c r="AE38" i="8" s="1"/>
  <c r="AE40" i="8"/>
  <c r="E38" i="8" a="1"/>
  <c r="E38" i="8" s="1"/>
  <c r="E40" i="8"/>
  <c r="U38" i="8" a="1"/>
  <c r="U38" i="8" s="1"/>
  <c r="U40" i="8"/>
  <c r="W41" i="8" a="1"/>
  <c r="W41" i="8" s="1"/>
  <c r="W43" i="8"/>
  <c r="AF41" i="8" a="1"/>
  <c r="AF41" i="8" s="1"/>
  <c r="AF43" i="8"/>
  <c r="AB41" i="8" a="1"/>
  <c r="AB41" i="8" s="1"/>
  <c r="AB43" i="8"/>
  <c r="U41" i="8" a="1"/>
  <c r="U41" i="8" s="1"/>
  <c r="U43" i="8"/>
  <c r="X17" i="12" a="1"/>
  <c r="X17" i="12" s="1"/>
  <c r="W17" i="12" a="1"/>
  <c r="E23" i="8" a="1"/>
  <c r="E23" i="8" s="1"/>
  <c r="E25" i="8"/>
  <c r="X35" i="8" a="1"/>
  <c r="X35" i="8" s="1"/>
  <c r="X37" i="8"/>
  <c r="AA35" i="8" a="1"/>
  <c r="AA35" i="8" s="1"/>
  <c r="AA37" i="8"/>
  <c r="E17" i="6"/>
  <c r="D17" i="12"/>
  <c r="I17" i="8"/>
  <c r="X64" i="12" a="1"/>
  <c r="X64" i="12" s="1"/>
  <c r="W64" i="12" a="1"/>
  <c r="W64" i="12" s="1"/>
  <c r="W49" i="12" a="1"/>
  <c r="W49" i="12" s="1"/>
  <c r="X49" i="12" a="1"/>
  <c r="X49" i="12" s="1"/>
  <c r="N58" i="12"/>
  <c r="O57" i="12" a="1"/>
  <c r="O57" i="12" s="1"/>
  <c r="N57" i="12" s="1"/>
  <c r="X59" i="12" a="1"/>
  <c r="X59" i="12" s="1"/>
  <c r="W59" i="12" a="1"/>
  <c r="W59" i="12" s="1"/>
  <c r="AC68" i="5" a="1"/>
  <c r="AC68" i="5" s="1"/>
  <c r="C68" i="6"/>
  <c r="O68" i="5"/>
  <c r="X47" i="8" a="1"/>
  <c r="X47" i="8" s="1"/>
  <c r="X49" i="8"/>
  <c r="Y53" i="12"/>
  <c r="Y38" i="8" a="1"/>
  <c r="Y38" i="8" s="1"/>
  <c r="Y40" i="8"/>
  <c r="AI34" i="6"/>
  <c r="BD34" i="6" a="1"/>
  <c r="BD34" i="6" s="1"/>
  <c r="BC34" i="6" a="1"/>
  <c r="BC34" i="6" s="1"/>
  <c r="AP34" i="6"/>
  <c r="AM34" i="6"/>
  <c r="BE34" i="6" a="1"/>
  <c r="BE34" i="6" s="1"/>
  <c r="BF34" i="6" a="1"/>
  <c r="BF34" i="6" s="1"/>
  <c r="AU34" i="6"/>
  <c r="BA34" i="6" a="1"/>
  <c r="BA34" i="6" s="1"/>
  <c r="AQ34" i="6"/>
  <c r="AR34" i="6"/>
  <c r="AY34" i="6" a="1"/>
  <c r="AY34" i="6" s="1"/>
  <c r="AX34" i="6" a="1"/>
  <c r="AX34" i="6" s="1"/>
  <c r="AT34" i="6"/>
  <c r="AS34" i="6"/>
  <c r="AO34" i="6"/>
  <c r="BB34" i="6" a="1"/>
  <c r="BB34" i="6" s="1"/>
  <c r="AN34" i="6"/>
  <c r="AZ34" i="6" a="1"/>
  <c r="AZ34" i="6" s="1"/>
  <c r="BG34" i="6" a="1"/>
  <c r="BG34" i="6" s="1"/>
  <c r="AV34" i="6"/>
  <c r="M35" i="6"/>
  <c r="M37" i="6"/>
  <c r="AJ34" i="6"/>
  <c r="AD34" i="6"/>
  <c r="M38" i="6"/>
  <c r="AH34" i="6"/>
  <c r="AF34" i="6"/>
  <c r="M36" i="6"/>
  <c r="AB34" i="6"/>
  <c r="AC34" i="6"/>
  <c r="AK34" i="6"/>
  <c r="M39" i="6"/>
  <c r="AE34" i="6"/>
  <c r="AG34" i="6"/>
  <c r="M42" i="6"/>
  <c r="D41" i="12"/>
  <c r="E41" i="6"/>
  <c r="I32" i="8"/>
  <c r="O16" i="5"/>
  <c r="C14" i="6"/>
  <c r="C16" i="6"/>
  <c r="AC11" i="5"/>
  <c r="AC16" i="5" a="1"/>
  <c r="AC16" i="5" s="1"/>
  <c r="AC7" i="5" s="1"/>
  <c r="Y70" i="12"/>
  <c r="AO70" i="12"/>
  <c r="AO68" i="12" s="1" a="1"/>
  <c r="AO68" i="12" s="1"/>
  <c r="Y68" i="12" s="1"/>
  <c r="AN14" i="13" a="1"/>
  <c r="O16" i="12"/>
  <c r="K30" i="12"/>
  <c r="J30" i="12"/>
  <c r="AB23" i="8" a="1"/>
  <c r="AB23" i="8" s="1"/>
  <c r="AB25" i="8"/>
  <c r="AC23" i="8" a="1"/>
  <c r="AC23" i="8" s="1"/>
  <c r="AC25" i="8"/>
  <c r="AF23" i="8" a="1"/>
  <c r="AF23" i="8" s="1"/>
  <c r="AF25" i="8"/>
  <c r="V38" i="12" a="1"/>
  <c r="V38" i="12" s="1"/>
  <c r="T38" i="12"/>
  <c r="U38" i="12"/>
  <c r="H14" i="8"/>
  <c r="J15" i="8" s="1"/>
  <c r="W31" i="12" a="1"/>
  <c r="W31" i="12" s="1"/>
  <c r="X31" i="12" a="1"/>
  <c r="X31" i="12" s="1"/>
  <c r="D58" i="12"/>
  <c r="E58" i="6"/>
  <c r="E35" i="8" a="1"/>
  <c r="E35" i="8" s="1"/>
  <c r="E37" i="8"/>
  <c r="U35" i="8" a="1"/>
  <c r="U35" i="8" s="1"/>
  <c r="U37" i="8"/>
  <c r="AF35" i="8" a="1"/>
  <c r="AF35" i="8" s="1"/>
  <c r="AF37" i="8"/>
  <c r="AE35" i="8" a="1"/>
  <c r="AE35" i="8" s="1"/>
  <c r="AE37" i="8"/>
  <c r="U55" i="12"/>
  <c r="T55" i="12"/>
  <c r="V55" i="12" a="1"/>
  <c r="V55" i="12" s="1"/>
  <c r="W44" i="12" a="1"/>
  <c r="W44" i="12" s="1"/>
  <c r="X44" i="12" a="1"/>
  <c r="X44" i="12" s="1"/>
  <c r="G29" i="8"/>
  <c r="G30" i="8" s="1" a="1"/>
  <c r="G30" i="8" s="1"/>
  <c r="H29" i="8" a="1"/>
  <c r="H30" i="8" a="1"/>
  <c r="H30" i="8" s="1"/>
  <c r="T51" i="12"/>
  <c r="V51" i="12" a="1"/>
  <c r="V51" i="12" s="1"/>
  <c r="U51" i="12"/>
  <c r="L57" i="12" a="1"/>
  <c r="L57" i="12" s="1"/>
  <c r="K57" i="12" s="1"/>
  <c r="J57" i="12" a="1"/>
  <c r="J57" i="12" s="1"/>
  <c r="C57" i="12"/>
  <c r="AA15" i="5"/>
  <c r="AE47" i="8" a="1"/>
  <c r="AE47" i="8" s="1"/>
  <c r="AE49" i="8"/>
  <c r="AB47" i="8" a="1"/>
  <c r="AB47" i="8" s="1"/>
  <c r="AB49" i="8"/>
  <c r="E47" i="8" a="1"/>
  <c r="E47" i="8" s="1"/>
  <c r="E49" i="8"/>
  <c r="J33" i="8"/>
  <c r="H32" i="8"/>
  <c r="U62" i="12"/>
  <c r="T62" i="12"/>
  <c r="V62" i="12" a="1"/>
  <c r="V62" i="12" s="1"/>
  <c r="X21" i="12" a="1"/>
  <c r="X21" i="12" s="1"/>
  <c r="W21" i="12" a="1"/>
  <c r="W21" i="12" s="1"/>
  <c r="E24" i="6"/>
  <c r="D24" i="12"/>
  <c r="I20" i="8"/>
  <c r="X38" i="8" a="1"/>
  <c r="X38" i="8" s="1"/>
  <c r="X40" i="8"/>
  <c r="AD38" i="8" a="1"/>
  <c r="AD38" i="8" s="1"/>
  <c r="AD40" i="8"/>
  <c r="W38" i="8" a="1"/>
  <c r="W38" i="8" s="1"/>
  <c r="W40" i="8"/>
  <c r="AD41" i="8" a="1"/>
  <c r="AD41" i="8" s="1"/>
  <c r="AD43" i="8"/>
  <c r="E41" i="8" a="1"/>
  <c r="E41" i="8" s="1"/>
  <c r="E43" i="8"/>
  <c r="J42" i="8"/>
  <c r="H41" i="8"/>
  <c r="X25" i="12" a="1"/>
  <c r="X25" i="12" s="1"/>
  <c r="W25" i="12" a="1"/>
  <c r="W25" i="12" s="1"/>
  <c r="L16" i="12" a="1"/>
  <c r="L16" i="12" s="1"/>
  <c r="K16" i="12" s="1"/>
  <c r="J16" i="12" a="1"/>
  <c r="J16" i="12" s="1"/>
  <c r="C16" i="12"/>
  <c r="W14" i="12" a="1"/>
  <c r="W14" i="12" s="1"/>
  <c r="X14" i="12" a="1"/>
  <c r="X14" i="12" s="1"/>
  <c r="T46" i="12"/>
  <c r="V46" i="12" a="1"/>
  <c r="V46" i="12" s="1"/>
  <c r="U46" i="12"/>
  <c r="E43" i="6"/>
  <c r="D43" i="12"/>
  <c r="I35" i="8"/>
  <c r="V35" i="8" a="1"/>
  <c r="V35" i="8" s="1"/>
  <c r="V37" i="8"/>
  <c r="C40" i="6"/>
  <c r="O40" i="5"/>
  <c r="AC40" i="5" a="1"/>
  <c r="AC40" i="5" s="1"/>
  <c r="X67" i="12" a="1"/>
  <c r="X67" i="12" s="1"/>
  <c r="W67" i="12" a="1"/>
  <c r="W67" i="12" s="1"/>
  <c r="AA47" i="8" a="1"/>
  <c r="AA47" i="8" s="1"/>
  <c r="AA49" i="8"/>
  <c r="W47" i="8" a="1"/>
  <c r="W47" i="8" s="1"/>
  <c r="W49" i="8"/>
  <c r="V41" i="8" a="1"/>
  <c r="V41" i="8" s="1"/>
  <c r="V43" i="8"/>
  <c r="X69" i="12" a="1"/>
  <c r="X69" i="12" s="1"/>
  <c r="W69" i="12" a="1"/>
  <c r="W69" i="12" s="1"/>
  <c r="W24" i="12" a="1"/>
  <c r="W24" i="12" s="1"/>
  <c r="X24" i="12" a="1"/>
  <c r="X24" i="12" s="1"/>
  <c r="Y33" i="12"/>
  <c r="Y16" i="12"/>
  <c r="V23" i="12" a="1"/>
  <c r="V23" i="12" s="1"/>
  <c r="T23" i="12"/>
  <c r="U23" i="12"/>
  <c r="V37" i="12" a="1"/>
  <c r="V37" i="12" s="1"/>
  <c r="U37" i="12"/>
  <c r="T37" i="12"/>
  <c r="N70" i="12"/>
  <c r="M70" i="12"/>
  <c r="M68" i="12" s="1" a="1"/>
  <c r="M68" i="12" s="1"/>
  <c r="N68" i="12" s="1"/>
  <c r="W39" i="12" a="1"/>
  <c r="W39" i="12" s="1"/>
  <c r="X39" i="12" a="1"/>
  <c r="X39" i="12" s="1"/>
  <c r="X23" i="8" a="1"/>
  <c r="X23" i="8" s="1"/>
  <c r="X25" i="8"/>
  <c r="V23" i="8" a="1"/>
  <c r="V23" i="8" s="1"/>
  <c r="V25" i="8"/>
  <c r="Y23" i="8" a="1"/>
  <c r="Y23" i="8" s="1"/>
  <c r="Y25" i="8"/>
  <c r="Z23" i="8" a="1"/>
  <c r="Z23" i="8" s="1"/>
  <c r="Z25" i="8"/>
  <c r="E70" i="6"/>
  <c r="D70" i="12"/>
  <c r="AB35" i="8" a="1"/>
  <c r="AB35" i="8" s="1"/>
  <c r="AB37" i="8"/>
  <c r="W35" i="8" a="1"/>
  <c r="W35" i="8" s="1"/>
  <c r="W37" i="8"/>
  <c r="Y35" i="8" a="1"/>
  <c r="Y35" i="8" s="1"/>
  <c r="Y37" i="8"/>
  <c r="AC35" i="8" a="1"/>
  <c r="AC35" i="8" s="1"/>
  <c r="AC37" i="8"/>
  <c r="X60" i="12" a="1"/>
  <c r="X60" i="12" s="1"/>
  <c r="W60" i="12" a="1"/>
  <c r="W60" i="12" s="1"/>
  <c r="AB16" i="5"/>
  <c r="AK14" i="13" s="1" a="1"/>
  <c r="X48" i="12" a="1"/>
  <c r="X48" i="12" s="1"/>
  <c r="W48" i="12" a="1"/>
  <c r="W48" i="12" s="1"/>
  <c r="Y35" i="12"/>
  <c r="S20" i="8"/>
  <c r="O15" i="11"/>
  <c r="U52" i="12"/>
  <c r="V52" i="12" a="1"/>
  <c r="V52" i="12" s="1"/>
  <c r="T52" i="12"/>
  <c r="E30" i="6"/>
  <c r="D30" i="12"/>
  <c r="I23" i="8"/>
  <c r="K17" i="12"/>
  <c r="AC47" i="8" a="1"/>
  <c r="AC47" i="8" s="1"/>
  <c r="AC49" i="8"/>
  <c r="Z47" i="8" a="1"/>
  <c r="Z47" i="8" s="1"/>
  <c r="Z49" i="8"/>
  <c r="AD47" i="8" a="1"/>
  <c r="AD47" i="8" s="1"/>
  <c r="AD49" i="8"/>
  <c r="V47" i="8" a="1"/>
  <c r="V47" i="8" s="1"/>
  <c r="V49" i="8"/>
  <c r="J27" i="8"/>
  <c r="H26" i="8"/>
  <c r="X19" i="12" a="1"/>
  <c r="X19" i="12" s="1"/>
  <c r="W19" i="12" a="1"/>
  <c r="W19" i="12" s="1"/>
  <c r="Z32" i="8" a="1"/>
  <c r="Z32" i="8" s="1"/>
  <c r="Z34" i="8"/>
  <c r="V65" i="12" a="1"/>
  <c r="V65" i="12" s="1"/>
  <c r="U65" i="12"/>
  <c r="T65" i="12"/>
  <c r="AC38" i="8" a="1"/>
  <c r="AC38" i="8" s="1"/>
  <c r="AC40" i="8"/>
  <c r="AF38" i="8" a="1"/>
  <c r="AF38" i="8" s="1"/>
  <c r="AF40" i="8"/>
  <c r="Z41" i="8" a="1"/>
  <c r="Z41" i="8" s="1"/>
  <c r="Z43" i="8"/>
  <c r="AE41" i="8" a="1"/>
  <c r="AE41" i="8" s="1"/>
  <c r="AE43" i="8"/>
  <c r="X41" i="8" a="1"/>
  <c r="X41" i="8" s="1"/>
  <c r="X43" i="8"/>
  <c r="AA41" i="8" a="1"/>
  <c r="AA41" i="8" s="1"/>
  <c r="AA43" i="8"/>
  <c r="E31" i="8" l="1" a="1"/>
  <c r="AA31" i="8" a="1"/>
  <c r="AK14" i="13"/>
  <c r="S14" i="13" s="1"/>
  <c r="V60" i="12" a="1"/>
  <c r="V60" i="12" s="1"/>
  <c r="T60" i="12"/>
  <c r="U60" i="12"/>
  <c r="T24" i="12"/>
  <c r="V24" i="12" a="1"/>
  <c r="V24" i="12" s="1"/>
  <c r="U24" i="12"/>
  <c r="U14" i="13"/>
  <c r="AN14" i="13"/>
  <c r="AL15" i="13"/>
  <c r="M15" i="13" s="1"/>
  <c r="N15" i="13" s="1"/>
  <c r="AK15" i="13" a="1"/>
  <c r="D57" i="12"/>
  <c r="E57" i="6"/>
  <c r="I44" i="8"/>
  <c r="W44" i="8" a="1"/>
  <c r="W44" i="8" s="1"/>
  <c r="W46" i="8"/>
  <c r="U44" i="8" a="1"/>
  <c r="U44" i="8" s="1"/>
  <c r="U46" i="8"/>
  <c r="X66" i="12" a="1"/>
  <c r="X66" i="12" s="1"/>
  <c r="W66" i="12" a="1"/>
  <c r="W66" i="12" s="1"/>
  <c r="AD50" i="8" a="1"/>
  <c r="AD50" i="8" s="1"/>
  <c r="AD52" i="8"/>
  <c r="W50" i="8" a="1"/>
  <c r="W50" i="8" s="1"/>
  <c r="W52" i="8"/>
  <c r="W31" i="8" s="1" a="1"/>
  <c r="U48" i="12"/>
  <c r="V48" i="12" a="1"/>
  <c r="V48" i="12" s="1"/>
  <c r="T48" i="12"/>
  <c r="J30" i="8"/>
  <c r="H29" i="8"/>
  <c r="AT39" i="6"/>
  <c r="BD39" i="6" a="1"/>
  <c r="BD39" i="6" s="1"/>
  <c r="AQ39" i="6"/>
  <c r="AM39" i="6"/>
  <c r="BA39" i="6" a="1"/>
  <c r="BA39" i="6" s="1"/>
  <c r="AR39" i="6"/>
  <c r="AV39" i="6"/>
  <c r="BE39" i="6" a="1"/>
  <c r="BE39" i="6" s="1"/>
  <c r="BB39" i="6" a="1"/>
  <c r="BB39" i="6" s="1"/>
  <c r="AZ39" i="6" a="1"/>
  <c r="AZ39" i="6" s="1"/>
  <c r="AP39" i="6"/>
  <c r="BF39" i="6" a="1"/>
  <c r="BF39" i="6" s="1"/>
  <c r="AN39" i="6"/>
  <c r="AY39" i="6" a="1"/>
  <c r="AY39" i="6" s="1"/>
  <c r="AX39" i="6" a="1"/>
  <c r="AX39" i="6" s="1"/>
  <c r="BC39" i="6" a="1"/>
  <c r="BC39" i="6" s="1"/>
  <c r="BG39" i="6" a="1"/>
  <c r="BG39" i="6" s="1"/>
  <c r="AU39" i="6"/>
  <c r="AS39" i="6"/>
  <c r="AO39" i="6"/>
  <c r="AJ39" i="6"/>
  <c r="AF39" i="6"/>
  <c r="AH39" i="6"/>
  <c r="AD39" i="6"/>
  <c r="AE39" i="6"/>
  <c r="AK39" i="6"/>
  <c r="AG39" i="6"/>
  <c r="AB39" i="6"/>
  <c r="AI39" i="6"/>
  <c r="AC39" i="6"/>
  <c r="V19" i="12" a="1"/>
  <c r="V19" i="12" s="1"/>
  <c r="U19" i="12"/>
  <c r="T19" i="12"/>
  <c r="AB14" i="11" a="1"/>
  <c r="AB14" i="11" s="1"/>
  <c r="V14" i="12" a="1"/>
  <c r="V14" i="12" s="1"/>
  <c r="T14" i="12"/>
  <c r="U14" i="12"/>
  <c r="U25" i="12"/>
  <c r="V25" i="12" a="1"/>
  <c r="V25" i="12" s="1"/>
  <c r="T25" i="12"/>
  <c r="AO14" i="13"/>
  <c r="O14" i="13" s="1"/>
  <c r="N16" i="12"/>
  <c r="AM14" i="13" a="1"/>
  <c r="T59" i="12"/>
  <c r="U59" i="12"/>
  <c r="V59" i="12" a="1"/>
  <c r="V59" i="12" s="1"/>
  <c r="AF44" i="8" a="1"/>
  <c r="AF44" i="8" s="1"/>
  <c r="AF46" i="8"/>
  <c r="Y44" i="8" a="1"/>
  <c r="Y44" i="8" s="1"/>
  <c r="Y46" i="8"/>
  <c r="AB44" i="8" a="1"/>
  <c r="AB44" i="8" s="1"/>
  <c r="AB46" i="8"/>
  <c r="K40" i="12"/>
  <c r="Z50" i="8" a="1"/>
  <c r="Z50" i="8" s="1"/>
  <c r="Z52" i="8"/>
  <c r="AE50" i="8" a="1"/>
  <c r="AE50" i="8" s="1"/>
  <c r="AE52" i="8"/>
  <c r="Y57" i="12"/>
  <c r="V41" i="12" a="1"/>
  <c r="V41" i="12" s="1"/>
  <c r="T41" i="12"/>
  <c r="U41" i="12"/>
  <c r="AL14" i="13"/>
  <c r="M14" i="13" s="1"/>
  <c r="AJ14" i="13" a="1"/>
  <c r="E40" i="6"/>
  <c r="D40" i="12"/>
  <c r="I29" i="8"/>
  <c r="U21" i="12"/>
  <c r="T21" i="12"/>
  <c r="V21" i="12" a="1"/>
  <c r="V21" i="12" s="1"/>
  <c r="AF31" i="8" a="1"/>
  <c r="AT42" i="6"/>
  <c r="AP42" i="6"/>
  <c r="BG42" i="6" a="1"/>
  <c r="BG42" i="6" s="1"/>
  <c r="AZ42" i="6" a="1"/>
  <c r="AZ42" i="6" s="1"/>
  <c r="AU42" i="6"/>
  <c r="BB42" i="6" a="1"/>
  <c r="BB42" i="6" s="1"/>
  <c r="AX42" i="6" a="1"/>
  <c r="AX42" i="6" s="1"/>
  <c r="AV42" i="6"/>
  <c r="AM42" i="6"/>
  <c r="AN42" i="6"/>
  <c r="AS42" i="6"/>
  <c r="BE42" i="6" a="1"/>
  <c r="BE42" i="6" s="1"/>
  <c r="BC42" i="6" a="1"/>
  <c r="BC42" i="6" s="1"/>
  <c r="AR42" i="6"/>
  <c r="BF42" i="6" a="1"/>
  <c r="BF42" i="6" s="1"/>
  <c r="BA42" i="6" a="1"/>
  <c r="BA42" i="6" s="1"/>
  <c r="AY42" i="6" a="1"/>
  <c r="AY42" i="6" s="1"/>
  <c r="AO42" i="6"/>
  <c r="AQ42" i="6"/>
  <c r="BD42" i="6" a="1"/>
  <c r="BD42" i="6" s="1"/>
  <c r="AG42" i="6"/>
  <c r="AE42" i="6"/>
  <c r="AJ42" i="6"/>
  <c r="AC42" i="6"/>
  <c r="AK42" i="6"/>
  <c r="AF42" i="6"/>
  <c r="AB42" i="6"/>
  <c r="AI42" i="6"/>
  <c r="AH42" i="6"/>
  <c r="AD42" i="6"/>
  <c r="BF37" i="6" a="1"/>
  <c r="BF37" i="6" s="1"/>
  <c r="AT37" i="6"/>
  <c r="BB37" i="6" a="1"/>
  <c r="BB37" i="6" s="1"/>
  <c r="AN37" i="6"/>
  <c r="AX37" i="6" a="1"/>
  <c r="AX37" i="6" s="1"/>
  <c r="BE37" i="6" a="1"/>
  <c r="BE37" i="6" s="1"/>
  <c r="BC37" i="6" a="1"/>
  <c r="BC37" i="6" s="1"/>
  <c r="AP37" i="6"/>
  <c r="AS37" i="6"/>
  <c r="AU37" i="6"/>
  <c r="AR37" i="6"/>
  <c r="AM37" i="6"/>
  <c r="AY37" i="6" a="1"/>
  <c r="AY37" i="6" s="1"/>
  <c r="BD37" i="6" a="1"/>
  <c r="BD37" i="6" s="1"/>
  <c r="BG37" i="6" a="1"/>
  <c r="BG37" i="6" s="1"/>
  <c r="AQ37" i="6"/>
  <c r="BA37" i="6" a="1"/>
  <c r="BA37" i="6" s="1"/>
  <c r="AZ37" i="6" a="1"/>
  <c r="AZ37" i="6" s="1"/>
  <c r="AO37" i="6"/>
  <c r="AV37" i="6"/>
  <c r="AJ37" i="6"/>
  <c r="AE37" i="6"/>
  <c r="AF37" i="6"/>
  <c r="AC37" i="6"/>
  <c r="AG37" i="6"/>
  <c r="AD37" i="6"/>
  <c r="AH37" i="6"/>
  <c r="AB37" i="6"/>
  <c r="AI37" i="6"/>
  <c r="AK37" i="6"/>
  <c r="E68" i="6"/>
  <c r="D68" i="12"/>
  <c r="I50" i="8"/>
  <c r="V49" i="12" a="1"/>
  <c r="V49" i="12" s="1"/>
  <c r="U49" i="12"/>
  <c r="T49" i="12"/>
  <c r="V44" i="8" a="1"/>
  <c r="V44" i="8" s="1"/>
  <c r="V46" i="8"/>
  <c r="X58" i="12" a="1"/>
  <c r="X58" i="12" s="1"/>
  <c r="W58" i="12" a="1"/>
  <c r="W58" i="12" s="1"/>
  <c r="H47" i="8" a="1"/>
  <c r="U47" i="8"/>
  <c r="U31" i="8" s="1" a="1"/>
  <c r="T63" i="12"/>
  <c r="U63" i="12"/>
  <c r="V63" i="12" a="1"/>
  <c r="V63" i="12" s="1"/>
  <c r="AN15" i="13"/>
  <c r="U15" i="13" s="1"/>
  <c r="AD4" i="13" s="1"/>
  <c r="M44" i="6"/>
  <c r="L15" i="13"/>
  <c r="P15" i="13" s="1"/>
  <c r="C15" i="11"/>
  <c r="P15" i="11"/>
  <c r="G11" i="11" s="1"/>
  <c r="W33" i="12" a="1"/>
  <c r="W33" i="12" s="1"/>
  <c r="X33" i="12" a="1"/>
  <c r="X33" i="12" s="1"/>
  <c r="V69" i="12" a="1"/>
  <c r="V69" i="12" s="1"/>
  <c r="T69" i="12"/>
  <c r="U69" i="12"/>
  <c r="V67" i="12" a="1"/>
  <c r="V67" i="12" s="1"/>
  <c r="T67" i="12"/>
  <c r="U67" i="12"/>
  <c r="U44" i="12"/>
  <c r="T44" i="12"/>
  <c r="V44" i="12" a="1"/>
  <c r="V44" i="12" s="1"/>
  <c r="V31" i="12" a="1"/>
  <c r="V31" i="12" s="1"/>
  <c r="U31" i="12"/>
  <c r="T31" i="12"/>
  <c r="X68" i="12" a="1"/>
  <c r="X68" i="12" s="1"/>
  <c r="W68" i="12" a="1"/>
  <c r="W68" i="12" s="1"/>
  <c r="O12" i="5" a="1"/>
  <c r="O12" i="5" s="1"/>
  <c r="BF38" i="6" a="1"/>
  <c r="BF38" i="6" s="1"/>
  <c r="AT38" i="6"/>
  <c r="AM38" i="6"/>
  <c r="AO38" i="6"/>
  <c r="BC38" i="6" a="1"/>
  <c r="BC38" i="6" s="1"/>
  <c r="BE38" i="6" a="1"/>
  <c r="BE38" i="6" s="1"/>
  <c r="AZ38" i="6" a="1"/>
  <c r="AZ38" i="6" s="1"/>
  <c r="AP38" i="6"/>
  <c r="AN38" i="6"/>
  <c r="AS38" i="6"/>
  <c r="BG38" i="6" a="1"/>
  <c r="BG38" i="6" s="1"/>
  <c r="AY38" i="6" a="1"/>
  <c r="AY38" i="6" s="1"/>
  <c r="BA38" i="6" a="1"/>
  <c r="BA38" i="6" s="1"/>
  <c r="AR38" i="6"/>
  <c r="BB38" i="6" a="1"/>
  <c r="BB38" i="6" s="1"/>
  <c r="AX38" i="6" a="1"/>
  <c r="AX38" i="6" s="1"/>
  <c r="AQ38" i="6"/>
  <c r="BD38" i="6" a="1"/>
  <c r="BD38" i="6" s="1"/>
  <c r="AU38" i="6"/>
  <c r="AV38" i="6"/>
  <c r="AI38" i="6"/>
  <c r="AC38" i="6"/>
  <c r="AB38" i="6"/>
  <c r="AD38" i="6"/>
  <c r="AG38" i="6"/>
  <c r="AF38" i="6"/>
  <c r="AH38" i="6"/>
  <c r="AK38" i="6"/>
  <c r="AE38" i="6"/>
  <c r="AJ38" i="6"/>
  <c r="AT35" i="6"/>
  <c r="AM35" i="6"/>
  <c r="AZ35" i="6" a="1"/>
  <c r="AZ35" i="6" s="1"/>
  <c r="AY35" i="6" a="1"/>
  <c r="AY35" i="6" s="1"/>
  <c r="AN35" i="6"/>
  <c r="AV35" i="6"/>
  <c r="BE35" i="6" a="1"/>
  <c r="BE35" i="6" s="1"/>
  <c r="AQ35" i="6"/>
  <c r="BC35" i="6" a="1"/>
  <c r="BC35" i="6" s="1"/>
  <c r="AR35" i="6"/>
  <c r="AO35" i="6"/>
  <c r="AS35" i="6"/>
  <c r="BB35" i="6" a="1"/>
  <c r="BB35" i="6" s="1"/>
  <c r="BF35" i="6" a="1"/>
  <c r="BF35" i="6" s="1"/>
  <c r="BG35" i="6" a="1"/>
  <c r="BG35" i="6" s="1"/>
  <c r="BD35" i="6" a="1"/>
  <c r="BD35" i="6" s="1"/>
  <c r="AX35" i="6" a="1"/>
  <c r="AX35" i="6" s="1"/>
  <c r="AP35" i="6"/>
  <c r="BA35" i="6" a="1"/>
  <c r="BA35" i="6" s="1"/>
  <c r="AU35" i="6"/>
  <c r="AC35" i="6"/>
  <c r="AI35" i="6"/>
  <c r="AF35" i="6"/>
  <c r="AJ35" i="6"/>
  <c r="AG35" i="6"/>
  <c r="AK35" i="6"/>
  <c r="AB35" i="6"/>
  <c r="AD35" i="6"/>
  <c r="AE35" i="6"/>
  <c r="AH35" i="6"/>
  <c r="W53" i="12" a="1"/>
  <c r="W53" i="12" s="1"/>
  <c r="X53" i="12" a="1"/>
  <c r="X53" i="12" s="1"/>
  <c r="U64" i="12"/>
  <c r="T64" i="12"/>
  <c r="V64" i="12" a="1"/>
  <c r="V64" i="12" s="1"/>
  <c r="T54" i="12"/>
  <c r="V54" i="12" a="1"/>
  <c r="V54" i="12" s="1"/>
  <c r="U54" i="12"/>
  <c r="AD44" i="8" a="1"/>
  <c r="AD44" i="8" s="1"/>
  <c r="AD46" i="8"/>
  <c r="AD31" i="8" s="1" a="1"/>
  <c r="E44" i="8" a="1"/>
  <c r="E44" i="8" s="1"/>
  <c r="E46" i="8"/>
  <c r="AC44" i="8" a="1"/>
  <c r="AC44" i="8" s="1"/>
  <c r="AC46" i="8"/>
  <c r="X44" i="8" a="1"/>
  <c r="X44" i="8" s="1"/>
  <c r="X46" i="8"/>
  <c r="X31" i="8" s="1" a="1"/>
  <c r="AC50" i="8" a="1"/>
  <c r="AC50" i="8" s="1"/>
  <c r="AC52" i="8"/>
  <c r="AC31" i="8" s="1" a="1"/>
  <c r="Y50" i="8" a="1"/>
  <c r="Y50" i="8" s="1"/>
  <c r="Y52" i="8"/>
  <c r="Y31" i="8" s="1" a="1"/>
  <c r="X50" i="8" a="1"/>
  <c r="X50" i="8" s="1"/>
  <c r="X52" i="8"/>
  <c r="T43" i="12"/>
  <c r="U43" i="12"/>
  <c r="V43" i="12" a="1"/>
  <c r="V43" i="12" s="1"/>
  <c r="U42" i="12"/>
  <c r="V42" i="12" a="1"/>
  <c r="V42" i="12" s="1"/>
  <c r="T42" i="12"/>
  <c r="D14" i="13"/>
  <c r="V14" i="13"/>
  <c r="T22" i="12"/>
  <c r="U22" i="12"/>
  <c r="V22" i="12" a="1"/>
  <c r="V22" i="12" s="1"/>
  <c r="V32" i="12" a="1"/>
  <c r="V32" i="12" s="1"/>
  <c r="T32" i="12"/>
  <c r="U32" i="12"/>
  <c r="V45" i="12" a="1"/>
  <c r="V45" i="12" s="1"/>
  <c r="U45" i="12"/>
  <c r="T45" i="12"/>
  <c r="W35" i="12" a="1"/>
  <c r="W35" i="12" s="1"/>
  <c r="X35" i="12" a="1"/>
  <c r="X35" i="12" s="1"/>
  <c r="T39" i="12"/>
  <c r="V39" i="12" a="1"/>
  <c r="V39" i="12" s="1"/>
  <c r="U39" i="12"/>
  <c r="W17" i="12"/>
  <c r="V29" i="12" a="1"/>
  <c r="V29" i="12" s="1"/>
  <c r="T29" i="12"/>
  <c r="U29" i="12"/>
  <c r="AB50" i="8" a="1"/>
  <c r="AB50" i="8" s="1"/>
  <c r="AB52" i="8"/>
  <c r="AB31" i="8" s="1" a="1"/>
  <c r="G20" i="8"/>
  <c r="G21" i="8" s="1" a="1"/>
  <c r="G21" i="8" s="1"/>
  <c r="H21" i="8" a="1"/>
  <c r="H21" i="8" s="1"/>
  <c r="H20" i="8" a="1"/>
  <c r="AE22" i="8" a="1"/>
  <c r="AB22" i="8" a="1"/>
  <c r="AA22" i="8" a="1"/>
  <c r="Y22" i="8" a="1"/>
  <c r="AF22" i="8" a="1"/>
  <c r="C20" i="8"/>
  <c r="V22" i="8" a="1"/>
  <c r="Z22" i="8" a="1"/>
  <c r="E22" i="8" a="1"/>
  <c r="W22" i="8" a="1"/>
  <c r="AC22" i="8" a="1"/>
  <c r="X22" i="8" a="1"/>
  <c r="U22" i="8" a="1"/>
  <c r="AD22" i="8" a="1"/>
  <c r="D20" i="8"/>
  <c r="X16" i="12" a="1"/>
  <c r="X16" i="12" s="1"/>
  <c r="W16" i="12" a="1"/>
  <c r="W16" i="12" s="1"/>
  <c r="X70" i="12" a="1"/>
  <c r="X70" i="12" s="1"/>
  <c r="W70" i="12" a="1"/>
  <c r="W70" i="12" s="1"/>
  <c r="E14" i="6"/>
  <c r="D16" i="12"/>
  <c r="E16" i="6"/>
  <c r="I14" i="8"/>
  <c r="BF36" i="6" a="1"/>
  <c r="BF36" i="6" s="1"/>
  <c r="AT36" i="6"/>
  <c r="BD36" i="6" a="1"/>
  <c r="BD36" i="6" s="1"/>
  <c r="AN36" i="6"/>
  <c r="AO36" i="6"/>
  <c r="AQ36" i="6"/>
  <c r="AV36" i="6"/>
  <c r="BE36" i="6" a="1"/>
  <c r="BE36" i="6" s="1"/>
  <c r="AP36" i="6"/>
  <c r="AY36" i="6" a="1"/>
  <c r="AY36" i="6" s="1"/>
  <c r="AX36" i="6" a="1"/>
  <c r="AX36" i="6" s="1"/>
  <c r="BC36" i="6" a="1"/>
  <c r="BC36" i="6" s="1"/>
  <c r="AU36" i="6"/>
  <c r="BA36" i="6" a="1"/>
  <c r="BA36" i="6" s="1"/>
  <c r="BB36" i="6" a="1"/>
  <c r="BB36" i="6" s="1"/>
  <c r="AZ36" i="6" a="1"/>
  <c r="AZ36" i="6" s="1"/>
  <c r="AM36" i="6"/>
  <c r="AR36" i="6"/>
  <c r="AS36" i="6"/>
  <c r="BG36" i="6" a="1"/>
  <c r="BG36" i="6" s="1"/>
  <c r="AJ36" i="6"/>
  <c r="AC36" i="6"/>
  <c r="AK36" i="6"/>
  <c r="AF36" i="6"/>
  <c r="AE36" i="6"/>
  <c r="AI36" i="6"/>
  <c r="AH36" i="6"/>
  <c r="AG36" i="6"/>
  <c r="AB36" i="6"/>
  <c r="AD36" i="6"/>
  <c r="AA44" i="8" a="1"/>
  <c r="AA44" i="8" s="1"/>
  <c r="AA46" i="8"/>
  <c r="AE44" i="8" a="1"/>
  <c r="AE44" i="8" s="1"/>
  <c r="AE46" i="8"/>
  <c r="AE31" i="8" s="1" a="1"/>
  <c r="Z44" i="8" a="1"/>
  <c r="Z44" i="8" s="1"/>
  <c r="Z46" i="8"/>
  <c r="Z31" i="8" s="1" a="1"/>
  <c r="J45" i="8"/>
  <c r="H44" i="8"/>
  <c r="V50" i="8" a="1"/>
  <c r="V50" i="8" s="1"/>
  <c r="V52" i="8"/>
  <c r="V31" i="8" s="1" a="1"/>
  <c r="AF50" i="8" a="1"/>
  <c r="AF50" i="8" s="1"/>
  <c r="AF52" i="8"/>
  <c r="J51" i="8"/>
  <c r="H50" i="8"/>
  <c r="U56" i="12"/>
  <c r="T56" i="12"/>
  <c r="V56" i="12" a="1"/>
  <c r="V56" i="12" s="1"/>
  <c r="W30" i="12" a="1"/>
  <c r="X30" i="12" a="1"/>
  <c r="X30" i="12" s="1"/>
  <c r="T18" i="12"/>
  <c r="U18" i="12"/>
  <c r="V18" i="12" a="1"/>
  <c r="V18" i="12" s="1"/>
  <c r="O24" i="11"/>
  <c r="X61" i="12" a="1"/>
  <c r="X61" i="12" s="1"/>
  <c r="W61" i="12" a="1"/>
  <c r="W61" i="12" s="1"/>
  <c r="AA40" i="5"/>
  <c r="AJ15" i="13" s="1" a="1"/>
  <c r="AJ15" i="13" s="1"/>
  <c r="R15" i="13" s="1"/>
  <c r="B22" i="7"/>
  <c r="C23" i="7" a="1"/>
  <c r="C23" i="7" s="1"/>
  <c r="V34" i="12" a="1"/>
  <c r="V34" i="12" s="1"/>
  <c r="U34" i="12"/>
  <c r="T34" i="12"/>
  <c r="AO40" i="12" a="1"/>
  <c r="AO40" i="12" s="1"/>
  <c r="Y40" i="12" s="1"/>
  <c r="N40" i="12"/>
  <c r="AE31" i="8" l="1"/>
  <c r="AE29" i="8" s="1" a="1"/>
  <c r="AE29" i="8" s="1"/>
  <c r="AB29" i="8" a="1"/>
  <c r="AB29" i="8" s="1"/>
  <c r="AB31" i="8"/>
  <c r="AC31" i="8"/>
  <c r="AC29" i="8" s="1" a="1"/>
  <c r="AC29" i="8" s="1"/>
  <c r="AD29" i="8" a="1"/>
  <c r="AD29" i="8" s="1"/>
  <c r="AD31" i="8"/>
  <c r="Z29" i="8" a="1"/>
  <c r="Z29" i="8" s="1"/>
  <c r="Z31" i="8"/>
  <c r="X31" i="8"/>
  <c r="X29" i="8" s="1" a="1"/>
  <c r="X29" i="8" s="1"/>
  <c r="W29" i="8" a="1"/>
  <c r="W29" i="8" s="1"/>
  <c r="W31" i="8"/>
  <c r="V31" i="8"/>
  <c r="V29" i="8" s="1" a="1"/>
  <c r="V29" i="8" s="1"/>
  <c r="Y29" i="8" a="1"/>
  <c r="Y29" i="8" s="1"/>
  <c r="Y31" i="8"/>
  <c r="U31" i="8"/>
  <c r="U29" i="8" s="1" a="1"/>
  <c r="U29" i="8" s="1"/>
  <c r="U68" i="12"/>
  <c r="T68" i="12"/>
  <c r="V68" i="12" a="1"/>
  <c r="V68" i="12" s="1"/>
  <c r="T58" i="12"/>
  <c r="U58" i="12"/>
  <c r="V58" i="12" a="1"/>
  <c r="V58" i="12" s="1"/>
  <c r="B23" i="7"/>
  <c r="C24" i="7" a="1"/>
  <c r="C24" i="7" s="1"/>
  <c r="V70" i="12" a="1"/>
  <c r="V70" i="12" s="1"/>
  <c r="U70" i="12"/>
  <c r="T70" i="12"/>
  <c r="U16" i="12"/>
  <c r="V16" i="12" a="1"/>
  <c r="V16" i="12" s="1"/>
  <c r="T16" i="12"/>
  <c r="AC20" i="8" a="1"/>
  <c r="AC20" i="8" s="1"/>
  <c r="AC22" i="8"/>
  <c r="AC16" i="8" s="1" a="1"/>
  <c r="AA20" i="8" a="1"/>
  <c r="AA20" i="8" s="1"/>
  <c r="AA22" i="8"/>
  <c r="AA16" i="8" s="1" a="1"/>
  <c r="T17" i="12"/>
  <c r="V17" i="12" a="1"/>
  <c r="V17" i="12" s="1"/>
  <c r="AD20" i="8" a="1"/>
  <c r="AD20" i="8" s="1"/>
  <c r="AD22" i="8"/>
  <c r="AD16" i="8" s="1" a="1"/>
  <c r="W20" i="8" a="1"/>
  <c r="W20" i="8" s="1"/>
  <c r="W22" i="8"/>
  <c r="W16" i="8" s="1" a="1"/>
  <c r="AB20" i="8" a="1"/>
  <c r="AB20" i="8" s="1"/>
  <c r="AB22" i="8"/>
  <c r="AB16" i="8" s="1" a="1"/>
  <c r="U17" i="12"/>
  <c r="U53" i="12"/>
  <c r="T53" i="12"/>
  <c r="V53" i="12" a="1"/>
  <c r="V53" i="12" s="1"/>
  <c r="J48" i="8"/>
  <c r="H47" i="8"/>
  <c r="N14" i="13"/>
  <c r="P14" i="13"/>
  <c r="O28" i="13"/>
  <c r="S15" i="13"/>
  <c r="M27" i="13" s="1"/>
  <c r="AK15" i="13"/>
  <c r="AB7" i="11"/>
  <c r="O25" i="11"/>
  <c r="AA7" i="11"/>
  <c r="Z3" i="11" s="1"/>
  <c r="AA3" i="11" s="1" a="1"/>
  <c r="AA3" i="11" s="1"/>
  <c r="E20" i="8" a="1"/>
  <c r="E20" i="8" s="1"/>
  <c r="E22" i="8"/>
  <c r="E16" i="8" s="1" a="1"/>
  <c r="E16" i="8" s="1"/>
  <c r="AE20" i="8" a="1"/>
  <c r="AE20" i="8" s="1"/>
  <c r="AE22" i="8"/>
  <c r="AE16" i="8" s="1" a="1"/>
  <c r="V15" i="13"/>
  <c r="V16" i="13" s="1"/>
  <c r="V17" i="13" s="1"/>
  <c r="V18" i="13" s="1"/>
  <c r="V19" i="13" s="1"/>
  <c r="V20" i="13" s="1"/>
  <c r="V21" i="13" s="1"/>
  <c r="V22" i="13" s="1"/>
  <c r="V23" i="13" s="1"/>
  <c r="D15" i="13"/>
  <c r="AF29" i="8" a="1"/>
  <c r="AF29" i="8" s="1"/>
  <c r="AF31" i="8"/>
  <c r="AA29" i="8" a="1"/>
  <c r="AA29" i="8" s="1"/>
  <c r="AA31" i="8"/>
  <c r="E29" i="8" a="1"/>
  <c r="E29" i="8" s="1"/>
  <c r="E31" i="8"/>
  <c r="X20" i="8" a="1"/>
  <c r="X20" i="8" s="1"/>
  <c r="X22" i="8"/>
  <c r="X16" i="8" s="1" a="1"/>
  <c r="Z20" i="8" a="1"/>
  <c r="Z20" i="8" s="1"/>
  <c r="Z22" i="8"/>
  <c r="Z16" i="8" s="1" a="1"/>
  <c r="Y20" i="8" a="1"/>
  <c r="Y20" i="8" s="1"/>
  <c r="Y22" i="8"/>
  <c r="Y16" i="8" s="1" a="1"/>
  <c r="J21" i="8"/>
  <c r="H20" i="8"/>
  <c r="T35" i="12"/>
  <c r="V35" i="12" a="1"/>
  <c r="V35" i="12" s="1"/>
  <c r="U35" i="12"/>
  <c r="L28" i="13"/>
  <c r="AJ14" i="13"/>
  <c r="R14" i="13" s="1"/>
  <c r="M26" i="13" s="1"/>
  <c r="T14" i="13"/>
  <c r="AM14" i="13"/>
  <c r="W40" i="12" a="1"/>
  <c r="X40" i="12" a="1"/>
  <c r="X40" i="12" s="1"/>
  <c r="AA15" i="11" a="1"/>
  <c r="AA15" i="11" s="1"/>
  <c r="AM15" i="13" a="1"/>
  <c r="AM15" i="13" s="1"/>
  <c r="T15" i="13" s="1"/>
  <c r="U20" i="8" a="1"/>
  <c r="U20" i="8" s="1"/>
  <c r="U22" i="8"/>
  <c r="U16" i="8" s="1" a="1"/>
  <c r="U16" i="8" s="1"/>
  <c r="AF20" i="8" a="1"/>
  <c r="AF20" i="8" s="1"/>
  <c r="AF22" i="8"/>
  <c r="AF16" i="8" s="1" a="1"/>
  <c r="V61" i="12" a="1"/>
  <c r="V61" i="12" s="1"/>
  <c r="U61" i="12"/>
  <c r="T61" i="12"/>
  <c r="U30" i="12"/>
  <c r="W30" i="12"/>
  <c r="V20" i="8" a="1"/>
  <c r="V20" i="8" s="1"/>
  <c r="V22" i="8"/>
  <c r="V16" i="8" s="1" a="1"/>
  <c r="U33" i="12"/>
  <c r="V33" i="12" a="1"/>
  <c r="V33" i="12" s="1"/>
  <c r="T33" i="12"/>
  <c r="AB44" i="6"/>
  <c r="AP44" i="6"/>
  <c r="AU44" i="6"/>
  <c r="AZ44" i="6" a="1"/>
  <c r="AZ44" i="6" s="1"/>
  <c r="BA44" i="6" a="1"/>
  <c r="BA44" i="6" s="1"/>
  <c r="AR44" i="6"/>
  <c r="AM44" i="6"/>
  <c r="AN44" i="6"/>
  <c r="BE44" i="6" a="1"/>
  <c r="BE44" i="6" s="1"/>
  <c r="AY44" i="6" a="1"/>
  <c r="AY44" i="6" s="1"/>
  <c r="BF44" i="6" a="1"/>
  <c r="BF44" i="6" s="1"/>
  <c r="BG44" i="6" a="1"/>
  <c r="BG44" i="6" s="1"/>
  <c r="AX44" i="6" a="1"/>
  <c r="AX44" i="6" s="1"/>
  <c r="AS44" i="6"/>
  <c r="BC44" i="6" a="1"/>
  <c r="BC44" i="6" s="1"/>
  <c r="AV44" i="6"/>
  <c r="AO44" i="6"/>
  <c r="BD44" i="6" a="1"/>
  <c r="BD44" i="6" s="1"/>
  <c r="AT44" i="6"/>
  <c r="AQ44" i="6"/>
  <c r="BB44" i="6" a="1"/>
  <c r="BB44" i="6" s="1"/>
  <c r="AK44" i="6"/>
  <c r="AI44" i="6"/>
  <c r="AJ44" i="6"/>
  <c r="AE44" i="6"/>
  <c r="M47" i="6"/>
  <c r="M45" i="6"/>
  <c r="AF44" i="6"/>
  <c r="AD44" i="6"/>
  <c r="M46" i="6"/>
  <c r="AH44" i="6"/>
  <c r="AG44" i="6"/>
  <c r="AC44" i="6"/>
  <c r="M28" i="13"/>
  <c r="W57" i="12" a="1"/>
  <c r="W57" i="12" s="1"/>
  <c r="X57" i="12" a="1"/>
  <c r="X57" i="12" s="1"/>
  <c r="N14" i="11"/>
  <c r="N24" i="11" s="1"/>
  <c r="AB24" i="11"/>
  <c r="Z14" i="11"/>
  <c r="T66" i="12"/>
  <c r="V66" i="12" a="1"/>
  <c r="V66" i="12" s="1"/>
  <c r="U66" i="12"/>
  <c r="N25" i="11" l="1"/>
  <c r="L27" i="13"/>
  <c r="D32" i="14" s="1"/>
  <c r="U14" i="8" a="1"/>
  <c r="U14" i="8" s="1"/>
  <c r="U62" i="8" a="1"/>
  <c r="U62" i="8" s="1"/>
  <c r="U61" i="8" a="1"/>
  <c r="U61" i="8" s="1"/>
  <c r="U63" i="8"/>
  <c r="AF14" i="8" a="1"/>
  <c r="AF14" i="8" s="1"/>
  <c r="AF16" i="8"/>
  <c r="AD3" i="13"/>
  <c r="BF45" i="6" a="1"/>
  <c r="BF45" i="6" s="1"/>
  <c r="AO45" i="6"/>
  <c r="BE45" i="6" a="1"/>
  <c r="BE45" i="6" s="1"/>
  <c r="AS45" i="6"/>
  <c r="AX45" i="6" a="1"/>
  <c r="AX45" i="6" s="1"/>
  <c r="AP45" i="6"/>
  <c r="AN45" i="6"/>
  <c r="AZ45" i="6" a="1"/>
  <c r="AZ45" i="6" s="1"/>
  <c r="AT45" i="6"/>
  <c r="BA45" i="6" a="1"/>
  <c r="BA45" i="6" s="1"/>
  <c r="AM45" i="6"/>
  <c r="AY45" i="6" a="1"/>
  <c r="AY45" i="6" s="1"/>
  <c r="BD45" i="6" a="1"/>
  <c r="BD45" i="6" s="1"/>
  <c r="BB45" i="6" a="1"/>
  <c r="BB45" i="6" s="1"/>
  <c r="AQ45" i="6"/>
  <c r="AU45" i="6"/>
  <c r="AV45" i="6"/>
  <c r="BC45" i="6" a="1"/>
  <c r="BC45" i="6" s="1"/>
  <c r="BG45" i="6" a="1"/>
  <c r="BG45" i="6" s="1"/>
  <c r="AR45" i="6"/>
  <c r="AH45" i="6"/>
  <c r="AB45" i="6"/>
  <c r="AC45" i="6"/>
  <c r="AD45" i="6"/>
  <c r="AE45" i="6"/>
  <c r="AI45" i="6"/>
  <c r="AJ45" i="6"/>
  <c r="AK45" i="6"/>
  <c r="AF45" i="6"/>
  <c r="AG45" i="6"/>
  <c r="T57" i="12"/>
  <c r="U57" i="12"/>
  <c r="V57" i="12" a="1"/>
  <c r="V57" i="12" s="1"/>
  <c r="V14" i="8" a="1"/>
  <c r="V14" i="8" s="1"/>
  <c r="V16" i="8"/>
  <c r="V63" i="8" s="1"/>
  <c r="AA24" i="11"/>
  <c r="Z15" i="11"/>
  <c r="Z24" i="11" s="1"/>
  <c r="L24" i="13"/>
  <c r="D33" i="14"/>
  <c r="Z16" i="8"/>
  <c r="Z14" i="8" s="1" a="1"/>
  <c r="Z14" i="8" s="1"/>
  <c r="AE14" i="8" a="1"/>
  <c r="AE14" i="8" s="1"/>
  <c r="AE16" i="8"/>
  <c r="AD22" i="11"/>
  <c r="AD20" i="11"/>
  <c r="AE19" i="11" s="1"/>
  <c r="M19" i="11" s="1"/>
  <c r="L19" i="11" s="1"/>
  <c r="AD23" i="11"/>
  <c r="AD16" i="11"/>
  <c r="AD14" i="11"/>
  <c r="AD12" i="11"/>
  <c r="AD21" i="11"/>
  <c r="AD18" i="11"/>
  <c r="AD19" i="11"/>
  <c r="AD15" i="11"/>
  <c r="AE14" i="11" s="1"/>
  <c r="M14" i="11" s="1"/>
  <c r="AD17" i="11"/>
  <c r="W16" i="8"/>
  <c r="W63" i="8" s="1"/>
  <c r="AC14" i="8" a="1"/>
  <c r="AC14" i="8" s="1"/>
  <c r="AC16" i="8"/>
  <c r="O29" i="13"/>
  <c r="M24" i="13"/>
  <c r="M25" i="13"/>
  <c r="O24" i="13"/>
  <c r="D51" i="2" a="1"/>
  <c r="D51" i="2" s="1"/>
  <c r="D53" i="2" a="1"/>
  <c r="D53" i="2" s="1"/>
  <c r="P24" i="13"/>
  <c r="F33" i="14"/>
  <c r="AD6" i="13"/>
  <c r="AE6" i="13" s="1"/>
  <c r="D48" i="2" a="1"/>
  <c r="D48" i="2" s="1"/>
  <c r="AC27" i="13"/>
  <c r="D54" i="2" a="1"/>
  <c r="D54" i="2" s="1"/>
  <c r="D47" i="2" a="1"/>
  <c r="D47" i="2" s="1"/>
  <c r="D46" i="2" s="1"/>
  <c r="AD27" i="13"/>
  <c r="D52" i="2" a="1"/>
  <c r="D52" i="2" s="1"/>
  <c r="N28" i="13"/>
  <c r="AE4" i="13"/>
  <c r="O27" i="13" s="1"/>
  <c r="C25" i="7" a="1"/>
  <c r="C25" i="7" s="1"/>
  <c r="B24" i="7"/>
  <c r="AQ46" i="6"/>
  <c r="BD46" i="6" a="1"/>
  <c r="BD46" i="6" s="1"/>
  <c r="AV46" i="6"/>
  <c r="AN46" i="6"/>
  <c r="BC46" i="6" a="1"/>
  <c r="BC46" i="6" s="1"/>
  <c r="AS46" i="6"/>
  <c r="AZ46" i="6" a="1"/>
  <c r="AZ46" i="6" s="1"/>
  <c r="AX46" i="6" a="1"/>
  <c r="AX46" i="6" s="1"/>
  <c r="BG46" i="6" a="1"/>
  <c r="BG46" i="6" s="1"/>
  <c r="AO46" i="6"/>
  <c r="BA46" i="6" a="1"/>
  <c r="BA46" i="6" s="1"/>
  <c r="AY46" i="6" a="1"/>
  <c r="AY46" i="6" s="1"/>
  <c r="AU46" i="6"/>
  <c r="BE46" i="6" a="1"/>
  <c r="BE46" i="6" s="1"/>
  <c r="BF46" i="6" a="1"/>
  <c r="BF46" i="6" s="1"/>
  <c r="BB46" i="6" a="1"/>
  <c r="BB46" i="6" s="1"/>
  <c r="AR46" i="6"/>
  <c r="AP46" i="6"/>
  <c r="AM46" i="6"/>
  <c r="AT46" i="6"/>
  <c r="AC46" i="6"/>
  <c r="AG46" i="6"/>
  <c r="AH46" i="6"/>
  <c r="AB46" i="6"/>
  <c r="AI46" i="6"/>
  <c r="AJ46" i="6"/>
  <c r="AE46" i="6"/>
  <c r="AD46" i="6"/>
  <c r="AK46" i="6"/>
  <c r="AF46" i="6"/>
  <c r="BB47" i="6" a="1"/>
  <c r="BB47" i="6" s="1"/>
  <c r="AU47" i="6"/>
  <c r="BF47" i="6" a="1"/>
  <c r="BF47" i="6" s="1"/>
  <c r="AT47" i="6"/>
  <c r="AZ47" i="6" a="1"/>
  <c r="AZ47" i="6" s="1"/>
  <c r="AR47" i="6"/>
  <c r="AM47" i="6"/>
  <c r="BE47" i="6" a="1"/>
  <c r="BE47" i="6" s="1"/>
  <c r="BG47" i="6" a="1"/>
  <c r="BG47" i="6" s="1"/>
  <c r="AN47" i="6"/>
  <c r="AX47" i="6" a="1"/>
  <c r="AX47" i="6" s="1"/>
  <c r="BD47" i="6" a="1"/>
  <c r="BD47" i="6" s="1"/>
  <c r="AV47" i="6"/>
  <c r="AQ47" i="6"/>
  <c r="AY47" i="6" a="1"/>
  <c r="AY47" i="6" s="1"/>
  <c r="AO47" i="6"/>
  <c r="AP47" i="6"/>
  <c r="BA47" i="6" a="1"/>
  <c r="BA47" i="6" s="1"/>
  <c r="BC47" i="6" a="1"/>
  <c r="BC47" i="6" s="1"/>
  <c r="AS47" i="6"/>
  <c r="AD47" i="6"/>
  <c r="AB47" i="6"/>
  <c r="AJ47" i="6"/>
  <c r="AE47" i="6"/>
  <c r="AG47" i="6"/>
  <c r="AC47" i="6"/>
  <c r="AH47" i="6"/>
  <c r="AK47" i="6"/>
  <c r="AI47" i="6"/>
  <c r="AF47" i="6"/>
  <c r="M49" i="6"/>
  <c r="T30" i="12"/>
  <c r="V30" i="12" a="1"/>
  <c r="V30" i="12" s="1"/>
  <c r="U40" i="12"/>
  <c r="W40" i="12"/>
  <c r="Y16" i="8"/>
  <c r="X14" i="8" a="1"/>
  <c r="X14" i="8" s="1"/>
  <c r="X16" i="8"/>
  <c r="X63" i="8" s="1"/>
  <c r="E14" i="8" a="1"/>
  <c r="E14" i="8" s="1"/>
  <c r="E61" i="8" a="1"/>
  <c r="E62" i="8" a="1"/>
  <c r="E63" i="8"/>
  <c r="AB16" i="8"/>
  <c r="AD14" i="8" a="1"/>
  <c r="AD14" i="8" s="1"/>
  <c r="AD16" i="8"/>
  <c r="AA16" i="8"/>
  <c r="E62" i="8" l="1"/>
  <c r="E60" i="8" s="1"/>
  <c r="E55" i="8" s="1"/>
  <c r="L14" i="11"/>
  <c r="E61" i="8"/>
  <c r="E56" i="8" s="1"/>
  <c r="B25" i="7"/>
  <c r="C26" i="7" a="1"/>
  <c r="C26" i="7" s="1"/>
  <c r="W58" i="8"/>
  <c r="L71" i="9"/>
  <c r="W59" i="8"/>
  <c r="L70" i="9" s="1"/>
  <c r="L73" i="9" s="1"/>
  <c r="AE18" i="11"/>
  <c r="M18" i="11" s="1"/>
  <c r="L18" i="11" s="1"/>
  <c r="AE12" i="11"/>
  <c r="M12" i="11" s="1"/>
  <c r="L12" i="11" s="1"/>
  <c r="AE21" i="11"/>
  <c r="M21" i="11" s="1"/>
  <c r="L21" i="11" s="1"/>
  <c r="F34" i="14"/>
  <c r="G10" i="13"/>
  <c r="Z63" i="8"/>
  <c r="AA63" i="8"/>
  <c r="Y63" i="8"/>
  <c r="AA14" i="8" a="1"/>
  <c r="AA14" i="8" s="1"/>
  <c r="AB14" i="8" a="1"/>
  <c r="AB14" i="8" s="1"/>
  <c r="Y14" i="8" a="1"/>
  <c r="Y14" i="8" s="1"/>
  <c r="F32" i="14"/>
  <c r="N27" i="13"/>
  <c r="E32" i="14" s="1"/>
  <c r="D1" i="2"/>
  <c r="D50" i="2"/>
  <c r="W14" i="8" a="1"/>
  <c r="W14" i="8" s="1"/>
  <c r="AE17" i="11"/>
  <c r="M17" i="11" s="1"/>
  <c r="L17" i="11" s="1"/>
  <c r="AE15" i="11"/>
  <c r="M15" i="11" s="1"/>
  <c r="L15" i="11" s="1"/>
  <c r="AD2" i="13"/>
  <c r="U59" i="8"/>
  <c r="U58" i="8"/>
  <c r="U60" i="8"/>
  <c r="U55" i="8" s="1"/>
  <c r="H71" i="9"/>
  <c r="U57" i="8"/>
  <c r="V62" i="8" a="1"/>
  <c r="V62" i="8" s="1"/>
  <c r="E58" i="8"/>
  <c r="E54" i="8" s="1"/>
  <c r="E59" i="8"/>
  <c r="E64" i="8" s="1"/>
  <c r="X59" i="8"/>
  <c r="N70" i="9" s="1"/>
  <c r="N73" i="9" s="1"/>
  <c r="X58" i="8"/>
  <c r="N71" i="9"/>
  <c r="T40" i="12"/>
  <c r="V40" i="12" a="1"/>
  <c r="V40" i="12" s="1"/>
  <c r="BG49" i="6" a="1"/>
  <c r="BG49" i="6" s="1"/>
  <c r="AN49" i="6"/>
  <c r="AO49" i="6"/>
  <c r="BC49" i="6" a="1"/>
  <c r="BC49" i="6" s="1"/>
  <c r="BD49" i="6" a="1"/>
  <c r="BD49" i="6" s="1"/>
  <c r="AZ49" i="6" a="1"/>
  <c r="AZ49" i="6" s="1"/>
  <c r="AV49" i="6"/>
  <c r="AU49" i="6"/>
  <c r="AQ49" i="6"/>
  <c r="AP49" i="6"/>
  <c r="BE49" i="6" a="1"/>
  <c r="BE49" i="6" s="1"/>
  <c r="BA49" i="6" a="1"/>
  <c r="BA49" i="6" s="1"/>
  <c r="AS49" i="6"/>
  <c r="BB49" i="6" a="1"/>
  <c r="BB49" i="6" s="1"/>
  <c r="AT49" i="6"/>
  <c r="AM49" i="6"/>
  <c r="AR49" i="6"/>
  <c r="BF49" i="6" a="1"/>
  <c r="BF49" i="6" s="1"/>
  <c r="AX49" i="6" a="1"/>
  <c r="AX49" i="6" s="1"/>
  <c r="AY49" i="6" a="1"/>
  <c r="AY49" i="6" s="1"/>
  <c r="M50" i="6"/>
  <c r="AC49" i="6"/>
  <c r="AI49" i="6"/>
  <c r="M52" i="6"/>
  <c r="AJ49" i="6"/>
  <c r="AD49" i="6"/>
  <c r="AK49" i="6"/>
  <c r="M51" i="6"/>
  <c r="AF49" i="6"/>
  <c r="AB49" i="6"/>
  <c r="AH49" i="6"/>
  <c r="AG49" i="6"/>
  <c r="AE49" i="6"/>
  <c r="E34" i="14"/>
  <c r="N24" i="13"/>
  <c r="E33" i="14"/>
  <c r="AE16" i="11"/>
  <c r="M16" i="11" s="1"/>
  <c r="L16" i="11" s="1"/>
  <c r="AE20" i="11"/>
  <c r="M20" i="11" s="1"/>
  <c r="L20" i="11" s="1"/>
  <c r="AE22" i="11"/>
  <c r="M22" i="11" s="1"/>
  <c r="L22" i="11" s="1"/>
  <c r="AE23" i="11"/>
  <c r="M23" i="11" s="1"/>
  <c r="L23" i="11" s="1"/>
  <c r="J71" i="9"/>
  <c r="V59" i="8"/>
  <c r="J70" i="9" s="1"/>
  <c r="J73" i="9" s="1"/>
  <c r="V58" i="8"/>
  <c r="U56" i="8"/>
  <c r="V61" i="8" a="1"/>
  <c r="V61" i="8" s="1"/>
  <c r="V60" i="8" s="1"/>
  <c r="V55" i="8" s="1"/>
  <c r="T71" i="9" l="1"/>
  <c r="AA59" i="8"/>
  <c r="T70" i="9" s="1"/>
  <c r="T73" i="9" s="1"/>
  <c r="AA58" i="8"/>
  <c r="M24" i="11"/>
  <c r="J69" i="9"/>
  <c r="V54" i="8"/>
  <c r="J68" i="9" s="1"/>
  <c r="X54" i="8"/>
  <c r="N68" i="9" s="1"/>
  <c r="N69" i="9"/>
  <c r="H70" i="9"/>
  <c r="H73" i="9" s="1"/>
  <c r="AU51" i="6"/>
  <c r="AP51" i="6"/>
  <c r="BG51" i="6" a="1"/>
  <c r="BG51" i="6" s="1"/>
  <c r="BC51" i="6" a="1"/>
  <c r="BC51" i="6" s="1"/>
  <c r="BF51" i="6" a="1"/>
  <c r="BF51" i="6" s="1"/>
  <c r="AV51" i="6"/>
  <c r="BA51" i="6" a="1"/>
  <c r="BA51" i="6" s="1"/>
  <c r="AN51" i="6"/>
  <c r="AM51" i="6"/>
  <c r="AQ51" i="6"/>
  <c r="BB51" i="6" a="1"/>
  <c r="BB51" i="6" s="1"/>
  <c r="AY51" i="6" a="1"/>
  <c r="AY51" i="6" s="1"/>
  <c r="BD51" i="6" a="1"/>
  <c r="BD51" i="6" s="1"/>
  <c r="BE51" i="6" a="1"/>
  <c r="BE51" i="6" s="1"/>
  <c r="AT51" i="6"/>
  <c r="AX51" i="6" a="1"/>
  <c r="AX51" i="6" s="1"/>
  <c r="AZ51" i="6" a="1"/>
  <c r="AZ51" i="6" s="1"/>
  <c r="AO51" i="6"/>
  <c r="AS51" i="6"/>
  <c r="AR51" i="6"/>
  <c r="AB51" i="6"/>
  <c r="AH51" i="6"/>
  <c r="AC51" i="6"/>
  <c r="AG51" i="6"/>
  <c r="AI51" i="6"/>
  <c r="AF51" i="6"/>
  <c r="AJ51" i="6"/>
  <c r="AK51" i="6"/>
  <c r="AE51" i="6"/>
  <c r="AD51" i="6"/>
  <c r="R71" i="9"/>
  <c r="Z58" i="8"/>
  <c r="Z59" i="8"/>
  <c r="R70" i="9" s="1"/>
  <c r="R73" i="9" s="1"/>
  <c r="J81" i="12"/>
  <c r="S77" i="10"/>
  <c r="Y58" i="8"/>
  <c r="P71" i="9"/>
  <c r="Y59" i="8"/>
  <c r="P70" i="9" s="1"/>
  <c r="P73" i="9" s="1"/>
  <c r="L69" i="9"/>
  <c r="W54" i="8"/>
  <c r="L68" i="9" s="1"/>
  <c r="E57" i="8"/>
  <c r="BE50" i="6" a="1"/>
  <c r="BE50" i="6" s="1"/>
  <c r="AR50" i="6"/>
  <c r="BB50" i="6" a="1"/>
  <c r="BB50" i="6" s="1"/>
  <c r="AQ50" i="6"/>
  <c r="AP50" i="6"/>
  <c r="BF50" i="6" a="1"/>
  <c r="BF50" i="6" s="1"/>
  <c r="BC50" i="6" a="1"/>
  <c r="BC50" i="6" s="1"/>
  <c r="AX50" i="6" a="1"/>
  <c r="AX50" i="6" s="1"/>
  <c r="AM50" i="6"/>
  <c r="AU50" i="6"/>
  <c r="BA50" i="6" a="1"/>
  <c r="BA50" i="6" s="1"/>
  <c r="AY50" i="6" a="1"/>
  <c r="AY50" i="6" s="1"/>
  <c r="AZ50" i="6" a="1"/>
  <c r="AZ50" i="6" s="1"/>
  <c r="AV50" i="6"/>
  <c r="AS50" i="6"/>
  <c r="BG50" i="6" a="1"/>
  <c r="BG50" i="6" s="1"/>
  <c r="AT50" i="6"/>
  <c r="AN50" i="6"/>
  <c r="BD50" i="6" a="1"/>
  <c r="BD50" i="6" s="1"/>
  <c r="AO50" i="6"/>
  <c r="AH50" i="6"/>
  <c r="AB50" i="6"/>
  <c r="AC50" i="6"/>
  <c r="AI50" i="6"/>
  <c r="AF50" i="6"/>
  <c r="AJ50" i="6"/>
  <c r="AG50" i="6"/>
  <c r="AD50" i="6"/>
  <c r="AE50" i="6"/>
  <c r="AK50" i="6"/>
  <c r="V56" i="8"/>
  <c r="W61" i="8" a="1"/>
  <c r="W61" i="8" s="1"/>
  <c r="AU52" i="6"/>
  <c r="BB52" i="6" a="1"/>
  <c r="BB52" i="6" s="1"/>
  <c r="AX52" i="6" a="1"/>
  <c r="AX52" i="6" s="1"/>
  <c r="AZ52" i="6" a="1"/>
  <c r="AZ52" i="6" s="1"/>
  <c r="AS52" i="6"/>
  <c r="AM52" i="6"/>
  <c r="AQ52" i="6"/>
  <c r="BC52" i="6" a="1"/>
  <c r="BC52" i="6" s="1"/>
  <c r="AR52" i="6"/>
  <c r="AP52" i="6"/>
  <c r="AN52" i="6"/>
  <c r="BG52" i="6" a="1"/>
  <c r="BG52" i="6" s="1"/>
  <c r="BD52" i="6" a="1"/>
  <c r="BD52" i="6" s="1"/>
  <c r="AO52" i="6"/>
  <c r="BE52" i="6" a="1"/>
  <c r="BE52" i="6" s="1"/>
  <c r="AV52" i="6"/>
  <c r="AT52" i="6"/>
  <c r="AY52" i="6" a="1"/>
  <c r="AY52" i="6" s="1"/>
  <c r="BA52" i="6" a="1"/>
  <c r="BA52" i="6" s="1"/>
  <c r="BF52" i="6" a="1"/>
  <c r="BF52" i="6" s="1"/>
  <c r="AB52" i="6"/>
  <c r="AE52" i="6"/>
  <c r="AH52" i="6"/>
  <c r="AK52" i="6"/>
  <c r="AC52" i="6"/>
  <c r="AI52" i="6"/>
  <c r="AG52" i="6"/>
  <c r="AJ52" i="6"/>
  <c r="AF52" i="6"/>
  <c r="AD52" i="6"/>
  <c r="M54" i="6"/>
  <c r="V57" i="8"/>
  <c r="W62" i="8" a="1"/>
  <c r="W62" i="8" s="1"/>
  <c r="U54" i="8"/>
  <c r="H68" i="9" s="1"/>
  <c r="H69" i="9"/>
  <c r="AB63" i="8"/>
  <c r="B26" i="7"/>
  <c r="C27" i="7" a="1"/>
  <c r="C27" i="7" s="1"/>
  <c r="L24" i="11"/>
  <c r="AE3" i="13"/>
  <c r="C28" i="7" l="1" a="1"/>
  <c r="C28" i="7" s="1"/>
  <c r="B27" i="7"/>
  <c r="AA54" i="8"/>
  <c r="T68" i="9" s="1"/>
  <c r="T69" i="9"/>
  <c r="W57" i="8"/>
  <c r="X62" i="8" a="1"/>
  <c r="X62" i="8" s="1"/>
  <c r="W60" i="8"/>
  <c r="W55" i="8" s="1"/>
  <c r="Z54" i="8"/>
  <c r="R68" i="9" s="1"/>
  <c r="R69" i="9"/>
  <c r="AB58" i="8"/>
  <c r="V71" i="9"/>
  <c r="AB59" i="8"/>
  <c r="V70" i="9" s="1"/>
  <c r="V73" i="9" s="1"/>
  <c r="AC63" i="8"/>
  <c r="W56" i="8"/>
  <c r="X61" i="8" a="1"/>
  <c r="X61" i="8" s="1"/>
  <c r="P69" i="9"/>
  <c r="Y54" i="8"/>
  <c r="P68" i="9" s="1"/>
  <c r="O26" i="13"/>
  <c r="AE2" i="13"/>
  <c r="L10" i="11"/>
  <c r="M10" i="13" s="1"/>
  <c r="L25" i="13"/>
  <c r="D30" i="14" s="1"/>
  <c r="L25" i="11"/>
  <c r="AZ54" i="6" a="1"/>
  <c r="AZ54" i="6" s="1"/>
  <c r="AY54" i="6" a="1"/>
  <c r="AY54" i="6" s="1"/>
  <c r="AV54" i="6"/>
  <c r="BD54" i="6" a="1"/>
  <c r="BD54" i="6" s="1"/>
  <c r="AT54" i="6"/>
  <c r="AO54" i="6"/>
  <c r="AM54" i="6"/>
  <c r="AU54" i="6"/>
  <c r="AP54" i="6"/>
  <c r="AS54" i="6"/>
  <c r="BC54" i="6" a="1"/>
  <c r="BC54" i="6" s="1"/>
  <c r="BG54" i="6" a="1"/>
  <c r="BG54" i="6" s="1"/>
  <c r="BB54" i="6" a="1"/>
  <c r="BB54" i="6" s="1"/>
  <c r="AN54" i="6"/>
  <c r="BA54" i="6" a="1"/>
  <c r="BA54" i="6" s="1"/>
  <c r="AR54" i="6"/>
  <c r="BE54" i="6" a="1"/>
  <c r="BE54" i="6" s="1"/>
  <c r="AX54" i="6" a="1"/>
  <c r="AX54" i="6" s="1"/>
  <c r="AQ54" i="6"/>
  <c r="BF54" i="6" a="1"/>
  <c r="BF54" i="6" s="1"/>
  <c r="AK54" i="6"/>
  <c r="AD54" i="6"/>
  <c r="AI54" i="6"/>
  <c r="M55" i="6"/>
  <c r="AF54" i="6"/>
  <c r="AE54" i="6"/>
  <c r="AC54" i="6"/>
  <c r="M56" i="6"/>
  <c r="AG54" i="6"/>
  <c r="AB54" i="6"/>
  <c r="AJ54" i="6"/>
  <c r="AH54" i="6"/>
  <c r="L26" i="13"/>
  <c r="M10" i="11"/>
  <c r="N10" i="13" s="1"/>
  <c r="M25" i="11"/>
  <c r="BG56" i="6" l="1" a="1"/>
  <c r="BG56" i="6" s="1"/>
  <c r="BB56" i="6" a="1"/>
  <c r="BB56" i="6" s="1"/>
  <c r="AS56" i="6"/>
  <c r="BC56" i="6" a="1"/>
  <c r="BC56" i="6" s="1"/>
  <c r="AX56" i="6" a="1"/>
  <c r="AX56" i="6" s="1"/>
  <c r="AZ56" i="6" a="1"/>
  <c r="AZ56" i="6" s="1"/>
  <c r="AU56" i="6"/>
  <c r="AT56" i="6"/>
  <c r="BD56" i="6" a="1"/>
  <c r="BD56" i="6" s="1"/>
  <c r="AO56" i="6"/>
  <c r="AN56" i="6"/>
  <c r="AQ56" i="6"/>
  <c r="AM56" i="6"/>
  <c r="AP56" i="6"/>
  <c r="AV56" i="6"/>
  <c r="BF56" i="6" a="1"/>
  <c r="BF56" i="6" s="1"/>
  <c r="BE56" i="6" a="1"/>
  <c r="BE56" i="6" s="1"/>
  <c r="AR56" i="6"/>
  <c r="AY56" i="6" a="1"/>
  <c r="AY56" i="6" s="1"/>
  <c r="BA56" i="6" a="1"/>
  <c r="BA56" i="6" s="1"/>
  <c r="AB56" i="6"/>
  <c r="AH56" i="6"/>
  <c r="AK56" i="6"/>
  <c r="AD56" i="6"/>
  <c r="AF56" i="6"/>
  <c r="AJ56" i="6"/>
  <c r="AE56" i="6"/>
  <c r="AG56" i="6"/>
  <c r="AI56" i="6"/>
  <c r="AC56" i="6"/>
  <c r="M58" i="6"/>
  <c r="BA55" i="6" a="1"/>
  <c r="BA55" i="6" s="1"/>
  <c r="AX55" i="6" a="1"/>
  <c r="AX55" i="6" s="1"/>
  <c r="BB55" i="6" a="1"/>
  <c r="BB55" i="6" s="1"/>
  <c r="BC55" i="6" a="1"/>
  <c r="BC55" i="6" s="1"/>
  <c r="BD55" i="6" a="1"/>
  <c r="BD55" i="6" s="1"/>
  <c r="AT55" i="6"/>
  <c r="AV55" i="6"/>
  <c r="AY55" i="6" a="1"/>
  <c r="AY55" i="6" s="1"/>
  <c r="AP55" i="6"/>
  <c r="AS55" i="6"/>
  <c r="BF55" i="6" a="1"/>
  <c r="BF55" i="6" s="1"/>
  <c r="BG55" i="6" a="1"/>
  <c r="BG55" i="6" s="1"/>
  <c r="AO55" i="6"/>
  <c r="AM55" i="6"/>
  <c r="AR55" i="6"/>
  <c r="BE55" i="6" a="1"/>
  <c r="BE55" i="6" s="1"/>
  <c r="AN55" i="6"/>
  <c r="AZ55" i="6" a="1"/>
  <c r="AZ55" i="6" s="1"/>
  <c r="AQ55" i="6"/>
  <c r="AU55" i="6"/>
  <c r="AD55" i="6"/>
  <c r="AE55" i="6"/>
  <c r="AI55" i="6"/>
  <c r="AF55" i="6"/>
  <c r="AJ55" i="6"/>
  <c r="AG55" i="6"/>
  <c r="AC55" i="6"/>
  <c r="AK55" i="6"/>
  <c r="AB55" i="6"/>
  <c r="AH55" i="6"/>
  <c r="F31" i="14"/>
  <c r="N26" i="13"/>
  <c r="E31" i="14" s="1"/>
  <c r="O25" i="13"/>
  <c r="G9" i="11"/>
  <c r="AC59" i="8"/>
  <c r="X70" i="9" s="1"/>
  <c r="X73" i="9" s="1"/>
  <c r="X71" i="9"/>
  <c r="AC58" i="8"/>
  <c r="AD63" i="8"/>
  <c r="AB54" i="8"/>
  <c r="V68" i="9" s="1"/>
  <c r="V69" i="9"/>
  <c r="X57" i="8"/>
  <c r="Y62" i="8" a="1"/>
  <c r="Y62" i="8" s="1"/>
  <c r="X60" i="8"/>
  <c r="X55" i="8" s="1"/>
  <c r="D31" i="14"/>
  <c r="AC26" i="13"/>
  <c r="AD26" i="13"/>
  <c r="X56" i="8"/>
  <c r="Y61" i="8" a="1"/>
  <c r="Y61" i="8" s="1"/>
  <c r="C29" i="7" a="1"/>
  <c r="C29" i="7" s="1"/>
  <c r="B28" i="7"/>
  <c r="B29" i="7" l="1"/>
  <c r="C30" i="7" a="1"/>
  <c r="C30" i="7" s="1"/>
  <c r="N25" i="13"/>
  <c r="E30" i="14" s="1"/>
  <c r="F30" i="14"/>
  <c r="Y57" i="8"/>
  <c r="Z62" i="8" a="1"/>
  <c r="Z62" i="8" s="1"/>
  <c r="Y60" i="8"/>
  <c r="Y55" i="8" s="1"/>
  <c r="M60" i="6"/>
  <c r="AZ58" i="6" a="1"/>
  <c r="AZ58" i="6" s="1"/>
  <c r="AP58" i="6"/>
  <c r="AQ58" i="6"/>
  <c r="AV58" i="6"/>
  <c r="BD58" i="6" a="1"/>
  <c r="BD58" i="6" s="1"/>
  <c r="BG58" i="6" a="1"/>
  <c r="BG58" i="6" s="1"/>
  <c r="AN58" i="6"/>
  <c r="AM58" i="6"/>
  <c r="AO58" i="6"/>
  <c r="AS58" i="6"/>
  <c r="AU58" i="6"/>
  <c r="AY58" i="6" a="1"/>
  <c r="AY58" i="6" s="1"/>
  <c r="AX58" i="6" a="1"/>
  <c r="AX58" i="6" s="1"/>
  <c r="AR58" i="6"/>
  <c r="BE58" i="6" a="1"/>
  <c r="BE58" i="6" s="1"/>
  <c r="BC58" i="6" a="1"/>
  <c r="BC58" i="6" s="1"/>
  <c r="AT58" i="6"/>
  <c r="BB58" i="6" a="1"/>
  <c r="BB58" i="6" s="1"/>
  <c r="BF58" i="6" a="1"/>
  <c r="BF58" i="6" s="1"/>
  <c r="BA58" i="6" a="1"/>
  <c r="BA58" i="6" s="1"/>
  <c r="M59" i="6"/>
  <c r="AE58" i="6"/>
  <c r="AG58" i="6"/>
  <c r="AJ58" i="6"/>
  <c r="M61" i="6"/>
  <c r="AC58" i="6"/>
  <c r="AH58" i="6"/>
  <c r="AK58" i="6"/>
  <c r="M62" i="6"/>
  <c r="AF58" i="6"/>
  <c r="AI58" i="6"/>
  <c r="AB58" i="6"/>
  <c r="AD58" i="6"/>
  <c r="AD58" i="8"/>
  <c r="Z71" i="9"/>
  <c r="AD59" i="8"/>
  <c r="Z70" i="9" s="1"/>
  <c r="Z73" i="9" s="1"/>
  <c r="AE63" i="8"/>
  <c r="Y56" i="8"/>
  <c r="Z61" i="8" a="1"/>
  <c r="Z61" i="8" s="1"/>
  <c r="AC54" i="8"/>
  <c r="X68" i="9" s="1"/>
  <c r="X69" i="9"/>
  <c r="Z56" i="8" l="1"/>
  <c r="AA61" i="8" a="1"/>
  <c r="AA61" i="8" s="1"/>
  <c r="BB60" i="6" a="1"/>
  <c r="BB60" i="6" s="1"/>
  <c r="AY60" i="6" a="1"/>
  <c r="AY60" i="6" s="1"/>
  <c r="AX60" i="6" a="1"/>
  <c r="AX60" i="6" s="1"/>
  <c r="BE60" i="6" a="1"/>
  <c r="BE60" i="6" s="1"/>
  <c r="AP60" i="6"/>
  <c r="BC60" i="6" a="1"/>
  <c r="BC60" i="6" s="1"/>
  <c r="AQ60" i="6"/>
  <c r="AT60" i="6"/>
  <c r="AU60" i="6"/>
  <c r="BD60" i="6" a="1"/>
  <c r="BD60" i="6" s="1"/>
  <c r="BA60" i="6" a="1"/>
  <c r="BA60" i="6" s="1"/>
  <c r="BG60" i="6" a="1"/>
  <c r="BG60" i="6" s="1"/>
  <c r="AR60" i="6"/>
  <c r="AV60" i="6"/>
  <c r="AZ60" i="6" a="1"/>
  <c r="AZ60" i="6" s="1"/>
  <c r="AN60" i="6"/>
  <c r="AM60" i="6"/>
  <c r="AO60" i="6"/>
  <c r="AS60" i="6"/>
  <c r="BF60" i="6" a="1"/>
  <c r="BF60" i="6" s="1"/>
  <c r="AB60" i="6"/>
  <c r="AE60" i="6"/>
  <c r="AJ60" i="6"/>
  <c r="AD60" i="6"/>
  <c r="AK60" i="6"/>
  <c r="AF60" i="6"/>
  <c r="AC60" i="6"/>
  <c r="AI60" i="6"/>
  <c r="AH60" i="6"/>
  <c r="AG60" i="6"/>
  <c r="AE59" i="8"/>
  <c r="AE58" i="8"/>
  <c r="AB71" i="9"/>
  <c r="AF63" i="8"/>
  <c r="Z69" i="9"/>
  <c r="AD54" i="8"/>
  <c r="Z68" i="9" s="1"/>
  <c r="AA62" i="8" a="1"/>
  <c r="AA62" i="8" s="1"/>
  <c r="Z57" i="8"/>
  <c r="Z60" i="8"/>
  <c r="Z55" i="8" s="1"/>
  <c r="B30" i="7"/>
  <c r="C31" i="7" a="1"/>
  <c r="C31" i="7" s="1"/>
  <c r="M64" i="6"/>
  <c r="BF62" i="6" a="1"/>
  <c r="BF62" i="6" s="1"/>
  <c r="BB62" i="6" a="1"/>
  <c r="BB62" i="6" s="1"/>
  <c r="AM62" i="6"/>
  <c r="AN62" i="6"/>
  <c r="BC62" i="6" a="1"/>
  <c r="BC62" i="6" s="1"/>
  <c r="AR62" i="6"/>
  <c r="AO62" i="6"/>
  <c r="AZ62" i="6" a="1"/>
  <c r="AZ62" i="6" s="1"/>
  <c r="BA62" i="6" a="1"/>
  <c r="BA62" i="6" s="1"/>
  <c r="AX62" i="6" a="1"/>
  <c r="AX62" i="6" s="1"/>
  <c r="AT62" i="6"/>
  <c r="BE62" i="6" a="1"/>
  <c r="BE62" i="6" s="1"/>
  <c r="AY62" i="6" a="1"/>
  <c r="AY62" i="6" s="1"/>
  <c r="AS62" i="6"/>
  <c r="BD62" i="6" a="1"/>
  <c r="BD62" i="6" s="1"/>
  <c r="AQ62" i="6"/>
  <c r="AV62" i="6"/>
  <c r="BG62" i="6" a="1"/>
  <c r="BG62" i="6" s="1"/>
  <c r="AU62" i="6"/>
  <c r="AP62" i="6"/>
  <c r="AF62" i="6"/>
  <c r="AD62" i="6"/>
  <c r="AJ62" i="6"/>
  <c r="AI62" i="6"/>
  <c r="AC62" i="6"/>
  <c r="AK62" i="6"/>
  <c r="AG62" i="6"/>
  <c r="AE62" i="6"/>
  <c r="AH62" i="6"/>
  <c r="AB62" i="6"/>
  <c r="AO61" i="6"/>
  <c r="BB61" i="6" a="1"/>
  <c r="BB61" i="6" s="1"/>
  <c r="BC61" i="6" a="1"/>
  <c r="BC61" i="6" s="1"/>
  <c r="AX61" i="6" a="1"/>
  <c r="AX61" i="6" s="1"/>
  <c r="AQ61" i="6"/>
  <c r="AN61" i="6"/>
  <c r="AV61" i="6"/>
  <c r="BA61" i="6" a="1"/>
  <c r="BA61" i="6" s="1"/>
  <c r="AY61" i="6" a="1"/>
  <c r="AY61" i="6" s="1"/>
  <c r="AT61" i="6"/>
  <c r="BD61" i="6" a="1"/>
  <c r="BD61" i="6" s="1"/>
  <c r="BE61" i="6" a="1"/>
  <c r="BE61" i="6" s="1"/>
  <c r="BF61" i="6" a="1"/>
  <c r="BF61" i="6" s="1"/>
  <c r="AS61" i="6"/>
  <c r="BG61" i="6" a="1"/>
  <c r="BG61" i="6" s="1"/>
  <c r="AM61" i="6"/>
  <c r="AP61" i="6"/>
  <c r="AR61" i="6"/>
  <c r="AZ61" i="6" a="1"/>
  <c r="AZ61" i="6" s="1"/>
  <c r="AU61" i="6"/>
  <c r="AG61" i="6"/>
  <c r="AD61" i="6"/>
  <c r="AB61" i="6"/>
  <c r="AC61" i="6"/>
  <c r="AH61" i="6"/>
  <c r="AJ61" i="6"/>
  <c r="AK61" i="6"/>
  <c r="AF61" i="6"/>
  <c r="AI61" i="6"/>
  <c r="AE61" i="6"/>
  <c r="AR59" i="6"/>
  <c r="BC59" i="6" a="1"/>
  <c r="BC59" i="6" s="1"/>
  <c r="AV59" i="6"/>
  <c r="AQ59" i="6"/>
  <c r="BG59" i="6" a="1"/>
  <c r="BG59" i="6" s="1"/>
  <c r="AU59" i="6"/>
  <c r="BF59" i="6" a="1"/>
  <c r="BF59" i="6" s="1"/>
  <c r="AO59" i="6"/>
  <c r="AN59" i="6"/>
  <c r="AS59" i="6"/>
  <c r="BB59" i="6" a="1"/>
  <c r="BB59" i="6" s="1"/>
  <c r="BE59" i="6" a="1"/>
  <c r="BE59" i="6" s="1"/>
  <c r="AM59" i="6"/>
  <c r="AP59" i="6"/>
  <c r="BD59" i="6" a="1"/>
  <c r="BD59" i="6" s="1"/>
  <c r="BA59" i="6" a="1"/>
  <c r="BA59" i="6" s="1"/>
  <c r="AY59" i="6" a="1"/>
  <c r="AY59" i="6" s="1"/>
  <c r="AT59" i="6"/>
  <c r="AX59" i="6" a="1"/>
  <c r="AX59" i="6" s="1"/>
  <c r="AZ59" i="6" a="1"/>
  <c r="AZ59" i="6" s="1"/>
  <c r="AJ59" i="6"/>
  <c r="AH59" i="6"/>
  <c r="AE59" i="6"/>
  <c r="AD59" i="6"/>
  <c r="AG59" i="6"/>
  <c r="AC59" i="6"/>
  <c r="AB59" i="6"/>
  <c r="AK59" i="6"/>
  <c r="AF59" i="6"/>
  <c r="AI59" i="6"/>
  <c r="AB69" i="9" l="1"/>
  <c r="AE54" i="8"/>
  <c r="AB68" i="9" s="1"/>
  <c r="C32" i="7" a="1"/>
  <c r="C32" i="7" s="1"/>
  <c r="B31" i="7"/>
  <c r="AA57" i="8"/>
  <c r="AB62" i="8" a="1"/>
  <c r="AB62" i="8" s="1"/>
  <c r="AA60" i="8"/>
  <c r="AA55" i="8" s="1"/>
  <c r="AA56" i="8"/>
  <c r="AB61" i="8" a="1"/>
  <c r="AB61" i="8" s="1"/>
  <c r="M66" i="6"/>
  <c r="AY64" i="6" a="1"/>
  <c r="AY64" i="6" s="1"/>
  <c r="BA64" i="6" a="1"/>
  <c r="BA64" i="6" s="1"/>
  <c r="AS64" i="6"/>
  <c r="BE64" i="6" a="1"/>
  <c r="BE64" i="6" s="1"/>
  <c r="AT64" i="6"/>
  <c r="AX64" i="6" a="1"/>
  <c r="AX64" i="6" s="1"/>
  <c r="AU64" i="6"/>
  <c r="BG64" i="6" a="1"/>
  <c r="BG64" i="6" s="1"/>
  <c r="AM64" i="6"/>
  <c r="BB64" i="6" a="1"/>
  <c r="BB64" i="6" s="1"/>
  <c r="AO64" i="6"/>
  <c r="AP64" i="6"/>
  <c r="AR64" i="6"/>
  <c r="BC64" i="6" a="1"/>
  <c r="BC64" i="6" s="1"/>
  <c r="AV64" i="6"/>
  <c r="BD64" i="6" a="1"/>
  <c r="BD64" i="6" s="1"/>
  <c r="BF64" i="6" a="1"/>
  <c r="BF64" i="6" s="1"/>
  <c r="AN64" i="6"/>
  <c r="AZ64" i="6" a="1"/>
  <c r="AZ64" i="6" s="1"/>
  <c r="AQ64" i="6"/>
  <c r="AD64" i="6"/>
  <c r="AH64" i="6"/>
  <c r="M65" i="6"/>
  <c r="AE64" i="6"/>
  <c r="AK64" i="6"/>
  <c r="M67" i="6"/>
  <c r="AJ64" i="6"/>
  <c r="AF64" i="6"/>
  <c r="AG64" i="6"/>
  <c r="AB64" i="6"/>
  <c r="AI64" i="6"/>
  <c r="AC64" i="6"/>
  <c r="K10" i="8" a="1"/>
  <c r="K10" i="8" s="1"/>
  <c r="AF59" i="8"/>
  <c r="AD70" i="9" s="1"/>
  <c r="AD73" i="9" s="1"/>
  <c r="AF58" i="8"/>
  <c r="AD71" i="9"/>
  <c r="AB70" i="9"/>
  <c r="AB73" i="9" s="1"/>
  <c r="F11" i="8" a="1"/>
  <c r="F11" i="8" s="1"/>
  <c r="G73" i="9" l="1"/>
  <c r="AU67" i="6"/>
  <c r="BC67" i="6" a="1"/>
  <c r="BC67" i="6" s="1"/>
  <c r="BA67" i="6" a="1"/>
  <c r="BA67" i="6" s="1"/>
  <c r="AP67" i="6"/>
  <c r="BB67" i="6" a="1"/>
  <c r="BB67" i="6" s="1"/>
  <c r="AO67" i="6"/>
  <c r="AZ67" i="6" a="1"/>
  <c r="AZ67" i="6" s="1"/>
  <c r="BD67" i="6" a="1"/>
  <c r="BD67" i="6" s="1"/>
  <c r="AT67" i="6"/>
  <c r="BF67" i="6" a="1"/>
  <c r="BF67" i="6" s="1"/>
  <c r="AM67" i="6"/>
  <c r="AN67" i="6"/>
  <c r="AR67" i="6"/>
  <c r="AX67" i="6" a="1"/>
  <c r="AX67" i="6" s="1"/>
  <c r="BG67" i="6" a="1"/>
  <c r="BG67" i="6" s="1"/>
  <c r="AQ67" i="6"/>
  <c r="AS67" i="6"/>
  <c r="AY67" i="6" a="1"/>
  <c r="AY67" i="6" s="1"/>
  <c r="AV67" i="6"/>
  <c r="BE67" i="6" a="1"/>
  <c r="BE67" i="6" s="1"/>
  <c r="AG67" i="6"/>
  <c r="AI67" i="6"/>
  <c r="AJ67" i="6"/>
  <c r="AE67" i="6"/>
  <c r="AC67" i="6"/>
  <c r="AK67" i="6"/>
  <c r="AB67" i="6"/>
  <c r="AF67" i="6"/>
  <c r="AH67" i="6"/>
  <c r="AD67" i="6"/>
  <c r="B32" i="7"/>
  <c r="C33" i="7" a="1"/>
  <c r="C33" i="7" s="1"/>
  <c r="BC66" i="6" a="1"/>
  <c r="BC66" i="6" s="1"/>
  <c r="AN66" i="6"/>
  <c r="AZ66" i="6" a="1"/>
  <c r="AZ66" i="6" s="1"/>
  <c r="BA66" i="6" a="1"/>
  <c r="BA66" i="6" s="1"/>
  <c r="AX66" i="6" a="1"/>
  <c r="AX66" i="6" s="1"/>
  <c r="AM66" i="6"/>
  <c r="BG66" i="6" a="1"/>
  <c r="BG66" i="6" s="1"/>
  <c r="AV66" i="6"/>
  <c r="BF66" i="6" a="1"/>
  <c r="BF66" i="6" s="1"/>
  <c r="BB66" i="6" a="1"/>
  <c r="BB66" i="6" s="1"/>
  <c r="AS66" i="6"/>
  <c r="AO66" i="6"/>
  <c r="AY66" i="6" a="1"/>
  <c r="AY66" i="6" s="1"/>
  <c r="AQ66" i="6"/>
  <c r="AP66" i="6"/>
  <c r="BE66" i="6" a="1"/>
  <c r="BE66" i="6" s="1"/>
  <c r="AR66" i="6"/>
  <c r="BD66" i="6" a="1"/>
  <c r="BD66" i="6" s="1"/>
  <c r="AU66" i="6"/>
  <c r="AT66" i="6"/>
  <c r="AG66" i="6"/>
  <c r="AE66" i="6"/>
  <c r="AI66" i="6"/>
  <c r="AF66" i="6"/>
  <c r="AB66" i="6"/>
  <c r="AK66" i="6"/>
  <c r="AH66" i="6"/>
  <c r="AD66" i="6"/>
  <c r="AJ66" i="6"/>
  <c r="AC66" i="6"/>
  <c r="AC62" i="8" a="1"/>
  <c r="AC62" i="8" s="1"/>
  <c r="AB57" i="8"/>
  <c r="AB60" i="8"/>
  <c r="AB55" i="8" s="1"/>
  <c r="AF54" i="8"/>
  <c r="AD68" i="9" s="1"/>
  <c r="AD69" i="9"/>
  <c r="M69" i="6"/>
  <c r="AV65" i="6"/>
  <c r="AR65" i="6"/>
  <c r="BE65" i="6" a="1"/>
  <c r="BE65" i="6" s="1"/>
  <c r="AN65" i="6"/>
  <c r="BA65" i="6" a="1"/>
  <c r="BA65" i="6" s="1"/>
  <c r="AP65" i="6"/>
  <c r="BD65" i="6" a="1"/>
  <c r="BD65" i="6" s="1"/>
  <c r="BC65" i="6" a="1"/>
  <c r="BC65" i="6" s="1"/>
  <c r="BG65" i="6" a="1"/>
  <c r="BG65" i="6" s="1"/>
  <c r="AX65" i="6" a="1"/>
  <c r="AX65" i="6" s="1"/>
  <c r="BF65" i="6" a="1"/>
  <c r="BF65" i="6" s="1"/>
  <c r="AM65" i="6"/>
  <c r="AT65" i="6"/>
  <c r="AZ65" i="6" a="1"/>
  <c r="AZ65" i="6" s="1"/>
  <c r="AY65" i="6" a="1"/>
  <c r="AY65" i="6" s="1"/>
  <c r="AS65" i="6"/>
  <c r="BB65" i="6" a="1"/>
  <c r="BB65" i="6" s="1"/>
  <c r="AO65" i="6"/>
  <c r="AU65" i="6"/>
  <c r="AQ65" i="6"/>
  <c r="AF65" i="6"/>
  <c r="AD65" i="6"/>
  <c r="AH65" i="6"/>
  <c r="AE65" i="6"/>
  <c r="AC65" i="6"/>
  <c r="AI65" i="6"/>
  <c r="AJ65" i="6"/>
  <c r="AB65" i="6"/>
  <c r="AK65" i="6"/>
  <c r="AG65" i="6"/>
  <c r="AB56" i="8"/>
  <c r="AC61" i="8" a="1"/>
  <c r="AC61" i="8" s="1"/>
  <c r="AC57" i="8" l="1"/>
  <c r="AD62" i="8" a="1"/>
  <c r="AD62" i="8" s="1"/>
  <c r="AC60" i="8"/>
  <c r="AC55" i="8" s="1"/>
  <c r="AC56" i="8"/>
  <c r="AD61" i="8" a="1"/>
  <c r="AD61" i="8" s="1"/>
  <c r="AP69" i="6"/>
  <c r="BD69" i="6" a="1"/>
  <c r="BD69" i="6" s="1"/>
  <c r="AX69" i="6" a="1"/>
  <c r="AX69" i="6" s="1"/>
  <c r="AO69" i="6"/>
  <c r="BA69" i="6" a="1"/>
  <c r="BA69" i="6" s="1"/>
  <c r="AY69" i="6" a="1"/>
  <c r="AY69" i="6" s="1"/>
  <c r="BF69" i="6" a="1"/>
  <c r="BF69" i="6" s="1"/>
  <c r="BB69" i="6" a="1"/>
  <c r="BB69" i="6" s="1"/>
  <c r="AS69" i="6"/>
  <c r="AR69" i="6"/>
  <c r="AM69" i="6"/>
  <c r="BE69" i="6" a="1"/>
  <c r="BE69" i="6" s="1"/>
  <c r="AT69" i="6"/>
  <c r="AQ69" i="6"/>
  <c r="AZ69" i="6" a="1"/>
  <c r="AZ69" i="6" s="1"/>
  <c r="BG69" i="6" a="1"/>
  <c r="BG69" i="6" s="1"/>
  <c r="AV69" i="6"/>
  <c r="AN69" i="6"/>
  <c r="BC69" i="6" a="1"/>
  <c r="BC69" i="6" s="1"/>
  <c r="AU69" i="6"/>
  <c r="AE69" i="6"/>
  <c r="AG69" i="6"/>
  <c r="M70" i="6"/>
  <c r="AF69" i="6"/>
  <c r="AH69" i="6"/>
  <c r="AK69" i="6"/>
  <c r="AB69" i="6"/>
  <c r="AC69" i="6"/>
  <c r="AD69" i="6"/>
  <c r="AI69" i="6"/>
  <c r="AJ69" i="6"/>
  <c r="B33" i="7"/>
  <c r="C34" i="7" a="1"/>
  <c r="C34" i="7" s="1"/>
  <c r="BE70" i="6" l="1" a="1"/>
  <c r="BE70" i="6" s="1"/>
  <c r="AM70" i="6"/>
  <c r="AP70" i="6"/>
  <c r="AN70" i="6"/>
  <c r="AY70" i="6" a="1"/>
  <c r="AY70" i="6" s="1"/>
  <c r="BG70" i="6" a="1"/>
  <c r="BG70" i="6" s="1"/>
  <c r="AZ70" i="6" a="1"/>
  <c r="AZ70" i="6" s="1"/>
  <c r="BC70" i="6" a="1"/>
  <c r="BC70" i="6" s="1"/>
  <c r="BB70" i="6" a="1"/>
  <c r="BB70" i="6" s="1"/>
  <c r="AT70" i="6"/>
  <c r="AQ70" i="6"/>
  <c r="BA70" i="6" a="1"/>
  <c r="BA70" i="6" s="1"/>
  <c r="AV70" i="6"/>
  <c r="BF70" i="6" a="1"/>
  <c r="BF70" i="6" s="1"/>
  <c r="AO70" i="6"/>
  <c r="AU70" i="6"/>
  <c r="BD70" i="6" a="1"/>
  <c r="BD70" i="6" s="1"/>
  <c r="AX70" i="6" a="1"/>
  <c r="AX70" i="6" s="1"/>
  <c r="AS70" i="6"/>
  <c r="AR70" i="6"/>
  <c r="AE70" i="6"/>
  <c r="AE15" i="6" s="1"/>
  <c r="T15" i="6" s="1"/>
  <c r="T11" i="6" s="1"/>
  <c r="AG70" i="6"/>
  <c r="AG15" i="6" s="1"/>
  <c r="V15" i="6" s="1"/>
  <c r="V11" i="6" s="1"/>
  <c r="AJ70" i="6"/>
  <c r="AJ15" i="6" s="1"/>
  <c r="Y15" i="6" s="1"/>
  <c r="Y11" i="6" s="1"/>
  <c r="AC70" i="6"/>
  <c r="AC15" i="6" s="1"/>
  <c r="R15" i="6" s="1"/>
  <c r="R11" i="6" s="1"/>
  <c r="AH70" i="6"/>
  <c r="AH15" i="6" s="1"/>
  <c r="W15" i="6" s="1"/>
  <c r="W11" i="6" s="1"/>
  <c r="AB70" i="6"/>
  <c r="AB15" i="6" s="1"/>
  <c r="Q15" i="6" s="1"/>
  <c r="Q11" i="6" s="1"/>
  <c r="AI70" i="6"/>
  <c r="AI15" i="6" s="1"/>
  <c r="X15" i="6" s="1"/>
  <c r="X11" i="6" s="1"/>
  <c r="AF70" i="6"/>
  <c r="AF15" i="6" s="1"/>
  <c r="U15" i="6" s="1"/>
  <c r="U11" i="6" s="1"/>
  <c r="AK70" i="6"/>
  <c r="AK15" i="6" s="1"/>
  <c r="Z15" i="6" s="1"/>
  <c r="Z11" i="6" s="1"/>
  <c r="AD70" i="6"/>
  <c r="AD15" i="6" s="1"/>
  <c r="S15" i="6" s="1"/>
  <c r="S11" i="6" s="1"/>
  <c r="C43" i="9"/>
  <c r="F43" i="9" s="1"/>
  <c r="A42" i="9"/>
  <c r="C31" i="9"/>
  <c r="F31" i="9" s="1"/>
  <c r="C23" i="10"/>
  <c r="A23" i="10" s="1"/>
  <c r="C39" i="10"/>
  <c r="A39" i="10" s="1"/>
  <c r="A57" i="9"/>
  <c r="A60" i="9"/>
  <c r="C25" i="10"/>
  <c r="A25" i="10" s="1"/>
  <c r="C34" i="10"/>
  <c r="A34" i="10" s="1"/>
  <c r="A38" i="9"/>
  <c r="C44" i="9"/>
  <c r="F44" i="9" s="1"/>
  <c r="A20" i="9"/>
  <c r="A15" i="9"/>
  <c r="A51" i="9"/>
  <c r="A61" i="9"/>
  <c r="A21" i="9"/>
  <c r="A40" i="9"/>
  <c r="C40" i="9"/>
  <c r="F40" i="9" s="1"/>
  <c r="C33" i="10"/>
  <c r="A33" i="10" s="1"/>
  <c r="C27" i="10"/>
  <c r="A27" i="10" s="1"/>
  <c r="A41" i="9"/>
  <c r="C28" i="9"/>
  <c r="F28" i="9" s="1"/>
  <c r="C42" i="9"/>
  <c r="F42" i="9" s="1"/>
  <c r="A46" i="9"/>
  <c r="C21" i="9"/>
  <c r="F21" i="9" s="1"/>
  <c r="C63" i="10"/>
  <c r="A63" i="10" s="1"/>
  <c r="C61" i="9"/>
  <c r="F61" i="9" s="1"/>
  <c r="C16" i="10"/>
  <c r="A16" i="10" s="1"/>
  <c r="C19" i="9"/>
  <c r="F19" i="9" s="1"/>
  <c r="A39" i="9"/>
  <c r="C22" i="9"/>
  <c r="F22" i="9" s="1"/>
  <c r="C43" i="10"/>
  <c r="A43" i="10" s="1"/>
  <c r="A36" i="9"/>
  <c r="C33" i="9"/>
  <c r="F33" i="9" s="1"/>
  <c r="C23" i="9"/>
  <c r="F23" i="9" s="1"/>
  <c r="C41" i="10"/>
  <c r="A41" i="10" s="1"/>
  <c r="C64" i="10"/>
  <c r="A64" i="10" s="1"/>
  <c r="C54" i="10"/>
  <c r="A54" i="10" s="1"/>
  <c r="A55" i="9"/>
  <c r="C60" i="10"/>
  <c r="A60" i="10" s="1"/>
  <c r="A58" i="9"/>
  <c r="C19" i="10"/>
  <c r="A19" i="10" s="1"/>
  <c r="C46" i="10"/>
  <c r="A46" i="10" s="1"/>
  <c r="C32" i="9"/>
  <c r="F32" i="9" s="1"/>
  <c r="A48" i="9"/>
  <c r="A59" i="9"/>
  <c r="C40" i="10"/>
  <c r="A40" i="10" s="1"/>
  <c r="C59" i="9"/>
  <c r="F59" i="9" s="1"/>
  <c r="C64" i="9"/>
  <c r="F64" i="9" s="1"/>
  <c r="C48" i="10"/>
  <c r="A48" i="10" s="1"/>
  <c r="A1" i="9"/>
  <c r="C29" i="10"/>
  <c r="A29" i="10" s="1"/>
  <c r="C36" i="10"/>
  <c r="A36" i="10" s="1"/>
  <c r="C29" i="9"/>
  <c r="F29" i="9" s="1"/>
  <c r="A22" i="9"/>
  <c r="C57" i="10"/>
  <c r="A57" i="10" s="1"/>
  <c r="C41" i="9"/>
  <c r="F41" i="9" s="1"/>
  <c r="A43" i="9"/>
  <c r="A56" i="9"/>
  <c r="C55" i="9"/>
  <c r="F55" i="9" s="1"/>
  <c r="C24" i="10"/>
  <c r="A24" i="10" s="1"/>
  <c r="C63" i="9"/>
  <c r="F63" i="9" s="1"/>
  <c r="C53" i="10"/>
  <c r="A53" i="10" s="1"/>
  <c r="A19" i="9"/>
  <c r="C45" i="10"/>
  <c r="A45" i="10" s="1"/>
  <c r="C46" i="9"/>
  <c r="F46" i="9" s="1"/>
  <c r="C25" i="9"/>
  <c r="F25" i="9" s="1"/>
  <c r="C37" i="10"/>
  <c r="A37" i="10" s="1"/>
  <c r="C18" i="9"/>
  <c r="F18" i="9" s="1"/>
  <c r="C61" i="10"/>
  <c r="A61" i="10" s="1"/>
  <c r="A24" i="9"/>
  <c r="A16" i="9"/>
  <c r="A49" i="9"/>
  <c r="C39" i="9"/>
  <c r="F39" i="9" s="1"/>
  <c r="A35" i="9"/>
  <c r="C54" i="9"/>
  <c r="F54" i="9" s="1"/>
  <c r="C31" i="10"/>
  <c r="A31" i="10" s="1"/>
  <c r="C56" i="10"/>
  <c r="A56" i="10" s="1"/>
  <c r="A64" i="9"/>
  <c r="C28" i="10"/>
  <c r="A28" i="10" s="1"/>
  <c r="C45" i="9"/>
  <c r="F45" i="9" s="1"/>
  <c r="A52" i="9"/>
  <c r="C34" i="9"/>
  <c r="F34" i="9" s="1"/>
  <c r="A45" i="9"/>
  <c r="C38" i="9"/>
  <c r="F38" i="9" s="1"/>
  <c r="A53" i="9"/>
  <c r="C49" i="10"/>
  <c r="A49" i="10" s="1"/>
  <c r="C27" i="9"/>
  <c r="F27" i="9" s="1"/>
  <c r="C62" i="9"/>
  <c r="F62" i="9" s="1"/>
  <c r="C32" i="10"/>
  <c r="A32" i="10" s="1"/>
  <c r="C48" i="9"/>
  <c r="F48" i="9" s="1"/>
  <c r="A32" i="9"/>
  <c r="A23" i="9"/>
  <c r="C26" i="10"/>
  <c r="A26" i="10" s="1"/>
  <c r="A26" i="9"/>
  <c r="A63" i="9"/>
  <c r="C35" i="10"/>
  <c r="A35" i="10" s="1"/>
  <c r="A54" i="9"/>
  <c r="C51" i="9"/>
  <c r="F51" i="9" s="1"/>
  <c r="A62" i="9"/>
  <c r="C26" i="9"/>
  <c r="F26" i="9" s="1"/>
  <c r="A28" i="9"/>
  <c r="C1" i="10"/>
  <c r="A1" i="10" s="1"/>
  <c r="A34" i="9"/>
  <c r="C30" i="10"/>
  <c r="A30" i="10" s="1"/>
  <c r="C38" i="10"/>
  <c r="A38" i="10" s="1"/>
  <c r="C35" i="9"/>
  <c r="F35" i="9" s="1"/>
  <c r="C20" i="9"/>
  <c r="F20" i="9" s="1"/>
  <c r="C58" i="9"/>
  <c r="F58" i="9" s="1"/>
  <c r="A25" i="9"/>
  <c r="C58" i="10"/>
  <c r="A58" i="10" s="1"/>
  <c r="C50" i="9"/>
  <c r="F50" i="9" s="1"/>
  <c r="A33" i="9"/>
  <c r="C51" i="10"/>
  <c r="A51" i="10" s="1"/>
  <c r="C55" i="10"/>
  <c r="A55" i="10" s="1"/>
  <c r="C62" i="10"/>
  <c r="A62" i="10" s="1"/>
  <c r="C16" i="9"/>
  <c r="F16" i="9" s="1"/>
  <c r="C56" i="9"/>
  <c r="F56" i="9" s="1"/>
  <c r="A17" i="9"/>
  <c r="C49" i="9"/>
  <c r="F49" i="9" s="1"/>
  <c r="C17" i="10"/>
  <c r="A17" i="10" s="1"/>
  <c r="C22" i="10"/>
  <c r="A22" i="10" s="1"/>
  <c r="A18" i="9"/>
  <c r="A29" i="9"/>
  <c r="A37" i="9"/>
  <c r="A27" i="9"/>
  <c r="C59" i="10"/>
  <c r="A59" i="10" s="1"/>
  <c r="C20" i="10"/>
  <c r="A20" i="10" s="1"/>
  <c r="C17" i="9"/>
  <c r="F17" i="9" s="1"/>
  <c r="C42" i="10"/>
  <c r="A42" i="10" s="1"/>
  <c r="A30" i="9"/>
  <c r="C21" i="10"/>
  <c r="A21" i="10" s="1"/>
  <c r="C30" i="9"/>
  <c r="F30" i="9" s="1"/>
  <c r="C52" i="10"/>
  <c r="A52" i="10" s="1"/>
  <c r="A44" i="9"/>
  <c r="C47" i="10"/>
  <c r="A47" i="10" s="1"/>
  <c r="A50" i="9"/>
  <c r="C60" i="9"/>
  <c r="F60" i="9" s="1"/>
  <c r="C52" i="9"/>
  <c r="F52" i="9" s="1"/>
  <c r="C44" i="10"/>
  <c r="A44" i="10" s="1"/>
  <c r="C36" i="9"/>
  <c r="F36" i="9" s="1"/>
  <c r="C1" i="9"/>
  <c r="F1" i="9" s="1"/>
  <c r="A47" i="9"/>
  <c r="A31" i="9"/>
  <c r="C53" i="9"/>
  <c r="F53" i="9" s="1"/>
  <c r="C18" i="10"/>
  <c r="A18" i="10" s="1"/>
  <c r="C50" i="10"/>
  <c r="A50" i="10" s="1"/>
  <c r="C37" i="9"/>
  <c r="F37" i="9" s="1"/>
  <c r="C57" i="9"/>
  <c r="F57" i="9" s="1"/>
  <c r="C47" i="9"/>
  <c r="F47" i="9" s="1"/>
  <c r="C24" i="9"/>
  <c r="F24" i="9" s="1"/>
  <c r="C35" i="7" a="1"/>
  <c r="C35" i="7" s="1"/>
  <c r="B34" i="7"/>
  <c r="AE62" i="8" a="1"/>
  <c r="AE62" i="8" s="1"/>
  <c r="AD57" i="8"/>
  <c r="AD60" i="8"/>
  <c r="AD55" i="8" s="1"/>
  <c r="AE61" i="8" a="1"/>
  <c r="AE61" i="8" s="1"/>
  <c r="AD56" i="8"/>
  <c r="C36" i="7" l="1" a="1"/>
  <c r="C36" i="7" s="1"/>
  <c r="B35" i="7"/>
  <c r="AF62" i="8" a="1"/>
  <c r="AF62" i="8" s="1"/>
  <c r="AE57" i="8"/>
  <c r="AE60" i="8"/>
  <c r="AE55" i="8" s="1"/>
  <c r="N11" i="6"/>
  <c r="I12" i="6"/>
  <c r="F11" i="6"/>
  <c r="AC73" i="10" a="1"/>
  <c r="AC73" i="10" s="1"/>
  <c r="U73" i="10" a="1"/>
  <c r="U73" i="10" s="1"/>
  <c r="K73" i="10" a="1"/>
  <c r="K73" i="10" s="1"/>
  <c r="AE73" i="10" a="1"/>
  <c r="AE73" i="10" s="1"/>
  <c r="W73" i="10" a="1"/>
  <c r="W73" i="10" s="1"/>
  <c r="Q73" i="10" a="1"/>
  <c r="Q73" i="10" s="1"/>
  <c r="S73" i="10" a="1"/>
  <c r="S73" i="10" s="1"/>
  <c r="O73" i="10" a="1"/>
  <c r="O73" i="10" s="1"/>
  <c r="Y73" i="10" a="1"/>
  <c r="Y73" i="10" s="1"/>
  <c r="M73" i="10" a="1"/>
  <c r="M73" i="10" s="1"/>
  <c r="AA73" i="10" a="1"/>
  <c r="AA73" i="10" s="1"/>
  <c r="I73" i="10" a="1"/>
  <c r="I73" i="10" s="1"/>
  <c r="AE56" i="8"/>
  <c r="AF61" i="8" a="1"/>
  <c r="AA71" i="10" l="1"/>
  <c r="AA70" i="10" s="1"/>
  <c r="AA72" i="10"/>
  <c r="AA75" i="10" s="1"/>
  <c r="K72" i="10"/>
  <c r="K75" i="10" s="1"/>
  <c r="K71" i="10"/>
  <c r="K70" i="10" s="1"/>
  <c r="I72" i="10"/>
  <c r="I71" i="10" a="1"/>
  <c r="O71" i="10"/>
  <c r="O70" i="10" s="1"/>
  <c r="O72" i="10"/>
  <c r="O75" i="10" s="1"/>
  <c r="AE72" i="10"/>
  <c r="AE75" i="10" s="1"/>
  <c r="AE71" i="10"/>
  <c r="AE70" i="10" s="1"/>
  <c r="M72" i="10"/>
  <c r="M75" i="10" s="1"/>
  <c r="M71" i="10"/>
  <c r="M70" i="10" s="1"/>
  <c r="Q72" i="10"/>
  <c r="Q75" i="10" s="1"/>
  <c r="Q71" i="10"/>
  <c r="Q70" i="10" s="1"/>
  <c r="U72" i="10"/>
  <c r="U75" i="10" s="1"/>
  <c r="U71" i="10"/>
  <c r="U70" i="10" s="1"/>
  <c r="S72" i="10"/>
  <c r="S75" i="10" s="1"/>
  <c r="S71" i="10"/>
  <c r="S70" i="10" s="1"/>
  <c r="AF57" i="8"/>
  <c r="AF56" i="8"/>
  <c r="AF61" i="8"/>
  <c r="AF60" i="8" s="1"/>
  <c r="AF55" i="8" s="1"/>
  <c r="Y71" i="10"/>
  <c r="Y70" i="10" s="1"/>
  <c r="Y72" i="10"/>
  <c r="Y75" i="10" s="1"/>
  <c r="W71" i="10"/>
  <c r="W70" i="10" s="1"/>
  <c r="W72" i="10"/>
  <c r="W75" i="10" s="1"/>
  <c r="AC72" i="10"/>
  <c r="AC75" i="10" s="1"/>
  <c r="AC71" i="10"/>
  <c r="AC70" i="10" s="1"/>
  <c r="C37" i="7" a="1"/>
  <c r="C37" i="7" s="1"/>
  <c r="B36" i="7"/>
  <c r="C38" i="7" l="1" a="1"/>
  <c r="C38" i="7" s="1"/>
  <c r="B37" i="7"/>
  <c r="I70" i="10"/>
  <c r="Y9" i="10" s="1"/>
  <c r="C11" i="10" s="1" a="1"/>
  <c r="I71" i="10"/>
  <c r="AE9" i="10"/>
  <c r="I75" i="10"/>
  <c r="H75" i="10" s="1"/>
  <c r="C39" i="7" l="1" a="1"/>
  <c r="C39" i="7" s="1"/>
  <c r="B38" i="7"/>
  <c r="B39" i="7" l="1"/>
  <c r="C40" i="7" a="1"/>
  <c r="C40" i="7" s="1"/>
  <c r="B40" i="7" l="1"/>
  <c r="C41" i="7" a="1"/>
  <c r="C41" i="7" s="1"/>
  <c r="C42" i="7" l="1" a="1"/>
  <c r="C42" i="7" s="1"/>
  <c r="B41" i="7"/>
  <c r="C43" i="7" l="1" a="1"/>
  <c r="C43" i="7" s="1"/>
  <c r="B42" i="7"/>
  <c r="B43" i="7" l="1"/>
  <c r="C44" i="7" a="1"/>
  <c r="C44" i="7" s="1"/>
  <c r="B44" i="7" l="1"/>
  <c r="C45" i="7" a="1"/>
  <c r="C45" i="7" s="1"/>
  <c r="B45" i="7" l="1"/>
  <c r="C46" i="7" a="1"/>
  <c r="C46" i="7" s="1"/>
  <c r="B46" i="7" l="1"/>
  <c r="C47" i="7" a="1"/>
  <c r="C47" i="7" s="1"/>
  <c r="C48" i="7" l="1" a="1"/>
  <c r="C48" i="7" s="1"/>
  <c r="B47" i="7"/>
  <c r="C49" i="7" l="1" a="1"/>
  <c r="C49" i="7" s="1"/>
  <c r="B48" i="7"/>
  <c r="C50" i="7" l="1" a="1"/>
  <c r="C50" i="7" s="1"/>
  <c r="B49" i="7"/>
  <c r="B50" i="7" l="1"/>
  <c r="C51" i="7" a="1"/>
  <c r="C51" i="7" s="1"/>
  <c r="B51" i="7" l="1"/>
  <c r="C52" i="7" a="1"/>
  <c r="C52" i="7" s="1"/>
  <c r="B52" i="7" l="1"/>
  <c r="C53" i="7" a="1"/>
  <c r="C53" i="7" s="1"/>
  <c r="C54" i="7" l="1" a="1"/>
  <c r="C54" i="7" s="1"/>
  <c r="B53" i="7"/>
  <c r="B54" i="7" l="1"/>
  <c r="C55" i="7" a="1"/>
  <c r="C55" i="7" s="1"/>
  <c r="B55" i="7" l="1"/>
  <c r="C56" i="7" a="1"/>
  <c r="C56" i="7" s="1"/>
  <c r="B56" i="7" l="1"/>
  <c r="C57" i="7" a="1"/>
  <c r="C57" i="7" s="1"/>
  <c r="C58" i="7" l="1" a="1"/>
  <c r="C58" i="7" s="1"/>
  <c r="B57" i="7"/>
  <c r="B58" i="7" l="1"/>
  <c r="C59" i="7" a="1"/>
  <c r="C59" i="7" s="1"/>
  <c r="C60" i="7" l="1" a="1"/>
  <c r="C60" i="7" s="1"/>
  <c r="B59" i="7"/>
  <c r="C61" i="7" l="1" a="1"/>
  <c r="C61" i="7" s="1"/>
  <c r="B60" i="7"/>
  <c r="B61" i="7" l="1"/>
  <c r="C62" i="7" a="1"/>
  <c r="C62" i="7" s="1"/>
  <c r="B62" i="7" l="1"/>
  <c r="C63" i="7" a="1"/>
  <c r="C63" i="7" s="1"/>
  <c r="C64" i="7" l="1" a="1"/>
  <c r="C64" i="7" s="1"/>
  <c r="B63" i="7"/>
  <c r="B64" i="7" l="1"/>
  <c r="C10" i="7"/>
</calcChain>
</file>

<file path=xl/comments1.xml><?xml version="1.0" encoding="utf-8"?>
<comments xmlns="http://schemas.openxmlformats.org/spreadsheetml/2006/main">
  <authors>
    <author/>
  </authors>
  <commentList>
    <comment ref="C41" authorId="0" shapeId="0">
      <text>
        <r>
          <rPr>
            <sz val="9"/>
            <color indexed="8"/>
            <rFont val="Segoe UI"/>
            <family val="2"/>
          </rPr>
          <t>Informar a data-base do CTEF no formato mm-aaaa.</t>
        </r>
      </text>
    </comment>
  </commentList>
</comments>
</file>

<file path=xl/comments2.xml><?xml version="1.0" encoding="utf-8"?>
<comments xmlns="http://schemas.openxmlformats.org/spreadsheetml/2006/main">
  <authors>
    <author/>
  </authors>
  <commentList>
    <comment ref="I6"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authors>
    <author/>
  </authors>
  <commentList>
    <comment ref="AJ7" authorId="0" shapeId="0">
      <text>
        <r>
          <rPr>
            <b/>
            <sz val="9"/>
            <color indexed="8"/>
            <rFont val="Tahoma"/>
            <family val="2"/>
          </rPr>
          <t xml:space="preserve">QUANTIDADES:
</t>
        </r>
        <r>
          <rPr>
            <sz val="9"/>
            <color indexed="8"/>
            <rFont val="Tahoma"/>
            <family val="2"/>
          </rPr>
          <t>PREENCHA AS QUANTIDADES AQUI PARA ACOMPANHAMENTOS POR BM.</t>
        </r>
      </text>
    </comment>
    <comment ref="AL7" authorId="0" shapeId="0">
      <text>
        <r>
          <rPr>
            <b/>
            <sz val="9"/>
            <color indexed="8"/>
            <rFont val="Tahoma"/>
            <family val="2"/>
          </rPr>
          <t xml:space="preserve">PREÇO UNITÁRIO LICITADO:
</t>
        </r>
        <r>
          <rPr>
            <sz val="9"/>
            <color indexed="8"/>
            <rFont val="Tahoma"/>
            <family val="2"/>
          </rPr>
          <t>PREENCHA AQUI O PREÇO UNITÁRIO DA LICITAÇÃO.</t>
        </r>
      </text>
    </comment>
    <comment ref="L8"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authors>
    <author/>
  </authors>
  <commentList>
    <comment ref="D15" authorId="0" shapeId="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authors>
    <author/>
  </authors>
  <commentList>
    <comment ref="C7"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authors>
    <author/>
  </authors>
  <commentList>
    <comment ref="C8"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text>
        <r>
          <rPr>
            <sz val="9"/>
            <color indexed="8"/>
            <rFont val="Segoe UI"/>
            <family val="2"/>
          </rPr>
          <t>Digite nestes campos as datas das medições</t>
        </r>
      </text>
    </comment>
    <comment ref="AB13" authorId="0" shapeId="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authors>
    <author/>
  </authors>
  <commentList>
    <comment ref="D7"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<sst xmlns="http://schemas.openxmlformats.org/spreadsheetml/2006/main" count="2034" uniqueCount="1063">
  <si>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</si>
  <si>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</si>
  <si>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</si>
  <si>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</si>
  <si>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</si>
  <si>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</si>
  <si>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</si>
  <si>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</si>
  <si>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</si>
  <si>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</si>
  <si>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</si>
  <si>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</si>
  <si>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</si>
  <si>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</si>
  <si>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</si>
  <si>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</si>
  <si>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</si>
  <si>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</si>
  <si>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</si>
  <si>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</si>
  <si>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</si>
  <si>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</si>
  <si>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</si>
  <si>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</si>
  <si>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</si>
  <si>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</si>
  <si>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</si>
  <si>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</si>
  <si>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</si>
  <si>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</si>
  <si>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</si>
  <si>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</si>
  <si>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</si>
  <si>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</si>
  <si>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</si>
  <si>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</si>
  <si>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</si>
  <si>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</si>
  <si>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</si>
  <si>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</si>
  <si>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</si>
  <si>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</si>
  <si>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</si>
  <si>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</si>
  <si>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</si>
  <si>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</si>
  <si>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</si>
  <si>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</si>
  <si>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</si>
  <si>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</si>
  <si>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</si>
  <si>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</si>
  <si>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</si>
  <si>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</si>
  <si>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</si>
  <si>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</si>
  <si>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</si>
  <si>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</si>
  <si>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</si>
  <si>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</si>
  <si>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</si>
  <si>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</si>
  <si>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</si>
  <si>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</si>
  <si>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</si>
  <si>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</si>
  <si>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</si>
  <si>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</si>
  <si>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</si>
  <si>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</si>
  <si>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</si>
  <si>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</si>
  <si>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</si>
  <si>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</si>
  <si>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</si>
  <si>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</si>
  <si>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</si>
  <si>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</si>
  <si>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</si>
  <si>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</si>
  <si>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</si>
  <si>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</si>
  <si>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</si>
  <si>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</si>
  <si>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</si>
  <si>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</si>
  <si>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</si>
  <si>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</si>
  <si>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</si>
  <si>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</si>
  <si>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</si>
  <si>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</si>
  <si>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</si>
  <si>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</si>
  <si>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</si>
  <si>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</si>
  <si>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</si>
  <si>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</si>
  <si>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</si>
  <si>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</si>
  <si>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</si>
  <si>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</si>
  <si>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</si>
  <si>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</si>
  <si>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</si>
  <si>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</si>
  <si>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</si>
  <si>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</si>
  <si>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</si>
  <si>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</si>
  <si>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</si>
  <si>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</si>
  <si>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</si>
  <si>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</si>
  <si>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</si>
  <si>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</si>
  <si>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</si>
  <si>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</si>
  <si>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</si>
  <si>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</si>
  <si>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</si>
  <si>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</si>
  <si>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</si>
  <si>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</si>
  <si>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</si>
  <si>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</si>
  <si>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</si>
  <si>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</si>
  <si>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</si>
  <si>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</si>
  <si>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</si>
  <si>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</si>
  <si>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</si>
  <si>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</si>
  <si>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</si>
  <si>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</si>
  <si>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</si>
  <si>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</si>
  <si>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</si>
  <si>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</si>
  <si>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</si>
  <si>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</si>
  <si>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</si>
  <si>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</si>
  <si>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</si>
  <si>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</si>
  <si>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</si>
  <si>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</si>
  <si>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</si>
  <si>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</si>
  <si>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</si>
  <si>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</si>
  <si>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</si>
  <si>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</si>
  <si>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</si>
  <si>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</si>
  <si>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</si>
  <si>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</si>
  <si>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</si>
  <si>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</si>
  <si>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</si>
  <si>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</si>
  <si>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</si>
  <si>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</si>
  <si>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</si>
  <si>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</si>
  <si>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</si>
  <si>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</si>
  <si>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</si>
  <si>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</si>
  <si>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</si>
  <si>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</si>
  <si>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</si>
  <si>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</si>
  <si>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</si>
  <si>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</si>
  <si>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</si>
  <si>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</si>
  <si>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</si>
  <si>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</si>
  <si>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</si>
  <si>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</si>
  <si>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</si>
  <si>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</si>
  <si>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</si>
  <si>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</si>
  <si>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</si>
  <si>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</si>
  <si>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</si>
  <si>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</si>
  <si>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</si>
  <si>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</si>
  <si>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</si>
  <si>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</si>
  <si>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</si>
  <si>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</si>
  <si>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</si>
  <si>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</si>
  <si>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</si>
  <si>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</si>
  <si>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</si>
  <si>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</si>
  <si>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</si>
  <si>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</si>
  <si>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</si>
  <si>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</si>
  <si>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</si>
  <si>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</si>
  <si>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</si>
  <si>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</si>
  <si>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</si>
  <si>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</si>
  <si>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</si>
  <si>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</si>
  <si>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</si>
  <si>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</si>
  <si>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</si>
  <si>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</si>
  <si>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</si>
  <si>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</si>
  <si>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</si>
  <si>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</si>
  <si>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</si>
  <si>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</si>
  <si>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</si>
  <si>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</si>
  <si>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</si>
  <si>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</si>
  <si>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</si>
  <si>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</si>
  <si>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</si>
  <si>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</si>
  <si>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</si>
  <si>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</si>
  <si>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</si>
  <si>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</si>
  <si>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</si>
  <si>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</si>
  <si>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</si>
  <si>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</si>
  <si>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</si>
  <si>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</si>
  <si>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</si>
  <si>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</si>
  <si>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</si>
  <si>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</si>
  <si>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</si>
  <si>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</si>
  <si>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</si>
  <si>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</si>
  <si>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</si>
  <si>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</si>
  <si>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</si>
  <si>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</si>
  <si>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</si>
  <si>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</si>
  <si>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</si>
  <si>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</si>
  <si>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</si>
  <si>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</si>
  <si>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</si>
  <si>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</si>
  <si>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</si>
  <si>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</si>
  <si>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</si>
  <si>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</si>
  <si>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</si>
  <si>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</si>
  <si>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</si>
  <si>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</si>
  <si>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</si>
  <si>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</si>
  <si>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</si>
  <si>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</si>
  <si>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</si>
  <si>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</si>
  <si>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</si>
  <si>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</si>
  <si>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</si>
  <si>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</si>
  <si>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</si>
  <si>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</si>
  <si>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</si>
  <si>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</si>
  <si>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</si>
  <si>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</si>
  <si>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</si>
  <si>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</si>
  <si>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</si>
  <si>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</si>
  <si>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</si>
  <si>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</si>
  <si>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</si>
  <si>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</si>
  <si>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</si>
  <si>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</si>
  <si>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</si>
  <si>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</si>
  <si>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</si>
  <si>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</si>
  <si>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</si>
  <si>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</si>
  <si>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</si>
  <si>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</si>
  <si>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</si>
  <si>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</si>
  <si>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</si>
  <si>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</si>
  <si>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</si>
  <si>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</si>
  <si>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</si>
  <si>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</si>
  <si>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</si>
  <si>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</si>
  <si>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</si>
  <si>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</si>
  <si>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</si>
  <si>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</si>
  <si>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</si>
  <si>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</si>
  <si>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</si>
  <si>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</si>
  <si>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</si>
  <si>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</si>
  <si>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</si>
  <si>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</si>
  <si>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</si>
  <si>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</si>
  <si>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</si>
  <si>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</si>
  <si>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</si>
  <si>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</si>
  <si>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</si>
  <si>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</si>
  <si>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</si>
  <si>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</si>
  <si>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</si>
  <si>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</si>
  <si>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</si>
  <si>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</si>
  <si>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</si>
  <si>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</si>
  <si>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</si>
  <si>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</si>
  <si>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</si>
  <si>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</si>
  <si>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</si>
  <si>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</si>
  <si>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</si>
  <si>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</si>
  <si>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</si>
  <si>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</si>
  <si>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</si>
  <si>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</si>
  <si>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</si>
  <si>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</si>
  <si>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</si>
  <si>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</si>
  <si>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</si>
  <si>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</si>
  <si>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</si>
  <si>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</si>
  <si>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</si>
  <si>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</si>
  <si>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</si>
  <si>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</si>
  <si>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</si>
  <si>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</si>
  <si>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</si>
  <si>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</si>
  <si>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</si>
  <si>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</si>
  <si>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</si>
  <si>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</si>
  <si>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</si>
  <si>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</si>
  <si>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</si>
  <si>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</si>
  <si>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</si>
  <si>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</si>
  <si>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</si>
  <si>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</si>
  <si>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</si>
  <si>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</si>
  <si>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</si>
  <si>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</si>
  <si>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</si>
  <si>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</si>
  <si>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</si>
  <si>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</si>
  <si>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</si>
  <si>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</si>
  <si>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</si>
  <si>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</si>
  <si>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</si>
  <si>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</si>
  <si>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</si>
  <si>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</si>
  <si>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</si>
  <si>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</si>
  <si>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</si>
  <si>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</si>
  <si>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</si>
  <si>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</si>
  <si>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</si>
  <si>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</si>
  <si>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</si>
  <si>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</si>
  <si>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</si>
  <si>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</si>
  <si>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</si>
  <si>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</si>
  <si>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</si>
  <si>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</si>
  <si>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</si>
  <si>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</si>
  <si>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</si>
  <si>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</si>
  <si>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</si>
  <si>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</si>
  <si>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</si>
  <si>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</si>
  <si>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</si>
  <si>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</si>
  <si>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</si>
  <si>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</si>
  <si>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</si>
  <si>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</si>
  <si>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</si>
  <si>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</si>
  <si>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</si>
  <si>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</si>
  <si>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</si>
  <si>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</si>
  <si>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</si>
  <si>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</si>
  <si>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</si>
  <si>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</si>
  <si>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</si>
  <si>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</si>
  <si>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</si>
  <si>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</si>
  <si>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</si>
  <si>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</si>
  <si>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</si>
  <si>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</si>
  <si>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</si>
  <si>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</si>
  <si>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</si>
  <si>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</si>
  <si>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</si>
  <si>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</si>
  <si>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</si>
  <si>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</si>
  <si>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</si>
  <si>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</si>
  <si>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</si>
  <si>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</si>
  <si>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</si>
  <si>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</si>
  <si>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</si>
  <si>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</si>
  <si>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</si>
  <si>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</si>
  <si>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</si>
  <si>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</si>
  <si>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</si>
  <si>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</si>
  <si>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</si>
  <si>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</si>
  <si>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</si>
  <si>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</si>
  <si>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</si>
  <si>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</si>
  <si>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</si>
  <si>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</si>
  <si>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</si>
  <si>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</si>
  <si>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</si>
  <si>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</si>
  <si>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</si>
  <si>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</si>
  <si>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</si>
  <si>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</si>
  <si>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</si>
  <si>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</si>
  <si>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</si>
  <si>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</si>
  <si>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</si>
  <si>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</si>
  <si>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</si>
  <si>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</si>
  <si>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</si>
  <si>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</si>
  <si>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</si>
  <si>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</si>
  <si>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</si>
  <si>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</si>
  <si>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</si>
  <si>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</si>
  <si>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</si>
  <si>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</si>
  <si>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</si>
  <si>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</si>
  <si>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</si>
  <si>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</si>
  <si>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</si>
  <si>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</si>
  <si>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</si>
  <si>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</si>
  <si>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</si>
  <si>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</si>
  <si>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</si>
  <si>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</si>
  <si>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</si>
  <si>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</si>
  <si>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</si>
  <si>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</si>
  <si>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</si>
  <si>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</si>
  <si>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</si>
  <si>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</si>
  <si>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</si>
  <si>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</si>
  <si>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</si>
  <si>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</si>
  <si>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</si>
  <si>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</si>
  <si>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</si>
  <si>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</si>
  <si>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</si>
  <si>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</si>
  <si>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</si>
  <si>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</si>
  <si>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</si>
  <si>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</si>
  <si>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</si>
  <si>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</si>
  <si>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</si>
  <si>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</si>
  <si>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</si>
  <si>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</si>
  <si>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</si>
  <si>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</si>
  <si>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</si>
  <si>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</si>
  <si>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</si>
  <si>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</si>
  <si>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</si>
  <si>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</si>
  <si>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</si>
  <si>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</si>
  <si>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</si>
  <si>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</si>
  <si>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</si>
  <si>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</si>
  <si>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</si>
  <si>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</si>
  <si>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</si>
  <si>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</si>
  <si>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</si>
  <si>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</si>
  <si>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</si>
  <si>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</si>
  <si>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</si>
  <si>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</si>
  <si>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</si>
  <si>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</si>
  <si>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</si>
  <si>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</si>
  <si>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</si>
  <si>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</si>
  <si>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</si>
  <si>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</si>
  <si>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</si>
  <si>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</si>
  <si>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</si>
  <si>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</si>
  <si>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</si>
  <si>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</si>
  <si>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</si>
  <si>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</si>
  <si>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</si>
  <si>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</si>
  <si>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</si>
  <si>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</si>
  <si>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</si>
  <si>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</si>
  <si>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</si>
  <si>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</si>
  <si>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</si>
  <si>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</si>
  <si>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</si>
  <si>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</si>
  <si>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</si>
  <si>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</si>
  <si>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</si>
  <si>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</si>
  <si>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</si>
  <si>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</si>
  <si>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</si>
  <si>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</si>
  <si>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</si>
  <si>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</si>
  <si>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</si>
  <si>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</si>
  <si>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</si>
  <si>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</si>
  <si>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</si>
  <si>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</si>
  <si>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</si>
  <si>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</si>
  <si>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</si>
  <si>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</si>
  <si>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</si>
  <si>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</si>
  <si>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</si>
  <si>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</si>
  <si>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</si>
  <si>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</si>
  <si>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</si>
  <si>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</si>
  <si>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</si>
  <si>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</si>
  <si>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</si>
  <si>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</si>
  <si>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</si>
  <si>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</si>
  <si>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</si>
  <si>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</si>
  <si>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</si>
  <si>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</si>
  <si>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</si>
  <si>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</si>
  <si>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</si>
  <si>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</si>
  <si>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</si>
  <si>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</si>
  <si>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</si>
  <si>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</si>
  <si>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</si>
  <si>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</si>
  <si>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</si>
  <si>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</si>
  <si>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</si>
  <si>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</si>
  <si>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</si>
  <si>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</si>
  <si>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</si>
  <si>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</si>
  <si>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</si>
  <si>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</si>
  <si>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</si>
  <si>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</si>
  <si>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</si>
  <si>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</si>
  <si>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</si>
  <si>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</si>
  <si>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</si>
  <si>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</si>
  <si>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</si>
  <si>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</si>
  <si>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</si>
  <si>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</si>
  <si>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</si>
  <si>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</si>
  <si>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</si>
  <si>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</si>
  <si>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</si>
  <si>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</si>
  <si>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</si>
  <si>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</si>
  <si>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</si>
  <si>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</si>
  <si>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</si>
  <si>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</si>
  <si>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</si>
  <si>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</si>
  <si>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</si>
  <si>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</si>
  <si>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</si>
  <si>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</si>
  <si>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</si>
  <si>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</si>
  <si>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</si>
  <si>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</si>
  <si>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</si>
  <si>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</si>
  <si>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</si>
  <si>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</si>
  <si>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</si>
  <si>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</si>
  <si>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</si>
  <si>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</si>
  <si>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</si>
  <si>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</si>
  <si>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</si>
  <si>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</si>
  <si>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</si>
  <si>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</si>
  <si>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</si>
  <si>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</si>
  <si>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</si>
  <si>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</si>
  <si>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</si>
  <si>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</si>
  <si>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</si>
  <si>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</si>
  <si>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</si>
  <si>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</si>
  <si>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</si>
  <si>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</si>
  <si>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</si>
  <si>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</si>
  <si>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</si>
  <si>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</si>
  <si>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</si>
  <si>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</si>
  <si>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</si>
  <si>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</si>
  <si>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</si>
  <si>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</si>
  <si>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</si>
  <si>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</si>
  <si>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</si>
  <si>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</si>
  <si>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</si>
  <si>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</si>
  <si>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</si>
  <si>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</si>
  <si>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</si>
  <si>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</si>
  <si>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</si>
  <si>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</si>
  <si>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</si>
  <si>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</si>
  <si>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</si>
  <si>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</si>
  <si>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</si>
  <si>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</si>
  <si>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</si>
  <si>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</si>
  <si>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</si>
  <si>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</si>
  <si>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</si>
  <si>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</si>
  <si>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</si>
  <si>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</si>
  <si>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</si>
  <si>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</si>
  <si>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</si>
  <si>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</si>
  <si>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</si>
  <si>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</si>
  <si>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</si>
  <si>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</si>
  <si>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</si>
  <si>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</si>
  <si>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</si>
  <si>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</si>
  <si>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</si>
  <si>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</si>
  <si>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</si>
  <si>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</si>
  <si>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</si>
  <si>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</si>
  <si>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</si>
  <si>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</si>
  <si>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</si>
  <si>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</si>
  <si>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</si>
  <si>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</si>
  <si>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</si>
  <si>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</si>
  <si>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</si>
  <si>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</si>
  <si>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</si>
  <si>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</si>
  <si>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</si>
  <si>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</si>
  <si>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</si>
  <si>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</si>
  <si>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</si>
  <si>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</si>
  <si>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</si>
  <si>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</si>
  <si>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</si>
  <si>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</si>
  <si>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</si>
  <si>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</si>
  <si>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</si>
  <si>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</si>
  <si>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</si>
  <si>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</si>
  <si>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</si>
  <si>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</si>
  <si>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</si>
  <si>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</si>
  <si>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</si>
  <si>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</si>
  <si>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</si>
  <si>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</si>
  <si>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</si>
  <si>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</si>
  <si>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</si>
  <si>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</si>
  <si>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</si>
  <si>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</si>
  <si>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</si>
  <si>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</si>
  <si>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</si>
  <si>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</si>
  <si>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</si>
  <si>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</si>
  <si>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</si>
  <si>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</si>
  <si>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</si>
  <si>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</si>
  <si>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</si>
  <si>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</si>
  <si>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</si>
  <si>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</si>
  <si>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</si>
  <si>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</si>
  <si>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</si>
  <si>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</si>
  <si>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</si>
  <si>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</si>
  <si>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</si>
  <si>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</si>
  <si>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</si>
  <si>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</si>
  <si>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</si>
  <si>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</si>
  <si>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</si>
  <si>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</si>
  <si>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</si>
  <si>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</si>
  <si>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</si>
  <si>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</si>
  <si>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</si>
  <si>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</si>
  <si>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</si>
  <si>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</si>
  <si>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</si>
  <si>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</si>
  <si>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</si>
  <si>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</si>
  <si>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</si>
  <si>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</si>
  <si>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</si>
  <si>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</si>
  <si>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</si>
  <si>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</si>
  <si>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</si>
  <si>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</si>
  <si>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</si>
  <si>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</si>
  <si>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</si>
  <si>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</si>
  <si>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</si>
  <si>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</si>
  <si>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</si>
  <si>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</si>
  <si>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</si>
  <si>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</si>
  <si>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</si>
  <si>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</si>
  <si>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</si>
  <si>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</si>
  <si>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</si>
  <si>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</si>
  <si>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</si>
  <si>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</si>
  <si>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</si>
  <si>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</si>
  <si>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</si>
  <si>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</si>
  <si>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</si>
  <si>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</si>
  <si>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</si>
  <si>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</si>
  <si>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</si>
  <si>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</si>
  <si>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</si>
  <si>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</si>
  <si>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</si>
  <si>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</si>
  <si>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</si>
  <si>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</si>
  <si>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</si>
  <si>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</si>
  <si>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</si>
  <si>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</si>
  <si>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</si>
  <si>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</si>
  <si>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</si>
  <si>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</si>
  <si>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</si>
  <si>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</si>
  <si>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</si>
  <si>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</si>
  <si>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</si>
  <si>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</si>
  <si>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</si>
  <si>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</si>
  <si>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</si>
  <si>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</si>
  <si>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</si>
  <si>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</si>
  <si>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</si>
  <si>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</si>
  <si>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</si>
  <si>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</si>
  <si>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</si>
  <si>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</si>
  <si>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</si>
  <si>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</si>
  <si>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</si>
  <si>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</si>
  <si>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</si>
  <si>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</si>
  <si>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</si>
  <si>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</si>
  <si>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</si>
  <si>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</si>
  <si>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</si>
  <si>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</si>
  <si>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</si>
  <si>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</si>
  <si>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</si>
  <si>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</si>
  <si>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</si>
  <si>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</si>
  <si>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</si>
  <si>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</si>
  <si>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</si>
  <si>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</si>
  <si>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</si>
  <si>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</si>
  <si>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</si>
  <si>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</si>
  <si>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</si>
  <si>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</si>
  <si>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</si>
  <si>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</si>
  <si>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</si>
  <si>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</si>
  <si>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</si>
  <si>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</si>
  <si>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</si>
  <si>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</si>
  <si>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</si>
  <si>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</si>
  <si>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</si>
  <si>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</si>
  <si>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</si>
  <si>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</si>
  <si>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</si>
  <si>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</si>
  <si>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</si>
  <si>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</si>
  <si>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</si>
  <si>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</si>
  <si>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</si>
  <si>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</si>
  <si>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</si>
  <si>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</si>
  <si>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</si>
  <si>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</si>
  <si>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</si>
  <si>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</si>
  <si>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</si>
  <si>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</si>
  <si>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</si>
  <si>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</si>
  <si>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</si>
  <si>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</si>
  <si>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</si>
  <si>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</si>
  <si>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</si>
  <si>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</si>
  <si>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</si>
  <si>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</si>
  <si>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</si>
  <si>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</si>
  <si>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</si>
  <si>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</si>
  <si>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</si>
  <si>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</si>
  <si>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</si>
  <si>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</si>
  <si>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</si>
  <si>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</si>
  <si>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</si>
  <si>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</si>
  <si>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</si>
  <si>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</si>
  <si>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</si>
  <si>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</si>
  <si>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</si>
  <si>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</si>
  <si>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</si>
  <si>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</si>
  <si>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</si>
  <si>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</si>
  <si>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</si>
  <si>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PREFEITURA MUNICIPAL DE SÃO LUIZ GONZAGA</t>
  </si>
  <si>
    <t>SÃO LUIZ GONZAGA/RS</t>
  </si>
  <si>
    <t>JOSE ANTONIO FLACH WERLE</t>
  </si>
  <si>
    <t>PREFEITO MUNICIPAL</t>
  </si>
  <si>
    <t>0</t>
  </si>
  <si>
    <t>OBRAS COMPLEMENTARES NA EMEF SANTA RITA</t>
  </si>
  <si>
    <t>ALTERAÇÃO DE POSTE DE ENTRADA DE ENERGIA</t>
  </si>
  <si>
    <t>01</t>
  </si>
  <si>
    <t>100604</t>
  </si>
  <si>
    <t>106720</t>
  </si>
  <si>
    <t>CALÇADAS EXTERNAS</t>
  </si>
  <si>
    <t>94319</t>
  </si>
  <si>
    <t>100324</t>
  </si>
  <si>
    <t>94273</t>
  </si>
  <si>
    <t>92396</t>
  </si>
  <si>
    <t>HALL DE ENTRADA</t>
  </si>
  <si>
    <t>5057</t>
  </si>
  <si>
    <t>97082</t>
  </si>
  <si>
    <t>02</t>
  </si>
  <si>
    <t>03</t>
  </si>
  <si>
    <t>107113</t>
  </si>
  <si>
    <t>04</t>
  </si>
  <si>
    <t>90830</t>
  </si>
  <si>
    <t>100709</t>
  </si>
  <si>
    <t>GRADES EM CHAPA EXPANDIDA INCLUSO PORTAS</t>
  </si>
  <si>
    <t>101510</t>
  </si>
  <si>
    <t>91935</t>
  </si>
  <si>
    <t>FUNDAÇÃO</t>
  </si>
  <si>
    <t>VIGA BALDRAME</t>
  </si>
  <si>
    <t>92759</t>
  </si>
  <si>
    <t>92760</t>
  </si>
  <si>
    <t>92270</t>
  </si>
  <si>
    <t>96557</t>
  </si>
  <si>
    <t>PILARES</t>
  </si>
  <si>
    <t>92762</t>
  </si>
  <si>
    <t>103669</t>
  </si>
  <si>
    <t>92269</t>
  </si>
  <si>
    <t>VIGAS CINTAMENTO - REAPROVEITAMENTO DE FORMA DAS BALDRAMES</t>
  </si>
  <si>
    <t>COBERTURA</t>
  </si>
  <si>
    <t>92602</t>
  </si>
  <si>
    <t>92580</t>
  </si>
  <si>
    <t>94213</t>
  </si>
  <si>
    <t>100741</t>
  </si>
  <si>
    <t>88485</t>
  </si>
  <si>
    <t>88489</t>
  </si>
  <si>
    <t>OITÃO EM ALVENARIA</t>
  </si>
  <si>
    <t>103366</t>
  </si>
  <si>
    <t>87905</t>
  </si>
  <si>
    <t>87794</t>
  </si>
  <si>
    <t>RAMPA DE ACESSIBILIDADE</t>
  </si>
  <si>
    <t>105004</t>
  </si>
  <si>
    <t>99858</t>
  </si>
  <si>
    <t>PINTURA DOS PILARES E VIGAS</t>
  </si>
  <si>
    <t>RS246150</t>
  </si>
  <si>
    <t>ÍGOR KIST</t>
  </si>
  <si>
    <t>14571519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</si>
</sst>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186" fontId="63" fillId="0" borderId="29" xfId="0" applyNumberFormat="1" applyFont="1" applyBorder="1" applyAlignment="1">
      <alignment horizontal="left"/>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0" fontId="24" fillId="8" borderId="31" xfId="0" applyFont="1" applyFill="1" applyBorder="1" applyAlignment="1">
      <alignment horizontal="center"/>
    </xf>
    <xf numFmtId="14" fontId="0" fillId="6" borderId="46" xfId="0" applyNumberFormat="1" applyFill="1" applyBorder="1" applyAlignment="1" applyProtection="1">
      <alignment horizontal="center"/>
      <protection locked="0"/>
    </xf>
    <xf numFmtId="14" fontId="0" fillId="6" borderId="47" xfId="0" applyNumberFormat="1" applyFill="1" applyBorder="1" applyAlignment="1" applyProtection="1">
      <alignment horizontal="center"/>
      <protection locked="0"/>
    </xf>
    <xf numFmtId="10" fontId="56" fillId="0" borderId="33" xfId="37" applyNumberFormat="1" applyFill="1" applyBorder="1" applyAlignment="1" applyProtection="1">
      <alignment horizontal="center"/>
    </xf>
    <xf numFmtId="176" fontId="24" fillId="8" borderId="31" xfId="0" applyNumberFormat="1" applyFont="1" applyFill="1" applyBorder="1" applyAlignment="1">
      <alignment horizontal="center" shrinkToFit="1"/>
    </xf>
    <xf numFmtId="0" fontId="0" fillId="18" borderId="39" xfId="0" applyFill="1" applyBorder="1"/>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cellStyle name="Normal" xfId="0" builtinId="0"/>
    <cellStyle name="Normal 2" xfId="33"/>
    <cellStyle name="Normal 3" xfId="34"/>
    <cellStyle name="Normal 4" xfId="50"/>
    <cellStyle name="Normal_FICHA DE VERIFICAÇÃO PRELIMINAR - Plano R" xfId="35"/>
    <cellStyle name="Nota" xfId="36" builtinId="10" customBuiltin="1"/>
    <cellStyle name="Porcentagem" xfId="37" builtinId="5"/>
    <cellStyle name="Porcentagem 2" xfId="38"/>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cellStyle name="Total" xfId="47" builtinId="25" customBuiltin="1"/>
    <cellStyle name="Vírgula" xfId="48" builtinId="3"/>
    <cellStyle name="Vírgula 2" xfId="49"/>
  </cellStyles>
  <dxfs count="342">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ea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ea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ea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ea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2581A2E8-1109-9DBB-2289-7A8FC721FF65}"/>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xmlns=""/>
    </a:ext>
    <a:ext xmlns:a="http://schemas.openxmlformats.org/drawingml/2006/main" uri="{7C84B067-C214-45C3-A712-C9D94CD141B2}">
      <we:customFunctionIdList xmlns="">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H8Z+RoqyXWUFfgEMRllF4TJ+0HuHM9IuGbzvsC32UCmK7SJEjFHQ2G3PMO+kZeldMVxZk4QNOWkqdVL/iFd+HA==" saltValue="fGM+/yscHnSTVGfit8Zzrw=="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77" t="str">
        <f>CHOOSE(MATCH(Objeto,{"PM","PO"}),"PLANILHA MÚLTIPLA ","PLANILHA ORÇAMENTÁRIA ")&amp; Versao</f>
        <v>PLANILHA MÚLTIPLA v3.16</v>
      </c>
      <c r="F2" s="677"/>
      <c r="G2" s="677"/>
      <c r="H2" s="408"/>
      <c r="I2" s="406"/>
      <c r="J2" s="491" t="s">
        <v>1004</v>
      </c>
      <c r="K2" s="510" t="b">
        <v>1</v>
      </c>
    </row>
    <row r="3" spans="1:15" ht="22.5" customHeight="1" x14ac:dyDescent="0.2">
      <c r="A3" s="404"/>
      <c r="B3" s="406"/>
      <c r="C3" s="406"/>
      <c r="D3" s="406"/>
      <c r="E3" s="677"/>
      <c r="F3" s="677"/>
      <c r="G3" s="677"/>
      <c r="H3" s="408"/>
      <c r="I3" s="406"/>
      <c r="O3" s="606">
        <v>1</v>
      </c>
    </row>
    <row r="4" spans="1:15" ht="17.100000000000001" customHeight="1" x14ac:dyDescent="0.2">
      <c r="A4" s="404"/>
      <c r="B4" s="406"/>
      <c r="C4" s="406"/>
      <c r="D4" s="406"/>
      <c r="E4" s="406"/>
      <c r="F4" s="407"/>
      <c r="G4" s="408"/>
      <c r="H4" s="408"/>
      <c r="I4" s="406"/>
      <c r="J4" s="151" t="str">
        <f>IF(VALUE(MENU!$O$4)=2,"BM","PLE")</f>
        <v>BM</v>
      </c>
      <c r="O4" s="606">
        <v>2</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6" t="str">
        <f>IF($O$3&lt;&gt;2,"DOCUMENTAÇÃO DA PROPOSTA","PROPOSTA: Para visualizar/preencher esta seção, altere o TIPO DE ORÇAMENTO para 'Proposto'")</f>
        <v>DOCUMENTAÇÃO DA PROPOSTA</v>
      </c>
      <c r="C8" s="676"/>
      <c r="D8" s="676"/>
      <c r="E8" s="676"/>
      <c r="F8" s="676"/>
      <c r="G8" s="676"/>
      <c r="H8" s="676"/>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07-2026.xlsm.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6" t="str">
        <f>IF($O$3&lt;&gt;2,"PÓS-LICITADO: Para visualizar/preencher esta seção, altere o TIPO DE ORÇAMENTO para 'Licitado'","RESULTADO DO PROCESSO LICITATÓRIO")</f>
        <v>PÓS-LICITADO: Para visualizar/preencher esta seção, altere o TIPO DE ORÇAMENTO para 'Licitado'</v>
      </c>
      <c r="C16" s="676"/>
      <c r="D16" s="676"/>
      <c r="E16" s="676"/>
      <c r="F16" s="676"/>
      <c r="G16" s="676"/>
      <c r="H16" s="676"/>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6" t="str">
        <f>IF($O$3&lt;&gt;2,"ACOMPANHAMENTO: Para visualizar/preencher esta seção, altere o TIPO DE ORÇAMENTO para 'Licitado'","ACOMPANHAMENTO DO EMPREENDIMENTO")</f>
        <v>ACOMPANHAMENTO: Para visualizar/preencher esta seção, altere o TIPO DE ORÇAMENTO para 'Licitado'</v>
      </c>
      <c r="C20" s="676"/>
      <c r="D20" s="676"/>
      <c r="E20" s="676"/>
      <c r="F20" s="676"/>
      <c r="G20" s="676"/>
      <c r="H20" s="676"/>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12jdTckGlv9H0pEJEbRLG0CFkzMz4LT8nJj3pQxU1TA8AsV4k3jK+ES6t1mkgYaFjGU3RAT3CjQWluiaATC4XA==" saltValue="2jS4Tipm8zzLByzZSKBqOQ==" spinCount="100000" sheet="1" objects="1" scenarios="1" autoFilter="0"/>
  <mergeCells count="4">
    <mergeCell ref="B20:H20"/>
    <mergeCell ref="B8:H8"/>
    <mergeCell ref="E2:G3"/>
    <mergeCell ref="B16:H16"/>
  </mergeCells>
  <phoneticPr fontId="38" type="noConversion"/>
  <conditionalFormatting sqref="C10:G14">
    <cfRule type="expression" dxfId="341" priority="70" stopIfTrue="1">
      <formula>TIPOORCAMENTO="Licitado"</formula>
    </cfRule>
  </conditionalFormatting>
  <conditionalFormatting sqref="C18:G18 E22:E24">
    <cfRule type="expression" dxfId="340" priority="71" stopIfTrue="1">
      <formula>TIPOORCAMENTO&lt;&gt;"Licitado"</formula>
    </cfRule>
  </conditionalFormatting>
  <conditionalFormatting sqref="C22">
    <cfRule type="expression" dxfId="339" priority="73" stopIfTrue="1">
      <formula>OR(TIPOORCAMENTO&lt;&gt;"Licitado",ACOMPANHAMENTO&lt;&gt;"PLE")</formula>
    </cfRule>
  </conditionalFormatting>
  <conditionalFormatting sqref="G22">
    <cfRule type="expression" dxfId="338" priority="74" stopIfTrue="1">
      <formula>OR(TIPOORCAMENTO&lt;&gt;"Licitado",ACOMPANHAMENTO&lt;&gt;"BM")</formula>
    </cfRule>
  </conditionalFormatting>
  <conditionalFormatting sqref="B16:H16 B20:H20">
    <cfRule type="expression" dxfId="337" priority="599" stopIfTrue="1">
      <formula>$O$3&lt;&gt;2</formula>
    </cfRule>
  </conditionalFormatting>
  <conditionalFormatting sqref="B8:H8">
    <cfRule type="expression" dxfId="336" priority="601" stopIfTrue="1">
      <formula>$O$3&lt;&gt;1</formula>
    </cfRule>
  </conditionalFormatting>
  <hyperlinks>
    <hyperlink ref="E6" location="DADOS!E3" display="DADOS DO CONTRATO"/>
    <hyperlink ref="G6" location="Novo!A1" display="NOVIDADES DA VERSÃO"/>
    <hyperlink ref="C10" location="BDI!Q11" display="BDI!Q11"/>
    <hyperlink ref="E10" location="ORÇAMENTO!M13" display="ORÇAMENTO"/>
    <hyperlink ref="G10" location="CÁLCULO!D13" display="MEMÓRIA DE CÁLCULO / PLQ"/>
    <hyperlink ref="E12" location="CRONO!G12" display="CRONOGRAMA FÍSICO-FINANCEIRO"/>
    <hyperlink ref="C18" location="ORÇAMENTO!AM15" display="             ORÇAMENTO             "/>
    <hyperlink ref="E18" location="QCI!D13" display="                    QCI                    "/>
    <hyperlink ref="G18" location="CRONO!G12" display="CRONOGRAMA FÍSICO-FINANCEIRO"/>
    <hyperlink ref="E22" location="RRE!E13" display="                    RRE                    "/>
    <hyperlink ref="G22" location="BM!D13" display="BM!D13"/>
    <hyperlink ref="E24" location="Ofício!C6" display="OF. DE SOLICITAÇÃO DE DESBLOQUEIO"/>
    <hyperlink ref="C12" location="QCI!D13" display="QCI!D13"/>
    <hyperlink ref="C22" location="PLE!J8" display="PLAN. DE LEVANT. DE EVENTOS - PLE"/>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pageSetUpPr fitToPage="1"/>
  </sheetPr>
  <dimension ref="B1:AW222"/>
  <sheetViews>
    <sheetView showGridLines="0" zoomScaleNormal="100" workbookViewId="0">
      <pane ySplit="2" topLeftCell="A11" activePane="bottomLeft" state="frozen"/>
      <selection pane="bottomLeft" activeCell="C22" sqref="C22:C25"/>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10"/>
      <c r="N1" s="679" t="s">
        <v>97</v>
      </c>
      <c r="O1" s="679"/>
      <c r="P1" s="679"/>
      <c r="Q1" s="679"/>
      <c r="R1" s="679"/>
      <c r="S1" s="679"/>
      <c r="T1" s="679"/>
      <c r="U1" s="679"/>
      <c r="V1" s="679"/>
      <c r="W1" s="679"/>
      <c r="X1" s="679"/>
      <c r="Y1" s="679"/>
      <c r="Z1" s="679"/>
      <c r="AA1" s="679"/>
      <c r="AB1" s="679"/>
      <c r="AC1" s="679"/>
      <c r="AD1" s="679"/>
      <c r="AE1" s="679"/>
      <c r="AF1" s="679"/>
      <c r="AG1" s="679"/>
      <c r="AH1" s="679"/>
      <c r="AI1" s="679"/>
      <c r="AJ1" s="679"/>
      <c r="AK1" s="679"/>
      <c r="AL1" s="679"/>
      <c r="AM1" s="679"/>
      <c r="AN1" s="679"/>
      <c r="AO1" s="679"/>
      <c r="AP1" s="679"/>
      <c r="AQ1" s="679"/>
      <c r="AR1" s="679"/>
      <c r="AS1" s="679"/>
      <c r="AT1" s="679"/>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78" t="s">
        <v>119</v>
      </c>
      <c r="C3" s="678"/>
      <c r="D3" s="562" t="str">
        <f ca="1">IF(COUNTIF(D4:D13,"◄")=0,"","Falta preencher a linha "&amp;MATCH("◄",D4:D13,0)+ROW(D3))</f>
        <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962</v>
      </c>
      <c r="D4" s="563"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1007</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1008</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1011</v>
      </c>
      <c r="D7" s="563" t="str">
        <f t="shared" ca="1" si="0"/>
        <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1011</v>
      </c>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0</v>
      </c>
      <c r="D9" s="563" t="str">
        <f t="shared" ca="1" si="0"/>
        <v/>
      </c>
      <c r="I9" t="s">
        <v>973</v>
      </c>
      <c r="L9" s="12" t="s">
        <v>106</v>
      </c>
      <c r="U9" t="s">
        <v>198</v>
      </c>
      <c r="V9" s="7" t="s">
        <v>126</v>
      </c>
      <c r="W9" t="s">
        <v>199</v>
      </c>
      <c r="X9" s="7" t="s">
        <v>128</v>
      </c>
      <c r="AV9" t="s">
        <v>200</v>
      </c>
      <c r="AW9" t="s">
        <v>201</v>
      </c>
    </row>
    <row r="10" spans="2:49" x14ac:dyDescent="0.2">
      <c r="B10" s="17" t="s">
        <v>202</v>
      </c>
      <c r="C10" s="19">
        <v>0</v>
      </c>
      <c r="D10" s="563" t="str">
        <f t="shared" ca="1" si="0"/>
        <v/>
      </c>
      <c r="L10" s="12" t="s">
        <v>107</v>
      </c>
      <c r="U10" t="s">
        <v>203</v>
      </c>
      <c r="V10" s="7" t="s">
        <v>148</v>
      </c>
      <c r="W10" t="s">
        <v>204</v>
      </c>
      <c r="X10" s="7" t="s">
        <v>121</v>
      </c>
      <c r="AV10" t="s">
        <v>205</v>
      </c>
      <c r="AW10" t="s">
        <v>206</v>
      </c>
    </row>
    <row r="11" spans="2:49" x14ac:dyDescent="0.2">
      <c r="B11" s="17" t="s">
        <v>207</v>
      </c>
      <c r="C11" s="20">
        <v>0</v>
      </c>
      <c r="D11" s="563"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8" t="s">
        <v>220</v>
      </c>
      <c r="C15" s="678"/>
      <c r="D15" s="562" t="str">
        <f ca="1">IF(COUNTIF(D16:D19,"◄")=0,"","Falta preencher a linha "&amp;MATCH("◄",D16:D19,0)+ROW(D15))</f>
        <v/>
      </c>
      <c r="L15" s="12" t="s">
        <v>112</v>
      </c>
      <c r="AV15" t="s">
        <v>221</v>
      </c>
      <c r="AW15" t="s">
        <v>222</v>
      </c>
    </row>
    <row r="16" spans="2:49" x14ac:dyDescent="0.2">
      <c r="B16" s="24" t="s">
        <v>223</v>
      </c>
      <c r="C16" s="25" t="s">
        <v>1012</v>
      </c>
      <c r="D16" s="563" t="str">
        <f t="shared" ref="D16:D19" ca="1" si="1">IF(OFFSET(D16,0,-1)="","◄","")</f>
        <v/>
      </c>
      <c r="L16" s="12" t="s">
        <v>113</v>
      </c>
      <c r="AV16" t="s">
        <v>224</v>
      </c>
      <c r="AW16" t="s">
        <v>225</v>
      </c>
    </row>
    <row r="17" spans="2:49" x14ac:dyDescent="0.2">
      <c r="B17" s="17" t="s">
        <v>226</v>
      </c>
      <c r="C17" s="26" t="s">
        <v>1012</v>
      </c>
      <c r="D17" s="563" t="str">
        <f t="shared" ca="1" si="1"/>
        <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46204</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78" t="s">
        <v>237</v>
      </c>
      <c r="C21" s="678"/>
      <c r="D21" s="562" t="str">
        <f ca="1">IF(COUNTIF(D22:D25,"◄")=0,"","Falta preencher a linha "&amp;MATCH("◄",D22:D25,0)+ROW(D21))</f>
        <v/>
      </c>
      <c r="L21" s="12"/>
      <c r="AV21" t="s">
        <v>238</v>
      </c>
      <c r="AW21" t="s">
        <v>239</v>
      </c>
    </row>
    <row r="22" spans="2:49" x14ac:dyDescent="0.2">
      <c r="B22" s="15" t="s">
        <v>240</v>
      </c>
      <c r="C22" s="31" t="s">
        <v>1061</v>
      </c>
      <c r="D22" s="563" t="str">
        <f t="shared" ref="D22:D24" ca="1" si="2">IF(OFFSET(D22,0,-1)="","◄","")</f>
        <v/>
      </c>
      <c r="AV22" t="s">
        <v>241</v>
      </c>
      <c r="AW22" t="s">
        <v>242</v>
      </c>
    </row>
    <row r="23" spans="2:49" x14ac:dyDescent="0.2">
      <c r="B23" s="17" t="s">
        <v>243</v>
      </c>
      <c r="C23" s="18" t="s">
        <v>1060</v>
      </c>
      <c r="D23" s="563" t="str">
        <f t="shared" ca="1" si="2"/>
        <v/>
      </c>
      <c r="AV23" t="s">
        <v>244</v>
      </c>
      <c r="AW23" t="s">
        <v>245</v>
      </c>
    </row>
    <row r="24" spans="2:49" x14ac:dyDescent="0.2">
      <c r="B24" s="17" t="s">
        <v>246</v>
      </c>
      <c r="C24" s="18" t="s">
        <v>1062</v>
      </c>
      <c r="D24" s="563" t="str">
        <f t="shared" ca="1" si="2"/>
        <v/>
      </c>
      <c r="AV24" t="s">
        <v>247</v>
      </c>
      <c r="AW24" t="s">
        <v>248</v>
      </c>
    </row>
    <row r="25" spans="2:49" ht="13.5" thickBot="1" x14ac:dyDescent="0.25">
      <c r="B25" s="21" t="s">
        <v>249</v>
      </c>
      <c r="C25" s="32">
        <v>46237</v>
      </c>
      <c r="D25" s="563" t="s">
        <v>250</v>
      </c>
      <c r="AV25" t="s">
        <v>251</v>
      </c>
      <c r="AW25" t="s">
        <v>252</v>
      </c>
    </row>
    <row r="26" spans="2:49" ht="13.5" thickBot="1" x14ac:dyDescent="0.25">
      <c r="AV26" t="s">
        <v>253</v>
      </c>
      <c r="AW26" t="s">
        <v>254</v>
      </c>
    </row>
    <row r="27" spans="2:49" ht="15.75" thickBot="1" x14ac:dyDescent="0.3">
      <c r="B27" s="678" t="s">
        <v>255</v>
      </c>
      <c r="C27" s="678"/>
      <c r="D27" s="562" t="str">
        <f ca="1">IF(COUNTIF(D28:D29,"◄")=0,"","Falta preencher a linha "&amp;MATCH("◄",D28:D29,0)+ROW(D27))</f>
        <v/>
      </c>
      <c r="AV27" t="s">
        <v>256</v>
      </c>
      <c r="AW27" t="s">
        <v>257</v>
      </c>
    </row>
    <row r="28" spans="2:49" x14ac:dyDescent="0.2">
      <c r="B28" s="13" t="s">
        <v>240</v>
      </c>
      <c r="C28" s="33" t="s">
        <v>1009</v>
      </c>
      <c r="D28" s="563" t="str">
        <f t="shared" ref="D28:D29" ca="1" si="3">IF(OFFSET(D28,0,-1)="","◄","")</f>
        <v/>
      </c>
      <c r="AV28" t="s">
        <v>258</v>
      </c>
      <c r="AW28" t="s">
        <v>259</v>
      </c>
    </row>
    <row r="29" spans="2:49" ht="13.5" thickBot="1" x14ac:dyDescent="0.25">
      <c r="B29" s="21" t="s">
        <v>260</v>
      </c>
      <c r="C29" s="34" t="s">
        <v>1010</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8" t="s">
        <v>273</v>
      </c>
      <c r="C35" s="678"/>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8" t="s">
        <v>303</v>
      </c>
      <c r="C46" s="678"/>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78" t="s">
        <v>314</v>
      </c>
      <c r="C50" s="678"/>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8" t="s">
        <v>337</v>
      </c>
      <c r="C59" s="678"/>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q5Cia/bdn3Xxhek3yDS3AjECQrqg/ycOv+vz/wocaqCcoCbSY9A5vlRjk5VGuPNV+XfaXcULtz1m2SMjwHVrRw==" saltValue="H4glleK1aOHCFYTBnfl8LA==" spinCount="100000" sheet="1" objects="1" scenarios="1" autoFilter="0"/>
  <sortState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335" priority="2" stopIfTrue="1">
      <formula>CAIXA.Modo=FALSE</formula>
    </cfRule>
  </conditionalFormatting>
  <conditionalFormatting sqref="B59:C61">
    <cfRule type="expression" dxfId="334" priority="3" stopIfTrue="1">
      <formula>CAIXA.Modo=FALSE</formula>
    </cfRule>
  </conditionalFormatting>
  <dataValidations count="7">
    <dataValidation type="date" allowBlank="1" showErrorMessage="1" errorTitle="Dados inválidos" error="Digite somente datas válidas no formato mm/aaaa." sqref="C19 C25 C36 C41 C47:C48">
      <formula1>36526</formula1>
      <formula2>72686</formula2>
    </dataValidation>
    <dataValidation type="list" allowBlank="1" showInputMessage="1" showErrorMessage="1" errorTitle="Erro:" error="Selecione na lista o regime previdênciário." prompt="Selecione na lista o regime previdênciário." sqref="C18">
      <formula1>DADOS.Lista.RegimePreviden</formula1>
    </dataValidation>
    <dataValidation type="decimal" allowBlank="1" showErrorMessage="1" error="Digite um valor em percentual._x000a__x000a_Ou seja um valor de 0% (zero) até 100% (cem). " sqref="C11 C13:C14">
      <formula1>0</formula1>
      <formula2>1</formula2>
    </dataValidation>
    <dataValidation type="list" allowBlank="1" showInputMessage="1" showErrorMessage="1" errorTitle="Erro:" error="Selecione na lista a fonte de recursos." prompt="Selecione na lista a fonte de recursos." sqref="C4">
      <formula1>DADOS.Lista.FonteRecursos</formula1>
    </dataValidation>
    <dataValidation type="decimal" operator="greaterThan" allowBlank="1" showErrorMessage="1" error="Digite um valor maior do que 0." sqref="C12">
      <formula1>0</formula1>
      <formula2>0</formula2>
    </dataValidation>
    <dataValidation type="list" allowBlank="1" showInputMessage="1" showErrorMessage="1" errorTitle="Erro:" error="Selecione na lista o regime de execução do CTEF." prompt="Selecione na lista o regime de execução do CTEF." sqref="C4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81" t="s">
        <v>644</v>
      </c>
      <c r="S1" s="681"/>
    </row>
    <row r="2" spans="1:21" x14ac:dyDescent="0.2">
      <c r="A2" s="49" t="s">
        <v>645</v>
      </c>
      <c r="B2" s="53" t="s">
        <v>646</v>
      </c>
      <c r="C2" s="49" t="str">
        <f t="shared" ref="C2:C49" si="0">CONCATENATE(A2,"-",B2)</f>
        <v>Construção e Reforma de Edifícios-AC</v>
      </c>
      <c r="E2" s="54">
        <v>0.03</v>
      </c>
      <c r="F2" s="54">
        <v>0.04</v>
      </c>
      <c r="G2" s="54">
        <v>5.5E-2</v>
      </c>
      <c r="R2" s="682" t="s">
        <v>647</v>
      </c>
      <c r="S2" s="682"/>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683" t="s">
        <v>650</v>
      </c>
      <c r="K4" s="683"/>
      <c r="L4" s="683" t="s">
        <v>651</v>
      </c>
      <c r="M4" s="683"/>
      <c r="N4" s="683" t="s">
        <v>652</v>
      </c>
      <c r="O4" s="683"/>
      <c r="P4" s="683"/>
      <c r="Q4" s="683"/>
      <c r="R4" s="683"/>
      <c r="S4" s="683"/>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80" t="str">
        <f>Import.CR</f>
        <v>0</v>
      </c>
      <c r="K5" s="680"/>
      <c r="L5" s="680" t="str">
        <f>Import.TransfereGOV</f>
        <v>0</v>
      </c>
      <c r="M5" s="680"/>
      <c r="N5" s="680" t="str">
        <f>Import.Proponente</f>
        <v>PREFEITURA MUNICIPAL DE SÃO LUIZ GONZAGA</v>
      </c>
      <c r="O5" s="680"/>
      <c r="P5" s="680"/>
      <c r="Q5" s="680"/>
      <c r="R5" s="680"/>
      <c r="S5" s="680"/>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09"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09"/>
      <c r="J7" s="683" t="s">
        <v>657</v>
      </c>
      <c r="K7" s="683"/>
      <c r="L7" s="683"/>
      <c r="M7" s="683"/>
      <c r="N7" s="683"/>
      <c r="O7" s="683"/>
      <c r="P7" s="683"/>
      <c r="Q7" s="683"/>
      <c r="R7" s="683"/>
      <c r="S7" s="683"/>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09"/>
      <c r="J8" s="686" t="str">
        <f>Import.Apelido&amp;" / "&amp;Import.DescLote</f>
        <v>OBRAS COMPLEMENTARES NA EMEF SANTA RITA / OBRAS COMPLEMENTARES NA EMEF SANTA RITA</v>
      </c>
      <c r="K8" s="686"/>
      <c r="L8" s="686"/>
      <c r="M8" s="686"/>
      <c r="N8" s="686"/>
      <c r="O8" s="686"/>
      <c r="P8" s="686"/>
      <c r="Q8" s="686"/>
      <c r="R8" s="686"/>
      <c r="S8" s="686"/>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09"/>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09"/>
      <c r="J10" s="687" t="s">
        <v>659</v>
      </c>
      <c r="K10" s="687"/>
      <c r="L10" s="687"/>
      <c r="M10" s="687"/>
      <c r="N10" s="687"/>
      <c r="O10" s="687"/>
      <c r="P10" s="687"/>
      <c r="Q10" s="687"/>
      <c r="R10" s="685">
        <v>0.4</v>
      </c>
      <c r="S10" s="685"/>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684" t="s">
        <v>661</v>
      </c>
      <c r="K11" s="684"/>
      <c r="L11" s="684"/>
      <c r="M11" s="684"/>
      <c r="N11" s="684"/>
      <c r="O11" s="684"/>
      <c r="P11" s="684"/>
      <c r="Q11" s="684"/>
      <c r="R11" s="685">
        <v>0.02</v>
      </c>
      <c r="S11" s="685"/>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692" t="s">
        <v>663</v>
      </c>
      <c r="K14" s="692"/>
      <c r="L14" s="692"/>
      <c r="M14" s="692"/>
      <c r="N14" s="692"/>
      <c r="O14" s="692"/>
      <c r="P14" s="692"/>
      <c r="Q14" s="692"/>
      <c r="R14" s="692"/>
      <c r="S14" s="692"/>
      <c r="U14" s="521" t="str">
        <f ca="1">IF(COUNTIF(ORÇAMENTO!$V$15:$V$71,BDI_1.Título)=0,"",IF(OR(Import.BDI.Tipo1="(SELECIONAR)",Import.BDI.Tipo1="",U17&lt;&gt;"",AND($J17&lt;&gt;$A$145,OR(S21="",S22="",AND($J17&lt;&gt;$A$146,OR(S23="",S24="")),S25="",S26=""))),"Falta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683" t="s">
        <v>664</v>
      </c>
      <c r="K16" s="683"/>
      <c r="L16" s="683"/>
      <c r="M16" s="683"/>
      <c r="N16" s="683"/>
      <c r="O16" s="683"/>
      <c r="P16" s="683"/>
      <c r="Q16" s="683"/>
      <c r="R16" s="683"/>
      <c r="S16" s="683"/>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689" t="s">
        <v>645</v>
      </c>
      <c r="K17" s="689"/>
      <c r="L17" s="689"/>
      <c r="M17" s="689"/>
      <c r="N17" s="689"/>
      <c r="O17" s="689"/>
      <c r="P17" s="689"/>
      <c r="Q17" s="689"/>
      <c r="R17" s="689"/>
      <c r="S17" s="689"/>
      <c r="T17" s="563" t="str">
        <f ca="1">IF(U17="","","◄")</f>
        <v/>
      </c>
      <c r="U17" s="562" t="str">
        <f ca="1">IF(AND(OR(S29&gt;0,COUNTIF(ORÇAMENTO!$V$15:$V$71,BDI_1.Título)&gt;0),OR(Import.BDI.Tipo1="(SELECIONAR)",Import.BDI.Tipo1="")),"Selecione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1" t="s">
        <v>666</v>
      </c>
      <c r="K19" s="691"/>
      <c r="L19" s="691"/>
      <c r="M19" s="691"/>
      <c r="N19" s="691"/>
      <c r="O19" s="691"/>
      <c r="P19" s="691"/>
      <c r="Q19" s="691"/>
      <c r="R19" s="691" t="s">
        <v>667</v>
      </c>
      <c r="S19" s="690" t="s">
        <v>668</v>
      </c>
      <c r="U19" s="690" t="s">
        <v>669</v>
      </c>
      <c r="V19" s="690"/>
      <c r="W19" s="690"/>
      <c r="X19" s="688" t="s">
        <v>670</v>
      </c>
      <c r="Y19" s="688" t="s">
        <v>671</v>
      </c>
      <c r="Z19" s="688"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1"/>
      <c r="K20" s="691"/>
      <c r="L20" s="691"/>
      <c r="M20" s="691"/>
      <c r="N20" s="691"/>
      <c r="O20" s="691"/>
      <c r="P20" s="691"/>
      <c r="Q20" s="691"/>
      <c r="R20" s="691"/>
      <c r="S20" s="690"/>
      <c r="U20" s="690"/>
      <c r="V20" s="690"/>
      <c r="W20" s="690"/>
      <c r="X20" s="688"/>
      <c r="Y20" s="688"/>
      <c r="Z20" s="688"/>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93" t="str">
        <f>IF($J$17=$A$146,"Encargos Sociais incidentes sobre a mão de obra","Administração Central")</f>
        <v>Administração Central</v>
      </c>
      <c r="K21" s="693"/>
      <c r="L21" s="693"/>
      <c r="M21" s="693"/>
      <c r="N21" s="693"/>
      <c r="O21" s="693"/>
      <c r="P21" s="693"/>
      <c r="Q21" s="693"/>
      <c r="R21" s="60" t="str">
        <f>IF($J17=$A$146,"K1","AC")</f>
        <v>AC</v>
      </c>
      <c r="S21" s="61">
        <v>0.04</v>
      </c>
      <c r="T21" s="572" t="str">
        <f ca="1">IF(AND($U$14&lt;&gt;"",$U$17="",R21&lt;&gt;"",S21=""),"◄","")</f>
        <v/>
      </c>
      <c r="U21" s="694" t="str">
        <f ca="1">IFERROR(IF(T21="◄","FALTA PREENCHER",IF(AND(OR(S21&gt;=X21,X21="-"),OR(S21&lt;=Z21,Z21="-")),"OK","FORA DO INTERVALO")),"-")</f>
        <v>OK</v>
      </c>
      <c r="V21" s="694"/>
      <c r="W21" s="694"/>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93" t="str">
        <f>IF($J$17=$A$146,"Administração Central da empresa ou consultoria - overhead","Seguro e Garantia")</f>
        <v>Seguro e Garantia</v>
      </c>
      <c r="K22" s="693"/>
      <c r="L22" s="693"/>
      <c r="M22" s="693"/>
      <c r="N22" s="693"/>
      <c r="O22" s="693"/>
      <c r="P22" s="693"/>
      <c r="Q22" s="693"/>
      <c r="R22" s="60" t="str">
        <f>IF($J17=$A$146,"K2","SG")</f>
        <v>SG</v>
      </c>
      <c r="S22" s="61">
        <v>8.0000000000000002E-3</v>
      </c>
      <c r="T22" s="572" t="str">
        <f t="shared" ref="T22:T26" ca="1" si="1">IF(AND($U$14&lt;&gt;"",$U$17="",R22&lt;&gt;"",S22=""),"◄","")</f>
        <v/>
      </c>
      <c r="U22" s="694" t="str">
        <f t="shared" ref="U22:U28" ca="1" si="2">IFERROR(IF(T22="◄","FALTA PREENCHER",IF(AND(OR(S22&gt;=X22,X22="-"),OR(S22&lt;=Z22,Z22="-")),"OK","FORA DO INTERVALO")),"-")</f>
        <v>OK</v>
      </c>
      <c r="V22" s="694"/>
      <c r="W22" s="694"/>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93" t="s">
        <v>942</v>
      </c>
      <c r="K23" s="693"/>
      <c r="L23" s="693"/>
      <c r="M23" s="693"/>
      <c r="N23" s="693"/>
      <c r="O23" s="693"/>
      <c r="P23" s="693"/>
      <c r="Q23" s="693"/>
      <c r="R23" s="60" t="str">
        <f>IF($J17=$A$146,"","R")</f>
        <v>R</v>
      </c>
      <c r="S23" s="61">
        <v>1.2699999999999999E-2</v>
      </c>
      <c r="T23" s="572" t="str">
        <f t="shared" ca="1" si="1"/>
        <v/>
      </c>
      <c r="U23" s="694" t="str">
        <f t="shared" ca="1" si="2"/>
        <v>OK</v>
      </c>
      <c r="V23" s="694"/>
      <c r="W23" s="694"/>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93" t="s">
        <v>943</v>
      </c>
      <c r="K24" s="693"/>
      <c r="L24" s="693"/>
      <c r="M24" s="693"/>
      <c r="N24" s="693"/>
      <c r="O24" s="693"/>
      <c r="P24" s="693"/>
      <c r="Q24" s="693"/>
      <c r="R24" s="60" t="str">
        <f>IF($J17=$A$146,"","DF")</f>
        <v>DF</v>
      </c>
      <c r="S24" s="61">
        <v>1.23E-2</v>
      </c>
      <c r="T24" s="572" t="str">
        <f t="shared" ca="1" si="1"/>
        <v/>
      </c>
      <c r="U24" s="694" t="str">
        <f t="shared" ca="1" si="2"/>
        <v>OK</v>
      </c>
      <c r="V24" s="694"/>
      <c r="W24" s="694"/>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93" t="str">
        <f>IF($J$17=$A$146,"Margem bruta da empresa de consultoria","Lucro")</f>
        <v>Lucro</v>
      </c>
      <c r="K25" s="693"/>
      <c r="L25" s="693"/>
      <c r="M25" s="693"/>
      <c r="N25" s="693"/>
      <c r="O25" s="693"/>
      <c r="P25" s="693"/>
      <c r="Q25" s="693"/>
      <c r="R25" s="60" t="str">
        <f>IF($J17=$A$146,"K3","L")</f>
        <v>L</v>
      </c>
      <c r="S25" s="61">
        <v>7.3999999999999996E-2</v>
      </c>
      <c r="T25" s="572" t="str">
        <f t="shared" ca="1" si="1"/>
        <v/>
      </c>
      <c r="U25" s="694" t="str">
        <f t="shared" ca="1" si="2"/>
        <v>OK</v>
      </c>
      <c r="V25" s="694"/>
      <c r="W25" s="694"/>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93" t="s">
        <v>675</v>
      </c>
      <c r="K26" s="693"/>
      <c r="L26" s="693"/>
      <c r="M26" s="693"/>
      <c r="N26" s="693"/>
      <c r="O26" s="693"/>
      <c r="P26" s="693"/>
      <c r="Q26" s="693"/>
      <c r="R26" s="60" t="s">
        <v>456</v>
      </c>
      <c r="S26" s="61">
        <v>3.6499999999999998E-2</v>
      </c>
      <c r="T26" s="572" t="str">
        <f t="shared" ca="1" si="1"/>
        <v/>
      </c>
      <c r="U26" s="694" t="str">
        <f t="shared" ca="1" si="2"/>
        <v>OK</v>
      </c>
      <c r="V26" s="694"/>
      <c r="W26" s="694"/>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93" t="s">
        <v>676</v>
      </c>
      <c r="K27" s="693"/>
      <c r="L27" s="693"/>
      <c r="M27" s="693"/>
      <c r="N27" s="693"/>
      <c r="O27" s="693"/>
      <c r="P27" s="693"/>
      <c r="Q27" s="693"/>
      <c r="R27" s="60" t="s">
        <v>677</v>
      </c>
      <c r="S27" s="62">
        <f ca="1">IF(AND($J17&lt;&gt;$A$145,COUNTA(OFFSET(S20,1,0,6))&gt;0),$R$11*$R$10,0)</f>
        <v>8.0000000000000002E-3</v>
      </c>
      <c r="U27" s="694" t="str">
        <f t="shared" ca="1" si="2"/>
        <v>OK</v>
      </c>
      <c r="V27" s="694"/>
      <c r="W27" s="694"/>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93" t="s">
        <v>678</v>
      </c>
      <c r="K28" s="693"/>
      <c r="L28" s="693"/>
      <c r="M28" s="693"/>
      <c r="N28" s="693"/>
      <c r="O28" s="693"/>
      <c r="P28" s="693"/>
      <c r="Q28" s="693"/>
      <c r="R28" s="60" t="s">
        <v>679</v>
      </c>
      <c r="S28" s="62" cm="1">
        <f t="array" aca="1" ref="S28" ca="1">IF(BDI.Opcao&lt;&gt;"Desonerado",0,IF(AND($J17&lt;&gt;$A$145,COUNTA(OFFSET(S20,1,0,6))&gt;0),IF(YEAR(Import.DataBase)&lt;2025,4.5%,IF(YEAR(Import.DataBase)=2025,3.6%,IF(YEAR(Import.DataBase)=2026,2.7%,IF(YEAR(Import.DataBase)=2027,1.8%,0%)))),0%))</f>
        <v>0</v>
      </c>
      <c r="U28" s="694" t="str">
        <f t="shared" ca="1" si="2"/>
        <v>OK</v>
      </c>
      <c r="V28" s="694"/>
      <c r="W28" s="694"/>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93" t="s">
        <v>680</v>
      </c>
      <c r="K29" s="693"/>
      <c r="L29" s="693"/>
      <c r="M29" s="693"/>
      <c r="N29" s="693"/>
      <c r="O29" s="693"/>
      <c r="P29" s="693"/>
      <c r="Q29" s="693"/>
      <c r="R29" s="64" t="s">
        <v>656</v>
      </c>
      <c r="S29" s="62">
        <f ca="1">IF($J17=$A$145,0,ROUND((((1+S21+S22+S23)*(1+S24)*(1+S25)/(1-(S26+S27)))-1),4))</f>
        <v>0.2069</v>
      </c>
      <c r="U29" s="690" t="str">
        <f ca="1">IFERROR(IF(AND(OR(S29&gt;=X29,X29="-"),OR(S29&lt;=Z29,Z29="-")),"OK","FORA DO INTERVALO"),IF(S29=0,"OK","Selecione o Tipo de obra"))</f>
        <v>OK</v>
      </c>
      <c r="V29" s="690"/>
      <c r="W29" s="690"/>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7" t="s">
        <v>681</v>
      </c>
      <c r="K30" s="697"/>
      <c r="L30" s="697"/>
      <c r="M30" s="697"/>
      <c r="N30" s="697"/>
      <c r="O30" s="697"/>
      <c r="P30" s="697"/>
      <c r="Q30" s="697"/>
      <c r="R30" s="65" t="s">
        <v>682</v>
      </c>
      <c r="S30" s="66">
        <f ca="1">IF($J17=$A$145,0,ROUND((((1+S21+S22+S23)*(1+S24)*(1+S25)/(1-(S26+S27+S28)))-1),4))</f>
        <v>0.2069</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8" t="str">
        <f ca="1">IF(U29&lt;&gt;"ok","Anexo: Relatório Técnico Circunstanciado justificando a adoção do percentual de cada parcela do BDI.","")</f>
        <v/>
      </c>
      <c r="L32" s="698"/>
      <c r="M32" s="698"/>
      <c r="N32" s="698"/>
      <c r="O32" s="698"/>
      <c r="P32" s="698"/>
      <c r="Q32" s="698"/>
      <c r="R32" s="698"/>
      <c r="S32" s="698"/>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99" t="s">
        <v>683</v>
      </c>
      <c r="K34" s="699"/>
      <c r="L34" s="699"/>
      <c r="M34" s="699"/>
      <c r="N34" s="699"/>
      <c r="O34" s="699"/>
      <c r="P34" s="699"/>
      <c r="Q34" s="699"/>
      <c r="R34" s="699"/>
      <c r="S34" s="699"/>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00" t="s">
        <v>684</v>
      </c>
      <c r="N35" s="706" t="str">
        <f>IF($J17=$A$146,"(1+K1+K2)*(1+K3)","(1+AC + S + R + G)*(1 + DF)*(1+L)")</f>
        <v>(1+AC + S + R + G)*(1 + DF)*(1+L)</v>
      </c>
      <c r="O35" s="706"/>
      <c r="P35" s="706"/>
      <c r="Q35" s="707"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00"/>
      <c r="N36" s="695" t="s">
        <v>686</v>
      </c>
      <c r="O36" s="695"/>
      <c r="P36" s="695"/>
      <c r="Q36" s="707"/>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40%, com a respectiva alíquota de 2%.</v>
      </c>
      <c r="K38" s="696"/>
      <c r="L38" s="696"/>
      <c r="M38" s="696"/>
      <c r="N38" s="696"/>
      <c r="O38" s="696"/>
      <c r="P38" s="696"/>
      <c r="Q38" s="696"/>
      <c r="R38" s="696"/>
      <c r="S38" s="696"/>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96"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96"/>
      <c r="L40" s="696"/>
      <c r="M40" s="696"/>
      <c r="N40" s="696"/>
      <c r="O40" s="696"/>
      <c r="P40" s="696"/>
      <c r="Q40" s="696"/>
      <c r="R40" s="696"/>
      <c r="S40" s="696"/>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08"/>
      <c r="K43" s="708"/>
      <c r="L43" s="708"/>
      <c r="M43" s="708"/>
      <c r="N43" s="708"/>
      <c r="O43" s="708"/>
      <c r="P43" s="708"/>
      <c r="Q43" s="708"/>
      <c r="R43" s="708"/>
      <c r="S43" s="708"/>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02" t="str">
        <f>Import.Município</f>
        <v>SÃO LUIZ GONZAGA/RS</v>
      </c>
      <c r="K45" s="702"/>
      <c r="L45" s="702"/>
      <c r="M45" s="702"/>
      <c r="P45" s="703">
        <f>DADOS!$C$25</f>
        <v>46237</v>
      </c>
      <c r="Q45" s="703"/>
      <c r="R45" s="703"/>
      <c r="S45" s="703"/>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04" t="s">
        <v>693</v>
      </c>
      <c r="K46" s="704"/>
      <c r="L46" s="704"/>
      <c r="M46" s="704"/>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05"/>
      <c r="K48" s="705"/>
      <c r="L48" s="705"/>
      <c r="M48" s="705"/>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01" t="s">
        <v>696</v>
      </c>
      <c r="K49" s="701"/>
      <c r="L49" s="701"/>
      <c r="M49" s="701"/>
    </row>
    <row r="50" spans="1:26" ht="14.25" x14ac:dyDescent="0.2">
      <c r="B50" s="58"/>
      <c r="E50" s="54"/>
      <c r="F50" s="54"/>
      <c r="G50" s="54"/>
      <c r="I50" t="s">
        <v>536</v>
      </c>
      <c r="J50" s="77" t="s">
        <v>240</v>
      </c>
      <c r="K50" s="78" t="str">
        <f t="array" ref="K50:K52">Import.RespOrçamento</f>
        <v>ÍGOR KIST</v>
      </c>
      <c r="L50" s="79"/>
      <c r="M50" s="79"/>
      <c r="N50" s="76"/>
    </row>
    <row r="51" spans="1:26" ht="14.25" x14ac:dyDescent="0.2">
      <c r="A51"/>
      <c r="B51"/>
      <c r="C51"/>
      <c r="D51"/>
      <c r="E51"/>
      <c r="F51"/>
      <c r="G51"/>
      <c r="I51" t="s">
        <v>536</v>
      </c>
      <c r="J51" s="77" t="s">
        <v>243</v>
      </c>
      <c r="K51" s="78" t="str">
        <v>RS246150</v>
      </c>
      <c r="L51" s="79"/>
      <c r="M51" s="79"/>
      <c r="N51" s="76"/>
    </row>
    <row r="52" spans="1:26" ht="14.25" x14ac:dyDescent="0.2">
      <c r="A52"/>
      <c r="B52"/>
      <c r="C52"/>
      <c r="D52"/>
      <c r="E52"/>
      <c r="F52"/>
      <c r="G52"/>
      <c r="I52" t="s">
        <v>536</v>
      </c>
      <c r="J52" s="77" t="s">
        <v>246</v>
      </c>
      <c r="K52" s="78" t="str">
        <v>14571519</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
      </c>
      <c r="J54" s="692" t="s">
        <v>697</v>
      </c>
      <c r="K54" s="692"/>
      <c r="L54" s="692"/>
      <c r="M54" s="692"/>
      <c r="N54" s="692"/>
      <c r="O54" s="692"/>
      <c r="P54" s="692"/>
      <c r="Q54" s="692"/>
      <c r="R54" s="692"/>
      <c r="S54" s="692"/>
      <c r="U54" s="521" t="str">
        <f>IF(COUNTIF(ORÇAMENTO!$V$15:$V$71,BDI_2.Título)=0,"",IF(OR(Import.BDI.Tipo2="(SELECIONAR)",Import.BDI.Tipo2="",U57&lt;&gt;"",AND($J57&lt;&gt;$A$145,OR(S61="",S62="",AND($J57&lt;&gt;$A$146,OR(S63="",S64="")),S65="",S66=""))),"Falta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683" t="s">
        <v>664</v>
      </c>
      <c r="K56" s="683"/>
      <c r="L56" s="683"/>
      <c r="M56" s="683"/>
      <c r="N56" s="683"/>
      <c r="O56" s="683"/>
      <c r="P56" s="683"/>
      <c r="Q56" s="683"/>
      <c r="R56" s="683"/>
      <c r="S56" s="683"/>
    </row>
    <row r="57" spans="1:26" ht="15" x14ac:dyDescent="0.25">
      <c r="A57"/>
      <c r="B57"/>
      <c r="C57"/>
      <c r="D57"/>
      <c r="E57"/>
      <c r="F57"/>
      <c r="G57"/>
      <c r="I57" t="str">
        <f t="shared" ca="1" si="3"/>
        <v/>
      </c>
      <c r="J57" s="689" t="s">
        <v>139</v>
      </c>
      <c r="K57" s="689"/>
      <c r="L57" s="689"/>
      <c r="M57" s="689"/>
      <c r="N57" s="689"/>
      <c r="O57" s="689"/>
      <c r="P57" s="689"/>
      <c r="Q57" s="689"/>
      <c r="R57" s="689"/>
      <c r="S57" s="689"/>
      <c r="T57" s="563" t="str">
        <f ca="1">IF(U57="","","◄")</f>
        <v/>
      </c>
      <c r="U57" s="562" t="str">
        <f ca="1">IF(AND(OR(S69&gt;0,COUNTIF(ORÇAMENTO!$V$15:$V$71,BDI_2.Título)&gt;0),OR(Import.BDI.Tipo2="(SELECIONAR)",Import.BDI.Tipo2="")),"Selecione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691" t="s">
        <v>666</v>
      </c>
      <c r="K59" s="691"/>
      <c r="L59" s="691"/>
      <c r="M59" s="691"/>
      <c r="N59" s="691"/>
      <c r="O59" s="691"/>
      <c r="P59" s="691"/>
      <c r="Q59" s="691"/>
      <c r="R59" s="691" t="s">
        <v>667</v>
      </c>
      <c r="S59" s="690" t="s">
        <v>668</v>
      </c>
      <c r="U59" s="690" t="s">
        <v>669</v>
      </c>
      <c r="V59" s="690"/>
      <c r="W59" s="690"/>
      <c r="X59" s="688" t="s">
        <v>670</v>
      </c>
      <c r="Y59" s="688" t="s">
        <v>671</v>
      </c>
      <c r="Z59" s="688" t="s">
        <v>672</v>
      </c>
    </row>
    <row r="60" spans="1:26" ht="12.75" customHeight="1" x14ac:dyDescent="0.2">
      <c r="A60"/>
      <c r="B60"/>
      <c r="C60"/>
      <c r="D60"/>
      <c r="E60"/>
      <c r="F60"/>
      <c r="G60"/>
      <c r="I60" t="str">
        <f t="shared" ca="1" si="3"/>
        <v/>
      </c>
      <c r="J60" s="691"/>
      <c r="K60" s="691"/>
      <c r="L60" s="691"/>
      <c r="M60" s="691"/>
      <c r="N60" s="691"/>
      <c r="O60" s="691"/>
      <c r="P60" s="691"/>
      <c r="Q60" s="691"/>
      <c r="R60" s="691"/>
      <c r="S60" s="690"/>
      <c r="U60" s="690"/>
      <c r="V60" s="690"/>
      <c r="W60" s="690"/>
      <c r="X60" s="688"/>
      <c r="Y60" s="688"/>
      <c r="Z60" s="688"/>
    </row>
    <row r="61" spans="1:26" ht="15" customHeight="1" x14ac:dyDescent="0.2">
      <c r="A61"/>
      <c r="B61"/>
      <c r="C61"/>
      <c r="D61"/>
      <c r="E61"/>
      <c r="F61"/>
      <c r="G61"/>
      <c r="I61" t="str">
        <f t="shared" ca="1" si="3"/>
        <v/>
      </c>
      <c r="J61" s="693" t="str">
        <f>IF($J$57=$A$146,"Encargos Sociais incidentes sobre a mão de obra","Administração Central")</f>
        <v>Administração Central</v>
      </c>
      <c r="K61" s="693"/>
      <c r="L61" s="693"/>
      <c r="M61" s="693"/>
      <c r="N61" s="693"/>
      <c r="O61" s="693"/>
      <c r="P61" s="693"/>
      <c r="Q61" s="693"/>
      <c r="R61" s="60" t="str">
        <f>IF($J57=$A$146,"K1","AC")</f>
        <v>AC</v>
      </c>
      <c r="S61" s="61"/>
      <c r="T61" s="572" t="str">
        <f ca="1">IF(AND($U$54&lt;&gt;"",$U$57="",R61&lt;&gt;"",S61=""),"◄","")</f>
        <v/>
      </c>
      <c r="U61" s="694" t="str">
        <f ca="1">IFERROR(IF(T61="◄","FALTA PREENCHER",IF(AND(OR(S61&gt;=X61,X61="-"),OR(S61&lt;=Z61,Z61="-")),"OK","FORA DO INTERVALO")),"-")</f>
        <v>-</v>
      </c>
      <c r="V61" s="694"/>
      <c r="W61" s="694"/>
      <c r="X61" s="62" t="e">
        <f>VLOOKUP(CONCATENATE(J57,"-",R61),$C$2:$G$136,3,FALSE)</f>
        <v>#N/A</v>
      </c>
      <c r="Y61" s="62" t="e">
        <f>VLOOKUP(CONCATENATE(J57,"-",R61),$C$2:$G$136,4,FALSE)</f>
        <v>#N/A</v>
      </c>
      <c r="Z61" s="62" t="e">
        <f>VLOOKUP(CONCATENATE(J57,"-",R61),$C$2:$G$136,5,FALSE)</f>
        <v>#N/A</v>
      </c>
    </row>
    <row r="62" spans="1:26" ht="15" customHeight="1" x14ac:dyDescent="0.2">
      <c r="A62"/>
      <c r="B62"/>
      <c r="C62"/>
      <c r="D62"/>
      <c r="E62"/>
      <c r="F62"/>
      <c r="G62"/>
      <c r="I62" t="str">
        <f t="shared" ca="1" si="3"/>
        <v/>
      </c>
      <c r="J62" s="693" t="str">
        <f>IF($J$57=$A$146,"Administração Central da empresa ou consultoria - overhead","Seguro e Garantia")</f>
        <v>Seguro e Garantia</v>
      </c>
      <c r="K62" s="693"/>
      <c r="L62" s="693"/>
      <c r="M62" s="693"/>
      <c r="N62" s="693"/>
      <c r="O62" s="693"/>
      <c r="P62" s="693"/>
      <c r="Q62" s="693"/>
      <c r="R62" s="60" t="str">
        <f>IF($J57=$A$146,"K2","SG")</f>
        <v>SG</v>
      </c>
      <c r="S62" s="61"/>
      <c r="T62" s="572" t="str">
        <f t="shared" ref="T62:T66" ca="1" si="4">IF(AND($U$54&lt;&gt;"",$U$57="",R62&lt;&gt;"",S62=""),"◄","")</f>
        <v/>
      </c>
      <c r="U62" s="694" t="str">
        <f t="shared" ref="U62:U68" ca="1" si="5">IFERROR(IF(T62="◄","FALTA PREENCHER",IF(AND(OR(S62&gt;=X62,X62="-"),OR(S62&lt;=Z62,Z62="-")),"OK","FORA DO INTERVALO")),"-")</f>
        <v>-</v>
      </c>
      <c r="V62" s="694"/>
      <c r="W62" s="694"/>
      <c r="X62" s="62" t="e">
        <f>VLOOKUP(CONCATENATE(J57,"-",R62),$C$2:$G$136,3,FALSE)</f>
        <v>#N/A</v>
      </c>
      <c r="Y62" s="62" t="e">
        <f>VLOOKUP(CONCATENATE(J57,"-",R62),$C$2:$G$136,4,FALSE)</f>
        <v>#N/A</v>
      </c>
      <c r="Z62" s="62" t="e">
        <f>VLOOKUP(CONCATENATE(J57,"-",R62),$C$2:$G$136,5,FALSE)</f>
        <v>#N/A</v>
      </c>
    </row>
    <row r="63" spans="1:26" ht="15" customHeight="1" x14ac:dyDescent="0.2">
      <c r="A63"/>
      <c r="B63"/>
      <c r="C63"/>
      <c r="D63"/>
      <c r="E63"/>
      <c r="F63"/>
      <c r="G63"/>
      <c r="I63" t="str">
        <f t="shared" ca="1" si="3"/>
        <v/>
      </c>
      <c r="J63" s="693" t="s">
        <v>942</v>
      </c>
      <c r="K63" s="693"/>
      <c r="L63" s="693"/>
      <c r="M63" s="693"/>
      <c r="N63" s="693"/>
      <c r="O63" s="693"/>
      <c r="P63" s="693"/>
      <c r="Q63" s="693"/>
      <c r="R63" s="60" t="str">
        <f>IF($J57=$A$146,"","R")</f>
        <v>R</v>
      </c>
      <c r="S63" s="61"/>
      <c r="T63" s="572" t="str">
        <f t="shared" ca="1" si="4"/>
        <v/>
      </c>
      <c r="U63" s="694" t="str">
        <f t="shared" ca="1" si="5"/>
        <v>-</v>
      </c>
      <c r="V63" s="694"/>
      <c r="W63" s="694"/>
      <c r="X63" s="62" t="e">
        <f>VLOOKUP(CONCATENATE(J57,"-",R63),$C$2:$G$136,3,FALSE)</f>
        <v>#N/A</v>
      </c>
      <c r="Y63" s="62" t="e">
        <f>VLOOKUP(CONCATENATE(J57,"-",R63),$C$2:$G$136,4,FALSE)</f>
        <v>#N/A</v>
      </c>
      <c r="Z63" s="62" t="e">
        <f>VLOOKUP(CONCATENATE(J57,"-",R63),$C$2:$G$136,5,FALSE)</f>
        <v>#N/A</v>
      </c>
    </row>
    <row r="64" spans="1:26" ht="15" customHeight="1" x14ac:dyDescent="0.2">
      <c r="A64"/>
      <c r="B64"/>
      <c r="C64"/>
      <c r="D64"/>
      <c r="E64"/>
      <c r="F64"/>
      <c r="G64"/>
      <c r="I64" t="str">
        <f t="shared" ca="1" si="3"/>
        <v/>
      </c>
      <c r="J64" s="693" t="s">
        <v>943</v>
      </c>
      <c r="K64" s="693"/>
      <c r="L64" s="693"/>
      <c r="M64" s="693"/>
      <c r="N64" s="693"/>
      <c r="O64" s="693"/>
      <c r="P64" s="693"/>
      <c r="Q64" s="693"/>
      <c r="R64" s="60" t="str">
        <f>IF($J57=$A$146,"","DF")</f>
        <v>DF</v>
      </c>
      <c r="S64" s="61"/>
      <c r="T64" s="572" t="str">
        <f t="shared" ca="1" si="4"/>
        <v/>
      </c>
      <c r="U64" s="694" t="str">
        <f t="shared" ca="1" si="5"/>
        <v>-</v>
      </c>
      <c r="V64" s="694"/>
      <c r="W64" s="694"/>
      <c r="X64" s="62" t="e">
        <f>VLOOKUP(CONCATENATE(J57,"-",R64),$C$2:$G$136,3,FALSE)</f>
        <v>#N/A</v>
      </c>
      <c r="Y64" s="62" t="e">
        <f>VLOOKUP(CONCATENATE(J57,"-",R64),$C$2:$G$136,4,FALSE)</f>
        <v>#N/A</v>
      </c>
      <c r="Z64" s="62" t="e">
        <f>VLOOKUP(CONCATENATE(J57,"-",R64),$C$2:$G$136,5,FALSE)</f>
        <v>#N/A</v>
      </c>
    </row>
    <row r="65" spans="1:26" ht="15" customHeight="1" x14ac:dyDescent="0.2">
      <c r="A65"/>
      <c r="B65"/>
      <c r="C65"/>
      <c r="D65"/>
      <c r="E65"/>
      <c r="F65"/>
      <c r="G65"/>
      <c r="I65" t="str">
        <f t="shared" ca="1" si="3"/>
        <v/>
      </c>
      <c r="J65" s="693" t="str">
        <f>IF($J$57=$A$146,"Margem bruta da empresa de consultoria","Lucro")</f>
        <v>Lucro</v>
      </c>
      <c r="K65" s="693"/>
      <c r="L65" s="693"/>
      <c r="M65" s="693"/>
      <c r="N65" s="693"/>
      <c r="O65" s="693"/>
      <c r="P65" s="693"/>
      <c r="Q65" s="693"/>
      <c r="R65" s="60" t="str">
        <f>IF($J57=$A$146,"K3","L")</f>
        <v>L</v>
      </c>
      <c r="S65" s="61"/>
      <c r="T65" s="572" t="str">
        <f t="shared" ca="1" si="4"/>
        <v/>
      </c>
      <c r="U65" s="694" t="str">
        <f t="shared" ca="1" si="5"/>
        <v>-</v>
      </c>
      <c r="V65" s="694"/>
      <c r="W65" s="694"/>
      <c r="X65" s="62" t="e">
        <f>VLOOKUP(CONCATENATE(J57,"-",R65),$C$2:$G$136,3,FALSE)</f>
        <v>#N/A</v>
      </c>
      <c r="Y65" s="62" t="e">
        <f>VLOOKUP(CONCATENATE(J57,"-",R65),$C$2:$G$136,4,FALSE)</f>
        <v>#N/A</v>
      </c>
      <c r="Z65" s="62" t="e">
        <f>VLOOKUP(CONCATENATE(J57,"-",R65),$C$2:$G$136,5,FALSE)</f>
        <v>#N/A</v>
      </c>
    </row>
    <row r="66" spans="1:26" ht="15" customHeight="1" x14ac:dyDescent="0.2">
      <c r="A66"/>
      <c r="B66"/>
      <c r="C66"/>
      <c r="D66"/>
      <c r="E66"/>
      <c r="F66"/>
      <c r="G66"/>
      <c r="I66" t="str">
        <f t="shared" ca="1" si="3"/>
        <v/>
      </c>
      <c r="J66" s="693" t="s">
        <v>675</v>
      </c>
      <c r="K66" s="693"/>
      <c r="L66" s="693"/>
      <c r="M66" s="693"/>
      <c r="N66" s="693"/>
      <c r="O66" s="693"/>
      <c r="P66" s="693"/>
      <c r="Q66" s="693"/>
      <c r="R66" s="60" t="s">
        <v>456</v>
      </c>
      <c r="S66" s="61"/>
      <c r="T66" s="572" t="str">
        <f t="shared" ca="1" si="4"/>
        <v/>
      </c>
      <c r="U66" s="694" t="str">
        <f t="shared" ca="1" si="5"/>
        <v>FORA DO INTERVALO</v>
      </c>
      <c r="V66" s="694"/>
      <c r="W66" s="694"/>
      <c r="X66" s="62">
        <f>Y66</f>
        <v>3.6499999999999998E-2</v>
      </c>
      <c r="Y66" s="62">
        <f>IF($J57=$A$145,"-",3.65%)</f>
        <v>3.6499999999999998E-2</v>
      </c>
      <c r="Z66" s="62">
        <f>Y66</f>
        <v>3.6499999999999998E-2</v>
      </c>
    </row>
    <row r="67" spans="1:26" ht="15" customHeight="1" x14ac:dyDescent="0.2">
      <c r="A67"/>
      <c r="B67"/>
      <c r="C67"/>
      <c r="D67"/>
      <c r="E67"/>
      <c r="F67"/>
      <c r="G67"/>
      <c r="I67" t="str">
        <f t="shared" ca="1" si="3"/>
        <v/>
      </c>
      <c r="J67" s="693" t="s">
        <v>676</v>
      </c>
      <c r="K67" s="693"/>
      <c r="L67" s="693"/>
      <c r="M67" s="693"/>
      <c r="N67" s="693"/>
      <c r="O67" s="693"/>
      <c r="P67" s="693"/>
      <c r="Q67" s="693"/>
      <c r="R67" s="60" t="s">
        <v>677</v>
      </c>
      <c r="S67" s="62">
        <f ca="1">IF(AND($J57&lt;&gt;$A$145,COUNTA(OFFSET(S60,1,0,6))&gt;0),$R$11*$R$10,0)</f>
        <v>0</v>
      </c>
      <c r="U67" s="694" t="str">
        <f t="shared" ca="1" si="5"/>
        <v>OK</v>
      </c>
      <c r="V67" s="694"/>
      <c r="W67" s="694"/>
      <c r="X67" s="62">
        <v>0</v>
      </c>
      <c r="Y67" s="62">
        <v>2.5000000000000001E-2</v>
      </c>
      <c r="Z67" s="62">
        <v>0.05</v>
      </c>
    </row>
    <row r="68" spans="1:26" ht="15" customHeight="1" x14ac:dyDescent="0.2">
      <c r="A68"/>
      <c r="B68"/>
      <c r="C68"/>
      <c r="D68"/>
      <c r="E68"/>
      <c r="F68"/>
      <c r="G68"/>
      <c r="I68" t="str">
        <f t="shared" ca="1" si="3"/>
        <v/>
      </c>
      <c r="J68" s="693" t="s">
        <v>678</v>
      </c>
      <c r="K68" s="693"/>
      <c r="L68" s="693"/>
      <c r="M68" s="693"/>
      <c r="N68" s="693"/>
      <c r="O68" s="693"/>
      <c r="P68" s="693"/>
      <c r="Q68" s="693"/>
      <c r="R68" s="60" t="s">
        <v>679</v>
      </c>
      <c r="S68" s="62" cm="1">
        <f t="array" aca="1" ref="S68" ca="1">IF(BDI.Opcao&lt;&gt;"Desonerado",0,IF(AND($J57&lt;&gt;$A$145,COUNTA(OFFSET(S60,1,0,6))&gt;0),IF(YEAR(Import.DataBase)&lt;2025,4.5%,IF(YEAR(Import.DataBase)=2025,3.6%,IF(YEAR(Import.DataBase)=2026,2.7%,IF(YEAR(Import.DataBase)=2027,1.8%,0%)))),0%))</f>
        <v>0</v>
      </c>
      <c r="U68" s="694" t="str">
        <f t="shared" ca="1" si="5"/>
        <v>OK</v>
      </c>
      <c r="V68" s="694"/>
      <c r="W68" s="694"/>
      <c r="X68" s="63">
        <f ca="1">$S68</f>
        <v>0</v>
      </c>
      <c r="Y68" s="63">
        <f ca="1">$S68</f>
        <v>0</v>
      </c>
      <c r="Z68" s="63">
        <f ca="1">$S68</f>
        <v>0</v>
      </c>
    </row>
    <row r="69" spans="1:26" ht="15" customHeight="1" x14ac:dyDescent="0.2">
      <c r="A69"/>
      <c r="B69"/>
      <c r="C69"/>
      <c r="D69"/>
      <c r="E69"/>
      <c r="F69"/>
      <c r="G69"/>
      <c r="I69" t="str">
        <f t="shared" ca="1" si="3"/>
        <v/>
      </c>
      <c r="J69" s="693" t="s">
        <v>680</v>
      </c>
      <c r="K69" s="693"/>
      <c r="L69" s="693"/>
      <c r="M69" s="693"/>
      <c r="N69" s="693"/>
      <c r="O69" s="693"/>
      <c r="P69" s="693"/>
      <c r="Q69" s="693"/>
      <c r="R69" s="64" t="s">
        <v>656</v>
      </c>
      <c r="S69" s="62">
        <f ca="1">IF($J57=$A$145,0,ROUND((((1+S61+S62+S63)*(1+S64)*(1+S65)/(1-(S66+S67)))-1),4))</f>
        <v>0</v>
      </c>
      <c r="U69" s="690" t="str">
        <f ca="1">IFERROR(IF(AND(OR(S69&gt;=X69,X69="-"),OR(S69&lt;=Z69,Z69="-")),"OK","FORA DO INTERVALO"),IF(S69=0,"OK","Selecione o Tipo de obra"))</f>
        <v>OK</v>
      </c>
      <c r="V69" s="690"/>
      <c r="W69" s="690"/>
      <c r="X69" s="62" t="e">
        <f>IF($J57=$A$145,0,VLOOKUP(CONCATENATE($J57,"-",$R69),$C$2:$G$136,3,FALSE))</f>
        <v>#N/A</v>
      </c>
      <c r="Y69" s="62" t="e">
        <f>IF($J57=$A$145,0,VLOOKUP(CONCATENATE($J57,"-",$R69),$C$2:$G$136,4,FALSE))</f>
        <v>#N/A</v>
      </c>
      <c r="Z69" s="62" t="e">
        <f>IF($J57=$A$145,0,VLOOKUP(CONCATENATE($J57,"-",$R69),$C$2:$G$136,5,FALSE))</f>
        <v>#N/A</v>
      </c>
    </row>
    <row r="70" spans="1:26" ht="15" customHeight="1" x14ac:dyDescent="0.2">
      <c r="A70"/>
      <c r="B70"/>
      <c r="C70"/>
      <c r="D70"/>
      <c r="E70"/>
      <c r="F70"/>
      <c r="G70"/>
      <c r="I70" t="str">
        <f t="shared" ca="1" si="3"/>
        <v/>
      </c>
      <c r="J70" s="697" t="s">
        <v>681</v>
      </c>
      <c r="K70" s="697"/>
      <c r="L70" s="697"/>
      <c r="M70" s="697"/>
      <c r="N70" s="697"/>
      <c r="O70" s="697"/>
      <c r="P70" s="697"/>
      <c r="Q70" s="697"/>
      <c r="R70" s="65" t="s">
        <v>682</v>
      </c>
      <c r="S70" s="66">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7" t="str">
        <f ca="1">IF(U69&lt;&gt;"ok","X","")</f>
        <v/>
      </c>
      <c r="K72" s="698" t="str">
        <f ca="1">IF(U69&lt;&gt;"ok","Anexo: Relatório Técnico Circunstanciado justificando a adoção do percentual de cada parcela do BDI.","")</f>
        <v/>
      </c>
      <c r="L72" s="698"/>
      <c r="M72" s="698"/>
      <c r="N72" s="698"/>
      <c r="O72" s="698"/>
      <c r="P72" s="698"/>
      <c r="Q72" s="698"/>
      <c r="R72" s="698"/>
      <c r="S72" s="698"/>
    </row>
    <row r="73" spans="1:26" x14ac:dyDescent="0.2">
      <c r="A73"/>
      <c r="B73"/>
      <c r="C73"/>
      <c r="D73"/>
      <c r="E73"/>
      <c r="F73"/>
      <c r="G73"/>
      <c r="I73" t="str">
        <f t="shared" ca="1" si="3"/>
        <v/>
      </c>
    </row>
    <row r="74" spans="1:26" x14ac:dyDescent="0.2">
      <c r="A74"/>
      <c r="B74"/>
      <c r="C74"/>
      <c r="D74"/>
      <c r="E74"/>
      <c r="F74"/>
      <c r="G74"/>
      <c r="I74" t="str">
        <f t="shared" ca="1" si="3"/>
        <v/>
      </c>
      <c r="J74" s="699" t="s">
        <v>683</v>
      </c>
      <c r="K74" s="699"/>
      <c r="L74" s="699"/>
      <c r="M74" s="699"/>
      <c r="N74" s="699"/>
      <c r="O74" s="699"/>
      <c r="P74" s="699"/>
      <c r="Q74" s="699"/>
      <c r="R74" s="699"/>
      <c r="S74" s="699"/>
    </row>
    <row r="75" spans="1:26" ht="15.75" x14ac:dyDescent="0.25">
      <c r="A75"/>
      <c r="B75"/>
      <c r="C75"/>
      <c r="D75"/>
      <c r="E75"/>
      <c r="F75"/>
      <c r="G75"/>
      <c r="I75" t="str">
        <f t="shared" ca="1" si="3"/>
        <v/>
      </c>
      <c r="J75" s="68"/>
      <c r="K75" s="68"/>
      <c r="L75" s="68"/>
      <c r="M75" s="700" t="s">
        <v>684</v>
      </c>
      <c r="N75" s="706" t="str">
        <f>IF($J57=$A$146,"(1+K1+K2)*(1+K3)","(1+AC + S + R + G)*(1 + DF)*(1+L)")</f>
        <v>(1+AC + S + R + G)*(1 + DF)*(1+L)</v>
      </c>
      <c r="O75" s="706"/>
      <c r="P75" s="706"/>
      <c r="Q75" s="707" t="s">
        <v>685</v>
      </c>
      <c r="R75" s="68"/>
      <c r="S75" s="68"/>
    </row>
    <row r="76" spans="1:26" ht="15.75" x14ac:dyDescent="0.2">
      <c r="A76"/>
      <c r="B76"/>
      <c r="C76"/>
      <c r="D76"/>
      <c r="E76"/>
      <c r="F76"/>
      <c r="G76"/>
      <c r="I76" t="str">
        <f t="shared" ca="1" si="3"/>
        <v/>
      </c>
      <c r="J76" s="68"/>
      <c r="K76" s="68"/>
      <c r="L76" s="68"/>
      <c r="M76" s="700"/>
      <c r="N76" s="695" t="s">
        <v>686</v>
      </c>
      <c r="O76" s="695"/>
      <c r="P76" s="695"/>
      <c r="Q76" s="707"/>
      <c r="R76" s="68"/>
      <c r="S76" s="68"/>
    </row>
    <row r="77" spans="1:26" ht="15" customHeight="1" x14ac:dyDescent="0.2">
      <c r="A77"/>
      <c r="B77"/>
      <c r="C77"/>
      <c r="D77"/>
      <c r="E77"/>
      <c r="F77"/>
      <c r="G77"/>
      <c r="I77" t="str">
        <f t="shared" ca="1" si="3"/>
        <v/>
      </c>
      <c r="J77" s="68"/>
      <c r="K77" s="68"/>
      <c r="L77" s="68"/>
      <c r="M77" s="69"/>
      <c r="N77" s="71"/>
      <c r="O77" s="71"/>
      <c r="P77" s="71"/>
      <c r="Q77" s="70"/>
      <c r="R77" s="68"/>
      <c r="S77" s="68"/>
    </row>
    <row r="78" spans="1:26" ht="50.1" customHeight="1" x14ac:dyDescent="0.2">
      <c r="A78"/>
      <c r="B78"/>
      <c r="C78"/>
      <c r="D78"/>
      <c r="E78"/>
      <c r="F78"/>
      <c r="G78"/>
      <c r="I78" t="str">
        <f t="shared" ca="1" si="3"/>
        <v/>
      </c>
      <c r="J7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40%, com a respectiva alíquota de 2%.</v>
      </c>
      <c r="K78" s="696"/>
      <c r="L78" s="696"/>
      <c r="M78" s="696"/>
      <c r="N78" s="696"/>
      <c r="O78" s="696"/>
      <c r="P78" s="696"/>
      <c r="Q78" s="696"/>
      <c r="R78" s="696"/>
      <c r="S78" s="696"/>
    </row>
    <row r="79" spans="1:26" x14ac:dyDescent="0.2">
      <c r="A79"/>
      <c r="B79"/>
      <c r="C79"/>
      <c r="D79"/>
      <c r="E79"/>
      <c r="F79"/>
      <c r="G79"/>
      <c r="I79" t="str">
        <f t="shared" ca="1" si="3"/>
        <v/>
      </c>
    </row>
    <row r="80" spans="1:26" ht="50.1" customHeight="1" x14ac:dyDescent="0.2">
      <c r="A80"/>
      <c r="B80"/>
      <c r="C80"/>
      <c r="D80"/>
      <c r="E80"/>
      <c r="F80"/>
      <c r="G80"/>
      <c r="I80" t="str">
        <f t="shared" ca="1" si="3"/>
        <v/>
      </c>
      <c r="J80" s="696"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96"/>
      <c r="L80" s="696"/>
      <c r="M80" s="696"/>
      <c r="N80" s="696"/>
      <c r="O80" s="696"/>
      <c r="P80" s="696"/>
      <c r="Q80" s="696"/>
      <c r="R80" s="696"/>
      <c r="S80" s="696"/>
    </row>
    <row r="81" spans="1:21" x14ac:dyDescent="0.2">
      <c r="A81"/>
      <c r="B81"/>
      <c r="C81"/>
      <c r="D81"/>
      <c r="E81"/>
      <c r="F81"/>
      <c r="G81"/>
      <c r="I81" t="str">
        <f t="shared" ca="1" si="3"/>
        <v/>
      </c>
    </row>
    <row r="82" spans="1:21" x14ac:dyDescent="0.2">
      <c r="A82"/>
      <c r="B82"/>
      <c r="C82"/>
      <c r="D82"/>
      <c r="E82"/>
      <c r="F82"/>
      <c r="G82"/>
      <c r="I82" t="str">
        <f t="shared" ca="1" si="3"/>
        <v/>
      </c>
      <c r="J82" s="49" t="s">
        <v>689</v>
      </c>
    </row>
    <row r="83" spans="1:21" ht="99.95" customHeight="1" x14ac:dyDescent="0.2">
      <c r="A83"/>
      <c r="B83"/>
      <c r="C83"/>
      <c r="D83"/>
      <c r="E83"/>
      <c r="F83"/>
      <c r="G83"/>
      <c r="I83" t="str">
        <f t="shared" ca="1" si="3"/>
        <v/>
      </c>
      <c r="J83" s="708"/>
      <c r="K83" s="708"/>
      <c r="L83" s="708"/>
      <c r="M83" s="708"/>
      <c r="N83" s="708"/>
      <c r="O83" s="708"/>
      <c r="P83" s="708"/>
      <c r="Q83" s="708"/>
      <c r="R83" s="708"/>
      <c r="S83" s="708"/>
    </row>
    <row r="84" spans="1:21" x14ac:dyDescent="0.2">
      <c r="A84"/>
      <c r="B84"/>
      <c r="C84"/>
      <c r="D84"/>
      <c r="E84"/>
      <c r="F84"/>
      <c r="G84"/>
      <c r="I84" t="str">
        <f t="shared" ca="1" si="3"/>
        <v/>
      </c>
    </row>
    <row r="85" spans="1:21" x14ac:dyDescent="0.2">
      <c r="A85"/>
      <c r="B85"/>
      <c r="C85"/>
      <c r="D85"/>
      <c r="E85"/>
      <c r="F85"/>
      <c r="G85"/>
      <c r="I85" t="str">
        <f t="shared" ca="1" si="3"/>
        <v/>
      </c>
      <c r="J85" s="702" t="str">
        <f>Import.Município</f>
        <v>SÃO LUIZ GONZAGA/RS</v>
      </c>
      <c r="K85" s="702"/>
      <c r="L85" s="702"/>
      <c r="M85" s="702"/>
      <c r="P85" s="703">
        <f>DADOS!$C$25</f>
        <v>46237</v>
      </c>
      <c r="Q85" s="703"/>
      <c r="R85" s="703"/>
      <c r="S85" s="703"/>
    </row>
    <row r="86" spans="1:21" x14ac:dyDescent="0.2">
      <c r="A86"/>
      <c r="B86"/>
      <c r="C86"/>
      <c r="D86"/>
      <c r="E86"/>
      <c r="F86"/>
      <c r="G86"/>
      <c r="I86" t="str">
        <f t="shared" ca="1" si="3"/>
        <v/>
      </c>
      <c r="J86" s="704" t="s">
        <v>693</v>
      </c>
      <c r="K86" s="704"/>
      <c r="L86" s="704"/>
      <c r="M86" s="704"/>
      <c r="O86" s="73"/>
      <c r="P86" s="74" t="s">
        <v>694</v>
      </c>
      <c r="Q86" s="75"/>
      <c r="R86" s="75"/>
      <c r="S86" s="75"/>
    </row>
    <row r="87" spans="1:21" ht="30" customHeight="1" x14ac:dyDescent="0.2">
      <c r="A87"/>
      <c r="B87"/>
      <c r="C87"/>
      <c r="D87"/>
      <c r="E87"/>
      <c r="F87"/>
      <c r="G87"/>
      <c r="I87" t="str">
        <f t="shared" ca="1" si="3"/>
        <v/>
      </c>
    </row>
    <row r="88" spans="1:21" ht="15" x14ac:dyDescent="0.2">
      <c r="A88"/>
      <c r="B88"/>
      <c r="C88"/>
      <c r="D88"/>
      <c r="E88"/>
      <c r="F88"/>
      <c r="G88"/>
      <c r="I88" t="str">
        <f t="shared" ca="1" si="3"/>
        <v/>
      </c>
      <c r="J88" s="705"/>
      <c r="K88" s="705"/>
      <c r="L88" s="705"/>
      <c r="M88" s="705"/>
      <c r="N88" s="76"/>
    </row>
    <row r="89" spans="1:21" x14ac:dyDescent="0.2">
      <c r="A89"/>
      <c r="B89"/>
      <c r="C89"/>
      <c r="D89"/>
      <c r="E89"/>
      <c r="F89"/>
      <c r="G89"/>
      <c r="I89" t="str">
        <f t="shared" ca="1" si="3"/>
        <v/>
      </c>
      <c r="J89" s="701" t="s">
        <v>696</v>
      </c>
      <c r="K89" s="701"/>
      <c r="L89" s="701"/>
      <c r="M89" s="701"/>
    </row>
    <row r="90" spans="1:21" ht="14.25" x14ac:dyDescent="0.2">
      <c r="A90"/>
      <c r="B90"/>
      <c r="C90"/>
      <c r="D90"/>
      <c r="E90"/>
      <c r="F90"/>
      <c r="G90"/>
      <c r="I90" t="str">
        <f t="shared" ca="1" si="3"/>
        <v/>
      </c>
      <c r="J90" s="77" t="s">
        <v>240</v>
      </c>
      <c r="K90" s="78" t="str">
        <f t="array" ref="K90:K92">Import.RespOrçamento</f>
        <v>ÍGOR KIST</v>
      </c>
      <c r="L90" s="79"/>
      <c r="M90" s="79"/>
      <c r="N90" s="76"/>
    </row>
    <row r="91" spans="1:21" ht="14.25" x14ac:dyDescent="0.2">
      <c r="A91"/>
      <c r="B91"/>
      <c r="C91"/>
      <c r="D91"/>
      <c r="E91"/>
      <c r="F91"/>
      <c r="G91"/>
      <c r="I91" t="str">
        <f t="shared" ca="1" si="3"/>
        <v/>
      </c>
      <c r="J91" s="77" t="s">
        <v>243</v>
      </c>
      <c r="K91" s="78" t="str">
        <v>RS246150</v>
      </c>
      <c r="L91" s="79"/>
      <c r="M91" s="79"/>
      <c r="N91" s="76"/>
    </row>
    <row r="92" spans="1:21" ht="14.25" x14ac:dyDescent="0.2">
      <c r="A92"/>
      <c r="B92"/>
      <c r="C92"/>
      <c r="D92"/>
      <c r="E92"/>
      <c r="F92"/>
      <c r="G92"/>
      <c r="I92" t="str">
        <f t="shared" ca="1" si="3"/>
        <v/>
      </c>
      <c r="J92" s="77" t="s">
        <v>246</v>
      </c>
      <c r="K92" s="78" t="str">
        <v>14571519</v>
      </c>
      <c r="L92" s="79"/>
      <c r="M92" s="79"/>
      <c r="N92" s="76"/>
    </row>
    <row r="93" spans="1:21" ht="14.25" x14ac:dyDescent="0.2">
      <c r="A93"/>
      <c r="B93"/>
      <c r="C93"/>
      <c r="D93"/>
      <c r="E93"/>
      <c r="F93"/>
      <c r="G93"/>
      <c r="I93" t="str">
        <f t="shared" ca="1" si="3"/>
        <v/>
      </c>
      <c r="J93" s="77"/>
      <c r="K93" s="80"/>
      <c r="L93" s="79"/>
      <c r="M93" s="79"/>
      <c r="N93" s="76"/>
    </row>
    <row r="94" spans="1:21" ht="15.75" x14ac:dyDescent="0.25">
      <c r="A94"/>
      <c r="B94"/>
      <c r="C94"/>
      <c r="D94"/>
      <c r="E94"/>
      <c r="F94"/>
      <c r="G94"/>
      <c r="I94" t="str">
        <f ca="1">IF($S$109=0,"","F")</f>
        <v/>
      </c>
      <c r="J94" s="692" t="s">
        <v>698</v>
      </c>
      <c r="K94" s="692"/>
      <c r="L94" s="692"/>
      <c r="M94" s="692"/>
      <c r="N94" s="692"/>
      <c r="O94" s="692"/>
      <c r="P94" s="692"/>
      <c r="Q94" s="692"/>
      <c r="R94" s="692"/>
      <c r="S94" s="692"/>
      <c r="U94" s="521" t="str">
        <f>IF(COUNTIF(ORÇAMENTO!$V$15:$V$71,BDI_3.Título)=0,"",IF(OR(Import.BDI.Tipo3="(SELECIONAR)",Import.BDI.Tipo3="",U97&lt;&gt;"",AND($J97&lt;&gt;$A$145,OR(S101="",S102="",AND($J97&lt;&gt;$A$146,OR(S103="",S104="")),S105="",S106=""))),"Falta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683" t="s">
        <v>664</v>
      </c>
      <c r="K96" s="683"/>
      <c r="L96" s="683"/>
      <c r="M96" s="683"/>
      <c r="N96" s="683"/>
      <c r="O96" s="683"/>
      <c r="P96" s="683"/>
      <c r="Q96" s="683"/>
      <c r="R96" s="683"/>
      <c r="S96" s="683"/>
    </row>
    <row r="97" spans="1:26" ht="15" x14ac:dyDescent="0.25">
      <c r="A97"/>
      <c r="B97"/>
      <c r="C97"/>
      <c r="D97"/>
      <c r="E97"/>
      <c r="F97"/>
      <c r="G97"/>
      <c r="I97" t="str">
        <f t="shared" ca="1" si="6"/>
        <v/>
      </c>
      <c r="J97" s="689" t="s">
        <v>139</v>
      </c>
      <c r="K97" s="689"/>
      <c r="L97" s="689"/>
      <c r="M97" s="689"/>
      <c r="N97" s="689"/>
      <c r="O97" s="689"/>
      <c r="P97" s="689"/>
      <c r="Q97" s="689"/>
      <c r="R97" s="689"/>
      <c r="S97" s="689"/>
      <c r="T97" s="563" t="str">
        <f ca="1">IF(U97="","","◄")</f>
        <v/>
      </c>
      <c r="U97" s="562" t="str">
        <f ca="1">IF(AND(OR(S109&gt;0,COUNTIF(ORÇAMENTO!$V$15:$V$71,BDI_3.Título)&gt;0),OR(Import.BDI.Tipo3="(SELECIONAR)",Import.BDI.Tipo3="")),"Selecione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691" t="s">
        <v>666</v>
      </c>
      <c r="K99" s="691"/>
      <c r="L99" s="691"/>
      <c r="M99" s="691"/>
      <c r="N99" s="691"/>
      <c r="O99" s="691"/>
      <c r="P99" s="691"/>
      <c r="Q99" s="691"/>
      <c r="R99" s="691" t="s">
        <v>667</v>
      </c>
      <c r="S99" s="690" t="s">
        <v>668</v>
      </c>
      <c r="U99" s="690" t="s">
        <v>669</v>
      </c>
      <c r="V99" s="690"/>
      <c r="W99" s="690"/>
      <c r="X99" s="688" t="s">
        <v>670</v>
      </c>
      <c r="Y99" s="688" t="s">
        <v>671</v>
      </c>
      <c r="Z99" s="688" t="s">
        <v>672</v>
      </c>
    </row>
    <row r="100" spans="1:26" ht="12.75" customHeight="1" x14ac:dyDescent="0.2">
      <c r="A100"/>
      <c r="B100"/>
      <c r="C100"/>
      <c r="D100"/>
      <c r="E100"/>
      <c r="F100"/>
      <c r="G100"/>
      <c r="I100" t="str">
        <f t="shared" ca="1" si="6"/>
        <v/>
      </c>
      <c r="J100" s="691"/>
      <c r="K100" s="691"/>
      <c r="L100" s="691"/>
      <c r="M100" s="691"/>
      <c r="N100" s="691"/>
      <c r="O100" s="691"/>
      <c r="P100" s="691"/>
      <c r="Q100" s="691"/>
      <c r="R100" s="691"/>
      <c r="S100" s="690"/>
      <c r="U100" s="690"/>
      <c r="V100" s="690"/>
      <c r="W100" s="690"/>
      <c r="X100" s="688"/>
      <c r="Y100" s="688"/>
      <c r="Z100" s="688"/>
    </row>
    <row r="101" spans="1:26" ht="15" customHeight="1" x14ac:dyDescent="0.2">
      <c r="A101"/>
      <c r="B101"/>
      <c r="C101"/>
      <c r="D101"/>
      <c r="E101"/>
      <c r="F101"/>
      <c r="G101"/>
      <c r="I101" t="str">
        <f t="shared" ca="1" si="6"/>
        <v/>
      </c>
      <c r="J101" s="693" t="str">
        <f>IF($J$97=$A$146,"Encargos Sociais incidentes sobre a mão de obra","Administração Central")</f>
        <v>Administração Central</v>
      </c>
      <c r="K101" s="693"/>
      <c r="L101" s="693"/>
      <c r="M101" s="693"/>
      <c r="N101" s="693"/>
      <c r="O101" s="693"/>
      <c r="P101" s="693"/>
      <c r="Q101" s="693"/>
      <c r="R101" s="60" t="str">
        <f>IF($J97=$A$146,"K1","AC")</f>
        <v>AC</v>
      </c>
      <c r="S101" s="61"/>
      <c r="T101" s="572" t="str">
        <f ca="1">IF(AND($U$94&lt;&gt;"",$U$97="",R101&lt;&gt;"",S101=""),"◄","")</f>
        <v/>
      </c>
      <c r="U101" s="694" t="str">
        <f ca="1">IFERROR(IF(T101="◄","FALTA PREENCHER",IF(AND(OR(S101&gt;=X101,X101="-"),OR(S101&lt;=Z101,Z101="-")),"OK","FORA DO INTERVALO")),"-")</f>
        <v>-</v>
      </c>
      <c r="V101" s="694"/>
      <c r="W101" s="694"/>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693" t="str">
        <f>IF($J$97=$A$146,"Administração Central da empresa ou consultoria - overhead","Seguro e Garantia")</f>
        <v>Seguro e Garantia</v>
      </c>
      <c r="K102" s="693"/>
      <c r="L102" s="693"/>
      <c r="M102" s="693"/>
      <c r="N102" s="693"/>
      <c r="O102" s="693"/>
      <c r="P102" s="693"/>
      <c r="Q102" s="693"/>
      <c r="R102" s="60" t="str">
        <f>IF($J97=$A$146,"K2","SG")</f>
        <v>SG</v>
      </c>
      <c r="S102" s="61"/>
      <c r="T102" s="572" t="str">
        <f t="shared" ref="T102:T106" ca="1" si="7">IF(AND($U$94&lt;&gt;"",$U$97="",R102&lt;&gt;"",S102=""),"◄","")</f>
        <v/>
      </c>
      <c r="U102" s="694" t="str">
        <f t="shared" ref="U102:U108" ca="1" si="8">IFERROR(IF(T102="◄","FALTA PREENCHER",IF(AND(OR(S102&gt;=X102,X102="-"),OR(S102&lt;=Z102,Z102="-")),"OK","FORA DO INTERVALO")),"-")</f>
        <v>-</v>
      </c>
      <c r="V102" s="694"/>
      <c r="W102" s="694"/>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693" t="s">
        <v>942</v>
      </c>
      <c r="K103" s="693"/>
      <c r="L103" s="693"/>
      <c r="M103" s="693"/>
      <c r="N103" s="693"/>
      <c r="O103" s="693"/>
      <c r="P103" s="693"/>
      <c r="Q103" s="693"/>
      <c r="R103" s="60" t="str">
        <f>IF($J97=$A$146,"","R")</f>
        <v>R</v>
      </c>
      <c r="S103" s="61"/>
      <c r="T103" s="572" t="str">
        <f t="shared" ca="1" si="7"/>
        <v/>
      </c>
      <c r="U103" s="694" t="str">
        <f t="shared" ca="1" si="8"/>
        <v>-</v>
      </c>
      <c r="V103" s="694"/>
      <c r="W103" s="694"/>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693" t="s">
        <v>943</v>
      </c>
      <c r="K104" s="693"/>
      <c r="L104" s="693"/>
      <c r="M104" s="693"/>
      <c r="N104" s="693"/>
      <c r="O104" s="693"/>
      <c r="P104" s="693"/>
      <c r="Q104" s="693"/>
      <c r="R104" s="60" t="str">
        <f>IF($J97=$A$146,"","DF")</f>
        <v>DF</v>
      </c>
      <c r="S104" s="61"/>
      <c r="T104" s="572" t="str">
        <f t="shared" ca="1" si="7"/>
        <v/>
      </c>
      <c r="U104" s="694" t="str">
        <f t="shared" ca="1" si="8"/>
        <v>-</v>
      </c>
      <c r="V104" s="694"/>
      <c r="W104" s="694"/>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693" t="str">
        <f>IF($J$57=$A$146,"Margem bruta da empresa de consultoria","Lucro")</f>
        <v>Lucro</v>
      </c>
      <c r="K105" s="693"/>
      <c r="L105" s="693"/>
      <c r="M105" s="693"/>
      <c r="N105" s="693"/>
      <c r="O105" s="693"/>
      <c r="P105" s="693"/>
      <c r="Q105" s="693"/>
      <c r="R105" s="60" t="str">
        <f>IF($J97=$A$146,"K3","L")</f>
        <v>L</v>
      </c>
      <c r="S105" s="61"/>
      <c r="T105" s="572" t="str">
        <f t="shared" ca="1" si="7"/>
        <v/>
      </c>
      <c r="U105" s="694" t="str">
        <f t="shared" ca="1" si="8"/>
        <v>-</v>
      </c>
      <c r="V105" s="694"/>
      <c r="W105" s="694"/>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693" t="s">
        <v>675</v>
      </c>
      <c r="K106" s="693"/>
      <c r="L106" s="693"/>
      <c r="M106" s="693"/>
      <c r="N106" s="693"/>
      <c r="O106" s="693"/>
      <c r="P106" s="693"/>
      <c r="Q106" s="693"/>
      <c r="R106" s="60" t="s">
        <v>456</v>
      </c>
      <c r="S106" s="61"/>
      <c r="T106" s="572" t="str">
        <f t="shared" ca="1" si="7"/>
        <v/>
      </c>
      <c r="U106" s="694" t="str">
        <f t="shared" ca="1" si="8"/>
        <v>FORA DO INTERVALO</v>
      </c>
      <c r="V106" s="694"/>
      <c r="W106" s="694"/>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693" t="s">
        <v>676</v>
      </c>
      <c r="K107" s="693"/>
      <c r="L107" s="693"/>
      <c r="M107" s="693"/>
      <c r="N107" s="693"/>
      <c r="O107" s="693"/>
      <c r="P107" s="693"/>
      <c r="Q107" s="693"/>
      <c r="R107" s="60" t="s">
        <v>677</v>
      </c>
      <c r="S107" s="62">
        <f ca="1">IF(AND($J97&lt;&gt;$A$145,COUNTA(OFFSET(S100,1,0,6))&gt;0),$R$11*$R$10,0)</f>
        <v>0</v>
      </c>
      <c r="U107" s="694" t="str">
        <f t="shared" ca="1" si="8"/>
        <v>OK</v>
      </c>
      <c r="V107" s="694"/>
      <c r="W107" s="694"/>
      <c r="X107" s="62">
        <v>0</v>
      </c>
      <c r="Y107" s="62">
        <v>2.5000000000000001E-2</v>
      </c>
      <c r="Z107" s="62">
        <v>0.05</v>
      </c>
    </row>
    <row r="108" spans="1:26" ht="15" customHeight="1" x14ac:dyDescent="0.2">
      <c r="A108"/>
      <c r="B108"/>
      <c r="C108"/>
      <c r="D108"/>
      <c r="E108"/>
      <c r="F108"/>
      <c r="G108"/>
      <c r="I108" t="str">
        <f t="shared" ca="1" si="6"/>
        <v/>
      </c>
      <c r="J108" s="693" t="s">
        <v>678</v>
      </c>
      <c r="K108" s="693"/>
      <c r="L108" s="693"/>
      <c r="M108" s="693"/>
      <c r="N108" s="693"/>
      <c r="O108" s="693"/>
      <c r="P108" s="693"/>
      <c r="Q108" s="693"/>
      <c r="R108" s="60" t="s">
        <v>679</v>
      </c>
      <c r="S108" s="62" cm="1">
        <f t="array" aca="1" ref="S108" ca="1">IF(BDI.Opcao&lt;&gt;"Desonerado",0,IF(AND($J97&lt;&gt;$A$145,COUNTA(OFFSET(S100,1,0,6))&gt;0),IF(YEAR(Import.DataBase)&lt;2025,4.5%,IF(YEAR(Import.DataBase)=2025,3.6%,IF(YEAR(Import.DataBase)=2026,2.7%,IF(YEAR(Import.DataBase)=2027,1.8%,0%)))),0%))</f>
        <v>0</v>
      </c>
      <c r="U108" s="694" t="str">
        <f t="shared" ca="1" si="8"/>
        <v>OK</v>
      </c>
      <c r="V108" s="694"/>
      <c r="W108" s="694"/>
      <c r="X108" s="63">
        <f ca="1">$S108</f>
        <v>0</v>
      </c>
      <c r="Y108" s="63">
        <f ca="1">$S108</f>
        <v>0</v>
      </c>
      <c r="Z108" s="63">
        <f ca="1">$S108</f>
        <v>0</v>
      </c>
    </row>
    <row r="109" spans="1:26" ht="15" customHeight="1" x14ac:dyDescent="0.2">
      <c r="A109"/>
      <c r="B109"/>
      <c r="C109"/>
      <c r="D109"/>
      <c r="E109"/>
      <c r="F109"/>
      <c r="G109"/>
      <c r="I109" t="str">
        <f t="shared" ca="1" si="6"/>
        <v/>
      </c>
      <c r="J109" s="693" t="s">
        <v>680</v>
      </c>
      <c r="K109" s="693"/>
      <c r="L109" s="693"/>
      <c r="M109" s="693"/>
      <c r="N109" s="693"/>
      <c r="O109" s="693"/>
      <c r="P109" s="693"/>
      <c r="Q109" s="693"/>
      <c r="R109" s="64" t="s">
        <v>656</v>
      </c>
      <c r="S109" s="62">
        <f ca="1">IF($J97=$A$145,0,ROUND((((1+S101+S102+S103)*(1+S104)*(1+S105)/(1-(S106+S107)))-1),4))</f>
        <v>0</v>
      </c>
      <c r="U109" s="690" t="str">
        <f ca="1">IFERROR(IF(AND(OR(S109&gt;=X109,X109="-"),OR(S109&lt;=Z109,Z109="-")),"OK","FORA DO INTERVALO"),IF(S109=0,"OK","Selecione o Tipo de obra"))</f>
        <v>OK</v>
      </c>
      <c r="V109" s="690"/>
      <c r="W109" s="690"/>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697" t="s">
        <v>681</v>
      </c>
      <c r="K110" s="697"/>
      <c r="L110" s="697"/>
      <c r="M110" s="697"/>
      <c r="N110" s="697"/>
      <c r="O110" s="697"/>
      <c r="P110" s="697"/>
      <c r="Q110" s="697"/>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698" t="str">
        <f ca="1">IF(U109&lt;&gt;"ok","Anexo: Relatório Técnico Circunstanciado justificando a adoção do percentual de cada parcela do BDI.","")</f>
        <v/>
      </c>
      <c r="L112" s="698"/>
      <c r="M112" s="698"/>
      <c r="N112" s="698"/>
      <c r="O112" s="698"/>
      <c r="P112" s="698"/>
      <c r="Q112" s="698"/>
      <c r="R112" s="698"/>
      <c r="S112" s="698"/>
    </row>
    <row r="113" spans="1:19" x14ac:dyDescent="0.2">
      <c r="A113"/>
      <c r="B113"/>
      <c r="C113"/>
      <c r="D113"/>
      <c r="E113"/>
      <c r="F113"/>
      <c r="G113"/>
      <c r="I113" t="str">
        <f t="shared" ca="1" si="6"/>
        <v/>
      </c>
    </row>
    <row r="114" spans="1:19" x14ac:dyDescent="0.2">
      <c r="A114"/>
      <c r="B114"/>
      <c r="C114"/>
      <c r="D114"/>
      <c r="E114"/>
      <c r="F114"/>
      <c r="G114"/>
      <c r="I114" t="str">
        <f t="shared" ca="1" si="6"/>
        <v/>
      </c>
      <c r="J114" s="699" t="s">
        <v>683</v>
      </c>
      <c r="K114" s="699"/>
      <c r="L114" s="699"/>
      <c r="M114" s="699"/>
      <c r="N114" s="699"/>
      <c r="O114" s="699"/>
      <c r="P114" s="699"/>
      <c r="Q114" s="699"/>
      <c r="R114" s="699"/>
      <c r="S114" s="699"/>
    </row>
    <row r="115" spans="1:19" ht="15.75" x14ac:dyDescent="0.25">
      <c r="A115"/>
      <c r="B115"/>
      <c r="C115"/>
      <c r="D115"/>
      <c r="E115"/>
      <c r="F115"/>
      <c r="G115"/>
      <c r="I115" t="str">
        <f t="shared" ca="1" si="6"/>
        <v/>
      </c>
      <c r="J115" s="68"/>
      <c r="K115" s="68"/>
      <c r="L115" s="68"/>
      <c r="M115" s="700" t="s">
        <v>684</v>
      </c>
      <c r="N115" s="706" t="str">
        <f>IF($J97=$A$146,"(1+K1+K2)*(1+K3)","(1+AC + S + R + G)*(1 + DF)*(1+L)")</f>
        <v>(1+AC + S + R + G)*(1 + DF)*(1+L)</v>
      </c>
      <c r="O115" s="706"/>
      <c r="P115" s="706"/>
      <c r="Q115" s="707" t="s">
        <v>685</v>
      </c>
      <c r="R115" s="68"/>
      <c r="S115" s="68"/>
    </row>
    <row r="116" spans="1:19" ht="15.75" x14ac:dyDescent="0.2">
      <c r="A116"/>
      <c r="B116"/>
      <c r="C116"/>
      <c r="D116"/>
      <c r="E116"/>
      <c r="F116"/>
      <c r="G116"/>
      <c r="I116" t="str">
        <f t="shared" ca="1" si="6"/>
        <v/>
      </c>
      <c r="J116" s="68"/>
      <c r="K116" s="68"/>
      <c r="L116" s="68"/>
      <c r="M116" s="700"/>
      <c r="N116" s="695" t="s">
        <v>686</v>
      </c>
      <c r="O116" s="695"/>
      <c r="P116" s="695"/>
      <c r="Q116" s="707"/>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40%, com a respectiva alíquota de 2%.</v>
      </c>
      <c r="K118" s="696"/>
      <c r="L118" s="696"/>
      <c r="M118" s="696"/>
      <c r="N118" s="696"/>
      <c r="O118" s="696"/>
      <c r="P118" s="696"/>
      <c r="Q118" s="696"/>
      <c r="R118" s="696"/>
      <c r="S118" s="696"/>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96"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96"/>
      <c r="L120" s="696"/>
      <c r="M120" s="696"/>
      <c r="N120" s="696"/>
      <c r="O120" s="696"/>
      <c r="P120" s="696"/>
      <c r="Q120" s="696"/>
      <c r="R120" s="696"/>
      <c r="S120" s="696"/>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708"/>
      <c r="K123" s="708"/>
      <c r="L123" s="708"/>
      <c r="M123" s="708"/>
      <c r="N123" s="708"/>
      <c r="O123" s="708"/>
      <c r="P123" s="708"/>
      <c r="Q123" s="708"/>
      <c r="R123" s="708"/>
      <c r="S123" s="708"/>
    </row>
    <row r="124" spans="1:19" x14ac:dyDescent="0.2">
      <c r="A124"/>
      <c r="B124"/>
      <c r="C124"/>
      <c r="D124"/>
      <c r="E124"/>
      <c r="F124"/>
      <c r="G124"/>
      <c r="I124" t="str">
        <f t="shared" ca="1" si="6"/>
        <v/>
      </c>
    </row>
    <row r="125" spans="1:19" x14ac:dyDescent="0.2">
      <c r="A125"/>
      <c r="B125"/>
      <c r="C125"/>
      <c r="D125"/>
      <c r="E125"/>
      <c r="F125"/>
      <c r="G125"/>
      <c r="I125" t="str">
        <f t="shared" ca="1" si="6"/>
        <v/>
      </c>
      <c r="J125" s="702" t="str">
        <f>Import.Município</f>
        <v>SÃO LUIZ GONZAGA/RS</v>
      </c>
      <c r="K125" s="702"/>
      <c r="L125" s="702"/>
      <c r="M125" s="702"/>
      <c r="P125" s="703">
        <f>DADOS!$C$25</f>
        <v>46237</v>
      </c>
      <c r="Q125" s="703"/>
      <c r="R125" s="703"/>
      <c r="S125" s="703"/>
    </row>
    <row r="126" spans="1:19" x14ac:dyDescent="0.2">
      <c r="A126"/>
      <c r="B126"/>
      <c r="C126"/>
      <c r="D126"/>
      <c r="E126"/>
      <c r="F126"/>
      <c r="G126"/>
      <c r="I126" t="str">
        <f t="shared" ca="1" si="6"/>
        <v/>
      </c>
      <c r="J126" s="704" t="s">
        <v>693</v>
      </c>
      <c r="K126" s="704"/>
      <c r="L126" s="704"/>
      <c r="M126" s="704"/>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705"/>
      <c r="K128" s="705"/>
      <c r="L128" s="705"/>
      <c r="M128" s="705"/>
      <c r="N128" s="76"/>
    </row>
    <row r="129" spans="1:14" x14ac:dyDescent="0.2">
      <c r="A129"/>
      <c r="B129"/>
      <c r="C129"/>
      <c r="D129"/>
      <c r="E129"/>
      <c r="F129"/>
      <c r="G129"/>
      <c r="I129" t="str">
        <f t="shared" ca="1" si="6"/>
        <v/>
      </c>
      <c r="J129" s="701" t="s">
        <v>696</v>
      </c>
      <c r="K129" s="701"/>
      <c r="L129" s="701"/>
      <c r="M129" s="701"/>
    </row>
    <row r="130" spans="1:14" ht="14.25" x14ac:dyDescent="0.2">
      <c r="A130"/>
      <c r="B130"/>
      <c r="C130"/>
      <c r="D130"/>
      <c r="E130"/>
      <c r="F130"/>
      <c r="G130"/>
      <c r="I130" t="str">
        <f t="shared" ca="1" si="6"/>
        <v/>
      </c>
      <c r="J130" s="77" t="s">
        <v>240</v>
      </c>
      <c r="K130" s="78" t="str">
        <f t="array" ref="K130:K132">Import.RespOrçamento</f>
        <v>ÍGOR KIST</v>
      </c>
      <c r="L130" s="79"/>
      <c r="M130" s="79"/>
      <c r="N130" s="76"/>
    </row>
    <row r="131" spans="1:14" ht="14.25" x14ac:dyDescent="0.2">
      <c r="A131"/>
      <c r="B131"/>
      <c r="C131"/>
      <c r="D131"/>
      <c r="E131"/>
      <c r="F131"/>
      <c r="G131"/>
      <c r="I131" t="str">
        <f t="shared" ca="1" si="6"/>
        <v/>
      </c>
      <c r="J131" s="77" t="s">
        <v>243</v>
      </c>
      <c r="K131" s="78" t="str">
        <v>RS246150</v>
      </c>
      <c r="L131" s="79"/>
      <c r="M131" s="79"/>
      <c r="N131" s="76"/>
    </row>
    <row r="132" spans="1:14" ht="14.25" x14ac:dyDescent="0.2">
      <c r="A132"/>
      <c r="B132"/>
      <c r="C132"/>
      <c r="D132"/>
      <c r="E132"/>
      <c r="F132"/>
      <c r="G132"/>
      <c r="I132" t="str">
        <f t="shared" ca="1" si="6"/>
        <v/>
      </c>
      <c r="J132" s="77" t="s">
        <v>246</v>
      </c>
      <c r="K132" s="78" t="str">
        <v>14571519</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WsE862NjpCTKXzjI70O4YQUJVEnBAI2/My52CUzdcnI4/HKC5xtk/gx/zrDZx+cl2BQ60MbvKQFfqrVxnz6Lew==" saltValue="Qsd6paCD/T6VUDHlSGDYqQ==" spinCount="100000" sheet="1" objects="1" scenarios="1" autoFilter="0"/>
  <autoFilter ref="I11:I132"/>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333" priority="11" stopIfTrue="1">
      <formula>DESONERACAO="não"</formula>
    </cfRule>
  </conditionalFormatting>
  <conditionalFormatting sqref="U69:W69 U29:W29 U109:W109">
    <cfRule type="expression" dxfId="332" priority="12" stopIfTrue="1">
      <formula>AND(U29&lt;&gt;"OK",U29&lt;&gt;"-",U29&lt;&gt;"")</formula>
    </cfRule>
    <cfRule type="cellIs" dxfId="331" priority="13" stopIfTrue="1" operator="equal">
      <formula>"OK"</formula>
    </cfRule>
  </conditionalFormatting>
  <conditionalFormatting sqref="S29 S69 S109">
    <cfRule type="expression" dxfId="330" priority="14" stopIfTrue="1">
      <formula>DESONERACAO="não"</formula>
    </cfRule>
  </conditionalFormatting>
  <conditionalFormatting sqref="J23:S24">
    <cfRule type="expression" dxfId="329" priority="9">
      <formula>$J$17=$A$146</formula>
    </cfRule>
  </conditionalFormatting>
  <conditionalFormatting sqref="S21:S26">
    <cfRule type="expression" dxfId="328" priority="8">
      <formula>$J$17=$A$145</formula>
    </cfRule>
  </conditionalFormatting>
  <conditionalFormatting sqref="J63:S64">
    <cfRule type="expression" dxfId="327" priority="7">
      <formula>$J$57=$A$146</formula>
    </cfRule>
  </conditionalFormatting>
  <conditionalFormatting sqref="S61:S66">
    <cfRule type="expression" dxfId="326" priority="6">
      <formula>$J$57=$A$145</formula>
    </cfRule>
  </conditionalFormatting>
  <conditionalFormatting sqref="J103:S104">
    <cfRule type="expression" dxfId="325" priority="5">
      <formula>$J$97=$A$146</formula>
    </cfRule>
  </conditionalFormatting>
  <conditionalFormatting sqref="S101:S106">
    <cfRule type="expression" dxfId="324" priority="4">
      <formula>$J$97=$A$145</formula>
    </cfRule>
  </conditionalFormatting>
  <conditionalFormatting sqref="U21:W28">
    <cfRule type="cellIs" dxfId="323" priority="3" operator="notEqual">
      <formula>"OK"</formula>
    </cfRule>
  </conditionalFormatting>
  <conditionalFormatting sqref="U61:W68">
    <cfRule type="cellIs" dxfId="322" priority="2" operator="notEqual">
      <formula>"OK"</formula>
    </cfRule>
  </conditionalFormatting>
  <conditionalFormatting sqref="U101:W108">
    <cfRule type="cellIs" dxfId="321" priority="1" operator="notEqual">
      <formula>"OK"</formula>
    </cfRule>
  </conditionalFormatting>
  <dataValidations count="6">
    <dataValidation type="decimal" allowBlank="1" showErrorMessage="1" errorTitle="Erro de valores" error="Digite um valor entre 0% e 100%" sqref="S101:S106 S61:S66 S21:S26">
      <formula1>0</formula1>
      <formula2>1</formula2>
    </dataValidation>
    <dataValidation type="decimal" allowBlank="1" showErrorMessage="1" errorTitle="Erro de valores" error="Digite um valor maior do que 0." sqref="S27 S107 S67">
      <formula1>0</formula1>
      <formula2>1</formula2>
    </dataValidation>
    <dataValidation operator="greaterThanOrEqual" allowBlank="1" showErrorMessage="1" errorTitle="Erro de valores" error="Digite um valor igual a 0% ou 2%." sqref="S28 S68 S108">
      <formula1>0</formula1>
      <formula2>0</formula2>
    </dataValidation>
    <dataValidation type="decimal" allowBlank="1" showInputMessage="1" showErrorMessage="1" errorTitle="Valor não permitido" error="Digite um percentual entre 2% e 5%." promptTitle="Valores comuns:" prompt="Entre 2 e 5%." sqref="R11:S11">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formula1>0</formula1>
      <formula2>1</formula2>
    </dataValidation>
    <dataValidation type="list" allowBlank="1" showErrorMessage="1" sqref="J17:S17 J57:S57 J97:S97">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pageSetUpPr fitToPage="1"/>
  </sheetPr>
  <dimension ref="A1:AN65601"/>
  <sheetViews>
    <sheetView showGridLines="0" tabSelected="1" zoomScale="70" zoomScaleNormal="70" zoomScaleSheetLayoutView="90" workbookViewId="0">
      <pane xSplit="19" ySplit="15" topLeftCell="T16" activePane="bottomRight" state="frozen"/>
      <selection pane="topRight" activeCell="T1" sqref="T1"/>
      <selection pane="bottomLeft" activeCell="L16" sqref="L16"/>
      <selection pane="bottomRight" activeCell="U18" sqref="U18:U70"/>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OGU</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683" t="s">
        <v>650</v>
      </c>
      <c r="P4" s="683"/>
      <c r="Q4" s="87" t="s">
        <v>707</v>
      </c>
      <c r="R4" s="87" t="s">
        <v>652</v>
      </c>
      <c r="S4" s="683" t="s">
        <v>708</v>
      </c>
      <c r="T4" s="683"/>
      <c r="U4" s="683"/>
      <c r="V4" s="683"/>
      <c r="W4" s="683"/>
      <c r="X4" s="683"/>
      <c r="Y4" s="77"/>
      <c r="Z4" s="77"/>
      <c r="AA4" s="77"/>
      <c r="AB4" s="77"/>
    </row>
    <row r="5" spans="1:40" ht="12.75" customHeight="1" x14ac:dyDescent="0.2">
      <c r="A5" s="450">
        <f ca="1">MAX($C$15:$C$71)</f>
        <v>2</v>
      </c>
      <c r="B5" s="7"/>
      <c r="C5" s="7"/>
      <c r="D5" s="7"/>
      <c r="E5" s="7"/>
      <c r="F5" s="663">
        <f ca="1">IF(BDI.Opcao="DESONERADO",BDI!$S$30,BDI!$S$29)</f>
        <v>0.2069</v>
      </c>
      <c r="G5" s="663">
        <f ca="1">IF(BDI.Opcao="DESONERADO",BDI!$S$70,BDI!$S$69)</f>
        <v>0</v>
      </c>
      <c r="H5" s="663">
        <f ca="1">IF(BDI.Opcao="DESONERADO",BDI!$S$110,BDI!$S$109)</f>
        <v>0</v>
      </c>
      <c r="I5" s="7"/>
      <c r="O5" s="680" t="str">
        <f>Import.CR</f>
        <v>0</v>
      </c>
      <c r="P5" s="680"/>
      <c r="Q5" s="90" t="str" cm="1">
        <f t="array" ref="Q5">Import.TransfereGOV</f>
        <v>0</v>
      </c>
      <c r="R5" s="91" t="str">
        <f>Import.Proponente</f>
        <v>PREFEITURA MUNICIPAL DE SÃO LUIZ GONZAGA</v>
      </c>
      <c r="S5" s="680" t="str">
        <f>Import.Apelido</f>
        <v>OBRAS COMPLEMENTARES NA EMEF SANTA RITA</v>
      </c>
      <c r="T5" s="680"/>
      <c r="U5" s="680"/>
      <c r="V5" s="680"/>
      <c r="W5" s="680"/>
      <c r="X5" s="680"/>
      <c r="Y5" s="92"/>
      <c r="Z5" s="92"/>
      <c r="AA5" s="92"/>
      <c r="AB5" s="92"/>
      <c r="AE5" s="720" t="s">
        <v>709</v>
      </c>
      <c r="AF5" s="720"/>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683" t="s">
        <v>710</v>
      </c>
      <c r="P7" s="683"/>
      <c r="Q7" s="87" t="s">
        <v>711</v>
      </c>
      <c r="R7" s="87" t="str" cm="1">
        <f t="array" ref="R7">IF(TIPOORCAMENTO="Licitado","NOME DA EMPRESA","DESCRIÇÃO DO LOTE")</f>
        <v>DESCRIÇÃO DO LOTE</v>
      </c>
      <c r="S7" s="721" t="str" cm="1">
        <f t="array" ref="S7">IF(TIPOORCAMENTO="Licitado","REGIME DE EXECUÇÃO","MUNICÍPIO / UF")</f>
        <v>MUNICÍPIO / UF</v>
      </c>
      <c r="T7" s="721"/>
      <c r="U7" s="721"/>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IF(COUNTIFS($L$15:$L$71,"F",$AC$15:$AC$71,"JUSTIFICAR BDI")&gt;0,"JUSTIFICAR BDI","")</f>
        <v/>
      </c>
      <c r="AE7" s="88" t="s">
        <v>712</v>
      </c>
      <c r="AF7" s="89" t="b">
        <v>1</v>
      </c>
      <c r="AJ7" s="724" t="s">
        <v>713</v>
      </c>
      <c r="AL7" s="722" t="s">
        <v>714</v>
      </c>
    </row>
    <row r="8" spans="1:40" ht="12.75" customHeight="1" x14ac:dyDescent="0.2">
      <c r="A8" s="7"/>
      <c r="B8" s="7"/>
      <c r="C8" s="7"/>
      <c r="E8" s="506" t="s">
        <v>996</v>
      </c>
      <c r="F8" s="718" t="str" cm="1">
        <f t="array" aca="1" ref="F8" ca="1">IF(LEN(INFO("release"))&gt;5,"'Referência "&amp;Excel_BuiltIn_Database&amp;".xlsm'#Banco.$a5:$a$65536","'[Referência "&amp;Excel_BuiltIn_Database&amp;".xlsm]Banco'!$a5:$a$65536")</f>
        <v>'[Referência 07-2026.xlsm]Banco'!$a5:$a$65536</v>
      </c>
      <c r="G8" s="718"/>
      <c r="H8" s="718"/>
      <c r="I8" s="718"/>
      <c r="J8" s="718"/>
      <c r="K8" s="718"/>
      <c r="L8" s="709" t="s">
        <v>655</v>
      </c>
      <c r="O8" s="680" t="str" cm="1">
        <f t="array" aca="1" ref="O8" ca="1">IF(ISERROR(INDIRECT($F$9)),"(N/D: 'Referência "&amp;Excel_BuiltIn_Database&amp;".xlsm)",INDIRECT($F$9))</f>
        <v>(N/D: 'Referência 07-2026.xlsm)</v>
      </c>
      <c r="P8" s="680"/>
      <c r="Q8" s="99" t="str" cm="1">
        <f t="array" aca="1" ref="Q8" ca="1">TEXT(Import.DataBase,"mm-aa")&amp;IF(DESONERACAO="Sim"," (DES.)"," (N DES.)")</f>
        <v>07-26 (N DES.)</v>
      </c>
      <c r="R8" s="91" t="str" cm="1">
        <f t="array" ref="R8">IF(TIPOORCAMENTO="Licitado",Import.empresa,Import.DescLote)</f>
        <v>OBRAS COMPLEMENTARES NA EMEF SANTA RITA</v>
      </c>
      <c r="S8" s="719" t="str" cm="1">
        <f t="array" ref="S8">IF(TIPOORCAMENTO="Licitado",Import.RegimeExecução,Import.Município)</f>
        <v>SÃO LUIZ GONZAGA/RS</v>
      </c>
      <c r="T8" s="719"/>
      <c r="U8" s="719"/>
      <c r="V8" s="100" t="str" cm="1">
        <f t="array" aca="1" ref="V8" ca="1">IF(TIPOORCAMENTO="Licitado","",TEXT(F5,"0,00%"))</f>
        <v>20,69%</v>
      </c>
      <c r="W8" s="100" t="str" cm="1">
        <f t="array" aca="1" ref="W8" ca="1">IF(TIPOORCAMENTO="Licitado","",TEXT(G5,"0,00%"))</f>
        <v>0,00%</v>
      </c>
      <c r="X8" s="101" t="str" cm="1">
        <f t="array" aca="1" ref="X8" ca="1">IF(TIPOORCAMENTO="Licitado",Import.CTEF,TEXT(H5,"0,00%"))</f>
        <v>0,00%</v>
      </c>
      <c r="Y8" s="709" t="s">
        <v>715</v>
      </c>
      <c r="Z8" s="709" t="s">
        <v>716</v>
      </c>
      <c r="AA8" s="102"/>
      <c r="AB8" s="102"/>
      <c r="AE8" s="88" t="s">
        <v>717</v>
      </c>
      <c r="AF8" s="89" t="b">
        <v>1</v>
      </c>
      <c r="AJ8" s="724"/>
      <c r="AL8" s="722"/>
    </row>
    <row r="9" spans="1:40" ht="12.75" customHeight="1" x14ac:dyDescent="0.2">
      <c r="E9" s="506" t="s">
        <v>994</v>
      </c>
      <c r="F9" s="718" t="str" cm="1">
        <f t="array" aca="1" ref="F9" ca="1">IF(LEN(INFO("release"))&gt;5,"'Referência "&amp;Excel_BuiltIn_Database&amp;".xlsm'#Banco.$d$3","'[Referência "&amp;Excel_BuiltIn_Database&amp;".xlsm]Banco'!$d$3")</f>
        <v>'[Referência 07-2026.xlsm]Banco'!$d$3</v>
      </c>
      <c r="G9" s="718"/>
      <c r="H9" s="718"/>
      <c r="I9" s="718"/>
      <c r="J9" s="718"/>
      <c r="K9" s="718"/>
      <c r="L9" s="709"/>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709"/>
      <c r="Z9" s="709"/>
      <c r="AE9" s="88" t="s">
        <v>23</v>
      </c>
      <c r="AF9" s="89" t="b">
        <v>1</v>
      </c>
      <c r="AJ9" s="724"/>
      <c r="AL9" s="722"/>
    </row>
    <row r="10" spans="1:40" x14ac:dyDescent="0.2">
      <c r="E10" s="506" t="s">
        <v>995</v>
      </c>
      <c r="F10" s="718" t="str" cm="1">
        <f t="array" aca="1" ref="F10" ca="1">IF(LEN(INFO("release"))&gt;5,"'Referência "&amp;Excel_BuiltIn_Database&amp;".xlsm'#Banco.$B$3","'[Referência "&amp;Excel_BuiltIn_Database&amp;".xlsm]Banco'!$B$3")</f>
        <v>'[Referência 07-2026.xlsm]Banco'!$B$3</v>
      </c>
      <c r="G10" s="718"/>
      <c r="H10" s="718"/>
      <c r="I10" s="718"/>
      <c r="J10" s="718"/>
      <c r="K10" s="718"/>
      <c r="L10" s="709"/>
      <c r="Y10" s="709"/>
      <c r="Z10" s="709"/>
      <c r="AC10" s="103" t="s">
        <v>718</v>
      </c>
      <c r="AE10" s="88" t="s">
        <v>719</v>
      </c>
      <c r="AF10" s="89" t="b">
        <v>1</v>
      </c>
      <c r="AJ10" s="724"/>
      <c r="AL10" s="722"/>
    </row>
    <row r="11" spans="1:40" x14ac:dyDescent="0.2">
      <c r="F11" s="661" t="str" cm="1">
        <f t="array" aca="1" ref="F11" ca="1">IFERROR(INDIRECT(F10),"")</f>
        <v/>
      </c>
      <c r="G11" s="665" t="str" cm="1">
        <f t="array" aca="1" ref="G11" ca="1">IFERROR(TEXT(Import.DataBase,"mm/aaaa"),"")</f>
        <v>07/2026</v>
      </c>
      <c r="H11" s="104"/>
      <c r="L11" s="709"/>
      <c r="Y11" s="709"/>
      <c r="Z11" s="709"/>
      <c r="AC11" s="105" t="str">
        <f ca="1">IF(COUNTIFS($L$15:$L$71,"F",$AC$15:$AC$71,"&lt;&gt;"&amp;" ",$AC$15:$AC$71,"&lt;&gt;"&amp;"JUSTIFICAR BDI")&gt;0,"NÃO OK","OK")</f>
        <v>OK</v>
      </c>
      <c r="AE11" s="88" t="s">
        <v>720</v>
      </c>
      <c r="AF11" s="89" t="b">
        <v>1</v>
      </c>
      <c r="AJ11" s="724"/>
      <c r="AL11" s="722"/>
    </row>
    <row r="12" spans="1:40" ht="20.100000000000001" customHeight="1" x14ac:dyDescent="0.2">
      <c r="G12" s="85"/>
      <c r="H12" s="85"/>
      <c r="L12" s="709"/>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IF(COUNTIF($AC$15:$AC$71,"FONTE")&gt;0,"Falta preencher a Fonte (coluna P) na Linha "&amp;(14+MATCH("FONTE",$AC$15:$AC$71,0)),
 IF(COUNTIF($AC$15:$AC$71,"CÓDIGO")&gt;0,"Falta preencher o Código (coluna Q) na Linha "&amp;(14+MATCH("CÓDIGO",$AC$15:$AC$71,0)),
 IF(COUNTIF($AC$15:$AC$71,"CÓDIGO N/ID")&gt;0,"Código (coluna Q) não identificado na Linha "&amp;(14+MATCH("CÓDIGO N/ID",$AC$15:$AC$71,0))&amp;". Verifique se o código está correto ou busque outro código",
 IF(COUNTIF($AC$15:$AC$71,"DESCRIÇÃO")&gt;0,"Falta preencher a Descrição (coluna R) na Linha "&amp;(14+MATCH("DESCRIÇÃO",$AC$15:$AC$71,0)),
 IF(COUNTIF($AC$15:$AC$71,"UNIDADE")&gt;0,"Falta preencher a Unidade (coluna S) na Linha "&amp;(14+MATCH("UNIDADE",$AC$15:$AC$71,0)),
 IF(COUNTIF($AC$15:$AC$71,"SEM CUSTO")&gt;0,"Falta preencher o Custo Unitário (coluna U) na Linha "&amp;(14+MATCH("SEM CUSTO",$AC$15:$AC$71,0)),
 IF(COUNTIF($AC$15:$AC$71,"SEM PREÇO")&gt;0,"Falta preencher o Preço Unitário licitado (coluna AL) na Linha "&amp;(14+MATCH("SEM CUSTO",$AC$15:$AC$71,0)),
 IF(COUNTIF($AC$15:$AC$71,"BDI")&gt;0,"Falta definir o BDI (coluna V) na Linha "&amp;(14+MATCH("BDI",$AC$15:$AC$71,0)),
 IF(COUNTIF($AC$15:$AC$71,"ACIMA REF.")&gt;0,
         IF(TIPOORCAMENTO="Proposto","O custo unitário (coluna U) na Linha "&amp;(14+MATCH("ACIMA REF.",$AC$15:$AC$71,0))&amp;" está acima do custo referencial (coluna AG)",
            "O preço unitário licitado (coluna AL) na Linha "&amp;(14+MATCH("ACIMA REF.",$AC$15:$AC$71,0))&amp;" está acima do preço referencial do edital (coluna AN)"),
 IF(COUNTIF($AC$15:$AC$71,"QUANT.")&gt;0,"Falta a Quantidade do serviço na Linha "&amp;(14+MATCH("QUANT.",$AC$15:$AC$71,0))&amp;IF(ACOMPANHAMENTO="PLE",". Preencher na aba CÁLCULO",". Preencher na coluna AJ"),
 IF(COUNTIF($AC$15:$AC$71,"Código &gt;13")&gt;0,"O tamanho do código do serviço no TransfereGOV é limitado a 13 caracteres. Resuma o código (coluna Q) na Linha "&amp;(14+MATCH("Código &gt;13",$AC$15:$AC$71,0)),
 IF(COUNTIF($AC$15:$AC$71,"Descrição &gt;100")&gt;0,"O tamanho da descrição de macrosserviço no TransfereGOV é limitado a 100 caracteres. Resuma a descrição (coluna R) na Linha "&amp;(14+MATCH("Descrição &gt;100",$AC$15:$AC$71,0)),
 IF(COUNTIF($AC$15:$AC$71,"Descrição &gt;500")&gt;0,"O tamanho da descrição de serviço no TransfereGOV é limitado a 500 caracteres. Resuma a descrição (coluna R) na Linha "&amp;(14+MATCH("Descrição &gt;500",$AC$15:$AC$71,0)),
 IF(COUNTIF($AC$15:$AC$71,"Unid. Não Disp")&gt;0,"Unidade não disponível na lista do TransfereGOV. Reveja a unidade (coluna S) na Linha "&amp;(14+MATCH("Unid. Não Disp",$AC$15:$AC$71,0)),
 IF(AND(TIPOORCAMENTO="Proposto",LEFT($O$8,5)="(N/D:"),"Abra o arquivo Referência "&amp;Excel_BuiltIn_Database&amp;".xlsm","")))))))))))))))))</f>
        <v>Código (coluna Q) não identificado na Linha 18. Verifique se o código está correto ou busque outro código</v>
      </c>
      <c r="Y12" s="709"/>
      <c r="Z12" s="709"/>
      <c r="AA12" s="723" t="s">
        <v>721</v>
      </c>
      <c r="AB12" s="723"/>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IF(OR($C14="S",$C14=0),0,MATCH(0,OFFSET($D14,1,$C14,ROW($C$71)-ROW($C14)),0))</f>
        <v>0</v>
      </c>
      <c r="K14">
        <f ca="1">IF(OR($C14="S",$C14=0),0,MATCH(OFFSET($D14,0,$C14)+IF($C14&lt;&gt;1,1,COUNTIF(QCI!$A$13:$A$24,ORÇAMENTO!E14)),OFFSET($D14,1,$C14,ROW($C$71)-ROW($C14)),0))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0.2069</v>
      </c>
      <c r="AJ14" s="431"/>
      <c r="AL14" s="439"/>
      <c r="AM14" s="336">
        <f t="shared" ref="AM14:AM70" ca="1" si="0">$X14</f>
        <v>0</v>
      </c>
      <c r="AN14" s="470" cm="1">
        <f t="array" aca="1" ref="AN14" ca="1">ROUND(ORÇAMENTO.CustoUnitario*(1+$AH14),2)</f>
        <v>0</v>
      </c>
    </row>
    <row r="15" spans="1:40" ht="12.75" customHeight="1" x14ac:dyDescent="0.2">
      <c r="A15">
        <v>0</v>
      </c>
      <c r="C15" t="s">
        <v>654</v>
      </c>
      <c r="D15">
        <f ca="1">COUNTA(OFFSET(D15,1,0):D$71)</f>
        <v>55</v>
      </c>
      <c r="E15">
        <v>0</v>
      </c>
      <c r="L15" s="114" t="s">
        <v>536</v>
      </c>
      <c r="M15" s="130" t="str" cm="1">
        <f t="array" ref="M15">IF(TIPOORCAMENTO="LICITADO","CTEF","LOTE")</f>
        <v>LOTE</v>
      </c>
      <c r="N15" s="130" t="str" cm="1">
        <f t="array" ref="N15">IF(TIPOORCAMENTO="LICITADO","CTEF","LOTE")</f>
        <v>LOTE</v>
      </c>
      <c r="O15" s="711" t="str">
        <f>Import.DescLote</f>
        <v>OBRAS COMPLEMENTARES NA EMEF SANTA RITA</v>
      </c>
      <c r="P15" s="712"/>
      <c r="Q15" s="712"/>
      <c r="R15" s="712"/>
      <c r="S15" s="613"/>
      <c r="T15" s="614"/>
      <c r="U15" s="614"/>
      <c r="V15" s="615"/>
      <c r="W15" s="614"/>
      <c r="X15" s="131">
        <f ca="1">SUMIF(OFFSET($C15,1,0,ROW(X71)-ROW(X15)-1),"S",OFFSET(X15,1,0,ROW(X71)-ROW(X15)-1))</f>
        <v>0</v>
      </c>
      <c r="Y15" s="7"/>
      <c r="Z15" t="str">
        <f ca="1">IF(AND($C15="S",$X15&gt;0),LEFT($Y15,2),"")</f>
        <v/>
      </c>
      <c r="AA15" s="426">
        <f ca="1">SUMIF(OFFSET($C15,1,0,ROW(AA71)-ROW(AA15)-1),"S",OFFSET(AA15,1,0,ROW(AA71)-ROW(AA15)-1))</f>
        <v>0</v>
      </c>
      <c r="AB15" s="132">
        <f ca="1">SUMIF(OFFSET($C15,1,0,ROW(AB71)-ROW(AB15)-1),"S",OFFSET(AB15,1,0,ROW(AB71)-ROW(AB15)-1))</f>
        <v>0</v>
      </c>
      <c r="AC15" s="565" t="s">
        <v>752</v>
      </c>
      <c r="AG15" s="441"/>
      <c r="AH15" s="442"/>
      <c r="AJ15" s="430"/>
      <c r="AL15" s="440"/>
      <c r="AM15" s="471">
        <f t="shared" ca="1" si="0"/>
        <v>0</v>
      </c>
      <c r="AN15" s="472"/>
    </row>
    <row r="16" spans="1:40" x14ac:dyDescent="0.2">
      <c r="A16">
        <f t="shared" ref="A16:A70" si="1">CHOOSE(1+LOG(1+2*(ORÇAMENTO.Nivel="Meta")+4*(ORÇAMENTO.Nivel="Nível 2")+8*(ORÇAMENTO.Nivel="Nível 3")+16*(ORÇAMENTO.Nivel="Nível 4")+32*(ORÇAMENTO.Nivel="Serviço"),2),0,1,2,3,4,"S")</f>
        <v>1</v>
      </c>
      <c r="B16">
        <f t="shared" ref="B16:B70" ca="1" si="2">IF(OR(C16="s",C16=0),OFFSET(B16,-1,0),C16)</f>
        <v>1</v>
      </c>
      <c r="C16">
        <f t="shared" ref="C16:C70" ca="1" si="3">IF(OFFSET(C16,-1,0)="L",1,IF(OFFSET(C16,-1,0)=1,2,IF(OR(A16="s",A16=0),"S",IF(AND(OFFSET(C16,-1,0)=2,A16=4),3,IF(AND(OR(OFFSET(C16,-1,0)="s",OFFSET(C16,-1,0)=0),A16&lt;&gt;"s",A16&gt;OFFSET(B16,-1,0)),OFFSET(B16,-1,0),A16)))))</f>
        <v>1</v>
      </c>
      <c r="D16">
        <f t="shared" ref="D16:D70" ca="1" si="4">IF(OR(C16="S",C16=0),0,IF(ISERROR(K16),J16,SMALL(J16:K16,1)))</f>
        <v>24</v>
      </c>
      <c r="E16">
        <f ca="1">IF($C16=1,OFFSET(E16,-1,0)+MAX(1,COUNTIF(QCI!$A$13:$A$24,OFFSET(ORÇAMENTO!E16,-1,0))),OFFSET(E16,-1,0))</f>
        <v>1</v>
      </c>
      <c r="F16">
        <f t="shared" ref="F16:F70" ca="1" si="5">IF($C16=1,0,IF($C16=2,OFFSET(F16,-1,0)+1,OFFSET(F16,-1,0)))</f>
        <v>0</v>
      </c>
      <c r="G16">
        <f t="shared" ref="G16:G70" ca="1" si="6">IF(AND($C16&lt;=2,$C16&lt;&gt;0),0,IF($C16=3,OFFSET(G16,-1,0)+1,OFFSET(G16,-1,0)))</f>
        <v>0</v>
      </c>
      <c r="H16">
        <f t="shared" ref="H16:H70" ca="1" si="7">IF(AND($C16&lt;=3,$C16&lt;&gt;0),0,IF($C16=4,OFFSET(H16,-1,0)+1,OFFSET(H16,-1,0)))</f>
        <v>0</v>
      </c>
      <c r="I16">
        <f t="shared" ref="I16:I70" ca="1" si="8">IF(AND($C16&lt;=4,$C16&lt;&gt;0),0,IF(AND($C16="S",$X16&gt;0),OFFSET(I16,-1,0)+1,OFFSET(I16,-1,0)))</f>
        <v>0</v>
      </c>
      <c r="J16">
        <f t="shared" ref="J16:J29" ca="1" si="9">IF(OR($C16="S",$C16=0),0,MATCH(0,OFFSET($D16,1,$C16,ROW($C$71)-ROW($C16)),0))</f>
        <v>55</v>
      </c>
      <c r="K16">
        <f ca="1">IF(OR($C16="S",$C16=0),0,MATCH(OFFSET($D16,0,$C16)+IF($C16&lt;&gt;1,1,COUNTIF(QCI!$A$13:$A$24,ORÇAMENTO!E16)),OFFSET($D16,1,$C16,ROW($C$71)-ROW($C16)),0))</f>
        <v>24</v>
      </c>
      <c r="L16" s="114" t="str">
        <f t="shared" ref="L16:L70" ca="1" si="10">IF(OR($X16&gt;0,$C16=1,$C16=2,$C16=3,$C16=4),"F","")</f>
        <v>F</v>
      </c>
      <c r="M16" s="115" t="s">
        <v>701</v>
      </c>
      <c r="N16" s="116" t="str">
        <f t="shared" ref="N16:N70" ca="1" si="11">CHOOSE(1+LOG(1+2*(C16=1)+4*(C16=2)+8*(C16=3)+16*(C16=4)+32*(C16="S"),2),"","Meta","Nível 2","Nível 3","Nível 4","Serviço")</f>
        <v>Meta</v>
      </c>
      <c r="O16" s="117" t="str">
        <f t="shared" ref="O16:O70" ca="1" si="12">IF(OR($C16=0,$L16=""),"-",CONCATENATE(E16&amp;".",IF(AND($A$5&gt;=2,$C16&gt;=2),F16&amp;".",""),IF(AND($A$5&gt;=3,$C16&gt;=3),G16&amp;".",""),IF(AND($A$5&gt;=4,$C16&gt;=4),H16&amp;".",""),IF($C16="S",I16&amp;".","")))</f>
        <v>1.</v>
      </c>
      <c r="P16" s="118" t="s">
        <v>750</v>
      </c>
      <c r="Q16" s="119"/>
      <c r="R16" s="120" t="s">
        <v>1012</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0</v>
      </c>
      <c r="Y16" s="126" t="s">
        <v>751</v>
      </c>
      <c r="Z16" t="str">
        <f t="shared" ref="Z16:Z70" ca="1" si="13">IF(AND($C16="S",$X16&gt;0),IF(ISBLANK($Y16),"RA",LEFT($Y16,2)),"")</f>
        <v/>
      </c>
      <c r="AA16" s="127" cm="1">
        <f t="array" aca="1" ref="AA16" ca="1">IF($C16="S",IF($Z16="CP",$X16,IF($Z16="RA",(($X16)*QCI!$AA$3),0)),SomaAgrup)</f>
        <v>0</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70" ca="1" si="14">ROUND(IF(ISNUMBER(ORÇAMENTO.OpcaoBDI),ORÇAMENTO.OpcaoBDI,IF(LEFT(ORÇAMENTO.OpcaoBDI,3)="BDI",HLOOKUP(ORÇAMENTO.OpcaoBDI,$F$4:$H$5,2,FALSE),0)),15-11*$AF$9)</f>
        <v>0.2069</v>
      </c>
      <c r="AJ16" s="431"/>
      <c r="AL16" s="439"/>
      <c r="AM16" s="336">
        <f t="shared" ca="1" si="0"/>
        <v>0</v>
      </c>
      <c r="AN16" s="470" cm="1">
        <f t="array" aca="1" ref="AN16" ca="1">ROUND(ORÇAMENTO.CustoUnitario*(1+$AH16),2)</f>
        <v>0</v>
      </c>
    </row>
    <row r="17" spans="1:40" x14ac:dyDescent="0.2">
      <c r="A17">
        <f t="shared" si="1"/>
        <v>2</v>
      </c>
      <c r="B17">
        <f t="shared" ca="1" si="2"/>
        <v>2</v>
      </c>
      <c r="C17">
        <f t="shared" ca="1" si="3"/>
        <v>2</v>
      </c>
      <c r="D17">
        <f t="shared" ca="1" si="4"/>
        <v>7</v>
      </c>
      <c r="E17">
        <f ca="1">IF($C17=1,OFFSET(E17,-1,0)+MAX(1,COUNTIF(QCI!$A$13:$A$24,OFFSET(ORÇAMENTO!E17,-1,0))),OFFSET(E17,-1,0))</f>
        <v>1</v>
      </c>
      <c r="F17">
        <f t="shared" ca="1" si="5"/>
        <v>1</v>
      </c>
      <c r="G17">
        <f t="shared" ca="1" si="6"/>
        <v>0</v>
      </c>
      <c r="H17">
        <f t="shared" ca="1" si="7"/>
        <v>0</v>
      </c>
      <c r="I17">
        <f t="shared" ca="1" si="8"/>
        <v>0</v>
      </c>
      <c r="J17">
        <f t="shared" ca="1" si="9"/>
        <v>23</v>
      </c>
      <c r="K17">
        <f ca="1">IF(OR($C17="S",$C17=0),0,MATCH(OFFSET($D17,0,$C17)+IF($C17&lt;&gt;1,1,COUNTIF(QCI!$A$13:$A$24,ORÇAMENTO!E17)),OFFSET($D17,1,$C17,ROW($C$71)-ROW($C17)),0))</f>
        <v>7</v>
      </c>
      <c r="L17" s="114" t="str">
        <f t="shared" ca="1" si="10"/>
        <v>F</v>
      </c>
      <c r="M17" s="115" t="s">
        <v>702</v>
      </c>
      <c r="N17" s="116" t="str">
        <f t="shared" ca="1" si="11"/>
        <v>Nível 2</v>
      </c>
      <c r="O17" s="117" t="str">
        <f t="shared" ca="1" si="12"/>
        <v>1.1.</v>
      </c>
      <c r="P17" s="118" t="s">
        <v>750</v>
      </c>
      <c r="Q17" s="119"/>
      <c r="R17" s="120" t="s">
        <v>1013</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0</v>
      </c>
      <c r="Y17" s="126" t="s">
        <v>751</v>
      </c>
      <c r="Z17" t="str">
        <f t="shared" ca="1" si="13"/>
        <v/>
      </c>
      <c r="AA17" s="127" cm="1">
        <f t="array" aca="1" ref="AA17" ca="1">IF($C17="S",IF($Z17="CP",$X17,IF($Z17="RA",(($X17)*QCI!$AA$3),0)),SomaAgrup)</f>
        <v>0</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0.2069</v>
      </c>
      <c r="AJ17" s="431"/>
      <c r="AL17" s="439"/>
      <c r="AM17" s="336">
        <f t="shared" ca="1" si="0"/>
        <v>0</v>
      </c>
      <c r="AN17" s="470" cm="1">
        <f t="array" aca="1" ref="AN17" ca="1">ROUND(ORÇAMENTO.CustoUnitario*(1+$AH17),2)</f>
        <v>0</v>
      </c>
    </row>
    <row r="18" spans="1:40"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IF(OR($C18="S",$C18=0),0,MATCH(OFFSET($D18,0,$C18)+IF($C18&lt;&gt;1,1,COUNTIF(QCI!$A$13:$A$24,ORÇAMENTO!E18)),OFFSET($D18,1,$C18,ROW($C$71)-ROW($C18)),0))</f>
        <v>0</v>
      </c>
      <c r="L18" s="114" t="str">
        <f t="shared" ca="1" si="10"/>
        <v/>
      </c>
      <c r="M18" s="115" t="s">
        <v>705</v>
      </c>
      <c r="N18" s="116" t="str">
        <f t="shared" ca="1" si="11"/>
        <v>Serviço</v>
      </c>
      <c r="O18" s="117" t="str">
        <f t="shared" ca="1" si="12"/>
        <v>-</v>
      </c>
      <c r="P18" s="118" t="s">
        <v>956</v>
      </c>
      <c r="Q18" s="119" t="s">
        <v>1014</v>
      </c>
      <c r="R18" s="120" t="str" cm="1">
        <f t="array" aca="1" ref="R18" ca="1">IF($C18="S",REFERENCIA.Descricao,"(digite a descrição aqui)")</f>
        <v>(Código não identificado nas referências)</v>
      </c>
      <c r="S18" s="121" t="str" cm="1">
        <f t="array" aca="1" ref="S18" ca="1">REFERENCIA.Unidade</f>
        <v>-</v>
      </c>
      <c r="T18" s="122">
        <f ca="1">OFFSET(CÁLCULO!H$15,ROW($T18)-ROW(T$15),0)</f>
        <v>1</v>
      </c>
      <c r="U18" s="123"/>
      <c r="V18" s="124" t="s">
        <v>663</v>
      </c>
      <c r="W18" s="122" cm="1">
        <f t="array" aca="1" ref="W18" ca="1">IF($C18="S",ROUND(IF(TIPOORCAMENTO="Proposto",ORÇAMENTO.CustoUnitario*(1+$AH18),ORÇAMENTO.PrecoUnitarioLicitado),15-13*$AF$10),0)</f>
        <v>0</v>
      </c>
      <c r="X18" s="125" cm="1">
        <f t="array" aca="1" ref="X18" ca="1">IF($C18="S",IF(OR(Import.TipoArredondamento&lt;&gt;"TransfereGOV",ACOMPANHAMENTO="BM"),VTOTAL1,SUM(OFFSET(CÁLCULO!$AA$15,ROW($X18)-ROW($X$15),1):OFFSET(CÁLCULO!$AL$15,ROW($X18)-ROW($X$15),-1))),IF($C18=0,0,ROUND(SomaAgrup,15-13*$AF$11)))</f>
        <v>0</v>
      </c>
      <c r="Y18" s="126" t="s">
        <v>751</v>
      </c>
      <c r="Z18" t="str">
        <f t="shared" ca="1" si="13"/>
        <v/>
      </c>
      <c r="AA18" s="127" cm="1">
        <f t="array" aca="1" ref="AA18" ca="1">IF($C18="S",IF($Z18="CP",$X18,IF($Z18="RA",(($X18)*QCI!$AA$3),0)),SomaAgrup)</f>
        <v>0</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CÓDIGO N/ID</v>
      </c>
      <c r="AD18" t="str">
        <f ca="1">IF(C18&lt;=CRONO.NivelExibicao,MAX($AD$15:OFFSET(AD18,-1,0))+IF($C18&lt;&gt;1,1,MAX(1,COUNTIF(QCI!$A$13:$A$24,OFFSET($E18,-1,0)))),"")</f>
        <v/>
      </c>
      <c r="AE18" s="7" t="str" cm="1">
        <f t="array" aca="1" ref="AE18" ca="1">IF(AND($C18="S",ORÇAMENTO.CodBarra&lt;&gt;""),IF(ORÇAMENTO.Fonte="",ORÇAMENTO.CodBarra,CONCATENATE(ORÇAMENTO.Fonte," ",ORÇAMENTO.CodBarra)))</f>
        <v>Composição 01</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428" cm="1">
        <f t="array" aca="1" ref="AG18" ca="1">ROUND(IF(DESONERACAO="sim",REFERENCIA.Desonerado,REFERENCIA.NaoDesonerado),2)</f>
        <v>0</v>
      </c>
      <c r="AH18" s="429">
        <f t="shared" ca="1" si="14"/>
        <v>0.2069</v>
      </c>
      <c r="AJ18" s="431">
        <v>1</v>
      </c>
      <c r="AL18" s="439"/>
      <c r="AM18" s="336">
        <f t="shared" ca="1" si="0"/>
        <v>0</v>
      </c>
      <c r="AN18" s="470" cm="1">
        <f t="array" aca="1" ref="AN18" ca="1">ROUND(ORÇAMENTO.CustoUnitario*(1+$AH18),2)</f>
        <v>0</v>
      </c>
    </row>
    <row r="19" spans="1:40" ht="25.5" x14ac:dyDescent="0.2">
      <c r="A19" t="str">
        <f>CHOOSE(1+LOG(1+2*(ORÇAMENTO.Nivel="Meta")+4*(ORÇAMENTO.Nivel="Nível 2")+8*(ORÇAMENTO.Nivel="Nível 3")+16*(ORÇAMENTO.Nivel="Nível 4")+32*(ORÇAMENTO.Nivel="Serviço"),2),0,1,2,3,4,"S")</f>
        <v>S</v>
      </c>
      <c r="B19">
        <f ca="1">IF(OR(C19="s",C19=0),OFFSET(B19,-1,0),C19)</f>
        <v>2</v>
      </c>
      <c r="C19" t="str">
        <f ca="1">IF(OFFSET(C19,-1,0)="L",1,IF(OFFSET(C19,-1,0)=1,2,IF(OR(A19="s",A19=0),"S",IF(AND(OFFSET(C19,-1,0)=2,A19=4),3,IF(AND(OR(OFFSET(C19,-1,0)="s",OFFSET(C19,-1,0)=0),A19&lt;&gt;"s",A19&gt;OFFSET(B19,-1,0)),OFFSET(B19,-1,0),A19)))))</f>
        <v>S</v>
      </c>
      <c r="D19">
        <f ca="1">IF(OR(C19="S",C19=0),0,IF(ISERROR(K19),J19,SMALL(J19:K19,1)))</f>
        <v>0</v>
      </c>
      <c r="E19">
        <f ca="1">IF($C19=1,OFFSET(E19,-1,0)+MAX(1,COUNTIF(QCI!$A$13:$A$24,OFFSET(ORÇAMENTO!E19,-1,0))),OFFSET(E19,-1,0))</f>
        <v>1</v>
      </c>
      <c r="F19">
        <f ca="1">IF($C19=1,0,IF($C19=2,OFFSET(F19,-1,0)+1,OFFSET(F19,-1,0)))</f>
        <v>1</v>
      </c>
      <c r="G19">
        <f ca="1">IF(AND($C19&lt;=2,$C19&lt;&gt;0),0,IF($C19=3,OFFSET(G19,-1,0)+1,OFFSET(G19,-1,0)))</f>
        <v>0</v>
      </c>
      <c r="H19">
        <f ca="1">IF(AND($C19&lt;=3,$C19&lt;&gt;0),0,IF($C19=4,OFFSET(H19,-1,0)+1,OFFSET(H19,-1,0)))</f>
        <v>0</v>
      </c>
      <c r="I19">
        <f ca="1">IF(AND($C19&lt;=4,$C19&lt;&gt;0),0,IF(AND($C19="S",$X19&gt;0),OFFSET(I19,-1,0)+1,OFFSET(I19,-1,0)))</f>
        <v>0</v>
      </c>
      <c r="J19">
        <f t="shared" ca="1" si="9"/>
        <v>0</v>
      </c>
      <c r="K19">
        <f ca="1">IF(OR($C19="S",$C19=0),0,MATCH(OFFSET($D19,0,$C19)+IF($C19&lt;&gt;1,1,COUNTIF(QCI!$A$13:$A$24,ORÇAMENTO!E19)),OFFSET($D19,1,$C19,ROW($C$71)-ROW($C19)),0))</f>
        <v>0</v>
      </c>
      <c r="L19" s="114" t="str">
        <f ca="1">IF(OR($X19&gt;0,$C19=1,$C19=2,$C19=3,$C19=4),"F","")</f>
        <v/>
      </c>
      <c r="M19" s="115" t="s">
        <v>705</v>
      </c>
      <c r="N19" s="116" t="str">
        <f ca="1">CHOOSE(1+LOG(1+2*(C19=1)+4*(C19=2)+8*(C19=3)+16*(C19=4)+32*(C19="S"),2),"","Meta","Nível 2","Nível 3","Nível 4","Serviço")</f>
        <v>Serviço</v>
      </c>
      <c r="O19" s="117" t="str">
        <f ca="1">IF(OR($C19=0,$L19=""),"-",CONCATENATE(E19&amp;".",IF(AND($A$5&gt;=2,$C19&gt;=2),F19&amp;".",""),IF(AND($A$5&gt;=3,$C19&gt;=3),G19&amp;".",""),IF(AND($A$5&gt;=4,$C19&gt;=4),H19&amp;".",""),IF($C19="S",I19&amp;".","")))</f>
        <v>-</v>
      </c>
      <c r="P19" s="118" t="s">
        <v>954</v>
      </c>
      <c r="Q19" s="119" t="s">
        <v>1023</v>
      </c>
      <c r="R19" s="120" t="str" cm="1">
        <f t="array" aca="1" ref="R19" ca="1">IF($C19="S",REFERENCIA.Descricao,"(digite a descrição aqui)")</f>
        <v>(Código não identificado nas referências)</v>
      </c>
      <c r="S19" s="121" t="str" cm="1">
        <f t="array" aca="1" ref="S19" ca="1">REFERENCIA.Unidade</f>
        <v>-</v>
      </c>
      <c r="T19" s="122">
        <f ca="1">OFFSET(CÁLCULO!H$15,ROW($T19)-ROW(T$15),0)</f>
        <v>1</v>
      </c>
      <c r="U19" s="123"/>
      <c r="V19" s="124" t="s">
        <v>663</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IF($C19="S",IF(OR(Import.TipoArredondamento&lt;&gt;"TransfereGOV",ACOMPANHAMENTO="BM"),VTOTAL1,SUM(OFFSET(CÁLCULO!$AA$15,ROW($X19)-ROW($X$15),1):OFFSET(CÁLCULO!$AL$15,ROW($X19)-ROW($X$15),-1))),IF($C19=0,0,ROUND(SomaAgrup,15-13*$AF$11)))</f>
        <v>0</v>
      </c>
      <c r="Y19" s="126" t="s">
        <v>751</v>
      </c>
      <c r="Z19" t="str">
        <f ca="1">IF(AND($C19="S",$X19&gt;0),IF(ISBLANK($Y19),"RA",LEFT($Y19,2)),"")</f>
        <v/>
      </c>
      <c r="AA19" s="127" cm="1">
        <f t="array" aca="1" ref="AA19" ca="1">IF($C19="S",IF($Z19="CP",$X19,IF($Z19="RA",(($X19)*QCI!$AA$3),0)),SomaAgrup)</f>
        <v>0</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CÓDIGO N/ID</v>
      </c>
      <c r="AD19" t="str">
        <f ca="1">IF(C19&lt;=CRONO.NivelExibicao,MAX($AD$15:OFFSET(AD19,-1,0))+IF($C19&lt;&gt;1,1,MAX(1,COUNTIF(QCI!$A$13:$A$24,OFFSET($E19,-1,0)))),"")</f>
        <v/>
      </c>
      <c r="AE19" s="7" t="str" cm="1">
        <f t="array" aca="1" ref="AE19" ca="1">IF(AND($C19="S",ORÇAMENTO.CodBarra&lt;&gt;""),IF(ORÇAMENTO.Fonte="",ORÇAMENTO.CodBarra,CONCATENATE(ORÇAMENTO.Fonte," ",ORÇAMENTO.CodBarra)))</f>
        <v>SINAPI-I 5057</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(Código não identificado nas referências)</v>
      </c>
      <c r="AG19" s="428" cm="1">
        <f t="array" aca="1" ref="AG19" ca="1">ROUND(IF(DESONERACAO="sim",REFERENCIA.Desonerado,REFERENCIA.NaoDesonerado),2)</f>
        <v>0</v>
      </c>
      <c r="AH19" s="429">
        <f ca="1">ROUND(IF(ISNUMBER(ORÇAMENTO.OpcaoBDI),ORÇAMENTO.OpcaoBDI,IF(LEFT(ORÇAMENTO.OpcaoBDI,3)="BDI",HLOOKUP(ORÇAMENTO.OpcaoBDI,$F$4:$H$5,2,FALSE),0)),15-11*$AF$9)</f>
        <v>0.2069</v>
      </c>
      <c r="AJ19" s="431">
        <v>1</v>
      </c>
      <c r="AL19" s="439"/>
      <c r="AM19" s="336">
        <f t="shared" ca="1" si="0"/>
        <v>0</v>
      </c>
      <c r="AN19" s="470" cm="1">
        <f t="array" aca="1" ref="AN19" ca="1">ROUND(ORÇAMENTO.CustoUnitario*(1+$AH19),2)</f>
        <v>0</v>
      </c>
    </row>
    <row r="20" spans="1:40" ht="51" x14ac:dyDescent="0.2">
      <c r="A20" t="str">
        <f t="shared" si="1"/>
        <v>S</v>
      </c>
      <c r="B20">
        <f t="shared" ca="1" si="2"/>
        <v>2</v>
      </c>
      <c r="C20" t="str">
        <f t="shared" ca="1" si="3"/>
        <v>S</v>
      </c>
      <c r="D20">
        <f t="shared" ca="1" si="4"/>
        <v>0</v>
      </c>
      <c r="E20">
        <f ca="1">IF($C20=1,OFFSET(E20,-1,0)+MAX(1,COUNTIF(QCI!$A$13:$A$24,OFFSET(ORÇAMENTO!E20,-1,0))),OFFSET(E20,-1,0))</f>
        <v>1</v>
      </c>
      <c r="F20">
        <f t="shared" ca="1" si="5"/>
        <v>1</v>
      </c>
      <c r="G20">
        <f t="shared" ca="1" si="6"/>
        <v>0</v>
      </c>
      <c r="H20">
        <f t="shared" ca="1" si="7"/>
        <v>0</v>
      </c>
      <c r="I20">
        <f t="shared" ca="1" si="8"/>
        <v>0</v>
      </c>
      <c r="J20">
        <f t="shared" ca="1" si="9"/>
        <v>0</v>
      </c>
      <c r="K20">
        <f ca="1">IF(OR($C20="S",$C20=0),0,MATCH(OFFSET($D20,0,$C20)+IF($C20&lt;&gt;1,1,COUNTIF(QCI!$A$13:$A$24,ORÇAMENTO!E20)),OFFSET($D20,1,$C20,ROW($C$71)-ROW($C20)),0))</f>
        <v>0</v>
      </c>
      <c r="L20" s="114" t="str">
        <f t="shared" ca="1" si="10"/>
        <v/>
      </c>
      <c r="M20" s="115" t="s">
        <v>705</v>
      </c>
      <c r="N20" s="116" t="str">
        <f t="shared" ca="1" si="11"/>
        <v>Serviço</v>
      </c>
      <c r="O20" s="117" t="str">
        <f t="shared" ca="1" si="12"/>
        <v>-</v>
      </c>
      <c r="P20" s="118" t="s">
        <v>750</v>
      </c>
      <c r="Q20" s="119" t="s">
        <v>1015</v>
      </c>
      <c r="R20" s="120" t="str" cm="1">
        <f t="array" aca="1" ref="R20" ca="1">IF($C20="S",REFERENCIA.Descricao,"(digite a descrição aqui)")</f>
        <v>(Código não identificado nas referências)</v>
      </c>
      <c r="S20" s="121" t="str" cm="1">
        <f t="array" aca="1" ref="S20" ca="1">REFERENCIA.Unidade</f>
        <v>-</v>
      </c>
      <c r="T20" s="122">
        <f ca="1">OFFSET(CÁLCULO!H$15,ROW($T20)-ROW(T$15),0)</f>
        <v>1</v>
      </c>
      <c r="U20" s="123"/>
      <c r="V20" s="124" t="s">
        <v>663</v>
      </c>
      <c r="W20" s="122" cm="1">
        <f t="array" aca="1" ref="W20" ca="1">IF($C20="S",ROUND(IF(TIPOORCAMENTO="Proposto",ORÇAMENTO.CustoUnitario*(1+$AH20),ORÇAMENTO.PrecoUnitarioLicitado),15-13*$AF$10),0)</f>
        <v>0</v>
      </c>
      <c r="X20" s="125" cm="1">
        <f t="array" aca="1" ref="X20" ca="1">IF($C20="S",IF(OR(Import.TipoArredondamento&lt;&gt;"TransfereGOV",ACOMPANHAMENTO="BM"),VTOTAL1,SUM(OFFSET(CÁLCULO!$AA$15,ROW($X20)-ROW($X$15),1):OFFSET(CÁLCULO!$AL$15,ROW($X20)-ROW($X$15),-1))),IF($C20=0,0,ROUND(SomaAgrup,15-13*$AF$11)))</f>
        <v>0</v>
      </c>
      <c r="Y20" s="126" t="s">
        <v>751</v>
      </c>
      <c r="Z20" t="str">
        <f t="shared" ca="1" si="13"/>
        <v/>
      </c>
      <c r="AA20" s="127" cm="1">
        <f t="array" aca="1" ref="AA20" ca="1">IF($C20="S",IF($Z20="CP",$X20,IF($Z20="RA",(($X20)*QCI!$AA$3),0)),SomaAgrup)</f>
        <v>0</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CÓDIGO N/ID</v>
      </c>
      <c r="AD20" t="str">
        <f ca="1">IF(C20&lt;=CRONO.NivelExibicao,MAX($AD$15:OFFSET(AD20,-1,0))+IF($C20&lt;&gt;1,1,MAX(1,COUNTIF(QCI!$A$13:$A$24,OFFSET($E20,-1,0)))),"")</f>
        <v/>
      </c>
      <c r="AE20" s="7" t="str" cm="1">
        <f t="array" aca="1" ref="AE20" ca="1">IF(AND($C20="S",ORÇAMENTO.CodBarra&lt;&gt;""),IF(ORÇAMENTO.Fonte="",ORÇAMENTO.CodBarra,CONCATENATE(ORÇAMENTO.Fonte," ",ORÇAMENTO.CodBarra)))</f>
        <v>SINAPI 100604</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8" cm="1">
        <f t="array" aca="1" ref="AG20" ca="1">ROUND(IF(DESONERACAO="sim",REFERENCIA.Desonerado,REFERENCIA.NaoDesonerado),2)</f>
        <v>0</v>
      </c>
      <c r="AH20" s="429">
        <f t="shared" ca="1" si="14"/>
        <v>0.2069</v>
      </c>
      <c r="AJ20" s="431">
        <v>1</v>
      </c>
      <c r="AL20" s="439"/>
      <c r="AM20" s="336">
        <f t="shared" ca="1" si="0"/>
        <v>0</v>
      </c>
      <c r="AN20" s="470" cm="1">
        <f t="array" aca="1" ref="AN20" ca="1">ROUND(ORÇAMENTO.CustoUnitario*(1+$AH20),2)</f>
        <v>0</v>
      </c>
    </row>
    <row r="21" spans="1:40" ht="38.25" x14ac:dyDescent="0.2">
      <c r="A21" t="str">
        <f t="shared" si="1"/>
        <v>S</v>
      </c>
      <c r="B21">
        <f t="shared" ca="1" si="2"/>
        <v>2</v>
      </c>
      <c r="C21" t="str">
        <f t="shared" ca="1" si="3"/>
        <v>S</v>
      </c>
      <c r="D21">
        <f t="shared" ca="1" si="4"/>
        <v>0</v>
      </c>
      <c r="E21">
        <f ca="1">IF($C21=1,OFFSET(E21,-1,0)+MAX(1,COUNTIF(QCI!$A$13:$A$24,OFFSET(ORÇAMENTO!E21,-1,0))),OFFSET(E21,-1,0))</f>
        <v>1</v>
      </c>
      <c r="F21">
        <f t="shared" ca="1" si="5"/>
        <v>1</v>
      </c>
      <c r="G21">
        <f t="shared" ca="1" si="6"/>
        <v>0</v>
      </c>
      <c r="H21">
        <f t="shared" ca="1" si="7"/>
        <v>0</v>
      </c>
      <c r="I21">
        <f t="shared" ca="1" si="8"/>
        <v>0</v>
      </c>
      <c r="J21">
        <f t="shared" ca="1" si="9"/>
        <v>0</v>
      </c>
      <c r="K21">
        <f ca="1">IF(OR($C21="S",$C21=0),0,MATCH(OFFSET($D21,0,$C21)+IF($C21&lt;&gt;1,1,COUNTIF(QCI!$A$13:$A$24,ORÇAMENTO!E21)),OFFSET($D21,1,$C21,ROW($C$71)-ROW($C21)),0))</f>
        <v>0</v>
      </c>
      <c r="L21" s="114" t="str">
        <f t="shared" ca="1" si="10"/>
        <v/>
      </c>
      <c r="M21" s="115" t="s">
        <v>705</v>
      </c>
      <c r="N21" s="116" t="str">
        <f t="shared" ca="1" si="11"/>
        <v>Serviço</v>
      </c>
      <c r="O21" s="117" t="str">
        <f t="shared" ca="1" si="12"/>
        <v>-</v>
      </c>
      <c r="P21" s="118" t="s">
        <v>750</v>
      </c>
      <c r="Q21" s="119" t="s">
        <v>1016</v>
      </c>
      <c r="R21" s="120" t="str" cm="1">
        <f t="array" aca="1" ref="R21" ca="1">IF($C21="S",REFERENCIA.Descricao,"(digite a descrição aqui)")</f>
        <v>(Código não identificado nas referências)</v>
      </c>
      <c r="S21" s="121" t="str" cm="1">
        <f t="array" aca="1" ref="S21" ca="1">REFERENCIA.Unidade</f>
        <v>-</v>
      </c>
      <c r="T21" s="122">
        <f ca="1">OFFSET(CÁLCULO!H$15,ROW($T21)-ROW(T$15),0)</f>
        <v>1.2</v>
      </c>
      <c r="U21" s="123"/>
      <c r="V21" s="124" t="s">
        <v>663</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IF($C21="S",IF(OR(Import.TipoArredondamento&lt;&gt;"TransfereGOV",ACOMPANHAMENTO="BM"),VTOTAL1,SUM(OFFSET(CÁLCULO!$AA$15,ROW($X21)-ROW($X$15),1):OFFSET(CÁLCULO!$AL$15,ROW($X21)-ROW($X$15),-1))),IF($C21=0,0,ROUND(SomaAgrup,15-13*$AF$11)))</f>
        <v>0</v>
      </c>
      <c r="Y21" s="126" t="s">
        <v>751</v>
      </c>
      <c r="Z21" t="str">
        <f t="shared" ca="1" si="13"/>
        <v/>
      </c>
      <c r="AA21" s="127" cm="1">
        <f t="array" aca="1" ref="AA21" ca="1">IF($C21="S",IF($Z21="CP",$X21,IF($Z21="RA",(($X21)*QCI!$AA$3),0)),SomaAgrup)</f>
        <v>0</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CÓDIGO N/ID</v>
      </c>
      <c r="AD21" t="str">
        <f ca="1">IF(C21&lt;=CRONO.NivelExibicao,MAX($AD$15:OFFSET(AD21,-1,0))+IF($C21&lt;&gt;1,1,MAX(1,COUNTIF(QCI!$A$13:$A$24,OFFSET($E21,-1,0)))),"")</f>
        <v/>
      </c>
      <c r="AE21" s="7" t="str" cm="1">
        <f t="array" aca="1" ref="AE21" ca="1">IF(AND($C21="S",ORÇAMENTO.CodBarra&lt;&gt;""),IF(ORÇAMENTO.Fonte="",ORÇAMENTO.CodBarra,CONCATENATE(ORÇAMENTO.Fonte," ",ORÇAMENTO.CodBarra)))</f>
        <v>SINAPI 106720</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(Código não identificado nas referências)</v>
      </c>
      <c r="AG21" s="428" cm="1">
        <f t="array" aca="1" ref="AG21" ca="1">ROUND(IF(DESONERACAO="sim",REFERENCIA.Desonerado,REFERENCIA.NaoDesonerado),2)</f>
        <v>0</v>
      </c>
      <c r="AH21" s="429">
        <f t="shared" ca="1" si="14"/>
        <v>0.2069</v>
      </c>
      <c r="AJ21" s="431">
        <v>1.2</v>
      </c>
      <c r="AL21" s="439"/>
      <c r="AM21" s="336">
        <f t="shared" ca="1" si="0"/>
        <v>0</v>
      </c>
      <c r="AN21" s="470" cm="1">
        <f t="array" aca="1" ref="AN21" ca="1">ROUND(ORÇAMENTO.CustoUnitario*(1+$AH21),2)</f>
        <v>0</v>
      </c>
    </row>
    <row r="22" spans="1:40" ht="38.25" x14ac:dyDescent="0.2">
      <c r="A22" t="str">
        <f t="shared" si="1"/>
        <v>S</v>
      </c>
      <c r="B22">
        <f t="shared" ca="1" si="2"/>
        <v>2</v>
      </c>
      <c r="C22" t="str">
        <f t="shared" ca="1" si="3"/>
        <v>S</v>
      </c>
      <c r="D22">
        <f t="shared" ca="1" si="4"/>
        <v>0</v>
      </c>
      <c r="E22">
        <f ca="1">IF($C22=1,OFFSET(E22,-1,0)+MAX(1,COUNTIF(QCI!$A$13:$A$24,OFFSET(ORÇAMENTO!E22,-1,0))),OFFSET(E22,-1,0))</f>
        <v>1</v>
      </c>
      <c r="F22">
        <f t="shared" ca="1" si="5"/>
        <v>1</v>
      </c>
      <c r="G22">
        <f t="shared" ca="1" si="6"/>
        <v>0</v>
      </c>
      <c r="H22">
        <f t="shared" ca="1" si="7"/>
        <v>0</v>
      </c>
      <c r="I22">
        <f t="shared" ca="1" si="8"/>
        <v>0</v>
      </c>
      <c r="J22">
        <f t="shared" ca="1" si="9"/>
        <v>0</v>
      </c>
      <c r="K22">
        <f ca="1">IF(OR($C22="S",$C22=0),0,MATCH(OFFSET($D22,0,$C22)+IF($C22&lt;&gt;1,1,COUNTIF(QCI!$A$13:$A$24,ORÇAMENTO!E22)),OFFSET($D22,1,$C22,ROW($C$71)-ROW($C22)),0))</f>
        <v>0</v>
      </c>
      <c r="L22" s="114" t="str">
        <f t="shared" ca="1" si="10"/>
        <v/>
      </c>
      <c r="M22" s="115" t="s">
        <v>705</v>
      </c>
      <c r="N22" s="116" t="str">
        <f t="shared" ca="1" si="11"/>
        <v>Serviço</v>
      </c>
      <c r="O22" s="117" t="str">
        <f t="shared" ca="1" si="12"/>
        <v>-</v>
      </c>
      <c r="P22" s="118" t="s">
        <v>750</v>
      </c>
      <c r="Q22" s="119" t="s">
        <v>1032</v>
      </c>
      <c r="R22" s="120" t="str" cm="1">
        <f t="array" aca="1" ref="R22" ca="1">IF($C22="S",REFERENCIA.Descricao,"(digite a descrição aqui)")</f>
        <v>(Código não identificado nas referências)</v>
      </c>
      <c r="S22" s="121" t="str" cm="1">
        <f t="array" aca="1" ref="S22" ca="1">REFERENCIA.Unidade</f>
        <v>-</v>
      </c>
      <c r="T22" s="122">
        <f ca="1">OFFSET(CÁLCULO!H$15,ROW($T22)-ROW(T$15),0)</f>
        <v>1</v>
      </c>
      <c r="U22" s="123"/>
      <c r="V22" s="124" t="s">
        <v>663</v>
      </c>
      <c r="W22" s="122" cm="1">
        <f t="array" aca="1" ref="W22" ca="1">IF($C22="S",ROUND(IF(TIPOORCAMENTO="Proposto",ORÇAMENTO.CustoUnitario*(1+$AH22),ORÇAMENTO.PrecoUnitarioLicitado),15-13*$AF$10),0)</f>
        <v>0</v>
      </c>
      <c r="X22" s="125" cm="1">
        <f t="array" aca="1" ref="X22" ca="1">IF($C22="S",IF(OR(Import.TipoArredondamento&lt;&gt;"TransfereGOV",ACOMPANHAMENTO="BM"),VTOTAL1,SUM(OFFSET(CÁLCULO!$AA$15,ROW($X22)-ROW($X$15),1):OFFSET(CÁLCULO!$AL$15,ROW($X22)-ROW($X$15),-1))),IF($C22=0,0,ROUND(SomaAgrup,15-13*$AF$11)))</f>
        <v>0</v>
      </c>
      <c r="Y22" s="126" t="s">
        <v>751</v>
      </c>
      <c r="Z22" t="str">
        <f t="shared" ca="1" si="13"/>
        <v/>
      </c>
      <c r="AA22" s="127" cm="1">
        <f t="array" aca="1" ref="AA22" ca="1">IF($C22="S",IF($Z22="CP",$X22,IF($Z22="RA",(($X22)*QCI!$AA$3),0)),SomaAgrup)</f>
        <v>0</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CÓDIGO N/ID</v>
      </c>
      <c r="AD22" t="str">
        <f ca="1">IF(C22&lt;=CRONO.NivelExibicao,MAX($AD$15:OFFSET(AD22,-1,0))+IF($C22&lt;&gt;1,1,MAX(1,COUNTIF(QCI!$A$13:$A$24,OFFSET($E22,-1,0)))),"")</f>
        <v/>
      </c>
      <c r="AE22" s="7" t="str" cm="1">
        <f t="array" aca="1" ref="AE22" ca="1">IF(AND($C22="S",ORÇAMENTO.CodBarra&lt;&gt;""),IF(ORÇAMENTO.Fonte="",ORÇAMENTO.CodBarra,CONCATENATE(ORÇAMENTO.Fonte," ",ORÇAMENTO.CodBarra)))</f>
        <v>SINAPI 101510</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8" cm="1">
        <f t="array" aca="1" ref="AG22" ca="1">ROUND(IF(DESONERACAO="sim",REFERENCIA.Desonerado,REFERENCIA.NaoDesonerado),2)</f>
        <v>0</v>
      </c>
      <c r="AH22" s="429">
        <f t="shared" ca="1" si="14"/>
        <v>0.2069</v>
      </c>
      <c r="AJ22" s="431">
        <v>1</v>
      </c>
      <c r="AL22" s="439"/>
      <c r="AM22" s="336">
        <f t="shared" ca="1" si="0"/>
        <v>0</v>
      </c>
      <c r="AN22" s="470" cm="1">
        <f t="array" aca="1" ref="AN22" ca="1">ROUND(ORÇAMENTO.CustoUnitario*(1+$AH22),2)</f>
        <v>0</v>
      </c>
    </row>
    <row r="23" spans="1:40" ht="38.25" x14ac:dyDescent="0.2">
      <c r="A23" t="str">
        <f t="shared" si="1"/>
        <v>S</v>
      </c>
      <c r="B23">
        <f t="shared" ca="1" si="2"/>
        <v>2</v>
      </c>
      <c r="C23" t="str">
        <f t="shared" ca="1" si="3"/>
        <v>S</v>
      </c>
      <c r="D23">
        <f t="shared" ca="1" si="4"/>
        <v>0</v>
      </c>
      <c r="E23">
        <f ca="1">IF($C23=1,OFFSET(E23,-1,0)+MAX(1,COUNTIF(QCI!$A$13:$A$24,OFFSET(ORÇAMENTO!E23,-1,0))),OFFSET(E23,-1,0))</f>
        <v>1</v>
      </c>
      <c r="F23">
        <f t="shared" ca="1" si="5"/>
        <v>1</v>
      </c>
      <c r="G23">
        <f t="shared" ca="1" si="6"/>
        <v>0</v>
      </c>
      <c r="H23">
        <f t="shared" ca="1" si="7"/>
        <v>0</v>
      </c>
      <c r="I23">
        <f t="shared" ca="1" si="8"/>
        <v>0</v>
      </c>
      <c r="J23">
        <f t="shared" ca="1" si="9"/>
        <v>0</v>
      </c>
      <c r="K23">
        <f ca="1">IF(OR($C23="S",$C23=0),0,MATCH(OFFSET($D23,0,$C23)+IF($C23&lt;&gt;1,1,COUNTIF(QCI!$A$13:$A$24,ORÇAMENTO!E23)),OFFSET($D23,1,$C23,ROW($C$71)-ROW($C23)),0))</f>
        <v>0</v>
      </c>
      <c r="L23" s="114" t="str">
        <f t="shared" ca="1" si="10"/>
        <v/>
      </c>
      <c r="M23" s="115" t="s">
        <v>705</v>
      </c>
      <c r="N23" s="116" t="str">
        <f t="shared" ca="1" si="11"/>
        <v>Serviço</v>
      </c>
      <c r="O23" s="117" t="str">
        <f t="shared" ca="1" si="12"/>
        <v>-</v>
      </c>
      <c r="P23" s="118" t="s">
        <v>750</v>
      </c>
      <c r="Q23" s="119" t="s">
        <v>1033</v>
      </c>
      <c r="R23" s="120" t="str" cm="1">
        <f t="array" aca="1" ref="R23" ca="1">IF($C23="S",REFERENCIA.Descricao,"(digite a descrição aqui)")</f>
        <v>(Código não identificado nas referências)</v>
      </c>
      <c r="S23" s="121" t="str" cm="1">
        <f t="array" aca="1" ref="S23" ca="1">REFERENCIA.Unidade</f>
        <v>-</v>
      </c>
      <c r="T23" s="122">
        <f ca="1">OFFSET(CÁLCULO!H$15,ROW($T23)-ROW(T$15),0)</f>
        <v>8</v>
      </c>
      <c r="U23" s="123"/>
      <c r="V23" s="124" t="s">
        <v>663</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IF($C23="S",IF(OR(Import.TipoArredondamento&lt;&gt;"TransfereGOV",ACOMPANHAMENTO="BM"),VTOTAL1,SUM(OFFSET(CÁLCULO!$AA$15,ROW($X23)-ROW($X$15),1):OFFSET(CÁLCULO!$AL$15,ROW($X23)-ROW($X$15),-1))),IF($C23=0,0,ROUND(SomaAgrup,15-13*$AF$11)))</f>
        <v>0</v>
      </c>
      <c r="Y23" s="126" t="s">
        <v>751</v>
      </c>
      <c r="Z23" t="str">
        <f t="shared" ca="1" si="13"/>
        <v/>
      </c>
      <c r="AA23" s="127" cm="1">
        <f t="array" aca="1" ref="AA23" ca="1">IF($C23="S",IF($Z23="CP",$X23,IF($Z23="RA",(($X23)*QCI!$AA$3),0)),SomaAgrup)</f>
        <v>0</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CÓDIGO N/ID</v>
      </c>
      <c r="AD23" t="str">
        <f ca="1">IF(C23&lt;=CRONO.NivelExibicao,MAX($AD$15:OFFSET(AD23,-1,0))+IF($C23&lt;&gt;1,1,MAX(1,COUNTIF(QCI!$A$13:$A$24,OFFSET($E23,-1,0)))),"")</f>
        <v/>
      </c>
      <c r="AE23" s="7" t="str" cm="1">
        <f t="array" aca="1" ref="AE23" ca="1">IF(AND($C23="S",ORÇAMENTO.CodBarra&lt;&gt;""),IF(ORÇAMENTO.Fonte="",ORÇAMENTO.CodBarra,CONCATENATE(ORÇAMENTO.Fonte," ",ORÇAMENTO.CodBarra)))</f>
        <v>SINAPI 91935</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(Código não identificado nas referências)</v>
      </c>
      <c r="AG23" s="428" cm="1">
        <f t="array" aca="1" ref="AG23" ca="1">ROUND(IF(DESONERACAO="sim",REFERENCIA.Desonerado,REFERENCIA.NaoDesonerado),2)</f>
        <v>0</v>
      </c>
      <c r="AH23" s="429">
        <f t="shared" ca="1" si="14"/>
        <v>0.2069</v>
      </c>
      <c r="AJ23" s="431">
        <v>8</v>
      </c>
      <c r="AL23" s="439"/>
      <c r="AM23" s="336">
        <f t="shared" ca="1" si="0"/>
        <v>0</v>
      </c>
      <c r="AN23" s="470" cm="1">
        <f t="array" aca="1" ref="AN23" ca="1">ROUND(ORÇAMENTO.CustoUnitario*(1+$AH23),2)</f>
        <v>0</v>
      </c>
    </row>
    <row r="24" spans="1:40" x14ac:dyDescent="0.2">
      <c r="A24">
        <f t="shared" si="1"/>
        <v>2</v>
      </c>
      <c r="B24">
        <f t="shared" ca="1" si="2"/>
        <v>2</v>
      </c>
      <c r="C24">
        <f t="shared" ca="1" si="3"/>
        <v>2</v>
      </c>
      <c r="D24">
        <f t="shared" ca="1" si="4"/>
        <v>6</v>
      </c>
      <c r="E24">
        <f ca="1">IF($C24=1,OFFSET(E24,-1,0)+MAX(1,COUNTIF(QCI!$A$13:$A$24,OFFSET(ORÇAMENTO!E24,-1,0))),OFFSET(E24,-1,0))</f>
        <v>1</v>
      </c>
      <c r="F24">
        <f t="shared" ca="1" si="5"/>
        <v>2</v>
      </c>
      <c r="G24">
        <f t="shared" ca="1" si="6"/>
        <v>0</v>
      </c>
      <c r="H24">
        <f t="shared" ca="1" si="7"/>
        <v>0</v>
      </c>
      <c r="I24">
        <f t="shared" ca="1" si="8"/>
        <v>0</v>
      </c>
      <c r="J24">
        <f t="shared" ca="1" si="9"/>
        <v>16</v>
      </c>
      <c r="K24">
        <f ca="1">IF(OR($C24="S",$C24=0),0,MATCH(OFFSET($D24,0,$C24)+IF($C24&lt;&gt;1,1,COUNTIF(QCI!$A$13:$A$24,ORÇAMENTO!E24)),OFFSET($D24,1,$C24,ROW($C$71)-ROW($C24)),0))</f>
        <v>6</v>
      </c>
      <c r="L24" s="114" t="str">
        <f t="shared" ca="1" si="10"/>
        <v>F</v>
      </c>
      <c r="M24" s="115" t="s">
        <v>702</v>
      </c>
      <c r="N24" s="116" t="str">
        <f t="shared" ca="1" si="11"/>
        <v>Nível 2</v>
      </c>
      <c r="O24" s="117" t="str">
        <f t="shared" ca="1" si="12"/>
        <v>1.2.</v>
      </c>
      <c r="P24" s="118" t="s">
        <v>750</v>
      </c>
      <c r="Q24" s="119"/>
      <c r="R24" s="120" t="s">
        <v>1017</v>
      </c>
      <c r="S24" s="121" t="str" cm="1">
        <f t="array" aca="1" ref="S24" ca="1">REFERENCIA.Unidade</f>
        <v>-</v>
      </c>
      <c r="T24" s="122">
        <f ca="1">OFFSET(CÁLCULO!H$15,ROW($T24)-ROW(T$15),0)</f>
        <v>0</v>
      </c>
      <c r="U24" s="123"/>
      <c r="V24" s="124" t="s">
        <v>663</v>
      </c>
      <c r="W24" s="122" cm="1">
        <f t="array" aca="1" ref="W24" ca="1">IF($C24="S",ROUND(IF(TIPOORCAMENTO="Proposto",ORÇAMENTO.CustoUnitario*(1+$AH24),ORÇAMENTO.PrecoUnitarioLicitado),15-13*$AF$10),0)</f>
        <v>0</v>
      </c>
      <c r="X24" s="125" cm="1">
        <f t="array" aca="1" ref="X24" ca="1">IF($C24="S",IF(OR(Import.TipoArredondamento&lt;&gt;"TransfereGOV",ACOMPANHAMENTO="BM"),VTOTAL1,SUM(OFFSET(CÁLCULO!$AA$15,ROW($X24)-ROW($X$15),1):OFFSET(CÁLCULO!$AL$15,ROW($X24)-ROW($X$15),-1))),IF($C24=0,0,ROUND(SomaAgrup,15-13*$AF$11)))</f>
        <v>0</v>
      </c>
      <c r="Y24" s="126" t="s">
        <v>751</v>
      </c>
      <c r="Z24" t="str">
        <f t="shared" ca="1" si="13"/>
        <v/>
      </c>
      <c r="AA24" s="127" cm="1">
        <f t="array" aca="1" ref="AA24" ca="1">IF($C24="S",IF($Z24="CP",$X24,IF($Z24="RA",(($X24)*QCI!$AA$3),0)),SomaAgrup)</f>
        <v>0</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f ca="1">IF(C24&lt;=CRONO.NivelExibicao,MAX($AD$15:OFFSET(AD24,-1,0))+IF($C24&lt;&gt;1,1,MAX(1,COUNTIF(QCI!$A$13:$A$24,OFFSET($E24,-1,0)))),"")</f>
        <v>3</v>
      </c>
      <c r="AE24" s="7" t="b" cm="1">
        <f t="array" aca="1" ref="AE24" ca="1">IF(AND($C24="S",ORÇAMENTO.CodBarra&lt;&gt;""),IF(ORÇAMENTO.Fonte="",ORÇAMENTO.CodBarra,CONCATENATE(ORÇAMENTO.Fonte," ",ORÇAMENTO.CodBarra)))</f>
        <v>0</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(Sem Código)</v>
      </c>
      <c r="AG24" s="428" cm="1">
        <f t="array" aca="1" ref="AG24" ca="1">ROUND(IF(DESONERACAO="sim",REFERENCIA.Desonerado,REFERENCIA.NaoDesonerado),2)</f>
        <v>0</v>
      </c>
      <c r="AH24" s="429">
        <f t="shared" ca="1" si="14"/>
        <v>0.2069</v>
      </c>
      <c r="AJ24" s="431"/>
      <c r="AL24" s="439"/>
      <c r="AM24" s="336">
        <f t="shared" ca="1" si="0"/>
        <v>0</v>
      </c>
      <c r="AN24" s="470" cm="1">
        <f t="array" aca="1" ref="AN24" ca="1">ROUND(ORÇAMENTO.CustoUnitario*(1+$AH24),2)</f>
        <v>0</v>
      </c>
    </row>
    <row r="25" spans="1:40" x14ac:dyDescent="0.2">
      <c r="A25" t="str">
        <f t="shared" si="1"/>
        <v>S</v>
      </c>
      <c r="B25">
        <f t="shared" ca="1" si="2"/>
        <v>2</v>
      </c>
      <c r="C25" t="str">
        <f t="shared" ca="1" si="3"/>
        <v>S</v>
      </c>
      <c r="D25">
        <f t="shared" ca="1" si="4"/>
        <v>0</v>
      </c>
      <c r="E25">
        <f ca="1">IF($C25=1,OFFSET(E25,-1,0)+MAX(1,COUNTIF(QCI!$A$13:$A$24,OFFSET(ORÇAMENTO!E25,-1,0))),OFFSET(E25,-1,0))</f>
        <v>1</v>
      </c>
      <c r="F25">
        <f t="shared" ca="1" si="5"/>
        <v>2</v>
      </c>
      <c r="G25">
        <f t="shared" ca="1" si="6"/>
        <v>0</v>
      </c>
      <c r="H25">
        <f t="shared" ca="1" si="7"/>
        <v>0</v>
      </c>
      <c r="I25">
        <f t="shared" ca="1" si="8"/>
        <v>0</v>
      </c>
      <c r="J25">
        <f t="shared" ca="1" si="9"/>
        <v>0</v>
      </c>
      <c r="K25">
        <f ca="1">IF(OR($C25="S",$C25=0),0,MATCH(OFFSET($D25,0,$C25)+IF($C25&lt;&gt;1,1,COUNTIF(QCI!$A$13:$A$24,ORÇAMENTO!E25)),OFFSET($D25,1,$C25,ROW($C$71)-ROW($C25)),0))</f>
        <v>0</v>
      </c>
      <c r="L25" s="114" t="str">
        <f t="shared" ca="1" si="10"/>
        <v/>
      </c>
      <c r="M25" s="115" t="s">
        <v>705</v>
      </c>
      <c r="N25" s="116" t="str">
        <f t="shared" ca="1" si="11"/>
        <v>Serviço</v>
      </c>
      <c r="O25" s="117" t="str">
        <f t="shared" ca="1" si="12"/>
        <v>-</v>
      </c>
      <c r="P25" s="118" t="s">
        <v>750</v>
      </c>
      <c r="Q25" s="119" t="s">
        <v>1024</v>
      </c>
      <c r="R25" s="120" t="str" cm="1">
        <f t="array" aca="1" ref="R25" ca="1">IF($C25="S",REFERENCIA.Descricao,"(digite a descrição aqui)")</f>
        <v>(Código não identificado nas referências)</v>
      </c>
      <c r="S25" s="121" t="str" cm="1">
        <f t="array" aca="1" ref="S25" ca="1">REFERENCIA.Unidade</f>
        <v>-</v>
      </c>
      <c r="T25" s="122">
        <f ca="1">OFFSET(CÁLCULO!H$15,ROW($T25)-ROW(T$15),0)</f>
        <v>33.42</v>
      </c>
      <c r="U25" s="123"/>
      <c r="V25" s="124" t="s">
        <v>663</v>
      </c>
      <c r="W25" s="122" cm="1">
        <f t="array" aca="1" ref="W25" ca="1">IF($C25="S",ROUND(IF(TIPOORCAMENTO="Proposto",ORÇAMENTO.CustoUnitario*(1+$AH25),ORÇAMENTO.PrecoUnitarioLicitado),15-13*$AF$10),0)</f>
        <v>0</v>
      </c>
      <c r="X25" s="125" cm="1">
        <f t="array" aca="1" ref="X25" ca="1">IF($C25="S",IF(OR(Import.TipoArredondamento&lt;&gt;"TransfereGOV",ACOMPANHAMENTO="BM"),VTOTAL1,SUM(OFFSET(CÁLCULO!$AA$15,ROW($X25)-ROW($X$15),1):OFFSET(CÁLCULO!$AL$15,ROW($X25)-ROW($X$15),-1))),IF($C25=0,0,ROUND(SomaAgrup,15-13*$AF$11)))</f>
        <v>0</v>
      </c>
      <c r="Y25" s="126" t="s">
        <v>751</v>
      </c>
      <c r="Z25" t="str">
        <f t="shared" ca="1" si="13"/>
        <v/>
      </c>
      <c r="AA25" s="127" cm="1">
        <f t="array" aca="1" ref="AA25" ca="1">IF($C25="S",IF($Z25="CP",$X25,IF($Z25="RA",(($X25)*QCI!$AA$3),0)),SomaAgrup)</f>
        <v>0</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CÓDIGO N/ID</v>
      </c>
      <c r="AD25" t="str">
        <f ca="1">IF(C25&lt;=CRONO.NivelExibicao,MAX($AD$15:OFFSET(AD25,-1,0))+IF($C25&lt;&gt;1,1,MAX(1,COUNTIF(QCI!$A$13:$A$24,OFFSET($E25,-1,0)))),"")</f>
        <v/>
      </c>
      <c r="AE25" s="7" t="str" cm="1">
        <f t="array" aca="1" ref="AE25" ca="1">IF(AND($C25="S",ORÇAMENTO.CodBarra&lt;&gt;""),IF(ORÇAMENTO.Fonte="",ORÇAMENTO.CodBarra,CONCATENATE(ORÇAMENTO.Fonte," ",ORÇAMENTO.CodBarra)))</f>
        <v>SINAPI 97082</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(Código não identificado nas referências)</v>
      </c>
      <c r="AG25" s="428" cm="1">
        <f t="array" aca="1" ref="AG25" ca="1">ROUND(IF(DESONERACAO="sim",REFERENCIA.Desonerado,REFERENCIA.NaoDesonerado),2)</f>
        <v>0</v>
      </c>
      <c r="AH25" s="429">
        <f t="shared" ca="1" si="14"/>
        <v>0.2069</v>
      </c>
      <c r="AJ25" s="431">
        <f>111.4*0.3</f>
        <v>33.42</v>
      </c>
      <c r="AL25" s="439"/>
      <c r="AM25" s="336">
        <f t="shared" ca="1" si="0"/>
        <v>0</v>
      </c>
      <c r="AN25" s="470" cm="1">
        <f t="array" aca="1" ref="AN25" ca="1">ROUND(ORÇAMENTO.CustoUnitario*(1+$AH25),2)</f>
        <v>0</v>
      </c>
    </row>
    <row r="26" spans="1:40" ht="25.5" x14ac:dyDescent="0.2">
      <c r="A26" t="str">
        <f t="shared" si="1"/>
        <v>S</v>
      </c>
      <c r="B26">
        <f t="shared" ca="1" si="2"/>
        <v>2</v>
      </c>
      <c r="C26" t="str">
        <f t="shared" ca="1" si="3"/>
        <v>S</v>
      </c>
      <c r="D26">
        <f t="shared" ca="1" si="4"/>
        <v>0</v>
      </c>
      <c r="E26">
        <f ca="1">IF($C26=1,OFFSET(E26,-1,0)+MAX(1,COUNTIF(QCI!$A$13:$A$24,OFFSET(ORÇAMENTO!E26,-1,0))),OFFSET(E26,-1,0))</f>
        <v>1</v>
      </c>
      <c r="F26">
        <f t="shared" ca="1" si="5"/>
        <v>2</v>
      </c>
      <c r="G26">
        <f t="shared" ca="1" si="6"/>
        <v>0</v>
      </c>
      <c r="H26">
        <f t="shared" ca="1" si="7"/>
        <v>0</v>
      </c>
      <c r="I26">
        <f t="shared" ca="1" si="8"/>
        <v>0</v>
      </c>
      <c r="J26">
        <f t="shared" ca="1" si="9"/>
        <v>0</v>
      </c>
      <c r="K26">
        <f ca="1">IF(OR($C26="S",$C26=0),0,MATCH(OFFSET($D26,0,$C26)+IF($C26&lt;&gt;1,1,COUNTIF(QCI!$A$13:$A$24,ORÇAMENTO!E26)),OFFSET($D26,1,$C26,ROW($C$71)-ROW($C26)),0))</f>
        <v>0</v>
      </c>
      <c r="L26" s="114" t="str">
        <f t="shared" ca="1" si="10"/>
        <v/>
      </c>
      <c r="M26" s="115" t="s">
        <v>705</v>
      </c>
      <c r="N26" s="116" t="str">
        <f t="shared" ca="1" si="11"/>
        <v>Serviço</v>
      </c>
      <c r="O26" s="117" t="str">
        <f t="shared" ca="1" si="12"/>
        <v>-</v>
      </c>
      <c r="P26" s="118" t="s">
        <v>750</v>
      </c>
      <c r="Q26" s="119" t="s">
        <v>1018</v>
      </c>
      <c r="R26" s="120" t="str" cm="1">
        <f t="array" aca="1" ref="R26" ca="1">IF($C26="S",REFERENCIA.Descricao,"(digite a descrição aqui)")</f>
        <v>(Código não identificado nas referências)</v>
      </c>
      <c r="S26" s="121" t="str" cm="1">
        <f t="array" aca="1" ref="S26" ca="1">REFERENCIA.Unidade</f>
        <v>-</v>
      </c>
      <c r="T26" s="122">
        <f ca="1">OFFSET(CÁLCULO!H$15,ROW($T26)-ROW(T$15),0)</f>
        <v>11.14</v>
      </c>
      <c r="U26" s="123"/>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0</v>
      </c>
      <c r="Y26" s="126" t="s">
        <v>751</v>
      </c>
      <c r="Z26" t="str">
        <f t="shared" ca="1" si="13"/>
        <v/>
      </c>
      <c r="AA26" s="127" cm="1">
        <f t="array" aca="1" ref="AA26" ca="1">IF($C26="S",IF($Z26="CP",$X26,IF($Z26="RA",(($X26)*QCI!$AA$3),0)),SomaAgrup)</f>
        <v>0</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CÓDIGO N/ID</v>
      </c>
      <c r="AD26" t="str">
        <f ca="1">IF(C26&lt;=CRONO.NivelExibicao,MAX($AD$15:OFFSET(AD26,-1,0))+IF($C26&lt;&gt;1,1,MAX(1,COUNTIF(QCI!$A$13:$A$24,OFFSET($E26,-1,0)))),"")</f>
        <v/>
      </c>
      <c r="AE26" s="7" t="str" cm="1">
        <f t="array" aca="1" ref="AE26" ca="1">IF(AND($C26="S",ORÇAMENTO.CodBarra&lt;&gt;""),IF(ORÇAMENTO.Fonte="",ORÇAMENTO.CodBarra,CONCATENATE(ORÇAMENTO.Fonte," ",ORÇAMENTO.CodBarra)))</f>
        <v>SINAPI 94319</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(Código não identificado nas referências)</v>
      </c>
      <c r="AG26" s="428" cm="1">
        <f t="array" aca="1" ref="AG26" ca="1">ROUND(IF(DESONERACAO="sim",REFERENCIA.Desonerado,REFERENCIA.NaoDesonerado),2)</f>
        <v>0</v>
      </c>
      <c r="AH26" s="429">
        <f t="shared" ca="1" si="14"/>
        <v>0.2069</v>
      </c>
      <c r="AJ26" s="431">
        <f>111.4*0.1</f>
        <v>11.14</v>
      </c>
      <c r="AL26" s="439"/>
      <c r="AM26" s="336">
        <f t="shared" ca="1" si="0"/>
        <v>0</v>
      </c>
      <c r="AN26" s="470" cm="1">
        <f t="array" aca="1" ref="AN26" ca="1">ROUND(ORÇAMENTO.CustoUnitario*(1+$AH26),2)</f>
        <v>0</v>
      </c>
    </row>
    <row r="27" spans="1:40" ht="38.25" x14ac:dyDescent="0.2">
      <c r="A27" t="str">
        <f t="shared" si="1"/>
        <v>S</v>
      </c>
      <c r="B27">
        <f t="shared" ca="1" si="2"/>
        <v>2</v>
      </c>
      <c r="C27" t="str">
        <f t="shared" ca="1" si="3"/>
        <v>S</v>
      </c>
      <c r="D27">
        <f t="shared" ca="1" si="4"/>
        <v>0</v>
      </c>
      <c r="E27">
        <f ca="1">IF($C27=1,OFFSET(E27,-1,0)+MAX(1,COUNTIF(QCI!$A$13:$A$24,OFFSET(ORÇAMENTO!E27,-1,0))),OFFSET(E27,-1,0))</f>
        <v>1</v>
      </c>
      <c r="F27">
        <f t="shared" ca="1" si="5"/>
        <v>2</v>
      </c>
      <c r="G27">
        <f t="shared" ca="1" si="6"/>
        <v>0</v>
      </c>
      <c r="H27">
        <f t="shared" ca="1" si="7"/>
        <v>0</v>
      </c>
      <c r="I27">
        <f t="shared" ca="1" si="8"/>
        <v>0</v>
      </c>
      <c r="J27">
        <f t="shared" ca="1" si="9"/>
        <v>0</v>
      </c>
      <c r="K27">
        <f ca="1">IF(OR($C27="S",$C27=0),0,MATCH(OFFSET($D27,0,$C27)+IF($C27&lt;&gt;1,1,COUNTIF(QCI!$A$13:$A$24,ORÇAMENTO!E27)),OFFSET($D27,1,$C27,ROW($C$71)-ROW($C27)),0))</f>
        <v>0</v>
      </c>
      <c r="L27" s="114" t="str">
        <f t="shared" ca="1" si="10"/>
        <v/>
      </c>
      <c r="M27" s="115" t="s">
        <v>705</v>
      </c>
      <c r="N27" s="116" t="str">
        <f t="shared" ca="1" si="11"/>
        <v>Serviço</v>
      </c>
      <c r="O27" s="117" t="str">
        <f t="shared" ca="1" si="12"/>
        <v>-</v>
      </c>
      <c r="P27" s="118" t="s">
        <v>750</v>
      </c>
      <c r="Q27" s="119" t="s">
        <v>1019</v>
      </c>
      <c r="R27" s="120" t="str" cm="1">
        <f t="array" aca="1" ref="R27" ca="1">IF($C27="S",REFERENCIA.Descricao,"(digite a descrição aqui)")</f>
        <v>(Código não identificado nas referências)</v>
      </c>
      <c r="S27" s="121" t="str" cm="1">
        <f t="array" aca="1" ref="S27" ca="1">REFERENCIA.Unidade</f>
        <v>-</v>
      </c>
      <c r="T27" s="122">
        <f ca="1">OFFSET(CÁLCULO!H$15,ROW($T27)-ROW(T$15),0)</f>
        <v>5.57</v>
      </c>
      <c r="U27" s="123"/>
      <c r="V27" s="12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IF($C27="S",IF(OR(Import.TipoArredondamento&lt;&gt;"TransfereGOV",ACOMPANHAMENTO="BM"),VTOTAL1,SUM(OFFSET(CÁLCULO!$AA$15,ROW($X27)-ROW($X$15),1):OFFSET(CÁLCULO!$AL$15,ROW($X27)-ROW($X$15),-1))),IF($C27=0,0,ROUND(SomaAgrup,15-13*$AF$11)))</f>
        <v>0</v>
      </c>
      <c r="Y27" s="126" t="s">
        <v>751</v>
      </c>
      <c r="Z27" t="str">
        <f t="shared" ca="1" si="13"/>
        <v/>
      </c>
      <c r="AA27" s="127" cm="1">
        <f t="array" aca="1" ref="AA27" ca="1">IF($C27="S",IF($Z27="CP",$X27,IF($Z27="RA",(($X27)*QCI!$AA$3),0)),SomaAgrup)</f>
        <v>0</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CÓDIGO N/ID</v>
      </c>
      <c r="AD27" t="str">
        <f ca="1">IF(C27&lt;=CRONO.NivelExibicao,MAX($AD$15:OFFSET(AD27,-1,0))+IF($C27&lt;&gt;1,1,MAX(1,COUNTIF(QCI!$A$13:$A$24,OFFSET($E27,-1,0)))),"")</f>
        <v/>
      </c>
      <c r="AE27" s="7" t="str" cm="1">
        <f t="array" aca="1" ref="AE27" ca="1">IF(AND($C27="S",ORÇAMENTO.CodBarra&lt;&gt;""),IF(ORÇAMENTO.Fonte="",ORÇAMENTO.CodBarra,CONCATENATE(ORÇAMENTO.Fonte," ",ORÇAMENTO.CodBarra)))</f>
        <v>SINAPI 100324</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(Código não identificado nas referências)</v>
      </c>
      <c r="AG27" s="428" cm="1">
        <f t="array" aca="1" ref="AG27" ca="1">ROUND(IF(DESONERACAO="sim",REFERENCIA.Desonerado,REFERENCIA.NaoDesonerado),2)</f>
        <v>0</v>
      </c>
      <c r="AH27" s="429">
        <f t="shared" ca="1" si="14"/>
        <v>0.2069</v>
      </c>
      <c r="AJ27" s="431">
        <f>111.4*0.05</f>
        <v>5.57</v>
      </c>
      <c r="AL27" s="439"/>
      <c r="AM27" s="336">
        <f t="shared" ca="1" si="0"/>
        <v>0</v>
      </c>
      <c r="AN27" s="470" cm="1">
        <f t="array" aca="1" ref="AN27" ca="1">ROUND(ORÇAMENTO.CustoUnitario*(1+$AH27),2)</f>
        <v>0</v>
      </c>
    </row>
    <row r="28" spans="1:40" ht="51" x14ac:dyDescent="0.2">
      <c r="A28" t="str">
        <f t="shared" si="1"/>
        <v>S</v>
      </c>
      <c r="B28">
        <f t="shared" ca="1" si="2"/>
        <v>2</v>
      </c>
      <c r="C28" t="str">
        <f t="shared" ca="1" si="3"/>
        <v>S</v>
      </c>
      <c r="D28">
        <f t="shared" ca="1" si="4"/>
        <v>0</v>
      </c>
      <c r="E28">
        <f ca="1">IF($C28=1,OFFSET(E28,-1,0)+MAX(1,COUNTIF(QCI!$A$13:$A$24,OFFSET(ORÇAMENTO!E28,-1,0))),OFFSET(E28,-1,0))</f>
        <v>1</v>
      </c>
      <c r="F28">
        <f t="shared" ca="1" si="5"/>
        <v>2</v>
      </c>
      <c r="G28">
        <f t="shared" ca="1" si="6"/>
        <v>0</v>
      </c>
      <c r="H28">
        <f t="shared" ca="1" si="7"/>
        <v>0</v>
      </c>
      <c r="I28">
        <f t="shared" ca="1" si="8"/>
        <v>0</v>
      </c>
      <c r="J28">
        <f t="shared" ca="1" si="9"/>
        <v>0</v>
      </c>
      <c r="K28">
        <f ca="1">IF(OR($C28="S",$C28=0),0,MATCH(OFFSET($D28,0,$C28)+IF($C28&lt;&gt;1,1,COUNTIF(QCI!$A$13:$A$24,ORÇAMENTO!E28)),OFFSET($D28,1,$C28,ROW($C$71)-ROW($C28)),0))</f>
        <v>0</v>
      </c>
      <c r="L28" s="114" t="str">
        <f t="shared" ca="1" si="10"/>
        <v/>
      </c>
      <c r="M28" s="115" t="s">
        <v>705</v>
      </c>
      <c r="N28" s="116" t="str">
        <f t="shared" ca="1" si="11"/>
        <v>Serviço</v>
      </c>
      <c r="O28" s="117" t="str">
        <f t="shared" ca="1" si="12"/>
        <v>-</v>
      </c>
      <c r="P28" s="118" t="s">
        <v>750</v>
      </c>
      <c r="Q28" s="119" t="s">
        <v>1020</v>
      </c>
      <c r="R28" s="120" t="str" cm="1">
        <f t="array" aca="1" ref="R28" ca="1">IF($C28="S",REFERENCIA.Descricao,"(digite a descrição aqui)")</f>
        <v>(Código não identificado nas referências)</v>
      </c>
      <c r="S28" s="121" t="str" cm="1">
        <f t="array" aca="1" ref="S28" ca="1">REFERENCIA.Unidade</f>
        <v>-</v>
      </c>
      <c r="T28" s="122">
        <f ca="1">OFFSET(CÁLCULO!H$15,ROW($T28)-ROW(T$15),0)</f>
        <v>98</v>
      </c>
      <c r="U28" s="123"/>
      <c r="V28" s="124" t="s">
        <v>663</v>
      </c>
      <c r="W28" s="122" cm="1">
        <f t="array" aca="1" ref="W28" ca="1">IF($C28="S",ROUND(IF(TIPOORCAMENTO="Proposto",ORÇAMENTO.CustoUnitario*(1+$AH28),ORÇAMENTO.PrecoUnitarioLicitado),15-13*$AF$10),0)</f>
        <v>0</v>
      </c>
      <c r="X28" s="125" cm="1">
        <f t="array" aca="1" ref="X28" ca="1">IF($C28="S",IF(OR(Import.TipoArredondamento&lt;&gt;"TransfereGOV",ACOMPANHAMENTO="BM"),VTOTAL1,SUM(OFFSET(CÁLCULO!$AA$15,ROW($X28)-ROW($X$15),1):OFFSET(CÁLCULO!$AL$15,ROW($X28)-ROW($X$15),-1))),IF($C28=0,0,ROUND(SomaAgrup,15-13*$AF$11)))</f>
        <v>0</v>
      </c>
      <c r="Y28" s="126" t="s">
        <v>751</v>
      </c>
      <c r="Z28" t="str">
        <f t="shared" ca="1" si="13"/>
        <v/>
      </c>
      <c r="AA28" s="127" cm="1">
        <f t="array" aca="1" ref="AA28" ca="1">IF($C28="S",IF($Z28="CP",$X28,IF($Z28="RA",(($X28)*QCI!$AA$3),0)),SomaAgrup)</f>
        <v>0</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CÓDIGO N/ID</v>
      </c>
      <c r="AD28" t="str">
        <f ca="1">IF(C28&lt;=CRONO.NivelExibicao,MAX($AD$15:OFFSET(AD28,-1,0))+IF($C28&lt;&gt;1,1,MAX(1,COUNTIF(QCI!$A$13:$A$24,OFFSET($E28,-1,0)))),"")</f>
        <v/>
      </c>
      <c r="AE28" s="7" t="str" cm="1">
        <f t="array" aca="1" ref="AE28" ca="1">IF(AND($C28="S",ORÇAMENTO.CodBarra&lt;&gt;""),IF(ORÇAMENTO.Fonte="",ORÇAMENTO.CodBarra,CONCATENATE(ORÇAMENTO.Fonte," ",ORÇAMENTO.CodBarra)))</f>
        <v>SINAPI 94273</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(Código não identificado nas referências)</v>
      </c>
      <c r="AG28" s="428" cm="1">
        <f t="array" aca="1" ref="AG28" ca="1">ROUND(IF(DESONERACAO="sim",REFERENCIA.Desonerado,REFERENCIA.NaoDesonerado),2)</f>
        <v>0</v>
      </c>
      <c r="AH28" s="429">
        <f t="shared" ca="1" si="14"/>
        <v>0.2069</v>
      </c>
      <c r="AJ28" s="431">
        <v>98</v>
      </c>
      <c r="AL28" s="439"/>
      <c r="AM28" s="336">
        <f t="shared" ca="1" si="0"/>
        <v>0</v>
      </c>
      <c r="AN28" s="470" cm="1">
        <f t="array" aca="1" ref="AN28" ca="1">ROUND(ORÇAMENTO.CustoUnitario*(1+$AH28),2)</f>
        <v>0</v>
      </c>
    </row>
    <row r="29" spans="1:40" ht="38.25" x14ac:dyDescent="0.2">
      <c r="A29" t="str">
        <f t="shared" si="1"/>
        <v>S</v>
      </c>
      <c r="B29">
        <f t="shared" ca="1" si="2"/>
        <v>2</v>
      </c>
      <c r="C29" t="str">
        <f t="shared" ca="1" si="3"/>
        <v>S</v>
      </c>
      <c r="D29">
        <f t="shared" ca="1" si="4"/>
        <v>0</v>
      </c>
      <c r="E29">
        <f ca="1">IF($C29=1,OFFSET(E29,-1,0)+MAX(1,COUNTIF(QCI!$A$13:$A$24,OFFSET(ORÇAMENTO!E29,-1,0))),OFFSET(E29,-1,0))</f>
        <v>1</v>
      </c>
      <c r="F29">
        <f t="shared" ca="1" si="5"/>
        <v>2</v>
      </c>
      <c r="G29">
        <f t="shared" ca="1" si="6"/>
        <v>0</v>
      </c>
      <c r="H29">
        <f t="shared" ca="1" si="7"/>
        <v>0</v>
      </c>
      <c r="I29">
        <f t="shared" ca="1" si="8"/>
        <v>0</v>
      </c>
      <c r="J29">
        <f t="shared" ca="1" si="9"/>
        <v>0</v>
      </c>
      <c r="K29">
        <f ca="1">IF(OR($C29="S",$C29=0),0,MATCH(OFFSET($D29,0,$C29)+IF($C29&lt;&gt;1,1,COUNTIF(QCI!$A$13:$A$24,ORÇAMENTO!E29)),OFFSET($D29,1,$C29,ROW($C$71)-ROW($C29)),0))</f>
        <v>0</v>
      </c>
      <c r="L29" s="114" t="str">
        <f t="shared" ca="1" si="10"/>
        <v/>
      </c>
      <c r="M29" s="115" t="s">
        <v>705</v>
      </c>
      <c r="N29" s="116" t="str">
        <f t="shared" ca="1" si="11"/>
        <v>Serviço</v>
      </c>
      <c r="O29" s="117" t="str">
        <f t="shared" ca="1" si="12"/>
        <v>-</v>
      </c>
      <c r="P29" s="118" t="s">
        <v>750</v>
      </c>
      <c r="Q29" s="119" t="s">
        <v>1021</v>
      </c>
      <c r="R29" s="120" t="str" cm="1">
        <f t="array" aca="1" ref="R29" ca="1">IF($C29="S",REFERENCIA.Descricao,"(digite a descrição aqui)")</f>
        <v>(Código não identificado nas referências)</v>
      </c>
      <c r="S29" s="121" t="str" cm="1">
        <f t="array" aca="1" ref="S29" ca="1">REFERENCIA.Unidade</f>
        <v>-</v>
      </c>
      <c r="T29" s="122">
        <f ca="1">OFFSET(CÁLCULO!H$15,ROW($T29)-ROW(T$15),0)</f>
        <v>111.4</v>
      </c>
      <c r="U29" s="123"/>
      <c r="V29" s="124" t="s">
        <v>663</v>
      </c>
      <c r="W29" s="122" cm="1">
        <f t="array" aca="1" ref="W29" ca="1">IF($C29="S",ROUND(IF(TIPOORCAMENTO="Proposto",ORÇAMENTO.CustoUnitario*(1+$AH29),ORÇAMENTO.PrecoUnitarioLicitado),15-13*$AF$10),0)</f>
        <v>0</v>
      </c>
      <c r="X29" s="125" cm="1">
        <f t="array" aca="1" ref="X29" ca="1">IF($C29="S",IF(OR(Import.TipoArredondamento&lt;&gt;"TransfereGOV",ACOMPANHAMENTO="BM"),VTOTAL1,SUM(OFFSET(CÁLCULO!$AA$15,ROW($X29)-ROW($X$15),1):OFFSET(CÁLCULO!$AL$15,ROW($X29)-ROW($X$15),-1))),IF($C29=0,0,ROUND(SomaAgrup,15-13*$AF$11)))</f>
        <v>0</v>
      </c>
      <c r="Y29" s="126" t="s">
        <v>751</v>
      </c>
      <c r="Z29" t="str">
        <f t="shared" ca="1" si="13"/>
        <v/>
      </c>
      <c r="AA29" s="127" cm="1">
        <f t="array" aca="1" ref="AA29" ca="1">IF($C29="S",IF($Z29="CP",$X29,IF($Z29="RA",(($X29)*QCI!$AA$3),0)),SomaAgrup)</f>
        <v>0</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CÓDIGO N/ID</v>
      </c>
      <c r="AD29" t="str">
        <f ca="1">IF(C29&lt;=CRONO.NivelExibicao,MAX($AD$15:OFFSET(AD29,-1,0))+IF($C29&lt;&gt;1,1,MAX(1,COUNTIF(QCI!$A$13:$A$24,OFFSET($E29,-1,0)))),"")</f>
        <v/>
      </c>
      <c r="AE29" s="7" t="str" cm="1">
        <f t="array" aca="1" ref="AE29" ca="1">IF(AND($C29="S",ORÇAMENTO.CodBarra&lt;&gt;""),IF(ORÇAMENTO.Fonte="",ORÇAMENTO.CodBarra,CONCATENATE(ORÇAMENTO.Fonte," ",ORÇAMENTO.CodBarra)))</f>
        <v>SINAPI 92396</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(Código não identificado nas referências)</v>
      </c>
      <c r="AG29" s="428" cm="1">
        <f t="array" aca="1" ref="AG29" ca="1">ROUND(IF(DESONERACAO="sim",REFERENCIA.Desonerado,REFERENCIA.NaoDesonerado),2)</f>
        <v>0</v>
      </c>
      <c r="AH29" s="429">
        <f t="shared" ca="1" si="14"/>
        <v>0.2069</v>
      </c>
      <c r="AJ29" s="431">
        <v>111.4</v>
      </c>
      <c r="AL29" s="439"/>
      <c r="AM29" s="336">
        <f t="shared" ca="1" si="0"/>
        <v>0</v>
      </c>
      <c r="AN29" s="470" cm="1">
        <f t="array" aca="1" ref="AN29" ca="1">ROUND(ORÇAMENTO.CustoUnitario*(1+$AH29),2)</f>
        <v>0</v>
      </c>
    </row>
    <row r="30" spans="1:40" x14ac:dyDescent="0.2">
      <c r="A30">
        <f t="shared" si="1"/>
        <v>2</v>
      </c>
      <c r="B30">
        <f t="shared" ca="1" si="2"/>
        <v>2</v>
      </c>
      <c r="C30">
        <f t="shared" ca="1" si="3"/>
        <v>2</v>
      </c>
      <c r="D30">
        <f t="shared" ca="1" si="4"/>
        <v>3</v>
      </c>
      <c r="E30">
        <f ca="1">IF($C30=1,OFFSET(E30,-1,0)+MAX(1,COUNTIF(QCI!$A$13:$A$24,OFFSET(ORÇAMENTO!E30,-1,0))),OFFSET(E30,-1,0))</f>
        <v>1</v>
      </c>
      <c r="F30">
        <f t="shared" ca="1" si="5"/>
        <v>3</v>
      </c>
      <c r="G30">
        <f t="shared" ca="1" si="6"/>
        <v>0</v>
      </c>
      <c r="H30">
        <f t="shared" ca="1" si="7"/>
        <v>0</v>
      </c>
      <c r="I30">
        <f t="shared" ca="1" si="8"/>
        <v>0</v>
      </c>
      <c r="J30">
        <f t="shared" ref="J30:J32" ca="1" si="15">IF(OR($C30="S",$C30=0),0,MATCH(0,OFFSET($D30,1,$C30,ROW($C$71)-ROW($C30)),0))</f>
        <v>10</v>
      </c>
      <c r="K30">
        <f ca="1">IF(OR($C30="S",$C30=0),0,MATCH(OFFSET($D30,0,$C30)+IF($C30&lt;&gt;1,1,COUNTIF(QCI!$A$13:$A$24,ORÇAMENTO!E30)),OFFSET($D30,1,$C30,ROW($C$71)-ROW($C30)),0))</f>
        <v>3</v>
      </c>
      <c r="L30" s="114" t="str">
        <f t="shared" ca="1" si="10"/>
        <v>F</v>
      </c>
      <c r="M30" s="115" t="s">
        <v>702</v>
      </c>
      <c r="N30" s="116" t="str">
        <f t="shared" ca="1" si="11"/>
        <v>Nível 2</v>
      </c>
      <c r="O30" s="117" t="str">
        <f t="shared" ca="1" si="12"/>
        <v>1.3.</v>
      </c>
      <c r="P30" s="118" t="s">
        <v>750</v>
      </c>
      <c r="Q30" s="119"/>
      <c r="R30" s="120" t="s">
        <v>1056</v>
      </c>
      <c r="S30" s="121" t="str" cm="1">
        <f t="array" aca="1" ref="S30" ca="1">REFERENCIA.Unidade</f>
        <v>-</v>
      </c>
      <c r="T30" s="122">
        <f ca="1">OFFSET(CÁLCULO!H$15,ROW($T30)-ROW(T$15),0)</f>
        <v>0</v>
      </c>
      <c r="U30" s="123"/>
      <c r="V30" s="124" t="s">
        <v>663</v>
      </c>
      <c r="W30" s="122" cm="1">
        <f t="array" aca="1" ref="W30" ca="1">IF($C30="S",ROUND(IF(TIPOORCAMENTO="Proposto",ORÇAMENTO.CustoUnitario*(1+$AH30),ORÇAMENTO.PrecoUnitarioLicitado),15-13*$AF$10),0)</f>
        <v>0</v>
      </c>
      <c r="X30" s="125" cm="1">
        <f t="array" aca="1" ref="X30" ca="1">IF($C30="S",IF(OR(Import.TipoArredondamento&lt;&gt;"TransfereGOV",ACOMPANHAMENTO="BM"),VTOTAL1,SUM(OFFSET(CÁLCULO!$AA$15,ROW($X30)-ROW($X$15),1):OFFSET(CÁLCULO!$AL$15,ROW($X30)-ROW($X$15),-1))),IF($C30=0,0,ROUND(SomaAgrup,15-13*$AF$11)))</f>
        <v>0</v>
      </c>
      <c r="Y30" s="126" t="s">
        <v>751</v>
      </c>
      <c r="Z30" t="str">
        <f t="shared" ca="1" si="13"/>
        <v/>
      </c>
      <c r="AA30" s="127" cm="1">
        <f t="array" aca="1" ref="AA30" ca="1">IF($C30="S",IF($Z30="CP",$X30,IF($Z30="RA",(($X30)*QCI!$AA$3),0)),SomaAgrup)</f>
        <v>0</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f ca="1">IF(C30&lt;=CRONO.NivelExibicao,MAX($AD$15:OFFSET(AD30,-1,0))+IF($C30&lt;&gt;1,1,MAX(1,COUNTIF(QCI!$A$13:$A$24,OFFSET($E30,-1,0)))),"")</f>
        <v>4</v>
      </c>
      <c r="AE30" s="7" t="b" cm="1">
        <f t="array" aca="1" ref="AE30" ca="1">IF(AND($C30="S",ORÇAMENTO.CodBarra&lt;&gt;""),IF(ORÇAMENTO.Fonte="",ORÇAMENTO.CodBarra,CONCATENATE(ORÇAMENTO.Fonte," ",ORÇAMENTO.CodBarra)))</f>
        <v>0</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(Sem Código)</v>
      </c>
      <c r="AG30" s="428" cm="1">
        <f t="array" aca="1" ref="AG30" ca="1">ROUND(IF(DESONERACAO="sim",REFERENCIA.Desonerado,REFERENCIA.NaoDesonerado),2)</f>
        <v>0</v>
      </c>
      <c r="AH30" s="429">
        <f t="shared" ca="1" si="14"/>
        <v>0.2069</v>
      </c>
      <c r="AJ30" s="431"/>
      <c r="AL30" s="439"/>
      <c r="AM30" s="336">
        <f t="shared" ca="1" si="0"/>
        <v>0</v>
      </c>
      <c r="AN30" s="470" cm="1">
        <f t="array" aca="1" ref="AN30" ca="1">ROUND(ORÇAMENTO.CustoUnitario*(1+$AH30),2)</f>
        <v>0</v>
      </c>
    </row>
    <row r="31" spans="1:40" ht="38.25" x14ac:dyDescent="0.2">
      <c r="A31" t="str">
        <f t="shared" si="1"/>
        <v>S</v>
      </c>
      <c r="B31">
        <f t="shared" ca="1" si="2"/>
        <v>2</v>
      </c>
      <c r="C31" t="str">
        <f t="shared" ca="1" si="3"/>
        <v>S</v>
      </c>
      <c r="D31">
        <f t="shared" ca="1" si="4"/>
        <v>0</v>
      </c>
      <c r="E31">
        <f ca="1">IF($C31=1,OFFSET(E31,-1,0)+MAX(1,COUNTIF(QCI!$A$13:$A$24,OFFSET(ORÇAMENTO!E31,-1,0))),OFFSET(E31,-1,0))</f>
        <v>1</v>
      </c>
      <c r="F31">
        <f t="shared" ca="1" si="5"/>
        <v>3</v>
      </c>
      <c r="G31">
        <f t="shared" ca="1" si="6"/>
        <v>0</v>
      </c>
      <c r="H31">
        <f t="shared" ca="1" si="7"/>
        <v>0</v>
      </c>
      <c r="I31">
        <f t="shared" ca="1" si="8"/>
        <v>0</v>
      </c>
      <c r="J31">
        <f t="shared" ca="1" si="15"/>
        <v>0</v>
      </c>
      <c r="K31">
        <f ca="1">IF(OR($C31="S",$C31=0),0,MATCH(OFFSET($D31,0,$C31)+IF($C31&lt;&gt;1,1,COUNTIF(QCI!$A$13:$A$24,ORÇAMENTO!E31)),OFFSET($D31,1,$C31,ROW($C$71)-ROW($C31)),0))</f>
        <v>0</v>
      </c>
      <c r="L31" s="114" t="str">
        <f t="shared" ca="1" si="10"/>
        <v/>
      </c>
      <c r="M31" s="115" t="s">
        <v>705</v>
      </c>
      <c r="N31" s="116" t="str">
        <f t="shared" ca="1" si="11"/>
        <v>Serviço</v>
      </c>
      <c r="O31" s="117" t="str">
        <f t="shared" ca="1" si="12"/>
        <v>-</v>
      </c>
      <c r="P31" s="118" t="s">
        <v>750</v>
      </c>
      <c r="Q31" s="119" t="s">
        <v>1057</v>
      </c>
      <c r="R31" s="120" t="str" cm="1">
        <f t="array" aca="1" ref="R31" ca="1">IF($C31="S",REFERENCIA.Descricao,"(digite a descrição aqui)")</f>
        <v>(Código não identificado nas referências)</v>
      </c>
      <c r="S31" s="121" t="str" cm="1">
        <f t="array" aca="1" ref="S31" ca="1">REFERENCIA.Unidade</f>
        <v>-</v>
      </c>
      <c r="T31" s="122">
        <f ca="1">OFFSET(CÁLCULO!H$15,ROW($T31)-ROW(T$15),0)</f>
        <v>5.75</v>
      </c>
      <c r="U31" s="123"/>
      <c r="V31" s="124" t="s">
        <v>663</v>
      </c>
      <c r="W31" s="122" cm="1">
        <f t="array" aca="1" ref="W31" ca="1">IF($C31="S",ROUND(IF(TIPOORCAMENTO="Proposto",ORÇAMENTO.CustoUnitario*(1+$AH31),ORÇAMENTO.PrecoUnitarioLicitado),15-13*$AF$10),0)</f>
        <v>0</v>
      </c>
      <c r="X31" s="125" cm="1">
        <f t="array" aca="1" ref="X31" ca="1">IF($C31="S",IF(OR(Import.TipoArredondamento&lt;&gt;"TransfereGOV",ACOMPANHAMENTO="BM"),VTOTAL1,SUM(OFFSET(CÁLCULO!$AA$15,ROW($X31)-ROW($X$15),1):OFFSET(CÁLCULO!$AL$15,ROW($X31)-ROW($X$15),-1))),IF($C31=0,0,ROUND(SomaAgrup,15-13*$AF$11)))</f>
        <v>0</v>
      </c>
      <c r="Y31" s="126" t="s">
        <v>751</v>
      </c>
      <c r="Z31" t="str">
        <f t="shared" ca="1" si="13"/>
        <v/>
      </c>
      <c r="AA31" s="127" cm="1">
        <f t="array" aca="1" ref="AA31" ca="1">IF($C31="S",IF($Z31="CP",$X31,IF($Z31="RA",(($X31)*QCI!$AA$3),0)),SomaAgrup)</f>
        <v>0</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CÓDIGO N/ID</v>
      </c>
      <c r="AD31" t="str">
        <f ca="1">IF(C31&lt;=CRONO.NivelExibicao,MAX($AD$15:OFFSET(AD31,-1,0))+IF($C31&lt;&gt;1,1,MAX(1,COUNTIF(QCI!$A$13:$A$24,OFFSET($E31,-1,0)))),"")</f>
        <v/>
      </c>
      <c r="AE31" s="7" t="str" cm="1">
        <f t="array" aca="1" ref="AE31" ca="1">IF(AND($C31="S",ORÇAMENTO.CodBarra&lt;&gt;""),IF(ORÇAMENTO.Fonte="",ORÇAMENTO.CodBarra,CONCATENATE(ORÇAMENTO.Fonte," ",ORÇAMENTO.CodBarra)))</f>
        <v>SINAPI 105004</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(Código não identificado nas referências)</v>
      </c>
      <c r="AG31" s="428" cm="1">
        <f t="array" aca="1" ref="AG31" ca="1">ROUND(IF(DESONERACAO="sim",REFERENCIA.Desonerado,REFERENCIA.NaoDesonerado),2)</f>
        <v>0</v>
      </c>
      <c r="AH31" s="429">
        <f t="shared" ca="1" si="14"/>
        <v>0.2069</v>
      </c>
      <c r="AJ31" s="431">
        <f>(3.29+1.5)*1.2</f>
        <v>5.7480000000000002</v>
      </c>
      <c r="AL31" s="439"/>
      <c r="AM31" s="336">
        <f t="shared" ca="1" si="0"/>
        <v>0</v>
      </c>
      <c r="AN31" s="470" cm="1">
        <f t="array" aca="1" ref="AN31" ca="1">ROUND(ORÇAMENTO.CustoUnitario*(1+$AH31),2)</f>
        <v>0</v>
      </c>
    </row>
    <row r="32" spans="1:40" ht="25.5" x14ac:dyDescent="0.2">
      <c r="A32" t="str">
        <f t="shared" si="1"/>
        <v>S</v>
      </c>
      <c r="B32">
        <f t="shared" ca="1" si="2"/>
        <v>2</v>
      </c>
      <c r="C32" t="str">
        <f t="shared" ca="1" si="3"/>
        <v>S</v>
      </c>
      <c r="D32">
        <f t="shared" ca="1" si="4"/>
        <v>0</v>
      </c>
      <c r="E32">
        <f ca="1">IF($C32=1,OFFSET(E32,-1,0)+MAX(1,COUNTIF(QCI!$A$13:$A$24,OFFSET(ORÇAMENTO!E32,-1,0))),OFFSET(E32,-1,0))</f>
        <v>1</v>
      </c>
      <c r="F32">
        <f t="shared" ca="1" si="5"/>
        <v>3</v>
      </c>
      <c r="G32">
        <f t="shared" ca="1" si="6"/>
        <v>0</v>
      </c>
      <c r="H32">
        <f t="shared" ca="1" si="7"/>
        <v>0</v>
      </c>
      <c r="I32">
        <f t="shared" ca="1" si="8"/>
        <v>0</v>
      </c>
      <c r="J32">
        <f t="shared" ca="1" si="15"/>
        <v>0</v>
      </c>
      <c r="K32">
        <f ca="1">IF(OR($C32="S",$C32=0),0,MATCH(OFFSET($D32,0,$C32)+IF($C32&lt;&gt;1,1,COUNTIF(QCI!$A$13:$A$24,ORÇAMENTO!E32)),OFFSET($D32,1,$C32,ROW($C$71)-ROW($C32)),0))</f>
        <v>0</v>
      </c>
      <c r="L32" s="114" t="str">
        <f t="shared" ca="1" si="10"/>
        <v/>
      </c>
      <c r="M32" s="115" t="s">
        <v>705</v>
      </c>
      <c r="N32" s="116" t="str">
        <f t="shared" ca="1" si="11"/>
        <v>Serviço</v>
      </c>
      <c r="O32" s="117" t="str">
        <f t="shared" ca="1" si="12"/>
        <v>-</v>
      </c>
      <c r="P32" s="118" t="s">
        <v>750</v>
      </c>
      <c r="Q32" s="119" t="s">
        <v>1058</v>
      </c>
      <c r="R32" s="120" t="str" cm="1">
        <f t="array" aca="1" ref="R32" ca="1">IF($C32="S",REFERENCIA.Descricao,"(digite a descrição aqui)")</f>
        <v>(Código não identificado nas referências)</v>
      </c>
      <c r="S32" s="121" t="str" cm="1">
        <f t="array" aca="1" ref="S32" ca="1">REFERENCIA.Unidade</f>
        <v>-</v>
      </c>
      <c r="T32" s="122">
        <f ca="1">OFFSET(CÁLCULO!H$15,ROW($T32)-ROW(T$15),0)</f>
        <v>5.99</v>
      </c>
      <c r="U32" s="123"/>
      <c r="V32" s="124" t="s">
        <v>663</v>
      </c>
      <c r="W32" s="122" cm="1">
        <f t="array" aca="1" ref="W32" ca="1">IF($C32="S",ROUND(IF(TIPOORCAMENTO="Proposto",ORÇAMENTO.CustoUnitario*(1+$AH32),ORÇAMENTO.PrecoUnitarioLicitado),15-13*$AF$10),0)</f>
        <v>0</v>
      </c>
      <c r="X32" s="125" cm="1">
        <f t="array" aca="1" ref="X32" ca="1">IF($C32="S",IF(OR(Import.TipoArredondamento&lt;&gt;"TransfereGOV",ACOMPANHAMENTO="BM"),VTOTAL1,SUM(OFFSET(CÁLCULO!$AA$15,ROW($X32)-ROW($X$15),1):OFFSET(CÁLCULO!$AL$15,ROW($X32)-ROW($X$15),-1))),IF($C32=0,0,ROUND(SomaAgrup,15-13*$AF$11)))</f>
        <v>0</v>
      </c>
      <c r="Y32" s="126" t="s">
        <v>751</v>
      </c>
      <c r="Z32" t="str">
        <f t="shared" ca="1" si="13"/>
        <v/>
      </c>
      <c r="AA32" s="127" cm="1">
        <f t="array" aca="1" ref="AA32" ca="1">IF($C32="S",IF($Z32="CP",$X32,IF($Z32="RA",(($X32)*QCI!$AA$3),0)),SomaAgrup)</f>
        <v>0</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CÓDIGO N/ID</v>
      </c>
      <c r="AD32" t="str">
        <f ca="1">IF(C32&lt;=CRONO.NivelExibicao,MAX($AD$15:OFFSET(AD32,-1,0))+IF($C32&lt;&gt;1,1,MAX(1,COUNTIF(QCI!$A$13:$A$24,OFFSET($E32,-1,0)))),"")</f>
        <v/>
      </c>
      <c r="AE32" s="7" t="str" cm="1">
        <f t="array" aca="1" ref="AE32" ca="1">IF(AND($C32="S",ORÇAMENTO.CodBarra&lt;&gt;""),IF(ORÇAMENTO.Fonte="",ORÇAMENTO.CodBarra,CONCATENATE(ORÇAMENTO.Fonte," ",ORÇAMENTO.CodBarra)))</f>
        <v>SINAPI 99858</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8" cm="1">
        <f t="array" aca="1" ref="AG32" ca="1">ROUND(IF(DESONERACAO="sim",REFERENCIA.Desonerado,REFERENCIA.NaoDesonerado),2)</f>
        <v>0</v>
      </c>
      <c r="AH32" s="429">
        <f t="shared" ca="1" si="14"/>
        <v>0.2069</v>
      </c>
      <c r="AJ32" s="431">
        <f>1.2+1.5+3.29</f>
        <v>5.99</v>
      </c>
      <c r="AL32" s="439"/>
      <c r="AM32" s="336">
        <f t="shared" ca="1" si="0"/>
        <v>0</v>
      </c>
      <c r="AN32" s="470" cm="1">
        <f t="array" aca="1" ref="AN32" ca="1">ROUND(ORÇAMENTO.CustoUnitario*(1+$AH32),2)</f>
        <v>0</v>
      </c>
    </row>
    <row r="33" spans="1:40" x14ac:dyDescent="0.2">
      <c r="A33">
        <f t="shared" si="1"/>
        <v>2</v>
      </c>
      <c r="B33">
        <f t="shared" ca="1" si="2"/>
        <v>2</v>
      </c>
      <c r="C33">
        <f t="shared" ca="1" si="3"/>
        <v>2</v>
      </c>
      <c r="D33">
        <f t="shared" ca="1" si="4"/>
        <v>7</v>
      </c>
      <c r="E33">
        <f ca="1">IF($C33=1,OFFSET(E33,-1,0)+MAX(1,COUNTIF(QCI!$A$13:$A$24,OFFSET(ORÇAMENTO!E33,-1,0))),OFFSET(E33,-1,0))</f>
        <v>1</v>
      </c>
      <c r="F33">
        <f t="shared" ca="1" si="5"/>
        <v>4</v>
      </c>
      <c r="G33">
        <f t="shared" ca="1" si="6"/>
        <v>0</v>
      </c>
      <c r="H33">
        <f t="shared" ca="1" si="7"/>
        <v>0</v>
      </c>
      <c r="I33">
        <f t="shared" ca="1" si="8"/>
        <v>0</v>
      </c>
      <c r="J33">
        <f t="shared" ref="J33:J56" ca="1" si="16">IF(OR($C33="S",$C33=0),0,MATCH(0,OFFSET($D33,1,$C33,ROW($C$71)-ROW($C33)),0))</f>
        <v>7</v>
      </c>
      <c r="K33">
        <f ca="1">IF(OR($C33="S",$C33=0),0,MATCH(OFFSET($D33,0,$C33)+IF($C33&lt;&gt;1,1,COUNTIF(QCI!$A$13:$A$24,ORÇAMENTO!E33)),OFFSET($D33,1,$C33,ROW($C$71)-ROW($C33)),0))</f>
        <v>24</v>
      </c>
      <c r="L33" s="114" t="str">
        <f t="shared" ca="1" si="10"/>
        <v>F</v>
      </c>
      <c r="M33" s="115" t="s">
        <v>702</v>
      </c>
      <c r="N33" s="116" t="str">
        <f t="shared" ca="1" si="11"/>
        <v>Nível 2</v>
      </c>
      <c r="O33" s="117" t="str">
        <f t="shared" ca="1" si="12"/>
        <v>1.4.</v>
      </c>
      <c r="P33" s="118" t="s">
        <v>750</v>
      </c>
      <c r="Q33" s="119"/>
      <c r="R33" s="120" t="s">
        <v>1031</v>
      </c>
      <c r="S33" s="121" t="str" cm="1">
        <f t="array" aca="1" ref="S33" ca="1">REFERENCIA.Unidade</f>
        <v>-</v>
      </c>
      <c r="T33" s="122">
        <f ca="1">OFFSET(CÁLCULO!H$15,ROW($T33)-ROW(T$15),0)</f>
        <v>0</v>
      </c>
      <c r="U33" s="123"/>
      <c r="V33" s="124" t="s">
        <v>663</v>
      </c>
      <c r="W33" s="122" cm="1">
        <f t="array" aca="1" ref="W33" ca="1">IF($C33="S",ROUND(IF(TIPOORCAMENTO="Proposto",ORÇAMENTO.CustoUnitario*(1+$AH33),ORÇAMENTO.PrecoUnitarioLicitado),15-13*$AF$10),0)</f>
        <v>0</v>
      </c>
      <c r="X33" s="125" cm="1">
        <f t="array" aca="1" ref="X33" ca="1">IF($C33="S",IF(OR(Import.TipoArredondamento&lt;&gt;"TransfereGOV",ACOMPANHAMENTO="BM"),VTOTAL1,SUM(OFFSET(CÁLCULO!$AA$15,ROW($X33)-ROW($X$15),1):OFFSET(CÁLCULO!$AL$15,ROW($X33)-ROW($X$15),-1))),IF($C33=0,0,ROUND(SomaAgrup,15-13*$AF$11)))</f>
        <v>0</v>
      </c>
      <c r="Y33" s="126" t="s">
        <v>751</v>
      </c>
      <c r="Z33" t="str">
        <f t="shared" ca="1" si="13"/>
        <v/>
      </c>
      <c r="AA33" s="127" cm="1">
        <f t="array" aca="1" ref="AA33" ca="1">IF($C33="S",IF($Z33="CP",$X33,IF($Z33="RA",(($X33)*QCI!$AA$3),0)),SomaAgrup)</f>
        <v>0</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f ca="1">IF(C33&lt;=CRONO.NivelExibicao,MAX($AD$15:OFFSET(AD33,-1,0))+IF($C33&lt;&gt;1,1,MAX(1,COUNTIF(QCI!$A$13:$A$24,OFFSET($E33,-1,0)))),"")</f>
        <v>5</v>
      </c>
      <c r="AE33" s="7" t="b" cm="1">
        <f t="array" aca="1" ref="AE33" ca="1">IF(AND($C33="S",ORÇAMENTO.CodBarra&lt;&gt;""),IF(ORÇAMENTO.Fonte="",ORÇAMENTO.CodBarra,CONCATENATE(ORÇAMENTO.Fonte," ",ORÇAMENTO.CodBarra)))</f>
        <v>0</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(Sem Código)</v>
      </c>
      <c r="AG33" s="428" cm="1">
        <f t="array" aca="1" ref="AG33" ca="1">ROUND(IF(DESONERACAO="sim",REFERENCIA.Desonerado,REFERENCIA.NaoDesonerado),2)</f>
        <v>0</v>
      </c>
      <c r="AH33" s="429">
        <f t="shared" ca="1" si="14"/>
        <v>0.2069</v>
      </c>
      <c r="AJ33" s="431"/>
      <c r="AL33" s="439"/>
      <c r="AM33" s="336">
        <f t="shared" ca="1" si="0"/>
        <v>0</v>
      </c>
      <c r="AN33" s="470" cm="1">
        <f t="array" aca="1" ref="AN33" ca="1">ROUND(ORÇAMENTO.CustoUnitario*(1+$AH33),2)</f>
        <v>0</v>
      </c>
    </row>
    <row r="34" spans="1:40" ht="38.25" x14ac:dyDescent="0.2">
      <c r="A34" t="str">
        <f t="shared" si="1"/>
        <v>S</v>
      </c>
      <c r="B34">
        <f t="shared" ca="1" si="2"/>
        <v>2</v>
      </c>
      <c r="C34" t="str">
        <f t="shared" ca="1" si="3"/>
        <v>S</v>
      </c>
      <c r="D34">
        <f t="shared" ca="1" si="4"/>
        <v>0</v>
      </c>
      <c r="E34">
        <f ca="1">IF($C34=1,OFFSET(E34,-1,0)+MAX(1,COUNTIF(QCI!$A$13:$A$24,OFFSET(ORÇAMENTO!E34,-1,0))),OFFSET(E34,-1,0))</f>
        <v>1</v>
      </c>
      <c r="F34">
        <f t="shared" ca="1" si="5"/>
        <v>4</v>
      </c>
      <c r="G34">
        <f t="shared" ca="1" si="6"/>
        <v>0</v>
      </c>
      <c r="H34">
        <f t="shared" ca="1" si="7"/>
        <v>0</v>
      </c>
      <c r="I34">
        <f t="shared" ca="1" si="8"/>
        <v>0</v>
      </c>
      <c r="J34">
        <f t="shared" ca="1" si="16"/>
        <v>0</v>
      </c>
      <c r="K34">
        <f ca="1">IF(OR($C34="S",$C34=0),0,MATCH(OFFSET($D34,0,$C34)+IF($C34&lt;&gt;1,1,COUNTIF(QCI!$A$13:$A$24,ORÇAMENTO!E34)),OFFSET($D34,1,$C34,ROW($C$71)-ROW($C34)),0))</f>
        <v>0</v>
      </c>
      <c r="L34" s="114" t="str">
        <f t="shared" ca="1" si="10"/>
        <v/>
      </c>
      <c r="M34" s="115" t="s">
        <v>705</v>
      </c>
      <c r="N34" s="116" t="str">
        <f t="shared" ca="1" si="11"/>
        <v>Serviço</v>
      </c>
      <c r="O34" s="117" t="str">
        <f t="shared" ca="1" si="12"/>
        <v>-</v>
      </c>
      <c r="P34" s="118" t="s">
        <v>956</v>
      </c>
      <c r="Q34" s="119" t="s">
        <v>1025</v>
      </c>
      <c r="R34" s="120" t="str" cm="1">
        <f t="array" aca="1" ref="R34" ca="1">IF($C34="S",REFERENCIA.Descricao,"(digite a descrição aqui)")</f>
        <v>(Código não identificado nas referências)</v>
      </c>
      <c r="S34" s="121" t="str" cm="1">
        <f t="array" aca="1" ref="S34" ca="1">REFERENCIA.Unidade</f>
        <v>-</v>
      </c>
      <c r="T34" s="122">
        <f ca="1">OFFSET(CÁLCULO!H$15,ROW($T34)-ROW(T$15),0)</f>
        <v>36</v>
      </c>
      <c r="U34" s="123"/>
      <c r="V34" s="124" t="s">
        <v>663</v>
      </c>
      <c r="W34" s="122" cm="1">
        <f t="array" aca="1" ref="W34" ca="1">IF($C34="S",ROUND(IF(TIPOORCAMENTO="Proposto",ORÇAMENTO.CustoUnitario*(1+$AH34),ORÇAMENTO.PrecoUnitarioLicitado),15-13*$AF$10),0)</f>
        <v>0</v>
      </c>
      <c r="X34" s="125" cm="1">
        <f t="array" aca="1" ref="X34" ca="1">IF($C34="S",IF(OR(Import.TipoArredondamento&lt;&gt;"TransfereGOV",ACOMPANHAMENTO="BM"),VTOTAL1,SUM(OFFSET(CÁLCULO!$AA$15,ROW($X34)-ROW($X$15),1):OFFSET(CÁLCULO!$AL$15,ROW($X34)-ROW($X$15),-1))),IF($C34=0,0,ROUND(SomaAgrup,15-13*$AF$11)))</f>
        <v>0</v>
      </c>
      <c r="Y34" s="126" t="s">
        <v>751</v>
      </c>
      <c r="Z34" t="str">
        <f t="shared" ca="1" si="13"/>
        <v/>
      </c>
      <c r="AA34" s="127" cm="1">
        <f t="array" aca="1" ref="AA34" ca="1">IF($C34="S",IF($Z34="CP",$X34,IF($Z34="RA",(($X34)*QCI!$AA$3),0)),SomaAgrup)</f>
        <v>0</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CÓDIGO N/ID</v>
      </c>
      <c r="AD34" t="str">
        <f ca="1">IF(C34&lt;=CRONO.NivelExibicao,MAX($AD$15:OFFSET(AD34,-1,0))+IF($C34&lt;&gt;1,1,MAX(1,COUNTIF(QCI!$A$13:$A$24,OFFSET($E34,-1,0)))),"")</f>
        <v/>
      </c>
      <c r="AE34" s="7" t="str" cm="1">
        <f t="array" aca="1" ref="AE34" ca="1">IF(AND($C34="S",ORÇAMENTO.CodBarra&lt;&gt;""),IF(ORÇAMENTO.Fonte="",ORÇAMENTO.CodBarra,CONCATENATE(ORÇAMENTO.Fonte," ",ORÇAMENTO.CodBarra)))</f>
        <v>Composição 02</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(Código não identificado nas referências)</v>
      </c>
      <c r="AG34" s="428" cm="1">
        <f t="array" aca="1" ref="AG34" ca="1">ROUND(IF(DESONERACAO="sim",REFERENCIA.Desonerado,REFERENCIA.NaoDesonerado),2)</f>
        <v>0</v>
      </c>
      <c r="AH34" s="429">
        <f t="shared" ca="1" si="14"/>
        <v>0.2069</v>
      </c>
      <c r="AJ34" s="431">
        <f>7+29</f>
        <v>36</v>
      </c>
      <c r="AL34" s="439"/>
      <c r="AM34" s="336">
        <f t="shared" ca="1" si="0"/>
        <v>0</v>
      </c>
      <c r="AN34" s="470" cm="1">
        <f t="array" aca="1" ref="AN34" ca="1">ROUND(ORÇAMENTO.CustoUnitario*(1+$AH34),2)</f>
        <v>0</v>
      </c>
    </row>
    <row r="35" spans="1:40" ht="63.75" x14ac:dyDescent="0.2">
      <c r="A35" t="str">
        <f>CHOOSE(1+LOG(1+2*(ORÇAMENTO.Nivel="Meta")+4*(ORÇAMENTO.Nivel="Nível 2")+8*(ORÇAMENTO.Nivel="Nível 3")+16*(ORÇAMENTO.Nivel="Nível 4")+32*(ORÇAMENTO.Nivel="Serviço"),2),0,1,2,3,4,"S")</f>
        <v>S</v>
      </c>
      <c r="B35">
        <f ca="1">IF(OR(C35="s",C35=0),OFFSET(B35,-1,0),C35)</f>
        <v>2</v>
      </c>
      <c r="C35" t="str">
        <f ca="1">IF(OFFSET(C35,-1,0)="L",1,IF(OFFSET(C35,-1,0)=1,2,IF(OR(A35="s",A35=0),"S",IF(AND(OFFSET(C35,-1,0)=2,A35=4),3,IF(AND(OR(OFFSET(C35,-1,0)="s",OFFSET(C35,-1,0)=0),A35&lt;&gt;"s",A35&gt;OFFSET(B35,-1,0)),OFFSET(B35,-1,0),A35)))))</f>
        <v>S</v>
      </c>
      <c r="D35">
        <f ca="1">IF(OR(C35="S",C35=0),0,IF(ISERROR(K35),J35,SMALL(J35:K35,1)))</f>
        <v>0</v>
      </c>
      <c r="E35">
        <f ca="1">IF($C35=1,OFFSET(E35,-1,0)+MAX(1,COUNTIF(QCI!$A$13:$A$24,OFFSET(ORÇAMENTO!E35,-1,0))),OFFSET(E35,-1,0))</f>
        <v>1</v>
      </c>
      <c r="F35">
        <f ca="1">IF($C35=1,0,IF($C35=2,OFFSET(F35,-1,0)+1,OFFSET(F35,-1,0)))</f>
        <v>4</v>
      </c>
      <c r="G35">
        <f ca="1">IF(AND($C35&lt;=2,$C35&lt;&gt;0),0,IF($C35=3,OFFSET(G35,-1,0)+1,OFFSET(G35,-1,0)))</f>
        <v>0</v>
      </c>
      <c r="H35">
        <f ca="1">IF(AND($C35&lt;=3,$C35&lt;&gt;0),0,IF($C35=4,OFFSET(H35,-1,0)+1,OFFSET(H35,-1,0)))</f>
        <v>0</v>
      </c>
      <c r="I35">
        <f ca="1">IF(AND($C35&lt;=4,$C35&lt;&gt;0),0,IF(AND($C35="S",$X35&gt;0),OFFSET(I35,-1,0)+1,OFFSET(I35,-1,0)))</f>
        <v>0</v>
      </c>
      <c r="J35">
        <f t="shared" ca="1" si="16"/>
        <v>0</v>
      </c>
      <c r="K35">
        <f ca="1">IF(OR($C35="S",$C35=0),0,MATCH(OFFSET($D35,0,$C35)+IF($C35&lt;&gt;1,1,COUNTIF(QCI!$A$13:$A$24,ORÇAMENTO!E35)),OFFSET($D35,1,$C35,ROW($C$71)-ROW($C35)),0))</f>
        <v>0</v>
      </c>
      <c r="L35" s="114" t="str">
        <f ca="1">IF(OR($X35&gt;0,$C35=1,$C35=2,$C35=3,$C35=4),"F","")</f>
        <v/>
      </c>
      <c r="M35" s="115" t="s">
        <v>705</v>
      </c>
      <c r="N35" s="116" t="str">
        <f ca="1">CHOOSE(1+LOG(1+2*(C35=1)+4*(C35=2)+8*(C35=3)+16*(C35=4)+32*(C35="S"),2),"","Meta","Nível 2","Nível 3","Nível 4","Serviço")</f>
        <v>Serviço</v>
      </c>
      <c r="O35" s="117" t="str">
        <f ca="1">IF(OR($C35=0,$L35=""),"-",CONCATENATE(E35&amp;".",IF(AND($A$5&gt;=2,$C35&gt;=2),F35&amp;".",""),IF(AND($A$5&gt;=3,$C35&gt;=3),G35&amp;".",""),IF(AND($A$5&gt;=4,$C35&gt;=4),H35&amp;".",""),IF($C35="S",I35&amp;".","")))</f>
        <v>-</v>
      </c>
      <c r="P35" s="118" t="s">
        <v>750</v>
      </c>
      <c r="Q35" s="119" t="s">
        <v>1027</v>
      </c>
      <c r="R35" s="120" t="str" cm="1">
        <f t="array" aca="1" ref="R35" ca="1">IF($C35="S",REFERENCIA.Descricao,"(digite a descrição aqui)")</f>
        <v>(Código não identificado nas referências)</v>
      </c>
      <c r="S35" s="121" t="str" cm="1">
        <f t="array" aca="1" ref="S35" ca="1">REFERENCIA.Unidade</f>
        <v>-</v>
      </c>
      <c r="T35" s="122">
        <f ca="1">OFFSET(CÁLCULO!H$15,ROW($T35)-ROW(T$15),0)</f>
        <v>25.2</v>
      </c>
      <c r="U35" s="123"/>
      <c r="V35" s="124" t="s">
        <v>663</v>
      </c>
      <c r="W35" s="122" cm="1">
        <f t="array" aca="1" ref="W35" ca="1">IF($C35="S",ROUND(IF(TIPOORCAMENTO="Proposto",ORÇAMENTO.CustoUnitario*(1+$AH35),ORÇAMENTO.PrecoUnitarioLicitado),15-13*$AF$10),0)</f>
        <v>0</v>
      </c>
      <c r="X35" s="125" cm="1">
        <f t="array" aca="1" ref="X35" ca="1">IF($C35="S",IF(OR(Import.TipoArredondamento&lt;&gt;"TransfereGOV",ACOMPANHAMENTO="BM"),VTOTAL1,SUM(OFFSET(CÁLCULO!$AA$15,ROW($X35)-ROW($X$15),1):OFFSET(CÁLCULO!$AL$15,ROW($X35)-ROW($X$15),-1))),IF($C35=0,0,ROUND(SomaAgrup,15-13*$AF$11)))</f>
        <v>0</v>
      </c>
      <c r="Y35" s="126" t="s">
        <v>751</v>
      </c>
      <c r="Z35" t="str">
        <f ca="1">IF(AND($C35="S",$X35&gt;0),IF(ISBLANK($Y35),"RA",LEFT($Y35,2)),"")</f>
        <v/>
      </c>
      <c r="AA35" s="127" cm="1">
        <f t="array" aca="1" ref="AA35" ca="1">IF($C35="S",IF($Z35="CP",$X35,IF($Z35="RA",(($X35)*QCI!$AA$3),0)),SomaAgrup)</f>
        <v>0</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CÓDIGO N/ID</v>
      </c>
      <c r="AD35" t="str">
        <f ca="1">IF(C35&lt;=CRONO.NivelExibicao,MAX($AD$15:OFFSET(AD35,-1,0))+IF($C35&lt;&gt;1,1,MAX(1,COUNTIF(QCI!$A$13:$A$24,OFFSET($E35,-1,0)))),"")</f>
        <v/>
      </c>
      <c r="AE35" s="7" t="str" cm="1">
        <f t="array" aca="1" ref="AE35" ca="1">IF(AND($C35="S",ORÇAMENTO.CodBarra&lt;&gt;""),IF(ORÇAMENTO.Fonte="",ORÇAMENTO.CodBarra,CONCATENATE(ORÇAMENTO.Fonte," ",ORÇAMENTO.CodBarra)))</f>
        <v>SINAPI 107113</v>
      </c>
      <c r="AF35" s="12"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(Código não identificado nas referências)</v>
      </c>
      <c r="AG35" s="428" cm="1">
        <f t="array" aca="1" ref="AG35" ca="1">ROUND(IF(DESONERACAO="sim",REFERENCIA.Desonerado,REFERENCIA.NaoDesonerado),2)</f>
        <v>0</v>
      </c>
      <c r="AH35" s="429">
        <f ca="1">ROUND(IF(ISNUMBER(ORÇAMENTO.OpcaoBDI),ORÇAMENTO.OpcaoBDI,IF(LEFT(ORÇAMENTO.OpcaoBDI,3)="BDI",HLOOKUP(ORÇAMENTO.OpcaoBDI,$F$4:$H$5,2,FALSE),0)),15-11*$AF$9)</f>
        <v>0.2069</v>
      </c>
      <c r="AJ35" s="431">
        <f>AJ34*0.7</f>
        <v>25.2</v>
      </c>
      <c r="AL35" s="439"/>
      <c r="AM35" s="336">
        <f t="shared" ca="1" si="0"/>
        <v>0</v>
      </c>
      <c r="AN35" s="470" cm="1">
        <f t="array" aca="1" ref="AN35" ca="1">ROUND(ORÇAMENTO.CustoUnitario*(1+$AH35),2)</f>
        <v>0</v>
      </c>
    </row>
    <row r="36" spans="1:40" ht="38.25" x14ac:dyDescent="0.2">
      <c r="A36" t="str">
        <f t="shared" si="1"/>
        <v>S</v>
      </c>
      <c r="B36">
        <f t="shared" ca="1" si="2"/>
        <v>2</v>
      </c>
      <c r="C36" t="str">
        <f t="shared" ca="1" si="3"/>
        <v>S</v>
      </c>
      <c r="D36">
        <f t="shared" ca="1" si="4"/>
        <v>0</v>
      </c>
      <c r="E36">
        <f ca="1">IF($C36=1,OFFSET(E36,-1,0)+MAX(1,COUNTIF(QCI!$A$13:$A$24,OFFSET(ORÇAMENTO!E36,-1,0))),OFFSET(E36,-1,0))</f>
        <v>1</v>
      </c>
      <c r="F36">
        <f t="shared" ca="1" si="5"/>
        <v>4</v>
      </c>
      <c r="G36">
        <f t="shared" ca="1" si="6"/>
        <v>0</v>
      </c>
      <c r="H36">
        <f t="shared" ca="1" si="7"/>
        <v>0</v>
      </c>
      <c r="I36">
        <f t="shared" ca="1" si="8"/>
        <v>0</v>
      </c>
      <c r="J36">
        <f t="shared" ca="1" si="16"/>
        <v>0</v>
      </c>
      <c r="K36">
        <f ca="1">IF(OR($C36="S",$C36=0),0,MATCH(OFFSET($D36,0,$C36)+IF($C36&lt;&gt;1,1,COUNTIF(QCI!$A$13:$A$24,ORÇAMENTO!E36)),OFFSET($D36,1,$C36,ROW($C$71)-ROW($C36)),0))</f>
        <v>0</v>
      </c>
      <c r="L36" s="114" t="str">
        <f t="shared" ca="1" si="10"/>
        <v/>
      </c>
      <c r="M36" s="115" t="s">
        <v>705</v>
      </c>
      <c r="N36" s="116" t="str">
        <f t="shared" ca="1" si="11"/>
        <v>Serviço</v>
      </c>
      <c r="O36" s="117" t="str">
        <f t="shared" ca="1" si="12"/>
        <v>-</v>
      </c>
      <c r="P36" s="118" t="s">
        <v>956</v>
      </c>
      <c r="Q36" s="119" t="s">
        <v>1026</v>
      </c>
      <c r="R36" s="120" t="str" cm="1">
        <f t="array" aca="1" ref="R36" ca="1">IF($C36="S",REFERENCIA.Descricao,"(digite a descrição aqui)")</f>
        <v>(Código não identificado nas referências)</v>
      </c>
      <c r="S36" s="121" t="str" cm="1">
        <f t="array" aca="1" ref="S36" ca="1">REFERENCIA.Unidade</f>
        <v>-</v>
      </c>
      <c r="T36" s="122">
        <f ca="1">OFFSET(CÁLCULO!H$15,ROW($T36)-ROW(T$15),0)</f>
        <v>120</v>
      </c>
      <c r="U36" s="123"/>
      <c r="V36" s="124" t="s">
        <v>663</v>
      </c>
      <c r="W36" s="122" cm="1">
        <f t="array" aca="1" ref="W36" ca="1">IF($C36="S",ROUND(IF(TIPOORCAMENTO="Proposto",ORÇAMENTO.CustoUnitario*(1+$AH36),ORÇAMENTO.PrecoUnitarioLicitado),15-13*$AF$10),0)</f>
        <v>0</v>
      </c>
      <c r="X36" s="125" cm="1">
        <f t="array" aca="1" ref="X36" ca="1">IF($C36="S",IF(OR(Import.TipoArredondamento&lt;&gt;"TransfereGOV",ACOMPANHAMENTO="BM"),VTOTAL1,SUM(OFFSET(CÁLCULO!$AA$15,ROW($X36)-ROW($X$15),1):OFFSET(CÁLCULO!$AL$15,ROW($X36)-ROW($X$15),-1))),IF($C36=0,0,ROUND(SomaAgrup,15-13*$AF$11)))</f>
        <v>0</v>
      </c>
      <c r="Y36" s="126" t="s">
        <v>751</v>
      </c>
      <c r="Z36" t="str">
        <f t="shared" ca="1" si="13"/>
        <v/>
      </c>
      <c r="AA36" s="127" cm="1">
        <f t="array" aca="1" ref="AA36" ca="1">IF($C36="S",IF($Z36="CP",$X36,IF($Z36="RA",(($X36)*QCI!$AA$3),0)),SomaAgrup)</f>
        <v>0</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CÓDIGO N/ID</v>
      </c>
      <c r="AD36" t="str">
        <f ca="1">IF(C36&lt;=CRONO.NivelExibicao,MAX($AD$15:OFFSET(AD36,-1,0))+IF($C36&lt;&gt;1,1,MAX(1,COUNTIF(QCI!$A$13:$A$24,OFFSET($E36,-1,0)))),"")</f>
        <v/>
      </c>
      <c r="AE36" s="7" t="str" cm="1">
        <f t="array" aca="1" ref="AE36" ca="1">IF(AND($C36="S",ORÇAMENTO.CodBarra&lt;&gt;""),IF(ORÇAMENTO.Fonte="",ORÇAMENTO.CodBarra,CONCATENATE(ORÇAMENTO.Fonte," ",ORÇAMENTO.CodBarra)))</f>
        <v>Composição 03</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(Código não identificado nas referências)</v>
      </c>
      <c r="AG36" s="428" cm="1">
        <f t="array" aca="1" ref="AG36" ca="1">ROUND(IF(DESONERACAO="sim",REFERENCIA.Desonerado,REFERENCIA.NaoDesonerado),2)</f>
        <v>0</v>
      </c>
      <c r="AH36" s="429">
        <f t="shared" ca="1" si="14"/>
        <v>0.2069</v>
      </c>
      <c r="AJ36" s="431">
        <f>(12.56+50.6)*1.9</f>
        <v>120.004</v>
      </c>
      <c r="AL36" s="439"/>
      <c r="AM36" s="336">
        <f t="shared" ca="1" si="0"/>
        <v>0</v>
      </c>
      <c r="AN36" s="470" cm="1">
        <f t="array" aca="1" ref="AN36" ca="1">ROUND(ORÇAMENTO.CustoUnitario*(1+$AH36),2)</f>
        <v>0</v>
      </c>
    </row>
    <row r="37" spans="1:40" ht="38.25" x14ac:dyDescent="0.2">
      <c r="A37" t="str">
        <f t="shared" si="1"/>
        <v>S</v>
      </c>
      <c r="B37">
        <f t="shared" ca="1" si="2"/>
        <v>2</v>
      </c>
      <c r="C37" t="str">
        <f t="shared" ca="1" si="3"/>
        <v>S</v>
      </c>
      <c r="D37">
        <f t="shared" ca="1" si="4"/>
        <v>0</v>
      </c>
      <c r="E37">
        <f ca="1">IF($C37=1,OFFSET(E37,-1,0)+MAX(1,COUNTIF(QCI!$A$13:$A$24,OFFSET(ORÇAMENTO!E37,-1,0))),OFFSET(E37,-1,0))</f>
        <v>1</v>
      </c>
      <c r="F37">
        <f t="shared" ca="1" si="5"/>
        <v>4</v>
      </c>
      <c r="G37">
        <f t="shared" ca="1" si="6"/>
        <v>0</v>
      </c>
      <c r="H37">
        <f t="shared" ca="1" si="7"/>
        <v>0</v>
      </c>
      <c r="I37">
        <f t="shared" ca="1" si="8"/>
        <v>0</v>
      </c>
      <c r="J37">
        <f t="shared" ca="1" si="16"/>
        <v>0</v>
      </c>
      <c r="K37">
        <f ca="1">IF(OR($C37="S",$C37=0),0,MATCH(OFFSET($D37,0,$C37)+IF($C37&lt;&gt;1,1,COUNTIF(QCI!$A$13:$A$24,ORÇAMENTO!E37)),OFFSET($D37,1,$C37,ROW($C$71)-ROW($C37)),0))</f>
        <v>0</v>
      </c>
      <c r="L37" s="114" t="str">
        <f t="shared" ca="1" si="10"/>
        <v/>
      </c>
      <c r="M37" s="115" t="s">
        <v>705</v>
      </c>
      <c r="N37" s="116" t="str">
        <f t="shared" ca="1" si="11"/>
        <v>Serviço</v>
      </c>
      <c r="O37" s="117" t="str">
        <f t="shared" ca="1" si="12"/>
        <v>-</v>
      </c>
      <c r="P37" s="118" t="s">
        <v>956</v>
      </c>
      <c r="Q37" s="119" t="s">
        <v>1028</v>
      </c>
      <c r="R37" s="120" t="str" cm="1">
        <f t="array" aca="1" ref="R37" ca="1">IF($C37="S",REFERENCIA.Descricao,"(digite a descrição aqui)")</f>
        <v>(Código não identificado nas referências)</v>
      </c>
      <c r="S37" s="121" t="str" cm="1">
        <f t="array" aca="1" ref="S37" ca="1">REFERENCIA.Unidade</f>
        <v>-</v>
      </c>
      <c r="T37" s="122">
        <f ca="1">OFFSET(CÁLCULO!H$15,ROW($T37)-ROW(T$15),0)</f>
        <v>206.12</v>
      </c>
      <c r="U37" s="123"/>
      <c r="V37" s="124" t="s">
        <v>663</v>
      </c>
      <c r="W37" s="122" cm="1">
        <f t="array" aca="1" ref="W37" ca="1">IF($C37="S",ROUND(IF(TIPOORCAMENTO="Proposto",ORÇAMENTO.CustoUnitario*(1+$AH37),ORÇAMENTO.PrecoUnitarioLicitado),15-13*$AF$10),0)</f>
        <v>0</v>
      </c>
      <c r="X37" s="125" cm="1">
        <f t="array" aca="1" ref="X37" ca="1">IF($C37="S",IF(OR(Import.TipoArredondamento&lt;&gt;"TransfereGOV",ACOMPANHAMENTO="BM"),VTOTAL1,SUM(OFFSET(CÁLCULO!$AA$15,ROW($X37)-ROW($X$15),1):OFFSET(CÁLCULO!$AL$15,ROW($X37)-ROW($X$15),-1))),IF($C37=0,0,ROUND(SomaAgrup,15-13*$AF$11)))</f>
        <v>0</v>
      </c>
      <c r="Y37" s="126" t="s">
        <v>751</v>
      </c>
      <c r="Z37" t="str">
        <f t="shared" ca="1" si="13"/>
        <v/>
      </c>
      <c r="AA37" s="127" cm="1">
        <f t="array" aca="1" ref="AA37" ca="1">IF($C37="S",IF($Z37="CP",$X37,IF($Z37="RA",(($X37)*QCI!$AA$3),0)),SomaAgrup)</f>
        <v>0</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CÓDIGO N/ID</v>
      </c>
      <c r="AD37" t="str">
        <f ca="1">IF(C37&lt;=CRONO.NivelExibicao,MAX($AD$15:OFFSET(AD37,-1,0))+IF($C37&lt;&gt;1,1,MAX(1,COUNTIF(QCI!$A$13:$A$24,OFFSET($E37,-1,0)))),"")</f>
        <v/>
      </c>
      <c r="AE37" s="7" t="str" cm="1">
        <f t="array" aca="1" ref="AE37" ca="1">IF(AND($C37="S",ORÇAMENTO.CodBarra&lt;&gt;""),IF(ORÇAMENTO.Fonte="",ORÇAMENTO.CodBarra,CONCATENATE(ORÇAMENTO.Fonte," ",ORÇAMENTO.CodBarra)))</f>
        <v>Composição 04</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(Código não identificado nas referências)</v>
      </c>
      <c r="AG37" s="428" cm="1">
        <f t="array" aca="1" ref="AG37" ca="1">ROUND(IF(DESONERACAO="sim",REFERENCIA.Desonerado,REFERENCIA.NaoDesonerado),2)</f>
        <v>0</v>
      </c>
      <c r="AH37" s="429">
        <f t="shared" ca="1" si="14"/>
        <v>0.2069</v>
      </c>
      <c r="AJ37" s="431">
        <f>((12.56+50.6)*2)+(20*1.9)+(22*1.9)</f>
        <v>206.12</v>
      </c>
      <c r="AL37" s="439"/>
      <c r="AM37" s="336">
        <f t="shared" ca="1" si="0"/>
        <v>0</v>
      </c>
      <c r="AN37" s="470" cm="1">
        <f t="array" aca="1" ref="AN37" ca="1">ROUND(ORÇAMENTO.CustoUnitario*(1+$AH37),2)</f>
        <v>0</v>
      </c>
    </row>
    <row r="38" spans="1:40" ht="38.25" x14ac:dyDescent="0.2">
      <c r="A38" t="str">
        <f t="shared" si="1"/>
        <v>S</v>
      </c>
      <c r="B38">
        <f t="shared" ca="1" si="2"/>
        <v>2</v>
      </c>
      <c r="C38" t="str">
        <f t="shared" ca="1" si="3"/>
        <v>S</v>
      </c>
      <c r="D38">
        <f t="shared" ca="1" si="4"/>
        <v>0</v>
      </c>
      <c r="E38">
        <f ca="1">IF($C38=1,OFFSET(E38,-1,0)+MAX(1,COUNTIF(QCI!$A$13:$A$24,OFFSET(ORÇAMENTO!E38,-1,0))),OFFSET(E38,-1,0))</f>
        <v>1</v>
      </c>
      <c r="F38">
        <f t="shared" ca="1" si="5"/>
        <v>4</v>
      </c>
      <c r="G38">
        <f t="shared" ca="1" si="6"/>
        <v>0</v>
      </c>
      <c r="H38">
        <f t="shared" ca="1" si="7"/>
        <v>0</v>
      </c>
      <c r="I38">
        <f t="shared" ca="1" si="8"/>
        <v>0</v>
      </c>
      <c r="J38">
        <f t="shared" ca="1" si="16"/>
        <v>0</v>
      </c>
      <c r="K38">
        <f ca="1">IF(OR($C38="S",$C38=0),0,MATCH(OFFSET($D38,0,$C38)+IF($C38&lt;&gt;1,1,COUNTIF(QCI!$A$13:$A$24,ORÇAMENTO!E38)),OFFSET($D38,1,$C38,ROW($C$71)-ROW($C38)),0))</f>
        <v>0</v>
      </c>
      <c r="L38" s="114" t="str">
        <f t="shared" ca="1" si="10"/>
        <v/>
      </c>
      <c r="M38" s="115" t="s">
        <v>705</v>
      </c>
      <c r="N38" s="116" t="str">
        <f t="shared" ca="1" si="11"/>
        <v>Serviço</v>
      </c>
      <c r="O38" s="117" t="str">
        <f t="shared" ca="1" si="12"/>
        <v>-</v>
      </c>
      <c r="P38" s="118" t="s">
        <v>750</v>
      </c>
      <c r="Q38" s="119" t="s">
        <v>1029</v>
      </c>
      <c r="R38" s="120" t="str" cm="1">
        <f t="array" aca="1" ref="R38" ca="1">IF($C38="S",REFERENCIA.Descricao,"(digite a descrição aqui)")</f>
        <v>(Código não identificado nas referências)</v>
      </c>
      <c r="S38" s="121" t="str" cm="1">
        <f t="array" aca="1" ref="S38" ca="1">REFERENCIA.Unidade</f>
        <v>-</v>
      </c>
      <c r="T38" s="122">
        <f ca="1">OFFSET(CÁLCULO!H$15,ROW($T38)-ROW(T$15),0)</f>
        <v>4</v>
      </c>
      <c r="U38" s="123"/>
      <c r="V38" s="124" t="s">
        <v>663</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IF($C38="S",IF(OR(Import.TipoArredondamento&lt;&gt;"TransfereGOV",ACOMPANHAMENTO="BM"),VTOTAL1,SUM(OFFSET(CÁLCULO!$AA$15,ROW($X38)-ROW($X$15),1):OFFSET(CÁLCULO!$AL$15,ROW($X38)-ROW($X$15),-1))),IF($C38=0,0,ROUND(SomaAgrup,15-13*$AF$11)))</f>
        <v>0</v>
      </c>
      <c r="Y38" s="126" t="s">
        <v>751</v>
      </c>
      <c r="Z38" t="str">
        <f t="shared" ca="1" si="13"/>
        <v/>
      </c>
      <c r="AA38" s="127" cm="1">
        <f t="array" aca="1" ref="AA38" ca="1">IF($C38="S",IF($Z38="CP",$X38,IF($Z38="RA",(($X38)*QCI!$AA$3),0)),SomaAgrup)</f>
        <v>0</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CÓDIGO N/ID</v>
      </c>
      <c r="AD38" t="str">
        <f ca="1">IF(C38&lt;=CRONO.NivelExibicao,MAX($AD$15:OFFSET(AD38,-1,0))+IF($C38&lt;&gt;1,1,MAX(1,COUNTIF(QCI!$A$13:$A$24,OFFSET($E38,-1,0)))),"")</f>
        <v/>
      </c>
      <c r="AE38" s="7" t="str" cm="1">
        <f t="array" aca="1" ref="AE38" ca="1">IF(AND($C38="S",ORÇAMENTO.CodBarra&lt;&gt;""),IF(ORÇAMENTO.Fonte="",ORÇAMENTO.CodBarra,CONCATENATE(ORÇAMENTO.Fonte," ",ORÇAMENTO.CodBarra)))</f>
        <v>SINAPI 90830</v>
      </c>
      <c r="AF38" s="12"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(Código não identificado nas referências)</v>
      </c>
      <c r="AG38" s="428" cm="1">
        <f t="array" aca="1" ref="AG38" ca="1">ROUND(IF(DESONERACAO="sim",REFERENCIA.Desonerado,REFERENCIA.NaoDesonerado),2)</f>
        <v>0</v>
      </c>
      <c r="AH38" s="429">
        <f t="shared" ca="1" si="14"/>
        <v>0.2069</v>
      </c>
      <c r="AJ38" s="431">
        <v>4</v>
      </c>
      <c r="AL38" s="439"/>
      <c r="AM38" s="336">
        <f t="shared" ca="1" si="0"/>
        <v>0</v>
      </c>
      <c r="AN38" s="470" cm="1">
        <f t="array" aca="1" ref="AN38" ca="1">ROUND(ORÇAMENTO.CustoUnitario*(1+$AH38),2)</f>
        <v>0</v>
      </c>
    </row>
    <row r="39" spans="1:40" ht="38.25" x14ac:dyDescent="0.2">
      <c r="A39" t="str">
        <f t="shared" si="1"/>
        <v>S</v>
      </c>
      <c r="B39">
        <f t="shared" ca="1" si="2"/>
        <v>2</v>
      </c>
      <c r="C39" t="str">
        <f t="shared" ca="1" si="3"/>
        <v>S</v>
      </c>
      <c r="D39">
        <f t="shared" ca="1" si="4"/>
        <v>0</v>
      </c>
      <c r="E39">
        <f ca="1">IF($C39=1,OFFSET(E39,-1,0)+MAX(1,COUNTIF(QCI!$A$13:$A$24,OFFSET(ORÇAMENTO!E39,-1,0))),OFFSET(E39,-1,0))</f>
        <v>1</v>
      </c>
      <c r="F39">
        <f t="shared" ca="1" si="5"/>
        <v>4</v>
      </c>
      <c r="G39">
        <f t="shared" ca="1" si="6"/>
        <v>0</v>
      </c>
      <c r="H39">
        <f t="shared" ca="1" si="7"/>
        <v>0</v>
      </c>
      <c r="I39">
        <f t="shared" ca="1" si="8"/>
        <v>0</v>
      </c>
      <c r="J39">
        <f t="shared" ca="1" si="16"/>
        <v>0</v>
      </c>
      <c r="K39">
        <f ca="1">IF(OR($C39="S",$C39=0),0,MATCH(OFFSET($D39,0,$C39)+IF($C39&lt;&gt;1,1,COUNTIF(QCI!$A$13:$A$24,ORÇAMENTO!E39)),OFFSET($D39,1,$C39,ROW($C$71)-ROW($C39)),0))</f>
        <v>0</v>
      </c>
      <c r="L39" s="114" t="str">
        <f t="shared" ca="1" si="10"/>
        <v/>
      </c>
      <c r="M39" s="115" t="s">
        <v>705</v>
      </c>
      <c r="N39" s="116" t="str">
        <f t="shared" ca="1" si="11"/>
        <v>Serviço</v>
      </c>
      <c r="O39" s="117" t="str">
        <f t="shared" ca="1" si="12"/>
        <v>-</v>
      </c>
      <c r="P39" s="118" t="s">
        <v>750</v>
      </c>
      <c r="Q39" s="119" t="s">
        <v>1030</v>
      </c>
      <c r="R39" s="120" t="str" cm="1">
        <f t="array" aca="1" ref="R39" ca="1">IF($C39="S",REFERENCIA.Descricao,"(digite a descrição aqui)")</f>
        <v>(Código não identificado nas referências)</v>
      </c>
      <c r="S39" s="121" t="str" cm="1">
        <f t="array" aca="1" ref="S39" ca="1">REFERENCIA.Unidade</f>
        <v>-</v>
      </c>
      <c r="T39" s="122">
        <f ca="1">OFFSET(CÁLCULO!H$15,ROW($T39)-ROW(T$15),0)</f>
        <v>10</v>
      </c>
      <c r="U39" s="123"/>
      <c r="V39" s="124" t="s">
        <v>663</v>
      </c>
      <c r="W39" s="122" cm="1">
        <f t="array" aca="1" ref="W39" ca="1">IF($C39="S",ROUND(IF(TIPOORCAMENTO="Proposto",ORÇAMENTO.CustoUnitario*(1+$AH39),ORÇAMENTO.PrecoUnitarioLicitado),15-13*$AF$10),0)</f>
        <v>0</v>
      </c>
      <c r="X39" s="125" cm="1">
        <f t="array" aca="1" ref="X39" ca="1">IF($C39="S",IF(OR(Import.TipoArredondamento&lt;&gt;"TransfereGOV",ACOMPANHAMENTO="BM"),VTOTAL1,SUM(OFFSET(CÁLCULO!$AA$15,ROW($X39)-ROW($X$15),1):OFFSET(CÁLCULO!$AL$15,ROW($X39)-ROW($X$15),-1))),IF($C39=0,0,ROUND(SomaAgrup,15-13*$AF$11)))</f>
        <v>0</v>
      </c>
      <c r="Y39" s="126" t="s">
        <v>751</v>
      </c>
      <c r="Z39" t="str">
        <f t="shared" ca="1" si="13"/>
        <v/>
      </c>
      <c r="AA39" s="127" cm="1">
        <f t="array" aca="1" ref="AA39" ca="1">IF($C39="S",IF($Z39="CP",$X39,IF($Z39="RA",(($X39)*QCI!$AA$3),0)),SomaAgrup)</f>
        <v>0</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CÓDIGO N/ID</v>
      </c>
      <c r="AD39" t="str">
        <f ca="1">IF(C39&lt;=CRONO.NivelExibicao,MAX($AD$15:OFFSET(AD39,-1,0))+IF($C39&lt;&gt;1,1,MAX(1,COUNTIF(QCI!$A$13:$A$24,OFFSET($E39,-1,0)))),"")</f>
        <v/>
      </c>
      <c r="AE39" s="7" t="str" cm="1">
        <f t="array" aca="1" ref="AE39" ca="1">IF(AND($C39="S",ORÇAMENTO.CodBarra&lt;&gt;""),IF(ORÇAMENTO.Fonte="",ORÇAMENTO.CodBarra,CONCATENATE(ORÇAMENTO.Fonte," ",ORÇAMENTO.CodBarra)))</f>
        <v>SINAPI 100709</v>
      </c>
      <c r="AF39" s="12" t="str"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(Código não identificado nas referências)</v>
      </c>
      <c r="AG39" s="428" cm="1">
        <f t="array" aca="1" ref="AG39" ca="1">ROUND(IF(DESONERACAO="sim",REFERENCIA.Desonerado,REFERENCIA.NaoDesonerado),2)</f>
        <v>0</v>
      </c>
      <c r="AH39" s="429">
        <f t="shared" ca="1" si="14"/>
        <v>0.2069</v>
      </c>
      <c r="AJ39" s="431">
        <v>10</v>
      </c>
      <c r="AL39" s="439"/>
      <c r="AM39" s="336">
        <f t="shared" ca="1" si="0"/>
        <v>0</v>
      </c>
      <c r="AN39" s="470" cm="1">
        <f t="array" aca="1" ref="AN39" ca="1">ROUND(ORÇAMENTO.CustoUnitario*(1+$AH39),2)</f>
        <v>0</v>
      </c>
    </row>
    <row r="40" spans="1:40" x14ac:dyDescent="0.2">
      <c r="A40">
        <f t="shared" si="1"/>
        <v>1</v>
      </c>
      <c r="B40">
        <f t="shared" ca="1" si="2"/>
        <v>1</v>
      </c>
      <c r="C40">
        <f t="shared" ca="1" si="3"/>
        <v>1</v>
      </c>
      <c r="D40">
        <f t="shared" ca="1" si="4"/>
        <v>31</v>
      </c>
      <c r="E40">
        <f ca="1">IF($C40=1,OFFSET(E40,-1,0)+MAX(1,COUNTIF(QCI!$A$13:$A$24,OFFSET(ORÇAMENTO!E40,-1,0))),OFFSET(E40,-1,0))</f>
        <v>2</v>
      </c>
      <c r="F40">
        <f t="shared" ca="1" si="5"/>
        <v>0</v>
      </c>
      <c r="G40">
        <f t="shared" ca="1" si="6"/>
        <v>0</v>
      </c>
      <c r="H40">
        <f t="shared" ca="1" si="7"/>
        <v>0</v>
      </c>
      <c r="I40">
        <f t="shared" ca="1" si="8"/>
        <v>0</v>
      </c>
      <c r="J40">
        <f t="shared" ca="1" si="16"/>
        <v>31</v>
      </c>
      <c r="K40" t="e">
        <f ca="1">IF(OR($C40="S",$C40=0),0,MATCH(OFFSET($D40,0,$C40)+IF($C40&lt;&gt;1,1,COUNTIF(QCI!$A$13:$A$24,ORÇAMENTO!E40)),OFFSET($D40,1,$C40,ROW($C$71)-ROW($C40)),0))</f>
        <v>#N/A</v>
      </c>
      <c r="L40" s="114" t="str">
        <f t="shared" ca="1" si="10"/>
        <v>F</v>
      </c>
      <c r="M40" s="115" t="s">
        <v>701</v>
      </c>
      <c r="N40" s="116" t="str">
        <f t="shared" ca="1" si="11"/>
        <v>Meta</v>
      </c>
      <c r="O40" s="117" t="str">
        <f t="shared" ca="1" si="12"/>
        <v>2.</v>
      </c>
      <c r="P40" s="118" t="s">
        <v>750</v>
      </c>
      <c r="Q40" s="119"/>
      <c r="R40" s="120" t="s">
        <v>1022</v>
      </c>
      <c r="S40" s="121" t="str" cm="1">
        <f t="array" aca="1" ref="S40" ca="1">REFERENCIA.Unidade</f>
        <v>-</v>
      </c>
      <c r="T40" s="122">
        <f ca="1">OFFSET(CÁLCULO!H$15,ROW($T40)-ROW(T$15),0)</f>
        <v>0</v>
      </c>
      <c r="U40" s="123"/>
      <c r="V40" s="124" t="s">
        <v>663</v>
      </c>
      <c r="W40" s="122" cm="1">
        <f t="array" aca="1" ref="W40" ca="1">IF($C40="S",ROUND(IF(TIPOORCAMENTO="Proposto",ORÇAMENTO.CustoUnitario*(1+$AH40),ORÇAMENTO.PrecoUnitarioLicitado),15-13*$AF$10),0)</f>
        <v>0</v>
      </c>
      <c r="X40" s="125" cm="1">
        <f t="array" aca="1" ref="X40" ca="1">IF($C40="S",IF(OR(Import.TipoArredondamento&lt;&gt;"TransfereGOV",ACOMPANHAMENTO="BM"),VTOTAL1,SUM(OFFSET(CÁLCULO!$AA$15,ROW($X40)-ROW($X$15),1):OFFSET(CÁLCULO!$AL$15,ROW($X40)-ROW($X$15),-1))),IF($C40=0,0,ROUND(SomaAgrup,15-13*$AF$11)))</f>
        <v>0</v>
      </c>
      <c r="Y40" s="126" t="s">
        <v>751</v>
      </c>
      <c r="Z40" t="str">
        <f t="shared" ca="1" si="13"/>
        <v/>
      </c>
      <c r="AA40" s="127" cm="1">
        <f t="array" aca="1" ref="AA40" ca="1">IF($C40="S",IF($Z40="CP",$X40,IF($Z40="RA",(($X40)*QCI!$AA$3),0)),SomaAgrup)</f>
        <v>0</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f ca="1">IF(C40&lt;=CRONO.NivelExibicao,MAX($AD$15:OFFSET(AD40,-1,0))+IF($C40&lt;&gt;1,1,MAX(1,COUNTIF(QCI!$A$13:$A$24,OFFSET($E40,-1,0)))),"")</f>
        <v>6</v>
      </c>
      <c r="AE40" s="7" t="b" cm="1">
        <f t="array" aca="1" ref="AE40" ca="1">IF(AND($C40="S",ORÇAMENTO.CodBarra&lt;&gt;""),IF(ORÇAMENTO.Fonte="",ORÇAMENTO.CodBarra,CONCATENATE(ORÇAMENTO.Fonte," ",ORÇAMENTO.CodBarra)))</f>
        <v>0</v>
      </c>
      <c r="AF40" s="12"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(Sem Código)</v>
      </c>
      <c r="AG40" s="428" cm="1">
        <f t="array" aca="1" ref="AG40" ca="1">ROUND(IF(DESONERACAO="sim",REFERENCIA.Desonerado,REFERENCIA.NaoDesonerado),2)</f>
        <v>0</v>
      </c>
      <c r="AH40" s="429">
        <f t="shared" ca="1" si="14"/>
        <v>0.2069</v>
      </c>
      <c r="AJ40" s="431"/>
      <c r="AL40" s="439"/>
      <c r="AM40" s="336">
        <f t="shared" ca="1" si="0"/>
        <v>0</v>
      </c>
      <c r="AN40" s="470" cm="1">
        <f t="array" aca="1" ref="AN40" ca="1">ROUND(ORÇAMENTO.CustoUnitario*(1+$AH40),2)</f>
        <v>0</v>
      </c>
    </row>
    <row r="41" spans="1:40" x14ac:dyDescent="0.2">
      <c r="A41">
        <f t="shared" si="1"/>
        <v>2</v>
      </c>
      <c r="B41">
        <f t="shared" ca="1" si="2"/>
        <v>2</v>
      </c>
      <c r="C41">
        <f t="shared" ca="1" si="3"/>
        <v>2</v>
      </c>
      <c r="D41">
        <f t="shared" ca="1" si="4"/>
        <v>2</v>
      </c>
      <c r="E41">
        <f ca="1">IF($C41=1,OFFSET(E41,-1,0)+MAX(1,COUNTIF(QCI!$A$13:$A$24,OFFSET(ORÇAMENTO!E41,-1,0))),OFFSET(E41,-1,0))</f>
        <v>2</v>
      </c>
      <c r="F41">
        <f t="shared" ca="1" si="5"/>
        <v>1</v>
      </c>
      <c r="G41">
        <f t="shared" ca="1" si="6"/>
        <v>0</v>
      </c>
      <c r="H41">
        <f t="shared" ca="1" si="7"/>
        <v>0</v>
      </c>
      <c r="I41">
        <f t="shared" ca="1" si="8"/>
        <v>0</v>
      </c>
      <c r="J41">
        <f t="shared" ca="1" si="16"/>
        <v>30</v>
      </c>
      <c r="K41">
        <f ca="1">IF(OR($C41="S",$C41=0),0,MATCH(OFFSET($D41,0,$C41)+IF($C41&lt;&gt;1,1,COUNTIF(QCI!$A$13:$A$24,ORÇAMENTO!E41)),OFFSET($D41,1,$C41,ROW($C$71)-ROW($C41)),0))</f>
        <v>2</v>
      </c>
      <c r="L41" s="114" t="str">
        <f t="shared" ca="1" si="10"/>
        <v>F</v>
      </c>
      <c r="M41" s="115" t="s">
        <v>702</v>
      </c>
      <c r="N41" s="116" t="str">
        <f t="shared" ca="1" si="11"/>
        <v>Nível 2</v>
      </c>
      <c r="O41" s="117" t="str">
        <f t="shared" ca="1" si="12"/>
        <v>2.1.</v>
      </c>
      <c r="P41" s="118" t="s">
        <v>750</v>
      </c>
      <c r="Q41" s="119"/>
      <c r="R41" s="120" t="s">
        <v>1034</v>
      </c>
      <c r="S41" s="121" t="str" cm="1">
        <f t="array" aca="1" ref="S41" ca="1">REFERENCIA.Unidade</f>
        <v>-</v>
      </c>
      <c r="T41" s="122">
        <f ca="1">OFFSET(CÁLCULO!H$15,ROW($T41)-ROW(T$15),0)</f>
        <v>0</v>
      </c>
      <c r="U41" s="123"/>
      <c r="V41" s="124" t="s">
        <v>663</v>
      </c>
      <c r="W41" s="122" cm="1">
        <f t="array" aca="1" ref="W41" ca="1">IF($C41="S",ROUND(IF(TIPOORCAMENTO="Proposto",ORÇAMENTO.CustoUnitario*(1+$AH41),ORÇAMENTO.PrecoUnitarioLicitado),15-13*$AF$10),0)</f>
        <v>0</v>
      </c>
      <c r="X41" s="125" cm="1">
        <f t="array" aca="1" ref="X41" ca="1">IF($C41="S",IF(OR(Import.TipoArredondamento&lt;&gt;"TransfereGOV",ACOMPANHAMENTO="BM"),VTOTAL1,SUM(OFFSET(CÁLCULO!$AA$15,ROW($X41)-ROW($X$15),1):OFFSET(CÁLCULO!$AL$15,ROW($X41)-ROW($X$15),-1))),IF($C41=0,0,ROUND(SomaAgrup,15-13*$AF$11)))</f>
        <v>0</v>
      </c>
      <c r="Y41" s="126" t="s">
        <v>751</v>
      </c>
      <c r="Z41" t="str">
        <f t="shared" ca="1" si="13"/>
        <v/>
      </c>
      <c r="AA41" s="127" cm="1">
        <f t="array" aca="1" ref="AA41" ca="1">IF($C41="S",IF($Z41="CP",$X41,IF($Z41="RA",(($X41)*QCI!$AA$3),0)),SomaAgrup)</f>
        <v>0</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f ca="1">IF(C41&lt;=CRONO.NivelExibicao,MAX($AD$15:OFFSET(AD41,-1,0))+IF($C41&lt;&gt;1,1,MAX(1,COUNTIF(QCI!$A$13:$A$24,OFFSET($E41,-1,0)))),"")</f>
        <v>7</v>
      </c>
      <c r="AE41" s="7" t="b" cm="1">
        <f t="array" aca="1" ref="AE41" ca="1">IF(AND($C41="S",ORÇAMENTO.CodBarra&lt;&gt;""),IF(ORÇAMENTO.Fonte="",ORÇAMENTO.CodBarra,CONCATENATE(ORÇAMENTO.Fonte," ",ORÇAMENTO.CodBarra)))</f>
        <v>0</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(Sem Código)</v>
      </c>
      <c r="AG41" s="428" cm="1">
        <f t="array" aca="1" ref="AG41" ca="1">ROUND(IF(DESONERACAO="sim",REFERENCIA.Desonerado,REFERENCIA.NaoDesonerado),2)</f>
        <v>0</v>
      </c>
      <c r="AH41" s="429">
        <f t="shared" ca="1" si="14"/>
        <v>0.2069</v>
      </c>
      <c r="AJ41" s="431"/>
      <c r="AL41" s="439"/>
      <c r="AM41" s="336">
        <f t="shared" ca="1" si="0"/>
        <v>0</v>
      </c>
      <c r="AN41" s="470" cm="1">
        <f t="array" aca="1" ref="AN41" ca="1">ROUND(ORÇAMENTO.CustoUnitario*(1+$AH41),2)</f>
        <v>0</v>
      </c>
    </row>
    <row r="42" spans="1:40" ht="63.75" x14ac:dyDescent="0.2">
      <c r="A42" t="str">
        <f t="shared" si="1"/>
        <v>S</v>
      </c>
      <c r="B42">
        <f t="shared" ca="1" si="2"/>
        <v>2</v>
      </c>
      <c r="C42" t="str">
        <f t="shared" ca="1" si="3"/>
        <v>S</v>
      </c>
      <c r="D42">
        <f t="shared" ca="1" si="4"/>
        <v>0</v>
      </c>
      <c r="E42">
        <f ca="1">IF($C42=1,OFFSET(E42,-1,0)+MAX(1,COUNTIF(QCI!$A$13:$A$24,OFFSET(ORÇAMENTO!E42,-1,0))),OFFSET(E42,-1,0))</f>
        <v>2</v>
      </c>
      <c r="F42">
        <f t="shared" ca="1" si="5"/>
        <v>1</v>
      </c>
      <c r="G42">
        <f t="shared" ca="1" si="6"/>
        <v>0</v>
      </c>
      <c r="H42">
        <f t="shared" ca="1" si="7"/>
        <v>0</v>
      </c>
      <c r="I42">
        <f t="shared" ca="1" si="8"/>
        <v>0</v>
      </c>
      <c r="J42">
        <f t="shared" ca="1" si="16"/>
        <v>0</v>
      </c>
      <c r="K42">
        <f ca="1">IF(OR($C42="S",$C42=0),0,MATCH(OFFSET($D42,0,$C42)+IF($C42&lt;&gt;1,1,COUNTIF(QCI!$A$13:$A$24,ORÇAMENTO!E42)),OFFSET($D42,1,$C42,ROW($C$71)-ROW($C42)),0))</f>
        <v>0</v>
      </c>
      <c r="L42" s="114" t="str">
        <f t="shared" ca="1" si="10"/>
        <v/>
      </c>
      <c r="M42" s="115" t="s">
        <v>705</v>
      </c>
      <c r="N42" s="116" t="str">
        <f t="shared" ca="1" si="11"/>
        <v>Serviço</v>
      </c>
      <c r="O42" s="117" t="str">
        <f t="shared" ca="1" si="12"/>
        <v>-</v>
      </c>
      <c r="P42" s="118" t="s">
        <v>750</v>
      </c>
      <c r="Q42" s="119" t="s">
        <v>1027</v>
      </c>
      <c r="R42" s="120" t="str" cm="1">
        <f t="array" aca="1" ref="R42" ca="1">IF($C42="S",REFERENCIA.Descricao,"(digite a descrição aqui)")</f>
        <v>(Código não identificado nas referências)</v>
      </c>
      <c r="S42" s="121" t="str" cm="1">
        <f t="array" aca="1" ref="S42" ca="1">REFERENCIA.Unidade</f>
        <v>-</v>
      </c>
      <c r="T42" s="122">
        <f ca="1">OFFSET(CÁLCULO!H$15,ROW($T42)-ROW(T$15),0)</f>
        <v>2</v>
      </c>
      <c r="U42" s="123"/>
      <c r="V42" s="124" t="s">
        <v>663</v>
      </c>
      <c r="W42" s="122" cm="1">
        <f t="array" aca="1" ref="W42" ca="1">IF($C42="S",ROUND(IF(TIPOORCAMENTO="Proposto",ORÇAMENTO.CustoUnitario*(1+$AH42),ORÇAMENTO.PrecoUnitarioLicitado),15-13*$AF$10),0)</f>
        <v>0</v>
      </c>
      <c r="X42" s="125" cm="1">
        <f t="array" aca="1" ref="X42" ca="1">IF($C42="S",IF(OR(Import.TipoArredondamento&lt;&gt;"TransfereGOV",ACOMPANHAMENTO="BM"),VTOTAL1,SUM(OFFSET(CÁLCULO!$AA$15,ROW($X42)-ROW($X$15),1):OFFSET(CÁLCULO!$AL$15,ROW($X42)-ROW($X$15),-1))),IF($C42=0,0,ROUND(SomaAgrup,15-13*$AF$11)))</f>
        <v>0</v>
      </c>
      <c r="Y42" s="126" t="s">
        <v>751</v>
      </c>
      <c r="Z42" t="str">
        <f t="shared" ca="1" si="13"/>
        <v/>
      </c>
      <c r="AA42" s="127" cm="1">
        <f t="array" aca="1" ref="AA42" ca="1">IF($C42="S",IF($Z42="CP",$X42,IF($Z42="RA",(($X42)*QCI!$AA$3),0)),SomaAgrup)</f>
        <v>0</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CÓDIGO N/ID</v>
      </c>
      <c r="AD42" t="str">
        <f ca="1">IF(C42&lt;=CRONO.NivelExibicao,MAX($AD$15:OFFSET(AD42,-1,0))+IF($C42&lt;&gt;1,1,MAX(1,COUNTIF(QCI!$A$13:$A$24,OFFSET($E42,-1,0)))),"")</f>
        <v/>
      </c>
      <c r="AE42" s="7" t="str" cm="1">
        <f t="array" aca="1" ref="AE42" ca="1">IF(AND($C42="S",ORÇAMENTO.CodBarra&lt;&gt;""),IF(ORÇAMENTO.Fonte="",ORÇAMENTO.CodBarra,CONCATENATE(ORÇAMENTO.Fonte," ",ORÇAMENTO.CodBarra)))</f>
        <v>SINAPI 107113</v>
      </c>
      <c r="AF42" s="12"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(Código não identificado nas referências)</v>
      </c>
      <c r="AG42" s="428" cm="1">
        <f t="array" aca="1" ref="AG42" ca="1">ROUND(IF(DESONERACAO="sim",REFERENCIA.Desonerado,REFERENCIA.NaoDesonerado),2)</f>
        <v>0</v>
      </c>
      <c r="AH42" s="429">
        <f t="shared" ca="1" si="14"/>
        <v>0.2069</v>
      </c>
      <c r="AJ42" s="431">
        <v>2</v>
      </c>
      <c r="AL42" s="439"/>
      <c r="AM42" s="336">
        <f t="shared" ca="1" si="0"/>
        <v>0</v>
      </c>
      <c r="AN42" s="470" cm="1">
        <f t="array" aca="1" ref="AN42" ca="1">ROUND(ORÇAMENTO.CustoUnitario*(1+$AH42),2)</f>
        <v>0</v>
      </c>
    </row>
    <row r="43" spans="1:40" x14ac:dyDescent="0.2">
      <c r="A43">
        <f t="shared" si="1"/>
        <v>2</v>
      </c>
      <c r="B43">
        <f t="shared" ca="1" si="2"/>
        <v>2</v>
      </c>
      <c r="C43">
        <f t="shared" ca="1" si="3"/>
        <v>2</v>
      </c>
      <c r="D43">
        <f t="shared" ca="1" si="4"/>
        <v>5</v>
      </c>
      <c r="E43">
        <f ca="1">IF($C43=1,OFFSET(E43,-1,0)+MAX(1,COUNTIF(QCI!$A$13:$A$24,OFFSET(ORÇAMENTO!E43,-1,0))),OFFSET(E43,-1,0))</f>
        <v>2</v>
      </c>
      <c r="F43">
        <f t="shared" ca="1" si="5"/>
        <v>2</v>
      </c>
      <c r="G43">
        <f t="shared" ca="1" si="6"/>
        <v>0</v>
      </c>
      <c r="H43">
        <f t="shared" ca="1" si="7"/>
        <v>0</v>
      </c>
      <c r="I43">
        <f t="shared" ca="1" si="8"/>
        <v>0</v>
      </c>
      <c r="J43">
        <f t="shared" ca="1" si="16"/>
        <v>28</v>
      </c>
      <c r="K43">
        <f ca="1">IF(OR($C43="S",$C43=0),0,MATCH(OFFSET($D43,0,$C43)+IF($C43&lt;&gt;1,1,COUNTIF(QCI!$A$13:$A$24,ORÇAMENTO!E43)),OFFSET($D43,1,$C43,ROW($C$71)-ROW($C43)),0))</f>
        <v>5</v>
      </c>
      <c r="L43" s="114" t="str">
        <f t="shared" ca="1" si="10"/>
        <v>F</v>
      </c>
      <c r="M43" s="115" t="s">
        <v>702</v>
      </c>
      <c r="N43" s="116" t="str">
        <f t="shared" ca="1" si="11"/>
        <v>Nível 2</v>
      </c>
      <c r="O43" s="117" t="str">
        <f t="shared" ca="1" si="12"/>
        <v>2.2.</v>
      </c>
      <c r="P43" s="118" t="s">
        <v>750</v>
      </c>
      <c r="Q43" s="119"/>
      <c r="R43" s="120" t="s">
        <v>1035</v>
      </c>
      <c r="S43" s="121" t="str" cm="1">
        <f t="array" aca="1" ref="S43" ca="1">REFERENCIA.Unidade</f>
        <v>-</v>
      </c>
      <c r="T43" s="122">
        <f ca="1">OFFSET(CÁLCULO!H$15,ROW($T43)-ROW(T$15),0)</f>
        <v>0</v>
      </c>
      <c r="U43" s="123"/>
      <c r="V43" s="124" t="s">
        <v>663</v>
      </c>
      <c r="W43" s="122" cm="1">
        <f t="array" aca="1" ref="W43" ca="1">IF($C43="S",ROUND(IF(TIPOORCAMENTO="Proposto",ORÇAMENTO.CustoUnitario*(1+$AH43),ORÇAMENTO.PrecoUnitarioLicitado),15-13*$AF$10),0)</f>
        <v>0</v>
      </c>
      <c r="X43" s="125" cm="1">
        <f t="array" aca="1" ref="X43" ca="1">IF($C43="S",IF(OR(Import.TipoArredondamento&lt;&gt;"TransfereGOV",ACOMPANHAMENTO="BM"),VTOTAL1,SUM(OFFSET(CÁLCULO!$AA$15,ROW($X43)-ROW($X$15),1):OFFSET(CÁLCULO!$AL$15,ROW($X43)-ROW($X$15),-1))),IF($C43=0,0,ROUND(SomaAgrup,15-13*$AF$11)))</f>
        <v>0</v>
      </c>
      <c r="Y43" s="126" t="s">
        <v>751</v>
      </c>
      <c r="Z43" t="str">
        <f t="shared" ca="1" si="13"/>
        <v/>
      </c>
      <c r="AA43" s="127" cm="1">
        <f t="array" aca="1" ref="AA43" ca="1">IF($C43="S",IF($Z43="CP",$X43,IF($Z43="RA",(($X43)*QCI!$AA$3),0)),SomaAgrup)</f>
        <v>0</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f ca="1">IF(C43&lt;=CRONO.NivelExibicao,MAX($AD$15:OFFSET(AD43,-1,0))+IF($C43&lt;&gt;1,1,MAX(1,COUNTIF(QCI!$A$13:$A$24,OFFSET($E43,-1,0)))),"")</f>
        <v>8</v>
      </c>
      <c r="AE43" s="7" t="b" cm="1">
        <f t="array" aca="1" ref="AE43" ca="1">IF(AND($C43="S",ORÇAMENTO.CodBarra&lt;&gt;""),IF(ORÇAMENTO.Fonte="",ORÇAMENTO.CodBarra,CONCATENATE(ORÇAMENTO.Fonte," ",ORÇAMENTO.CodBarra)))</f>
        <v>0</v>
      </c>
      <c r="AF43" s="12"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(Sem Código)</v>
      </c>
      <c r="AG43" s="428" cm="1">
        <f t="array" aca="1" ref="AG43" ca="1">ROUND(IF(DESONERACAO="sim",REFERENCIA.Desonerado,REFERENCIA.NaoDesonerado),2)</f>
        <v>0</v>
      </c>
      <c r="AH43" s="429">
        <f t="shared" ca="1" si="14"/>
        <v>0.2069</v>
      </c>
      <c r="AJ43" s="431"/>
      <c r="AL43" s="439"/>
      <c r="AM43" s="336">
        <f t="shared" ca="1" si="0"/>
        <v>0</v>
      </c>
      <c r="AN43" s="470" cm="1">
        <f t="array" aca="1" ref="AN43" ca="1">ROUND(ORÇAMENTO.CustoUnitario*(1+$AH43),2)</f>
        <v>0</v>
      </c>
    </row>
    <row r="44" spans="1:40" ht="38.25" x14ac:dyDescent="0.2">
      <c r="A44" t="str">
        <f t="shared" si="1"/>
        <v>S</v>
      </c>
      <c r="B44">
        <f t="shared" ca="1" si="2"/>
        <v>2</v>
      </c>
      <c r="C44" t="str">
        <f t="shared" ca="1" si="3"/>
        <v>S</v>
      </c>
      <c r="D44">
        <f t="shared" ca="1" si="4"/>
        <v>0</v>
      </c>
      <c r="E44">
        <f ca="1">IF($C44=1,OFFSET(E44,-1,0)+MAX(1,COUNTIF(QCI!$A$13:$A$24,OFFSET(ORÇAMENTO!E44,-1,0))),OFFSET(E44,-1,0))</f>
        <v>2</v>
      </c>
      <c r="F44">
        <f t="shared" ca="1" si="5"/>
        <v>2</v>
      </c>
      <c r="G44">
        <f t="shared" ca="1" si="6"/>
        <v>0</v>
      </c>
      <c r="H44">
        <f t="shared" ca="1" si="7"/>
        <v>0</v>
      </c>
      <c r="I44">
        <f t="shared" ca="1" si="8"/>
        <v>0</v>
      </c>
      <c r="J44">
        <f t="shared" ca="1" si="16"/>
        <v>0</v>
      </c>
      <c r="K44">
        <f ca="1">IF(OR($C44="S",$C44=0),0,MATCH(OFFSET($D44,0,$C44)+IF($C44&lt;&gt;1,1,COUNTIF(QCI!$A$13:$A$24,ORÇAMENTO!E44)),OFFSET($D44,1,$C44,ROW($C$71)-ROW($C44)),0))</f>
        <v>0</v>
      </c>
      <c r="L44" s="114" t="str">
        <f t="shared" ca="1" si="10"/>
        <v/>
      </c>
      <c r="M44" s="115" t="s">
        <v>705</v>
      </c>
      <c r="N44" s="116" t="str">
        <f t="shared" ca="1" si="11"/>
        <v>Serviço</v>
      </c>
      <c r="O44" s="117" t="str">
        <f t="shared" ca="1" si="12"/>
        <v>-</v>
      </c>
      <c r="P44" s="118" t="s">
        <v>750</v>
      </c>
      <c r="Q44" s="119" t="s">
        <v>1036</v>
      </c>
      <c r="R44" s="120" t="str" cm="1">
        <f t="array" aca="1" ref="R44" ca="1">IF($C44="S",REFERENCIA.Descricao,"(digite a descrição aqui)")</f>
        <v>(Código não identificado nas referências)</v>
      </c>
      <c r="S44" s="121" t="str" cm="1">
        <f t="array" aca="1" ref="S44" ca="1">REFERENCIA.Unidade</f>
        <v>-</v>
      </c>
      <c r="T44" s="122">
        <f ca="1">OFFSET(CÁLCULO!H$15,ROW($T44)-ROW(T$15),0)</f>
        <v>5.08</v>
      </c>
      <c r="U44" s="123"/>
      <c r="V44" s="124" t="s">
        <v>663</v>
      </c>
      <c r="W44" s="122" cm="1">
        <f t="array" aca="1" ref="W44" ca="1">IF($C44="S",ROUND(IF(TIPOORCAMENTO="Proposto",ORÇAMENTO.CustoUnitario*(1+$AH44),ORÇAMENTO.PrecoUnitarioLicitado),15-13*$AF$10),0)</f>
        <v>0</v>
      </c>
      <c r="X44" s="125" cm="1">
        <f t="array" aca="1" ref="X44" ca="1">IF($C44="S",IF(OR(Import.TipoArredondamento&lt;&gt;"TransfereGOV",ACOMPANHAMENTO="BM"),VTOTAL1,SUM(OFFSET(CÁLCULO!$AA$15,ROW($X44)-ROW($X$15),1):OFFSET(CÁLCULO!$AL$15,ROW($X44)-ROW($X$15),-1))),IF($C44=0,0,ROUND(SomaAgrup,15-13*$AF$11)))</f>
        <v>0</v>
      </c>
      <c r="Y44" s="126" t="s">
        <v>751</v>
      </c>
      <c r="Z44" t="str">
        <f t="shared" ca="1" si="13"/>
        <v/>
      </c>
      <c r="AA44" s="127" cm="1">
        <f t="array" aca="1" ref="AA44" ca="1">IF($C44="S",IF($Z44="CP",$X44,IF($Z44="RA",(($X44)*QCI!$AA$3),0)),SomaAgrup)</f>
        <v>0</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CÓDIGO N/ID</v>
      </c>
      <c r="AD44" t="str">
        <f ca="1">IF(C44&lt;=CRONO.NivelExibicao,MAX($AD$15:OFFSET(AD44,-1,0))+IF($C44&lt;&gt;1,1,MAX(1,COUNTIF(QCI!$A$13:$A$24,OFFSET($E44,-1,0)))),"")</f>
        <v/>
      </c>
      <c r="AE44" s="7" t="str" cm="1">
        <f t="array" aca="1" ref="AE44" ca="1">IF(AND($C44="S",ORÇAMENTO.CodBarra&lt;&gt;""),IF(ORÇAMENTO.Fonte="",ORÇAMENTO.CodBarra,CONCATENATE(ORÇAMENTO.Fonte," ",ORÇAMENTO.CodBarra)))</f>
        <v>SINAPI 92759</v>
      </c>
      <c r="AF44" s="12" t="str"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(Código não identificado nas referências)</v>
      </c>
      <c r="AG44" s="428" cm="1">
        <f t="array" aca="1" ref="AG44" ca="1">ROUND(IF(DESONERACAO="sim",REFERENCIA.Desonerado,REFERENCIA.NaoDesonerado),2)</f>
        <v>0</v>
      </c>
      <c r="AH44" s="429">
        <f t="shared" ca="1" si="14"/>
        <v>0.2069</v>
      </c>
      <c r="AJ44" s="431">
        <f>((1.25+1.25+4.45)/0.15)*0.7*(1.88/12)</f>
        <v>5.0812222222222214</v>
      </c>
      <c r="AL44" s="439"/>
      <c r="AM44" s="336">
        <f t="shared" ca="1" si="0"/>
        <v>0</v>
      </c>
      <c r="AN44" s="470" cm="1">
        <f t="array" aca="1" ref="AN44" ca="1">ROUND(ORÇAMENTO.CustoUnitario*(1+$AH44),2)</f>
        <v>0</v>
      </c>
    </row>
    <row r="45" spans="1:40" ht="38.25" x14ac:dyDescent="0.2">
      <c r="A45" t="str">
        <f t="shared" si="1"/>
        <v>S</v>
      </c>
      <c r="B45">
        <f t="shared" ca="1" si="2"/>
        <v>2</v>
      </c>
      <c r="C45" t="str">
        <f t="shared" ca="1" si="3"/>
        <v>S</v>
      </c>
      <c r="D45">
        <f t="shared" ca="1" si="4"/>
        <v>0</v>
      </c>
      <c r="E45">
        <f ca="1">IF($C45=1,OFFSET(E45,-1,0)+MAX(1,COUNTIF(QCI!$A$13:$A$24,OFFSET(ORÇAMENTO!E45,-1,0))),OFFSET(E45,-1,0))</f>
        <v>2</v>
      </c>
      <c r="F45">
        <f t="shared" ca="1" si="5"/>
        <v>2</v>
      </c>
      <c r="G45">
        <f t="shared" ca="1" si="6"/>
        <v>0</v>
      </c>
      <c r="H45">
        <f t="shared" ca="1" si="7"/>
        <v>0</v>
      </c>
      <c r="I45">
        <f t="shared" ca="1" si="8"/>
        <v>0</v>
      </c>
      <c r="J45">
        <f t="shared" ca="1" si="16"/>
        <v>0</v>
      </c>
      <c r="K45">
        <f ca="1">IF(OR($C45="S",$C45=0),0,MATCH(OFFSET($D45,0,$C45)+IF($C45&lt;&gt;1,1,COUNTIF(QCI!$A$13:$A$24,ORÇAMENTO!E45)),OFFSET($D45,1,$C45,ROW($C$71)-ROW($C45)),0))</f>
        <v>0</v>
      </c>
      <c r="L45" s="114" t="str">
        <f t="shared" ca="1" si="10"/>
        <v/>
      </c>
      <c r="M45" s="115" t="s">
        <v>705</v>
      </c>
      <c r="N45" s="116" t="str">
        <f t="shared" ca="1" si="11"/>
        <v>Serviço</v>
      </c>
      <c r="O45" s="117" t="str">
        <f t="shared" ca="1" si="12"/>
        <v>-</v>
      </c>
      <c r="P45" s="118" t="s">
        <v>750</v>
      </c>
      <c r="Q45" s="119" t="s">
        <v>1037</v>
      </c>
      <c r="R45" s="120" t="str" cm="1">
        <f t="array" aca="1" ref="R45" ca="1">IF($C45="S",REFERENCIA.Descricao,"(digite a descrição aqui)")</f>
        <v>(Código não identificado nas referências)</v>
      </c>
      <c r="S45" s="121" t="str" cm="1">
        <f t="array" aca="1" ref="S45" ca="1">REFERENCIA.Unidade</f>
        <v>-</v>
      </c>
      <c r="T45" s="122">
        <f ca="1">OFFSET(CÁLCULO!H$15,ROW($T45)-ROW(T$15),0)</f>
        <v>6.81</v>
      </c>
      <c r="U45" s="123"/>
      <c r="V45" s="124" t="s">
        <v>663</v>
      </c>
      <c r="W45" s="122" cm="1">
        <f t="array" aca="1" ref="W45" ca="1">IF($C45="S",ROUND(IF(TIPOORCAMENTO="Proposto",ORÇAMENTO.CustoUnitario*(1+$AH45),ORÇAMENTO.PrecoUnitarioLicitado),15-13*$AF$10),0)</f>
        <v>0</v>
      </c>
      <c r="X45" s="125" cm="1">
        <f t="array" aca="1" ref="X45" ca="1">IF($C45="S",IF(OR(Import.TipoArredondamento&lt;&gt;"TransfereGOV",ACOMPANHAMENTO="BM"),VTOTAL1,SUM(OFFSET(CÁLCULO!$AA$15,ROW($X45)-ROW($X$15),1):OFFSET(CÁLCULO!$AL$15,ROW($X45)-ROW($X$15),-1))),IF($C45=0,0,ROUND(SomaAgrup,15-13*$AF$11)))</f>
        <v>0</v>
      </c>
      <c r="Y45" s="126" t="s">
        <v>751</v>
      </c>
      <c r="Z45" t="str">
        <f t="shared" ca="1" si="13"/>
        <v/>
      </c>
      <c r="AA45" s="127" cm="1">
        <f t="array" aca="1" ref="AA45" ca="1">IF($C45="S",IF($Z45="CP",$X45,IF($Z45="RA",(($X45)*QCI!$AA$3),0)),SomaAgrup)</f>
        <v>0</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CÓDIGO N/ID</v>
      </c>
      <c r="AD45" t="str">
        <f ca="1">IF(C45&lt;=CRONO.NivelExibicao,MAX($AD$15:OFFSET(AD45,-1,0))+IF($C45&lt;&gt;1,1,MAX(1,COUNTIF(QCI!$A$13:$A$24,OFFSET($E45,-1,0)))),"")</f>
        <v/>
      </c>
      <c r="AE45" s="7" t="str" cm="1">
        <f t="array" aca="1" ref="AE45" ca="1">IF(AND($C45="S",ORÇAMENTO.CodBarra&lt;&gt;""),IF(ORÇAMENTO.Fonte="",ORÇAMENTO.CodBarra,CONCATENATE(ORÇAMENTO.Fonte," ",ORÇAMENTO.CodBarra)))</f>
        <v>SINAPI 92760</v>
      </c>
      <c r="AF45" s="12"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(Código não identificado nas referências)</v>
      </c>
      <c r="AG45" s="428" cm="1">
        <f t="array" aca="1" ref="AG45" ca="1">ROUND(IF(DESONERACAO="sim",REFERENCIA.Desonerado,REFERENCIA.NaoDesonerado),2)</f>
        <v>0</v>
      </c>
      <c r="AH45" s="429">
        <f t="shared" ca="1" si="14"/>
        <v>0.2069</v>
      </c>
      <c r="AJ45" s="431">
        <f>(1.25+1.25+4.45)*4*0.245</f>
        <v>6.8109999999999999</v>
      </c>
      <c r="AL45" s="439"/>
      <c r="AM45" s="336">
        <f t="shared" ca="1" si="0"/>
        <v>0</v>
      </c>
      <c r="AN45" s="470" cm="1">
        <f t="array" aca="1" ref="AN45" ca="1">ROUND(ORÇAMENTO.CustoUnitario*(1+$AH45),2)</f>
        <v>0</v>
      </c>
    </row>
    <row r="46" spans="1:40" ht="25.5" x14ac:dyDescent="0.2">
      <c r="A46" t="str">
        <f t="shared" si="1"/>
        <v>S</v>
      </c>
      <c r="B46">
        <f t="shared" ca="1" si="2"/>
        <v>2</v>
      </c>
      <c r="C46" t="str">
        <f t="shared" ca="1" si="3"/>
        <v>S</v>
      </c>
      <c r="D46">
        <f t="shared" ca="1" si="4"/>
        <v>0</v>
      </c>
      <c r="E46">
        <f ca="1">IF($C46=1,OFFSET(E46,-1,0)+MAX(1,COUNTIF(QCI!$A$13:$A$24,OFFSET(ORÇAMENTO!E46,-1,0))),OFFSET(E46,-1,0))</f>
        <v>2</v>
      </c>
      <c r="F46">
        <f t="shared" ca="1" si="5"/>
        <v>2</v>
      </c>
      <c r="G46">
        <f t="shared" ca="1" si="6"/>
        <v>0</v>
      </c>
      <c r="H46">
        <f t="shared" ca="1" si="7"/>
        <v>0</v>
      </c>
      <c r="I46">
        <f t="shared" ca="1" si="8"/>
        <v>0</v>
      </c>
      <c r="J46">
        <f t="shared" ca="1" si="16"/>
        <v>0</v>
      </c>
      <c r="K46">
        <f ca="1">IF(OR($C46="S",$C46=0),0,MATCH(OFFSET($D46,0,$C46)+IF($C46&lt;&gt;1,1,COUNTIF(QCI!$A$13:$A$24,ORÇAMENTO!E46)),OFFSET($D46,1,$C46,ROW($C$71)-ROW($C46)),0))</f>
        <v>0</v>
      </c>
      <c r="L46" s="114" t="str">
        <f t="shared" ca="1" si="10"/>
        <v/>
      </c>
      <c r="M46" s="115" t="s">
        <v>705</v>
      </c>
      <c r="N46" s="116" t="str">
        <f t="shared" ca="1" si="11"/>
        <v>Serviço</v>
      </c>
      <c r="O46" s="117" t="str">
        <f t="shared" ca="1" si="12"/>
        <v>-</v>
      </c>
      <c r="P46" s="118" t="s">
        <v>750</v>
      </c>
      <c r="Q46" s="119" t="s">
        <v>1038</v>
      </c>
      <c r="R46" s="120" t="str" cm="1">
        <f t="array" aca="1" ref="R46" ca="1">IF($C46="S",REFERENCIA.Descricao,"(digite a descrição aqui)")</f>
        <v>(Código não identificado nas referências)</v>
      </c>
      <c r="S46" s="121" t="str" cm="1">
        <f t="array" aca="1" ref="S46" ca="1">REFERENCIA.Unidade</f>
        <v>-</v>
      </c>
      <c r="T46" s="122">
        <f ca="1">OFFSET(CÁLCULO!H$15,ROW($T46)-ROW(T$15),0)</f>
        <v>3.48</v>
      </c>
      <c r="U46" s="123"/>
      <c r="V46" s="124" t="s">
        <v>663</v>
      </c>
      <c r="W46" s="122" cm="1">
        <f t="array" aca="1" ref="W46" ca="1">IF($C46="S",ROUND(IF(TIPOORCAMENTO="Proposto",ORÇAMENTO.CustoUnitario*(1+$AH46),ORÇAMENTO.PrecoUnitarioLicitado),15-13*$AF$10),0)</f>
        <v>0</v>
      </c>
      <c r="X46" s="125" cm="1">
        <f t="array" aca="1" ref="X46" ca="1">IF($C46="S",IF(OR(Import.TipoArredondamento&lt;&gt;"TransfereGOV",ACOMPANHAMENTO="BM"),VTOTAL1,SUM(OFFSET(CÁLCULO!$AA$15,ROW($X46)-ROW($X$15),1):OFFSET(CÁLCULO!$AL$15,ROW($X46)-ROW($X$15),-1))),IF($C46=0,0,ROUND(SomaAgrup,15-13*$AF$11)))</f>
        <v>0</v>
      </c>
      <c r="Y46" s="126" t="s">
        <v>751</v>
      </c>
      <c r="Z46" t="str">
        <f t="shared" ca="1" si="13"/>
        <v/>
      </c>
      <c r="AA46" s="127" cm="1">
        <f t="array" aca="1" ref="AA46" ca="1">IF($C46="S",IF($Z46="CP",$X46,IF($Z46="RA",(($X46)*QCI!$AA$3),0)),SomaAgrup)</f>
        <v>0</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CÓDIGO N/ID</v>
      </c>
      <c r="AD46" t="str">
        <f ca="1">IF(C46&lt;=CRONO.NivelExibicao,MAX($AD$15:OFFSET(AD46,-1,0))+IF($C46&lt;&gt;1,1,MAX(1,COUNTIF(QCI!$A$13:$A$24,OFFSET($E46,-1,0)))),"")</f>
        <v/>
      </c>
      <c r="AE46" s="7" t="str" cm="1">
        <f t="array" aca="1" ref="AE46" ca="1">IF(AND($C46="S",ORÇAMENTO.CodBarra&lt;&gt;""),IF(ORÇAMENTO.Fonte="",ORÇAMENTO.CodBarra,CONCATENATE(ORÇAMENTO.Fonte," ",ORÇAMENTO.CodBarra)))</f>
        <v>SINAPI 92270</v>
      </c>
      <c r="AF46" s="12" t="str"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(Código não identificado nas referências)</v>
      </c>
      <c r="AG46" s="428" cm="1">
        <f t="array" aca="1" ref="AG46" ca="1">ROUND(IF(DESONERACAO="sim",REFERENCIA.Desonerado,REFERENCIA.NaoDesonerado),2)</f>
        <v>0</v>
      </c>
      <c r="AH46" s="429">
        <f t="shared" ca="1" si="14"/>
        <v>0.2069</v>
      </c>
      <c r="AJ46" s="431">
        <f>(1.25+1.25+4.45)*0.25*2</f>
        <v>3.4750000000000001</v>
      </c>
      <c r="AL46" s="439"/>
      <c r="AM46" s="336">
        <f t="shared" ca="1" si="0"/>
        <v>0</v>
      </c>
      <c r="AN46" s="470" cm="1">
        <f t="array" aca="1" ref="AN46" ca="1">ROUND(ORÇAMENTO.CustoUnitario*(1+$AH46),2)</f>
        <v>0</v>
      </c>
    </row>
    <row r="47" spans="1:40" ht="38.25" x14ac:dyDescent="0.2">
      <c r="A47" t="str">
        <f t="shared" si="1"/>
        <v>S</v>
      </c>
      <c r="B47">
        <f t="shared" ca="1" si="2"/>
        <v>2</v>
      </c>
      <c r="C47" t="str">
        <f t="shared" ca="1" si="3"/>
        <v>S</v>
      </c>
      <c r="D47">
        <f t="shared" ca="1" si="4"/>
        <v>0</v>
      </c>
      <c r="E47">
        <f ca="1">IF($C47=1,OFFSET(E47,-1,0)+MAX(1,COUNTIF(QCI!$A$13:$A$24,OFFSET(ORÇAMENTO!E47,-1,0))),OFFSET(E47,-1,0))</f>
        <v>2</v>
      </c>
      <c r="F47">
        <f t="shared" ca="1" si="5"/>
        <v>2</v>
      </c>
      <c r="G47">
        <f t="shared" ca="1" si="6"/>
        <v>0</v>
      </c>
      <c r="H47">
        <f t="shared" ca="1" si="7"/>
        <v>0</v>
      </c>
      <c r="I47">
        <f t="shared" ca="1" si="8"/>
        <v>0</v>
      </c>
      <c r="J47">
        <f t="shared" ca="1" si="16"/>
        <v>0</v>
      </c>
      <c r="K47">
        <f ca="1">IF(OR($C47="S",$C47=0),0,MATCH(OFFSET($D47,0,$C47)+IF($C47&lt;&gt;1,1,COUNTIF(QCI!$A$13:$A$24,ORÇAMENTO!E47)),OFFSET($D47,1,$C47,ROW($C$71)-ROW($C47)),0))</f>
        <v>0</v>
      </c>
      <c r="L47" s="114" t="str">
        <f t="shared" ca="1" si="10"/>
        <v/>
      </c>
      <c r="M47" s="115" t="s">
        <v>705</v>
      </c>
      <c r="N47" s="116" t="str">
        <f t="shared" ca="1" si="11"/>
        <v>Serviço</v>
      </c>
      <c r="O47" s="117" t="str">
        <f t="shared" ca="1" si="12"/>
        <v>-</v>
      </c>
      <c r="P47" s="118" t="s">
        <v>750</v>
      </c>
      <c r="Q47" s="119" t="s">
        <v>1039</v>
      </c>
      <c r="R47" s="120" t="str" cm="1">
        <f t="array" aca="1" ref="R47" ca="1">IF($C47="S",REFERENCIA.Descricao,"(digite a descrição aqui)")</f>
        <v>(Código não identificado nas referências)</v>
      </c>
      <c r="S47" s="121" t="str" cm="1">
        <f t="array" aca="1" ref="S47" ca="1">REFERENCIA.Unidade</f>
        <v>-</v>
      </c>
      <c r="T47" s="122">
        <f ca="1">OFFSET(CÁLCULO!H$15,ROW($T47)-ROW(T$15),0)</f>
        <v>0.26</v>
      </c>
      <c r="U47" s="123"/>
      <c r="V47" s="124" t="s">
        <v>663</v>
      </c>
      <c r="W47" s="122" cm="1">
        <f t="array" aca="1" ref="W47" ca="1">IF($C47="S",ROUND(IF(TIPOORCAMENTO="Proposto",ORÇAMENTO.CustoUnitario*(1+$AH47),ORÇAMENTO.PrecoUnitarioLicitado),15-13*$AF$10),0)</f>
        <v>0</v>
      </c>
      <c r="X47" s="125" cm="1">
        <f t="array" aca="1" ref="X47" ca="1">IF($C47="S",IF(OR(Import.TipoArredondamento&lt;&gt;"TransfereGOV",ACOMPANHAMENTO="BM"),VTOTAL1,SUM(OFFSET(CÁLCULO!$AA$15,ROW($X47)-ROW($X$15),1):OFFSET(CÁLCULO!$AL$15,ROW($X47)-ROW($X$15),-1))),IF($C47=0,0,ROUND(SomaAgrup,15-13*$AF$11)))</f>
        <v>0</v>
      </c>
      <c r="Y47" s="126" t="s">
        <v>751</v>
      </c>
      <c r="Z47" t="str">
        <f t="shared" ca="1" si="13"/>
        <v/>
      </c>
      <c r="AA47" s="127" cm="1">
        <f t="array" aca="1" ref="AA47" ca="1">IF($C47="S",IF($Z47="CP",$X47,IF($Z47="RA",(($X47)*QCI!$AA$3),0)),SomaAgrup)</f>
        <v>0</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CÓDIGO N/ID</v>
      </c>
      <c r="AD47" t="str">
        <f ca="1">IF(C47&lt;=CRONO.NivelExibicao,MAX($AD$15:OFFSET(AD47,-1,0))+IF($C47&lt;&gt;1,1,MAX(1,COUNTIF(QCI!$A$13:$A$24,OFFSET($E47,-1,0)))),"")</f>
        <v/>
      </c>
      <c r="AE47" s="7" t="str" cm="1">
        <f t="array" aca="1" ref="AE47" ca="1">IF(AND($C47="S",ORÇAMENTO.CodBarra&lt;&gt;""),IF(ORÇAMENTO.Fonte="",ORÇAMENTO.CodBarra,CONCATENATE(ORÇAMENTO.Fonte," ",ORÇAMENTO.CodBarra)))</f>
        <v>SINAPI 96557</v>
      </c>
      <c r="AF47" s="12"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(Código não identificado nas referências)</v>
      </c>
      <c r="AG47" s="428" cm="1">
        <f t="array" aca="1" ref="AG47" ca="1">ROUND(IF(DESONERACAO="sim",REFERENCIA.Desonerado,REFERENCIA.NaoDesonerado),2)</f>
        <v>0</v>
      </c>
      <c r="AH47" s="429">
        <f t="shared" ca="1" si="14"/>
        <v>0.2069</v>
      </c>
      <c r="AJ47" s="431">
        <f>(1.25+1.25+4.45)*0.25*0.15</f>
        <v>0.260625</v>
      </c>
      <c r="AL47" s="439"/>
      <c r="AM47" s="336">
        <f t="shared" ca="1" si="0"/>
        <v>0</v>
      </c>
      <c r="AN47" s="470" cm="1">
        <f t="array" aca="1" ref="AN47" ca="1">ROUND(ORÇAMENTO.CustoUnitario*(1+$AH47),2)</f>
        <v>0</v>
      </c>
    </row>
    <row r="48" spans="1:40" x14ac:dyDescent="0.2">
      <c r="A48">
        <f t="shared" si="1"/>
        <v>2</v>
      </c>
      <c r="B48">
        <f t="shared" ca="1" si="2"/>
        <v>2</v>
      </c>
      <c r="C48">
        <f t="shared" ca="1" si="3"/>
        <v>2</v>
      </c>
      <c r="D48">
        <f t="shared" ca="1" si="4"/>
        <v>5</v>
      </c>
      <c r="E48">
        <f ca="1">IF($C48=1,OFFSET(E48,-1,0)+MAX(1,COUNTIF(QCI!$A$13:$A$24,OFFSET(ORÇAMENTO!E48,-1,0))),OFFSET(E48,-1,0))</f>
        <v>2</v>
      </c>
      <c r="F48">
        <f t="shared" ca="1" si="5"/>
        <v>3</v>
      </c>
      <c r="G48">
        <f t="shared" ca="1" si="6"/>
        <v>0</v>
      </c>
      <c r="H48">
        <f t="shared" ca="1" si="7"/>
        <v>0</v>
      </c>
      <c r="I48">
        <f t="shared" ca="1" si="8"/>
        <v>0</v>
      </c>
      <c r="J48">
        <f t="shared" ca="1" si="16"/>
        <v>23</v>
      </c>
      <c r="K48">
        <f ca="1">IF(OR($C48="S",$C48=0),0,MATCH(OFFSET($D48,0,$C48)+IF($C48&lt;&gt;1,1,COUNTIF(QCI!$A$13:$A$24,ORÇAMENTO!E48)),OFFSET($D48,1,$C48,ROW($C$71)-ROW($C48)),0))</f>
        <v>5</v>
      </c>
      <c r="L48" s="114" t="str">
        <f t="shared" ca="1" si="10"/>
        <v>F</v>
      </c>
      <c r="M48" s="115" t="s">
        <v>702</v>
      </c>
      <c r="N48" s="116" t="str">
        <f t="shared" ca="1" si="11"/>
        <v>Nível 2</v>
      </c>
      <c r="O48" s="117" t="str">
        <f t="shared" ca="1" si="12"/>
        <v>2.3.</v>
      </c>
      <c r="P48" s="118" t="s">
        <v>750</v>
      </c>
      <c r="Q48" s="119"/>
      <c r="R48" s="120" t="s">
        <v>1040</v>
      </c>
      <c r="S48" s="121" t="str" cm="1">
        <f t="array" aca="1" ref="S48" ca="1">REFERENCIA.Unidade</f>
        <v>-</v>
      </c>
      <c r="T48" s="122">
        <f ca="1">OFFSET(CÁLCULO!H$15,ROW($T48)-ROW(T$15),0)</f>
        <v>0</v>
      </c>
      <c r="U48" s="123"/>
      <c r="V48" s="124" t="s">
        <v>663</v>
      </c>
      <c r="W48" s="122" cm="1">
        <f t="array" aca="1" ref="W48" ca="1">IF($C48="S",ROUND(IF(TIPOORCAMENTO="Proposto",ORÇAMENTO.CustoUnitario*(1+$AH48),ORÇAMENTO.PrecoUnitarioLicitado),15-13*$AF$10),0)</f>
        <v>0</v>
      </c>
      <c r="X48" s="125" cm="1">
        <f t="array" aca="1" ref="X48" ca="1">IF($C48="S",IF(OR(Import.TipoArredondamento&lt;&gt;"TransfereGOV",ACOMPANHAMENTO="BM"),VTOTAL1,SUM(OFFSET(CÁLCULO!$AA$15,ROW($X48)-ROW($X$15),1):OFFSET(CÁLCULO!$AL$15,ROW($X48)-ROW($X$15),-1))),IF($C48=0,0,ROUND(SomaAgrup,15-13*$AF$11)))</f>
        <v>0</v>
      </c>
      <c r="Y48" s="126" t="s">
        <v>751</v>
      </c>
      <c r="Z48" t="str">
        <f t="shared" ca="1" si="13"/>
        <v/>
      </c>
      <c r="AA48" s="127" cm="1">
        <f t="array" aca="1" ref="AA48" ca="1">IF($C48="S",IF($Z48="CP",$X48,IF($Z48="RA",(($X48)*QCI!$AA$3),0)),SomaAgrup)</f>
        <v>0</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f ca="1">IF(C48&lt;=CRONO.NivelExibicao,MAX($AD$15:OFFSET(AD48,-1,0))+IF($C48&lt;&gt;1,1,MAX(1,COUNTIF(QCI!$A$13:$A$24,OFFSET($E48,-1,0)))),"")</f>
        <v>9</v>
      </c>
      <c r="AE48" s="7" t="b" cm="1">
        <f t="array" aca="1" ref="AE48" ca="1">IF(AND($C48="S",ORÇAMENTO.CodBarra&lt;&gt;""),IF(ORÇAMENTO.Fonte="",ORÇAMENTO.CodBarra,CONCATENATE(ORÇAMENTO.Fonte," ",ORÇAMENTO.CodBarra)))</f>
        <v>0</v>
      </c>
      <c r="AF48" s="12" t="str"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(Sem Código)</v>
      </c>
      <c r="AG48" s="428" cm="1">
        <f t="array" aca="1" ref="AG48" ca="1">ROUND(IF(DESONERACAO="sim",REFERENCIA.Desonerado,REFERENCIA.NaoDesonerado),2)</f>
        <v>0</v>
      </c>
      <c r="AH48" s="429">
        <f t="shared" ca="1" si="14"/>
        <v>0.2069</v>
      </c>
      <c r="AJ48" s="431"/>
      <c r="AL48" s="439"/>
      <c r="AM48" s="336">
        <f t="shared" ca="1" si="0"/>
        <v>0</v>
      </c>
      <c r="AN48" s="470" cm="1">
        <f t="array" aca="1" ref="AN48" ca="1">ROUND(ORÇAMENTO.CustoUnitario*(1+$AH48),2)</f>
        <v>0</v>
      </c>
    </row>
    <row r="49" spans="1:40" ht="38.25" x14ac:dyDescent="0.2">
      <c r="A49" t="str">
        <f t="shared" si="1"/>
        <v>S</v>
      </c>
      <c r="B49">
        <f t="shared" ca="1" si="2"/>
        <v>2</v>
      </c>
      <c r="C49" t="str">
        <f t="shared" ca="1" si="3"/>
        <v>S</v>
      </c>
      <c r="D49">
        <f t="shared" ca="1" si="4"/>
        <v>0</v>
      </c>
      <c r="E49">
        <f ca="1">IF($C49=1,OFFSET(E49,-1,0)+MAX(1,COUNTIF(QCI!$A$13:$A$24,OFFSET(ORÇAMENTO!E49,-1,0))),OFFSET(E49,-1,0))</f>
        <v>2</v>
      </c>
      <c r="F49">
        <f t="shared" ca="1" si="5"/>
        <v>3</v>
      </c>
      <c r="G49">
        <f t="shared" ca="1" si="6"/>
        <v>0</v>
      </c>
      <c r="H49">
        <f t="shared" ca="1" si="7"/>
        <v>0</v>
      </c>
      <c r="I49">
        <f t="shared" ca="1" si="8"/>
        <v>0</v>
      </c>
      <c r="J49">
        <f t="shared" ca="1" si="16"/>
        <v>0</v>
      </c>
      <c r="K49">
        <f ca="1">IF(OR($C49="S",$C49=0),0,MATCH(OFFSET($D49,0,$C49)+IF($C49&lt;&gt;1,1,COUNTIF(QCI!$A$13:$A$24,ORÇAMENTO!E49)),OFFSET($D49,1,$C49,ROW($C$71)-ROW($C49)),0))</f>
        <v>0</v>
      </c>
      <c r="L49" s="114" t="str">
        <f t="shared" ca="1" si="10"/>
        <v/>
      </c>
      <c r="M49" s="115" t="s">
        <v>705</v>
      </c>
      <c r="N49" s="116" t="str">
        <f t="shared" ca="1" si="11"/>
        <v>Serviço</v>
      </c>
      <c r="O49" s="117" t="str">
        <f t="shared" ca="1" si="12"/>
        <v>-</v>
      </c>
      <c r="P49" s="118" t="s">
        <v>750</v>
      </c>
      <c r="Q49" s="119" t="s">
        <v>1036</v>
      </c>
      <c r="R49" s="120" t="str" cm="1">
        <f t="array" aca="1" ref="R49" ca="1">IF($C49="S",REFERENCIA.Descricao,"(digite a descrição aqui)")</f>
        <v>(Código não identificado nas referências)</v>
      </c>
      <c r="S49" s="121" t="str" cm="1">
        <f t="array" aca="1" ref="S49" ca="1">REFERENCIA.Unidade</f>
        <v>-</v>
      </c>
      <c r="T49" s="122">
        <f ca="1">OFFSET(CÁLCULO!H$15,ROW($T49)-ROW(T$15),0)</f>
        <v>5.01</v>
      </c>
      <c r="U49" s="123"/>
      <c r="V49" s="124" t="s">
        <v>663</v>
      </c>
      <c r="W49" s="122" cm="1">
        <f t="array" aca="1" ref="W49" ca="1">IF($C49="S",ROUND(IF(TIPOORCAMENTO="Proposto",ORÇAMENTO.CustoUnitario*(1+$AH49),ORÇAMENTO.PrecoUnitarioLicitado),15-13*$AF$10),0)</f>
        <v>0</v>
      </c>
      <c r="X49" s="125" cm="1">
        <f t="array" aca="1" ref="X49" ca="1">IF($C49="S",IF(OR(Import.TipoArredondamento&lt;&gt;"TransfereGOV",ACOMPANHAMENTO="BM"),VTOTAL1,SUM(OFFSET(CÁLCULO!$AA$15,ROW($X49)-ROW($X$15),1):OFFSET(CÁLCULO!$AL$15,ROW($X49)-ROW($X$15),-1))),IF($C49=0,0,ROUND(SomaAgrup,15-13*$AF$11)))</f>
        <v>0</v>
      </c>
      <c r="Y49" s="126" t="s">
        <v>751</v>
      </c>
      <c r="Z49" t="str">
        <f t="shared" ca="1" si="13"/>
        <v/>
      </c>
      <c r="AA49" s="127" cm="1">
        <f t="array" aca="1" ref="AA49" ca="1">IF($C49="S",IF($Z49="CP",$X49,IF($Z49="RA",(($X49)*QCI!$AA$3),0)),SomaAgrup)</f>
        <v>0</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CÓDIGO N/ID</v>
      </c>
      <c r="AD49" t="str">
        <f ca="1">IF(C49&lt;=CRONO.NivelExibicao,MAX($AD$15:OFFSET(AD49,-1,0))+IF($C49&lt;&gt;1,1,MAX(1,COUNTIF(QCI!$A$13:$A$24,OFFSET($E49,-1,0)))),"")</f>
        <v/>
      </c>
      <c r="AE49" s="7" t="str" cm="1">
        <f t="array" aca="1" ref="AE49" ca="1">IF(AND($C49="S",ORÇAMENTO.CodBarra&lt;&gt;""),IF(ORÇAMENTO.Fonte="",ORÇAMENTO.CodBarra,CONCATENATE(ORÇAMENTO.Fonte," ",ORÇAMENTO.CodBarra)))</f>
        <v>SINAPI 92759</v>
      </c>
      <c r="AF49" s="12" t="str"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(Código não identificado nas referências)</v>
      </c>
      <c r="AG49" s="428" cm="1">
        <f t="array" aca="1" ref="AG49" ca="1">ROUND(IF(DESONERACAO="sim",REFERENCIA.Desonerado,REFERENCIA.NaoDesonerado),2)</f>
        <v>0</v>
      </c>
      <c r="AH49" s="429">
        <f t="shared" ca="1" si="14"/>
        <v>0.2069</v>
      </c>
      <c r="AJ49" s="431">
        <f>(6/0.15)*0.8*(1.88/12)</f>
        <v>5.0133333333333328</v>
      </c>
      <c r="AL49" s="439"/>
      <c r="AM49" s="336">
        <f t="shared" ca="1" si="0"/>
        <v>0</v>
      </c>
      <c r="AN49" s="470" cm="1">
        <f t="array" aca="1" ref="AN49" ca="1">ROUND(ORÇAMENTO.CustoUnitario*(1+$AH49),2)</f>
        <v>0</v>
      </c>
    </row>
    <row r="50" spans="1:40" ht="38.25" x14ac:dyDescent="0.2">
      <c r="A50" t="str">
        <f t="shared" si="1"/>
        <v>S</v>
      </c>
      <c r="B50">
        <f t="shared" ca="1" si="2"/>
        <v>2</v>
      </c>
      <c r="C50" t="str">
        <f t="shared" ca="1" si="3"/>
        <v>S</v>
      </c>
      <c r="D50">
        <f t="shared" ca="1" si="4"/>
        <v>0</v>
      </c>
      <c r="E50">
        <f ca="1">IF($C50=1,OFFSET(E50,-1,0)+MAX(1,COUNTIF(QCI!$A$13:$A$24,OFFSET(ORÇAMENTO!E50,-1,0))),OFFSET(E50,-1,0))</f>
        <v>2</v>
      </c>
      <c r="F50">
        <f t="shared" ca="1" si="5"/>
        <v>3</v>
      </c>
      <c r="G50">
        <f t="shared" ca="1" si="6"/>
        <v>0</v>
      </c>
      <c r="H50">
        <f t="shared" ca="1" si="7"/>
        <v>0</v>
      </c>
      <c r="I50">
        <f t="shared" ca="1" si="8"/>
        <v>0</v>
      </c>
      <c r="J50">
        <f t="shared" ca="1" si="16"/>
        <v>0</v>
      </c>
      <c r="K50">
        <f ca="1">IF(OR($C50="S",$C50=0),0,MATCH(OFFSET($D50,0,$C50)+IF($C50&lt;&gt;1,1,COUNTIF(QCI!$A$13:$A$24,ORÇAMENTO!E50)),OFFSET($D50,1,$C50,ROW($C$71)-ROW($C50)),0))</f>
        <v>0</v>
      </c>
      <c r="L50" s="114" t="str">
        <f t="shared" ca="1" si="10"/>
        <v/>
      </c>
      <c r="M50" s="115" t="s">
        <v>705</v>
      </c>
      <c r="N50" s="116" t="str">
        <f t="shared" ca="1" si="11"/>
        <v>Serviço</v>
      </c>
      <c r="O50" s="117" t="str">
        <f t="shared" ca="1" si="12"/>
        <v>-</v>
      </c>
      <c r="P50" s="118" t="s">
        <v>750</v>
      </c>
      <c r="Q50" s="119" t="s">
        <v>1041</v>
      </c>
      <c r="R50" s="120" t="str" cm="1">
        <f t="array" aca="1" ref="R50" ca="1">IF($C50="S",REFERENCIA.Descricao,"(digite a descrição aqui)")</f>
        <v>(Código não identificado nas referências)</v>
      </c>
      <c r="S50" s="121" t="str" cm="1">
        <f t="array" aca="1" ref="S50" ca="1">REFERENCIA.Unidade</f>
        <v>-</v>
      </c>
      <c r="T50" s="122">
        <f ca="1">OFFSET(CÁLCULO!H$15,ROW($T50)-ROW(T$15),0)</f>
        <v>14.81</v>
      </c>
      <c r="U50" s="123"/>
      <c r="V50" s="124" t="s">
        <v>663</v>
      </c>
      <c r="W50" s="122" cm="1">
        <f t="array" aca="1" ref="W50" ca="1">IF($C50="S",ROUND(IF(TIPOORCAMENTO="Proposto",ORÇAMENTO.CustoUnitario*(1+$AH50),ORÇAMENTO.PrecoUnitarioLicitado),15-13*$AF$10),0)</f>
        <v>0</v>
      </c>
      <c r="X50" s="125" cm="1">
        <f t="array" aca="1" ref="X50" ca="1">IF($C50="S",IF(OR(Import.TipoArredondamento&lt;&gt;"TransfereGOV",ACOMPANHAMENTO="BM"),VTOTAL1,SUM(OFFSET(CÁLCULO!$AA$15,ROW($X50)-ROW($X$15),1):OFFSET(CÁLCULO!$AL$15,ROW($X50)-ROW($X$15),-1))),IF($C50=0,0,ROUND(SomaAgrup,15-13*$AF$11)))</f>
        <v>0</v>
      </c>
      <c r="Y50" s="126" t="s">
        <v>751</v>
      </c>
      <c r="Z50" t="str">
        <f t="shared" ca="1" si="13"/>
        <v/>
      </c>
      <c r="AA50" s="127" cm="1">
        <f t="array" aca="1" ref="AA50" ca="1">IF($C50="S",IF($Z50="CP",$X50,IF($Z50="RA",(($X50)*QCI!$AA$3),0)),SomaAgrup)</f>
        <v>0</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CÓDIGO N/ID</v>
      </c>
      <c r="AD50" t="str">
        <f ca="1">IF(C50&lt;=CRONO.NivelExibicao,MAX($AD$15:OFFSET(AD50,-1,0))+IF($C50&lt;&gt;1,1,MAX(1,COUNTIF(QCI!$A$13:$A$24,OFFSET($E50,-1,0)))),"")</f>
        <v/>
      </c>
      <c r="AE50" s="7" t="str" cm="1">
        <f t="array" aca="1" ref="AE50" ca="1">IF(AND($C50="S",ORÇAMENTO.CodBarra&lt;&gt;""),IF(ORÇAMENTO.Fonte="",ORÇAMENTO.CodBarra,CONCATENATE(ORÇAMENTO.Fonte," ",ORÇAMENTO.CodBarra)))</f>
        <v>SINAPI 92762</v>
      </c>
      <c r="AF50" s="12" t="str"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(Código não identificado nas referências)</v>
      </c>
      <c r="AG50" s="428" cm="1">
        <f t="array" aca="1" ref="AG50" ca="1">ROUND(IF(DESONERACAO="sim",REFERENCIA.Desonerado,REFERENCIA.NaoDesonerado),2)</f>
        <v>0</v>
      </c>
      <c r="AH50" s="429">
        <f t="shared" ca="1" si="14"/>
        <v>0.2069</v>
      </c>
      <c r="AJ50" s="431">
        <f>8*3*0.617</f>
        <v>14.808</v>
      </c>
      <c r="AL50" s="439"/>
      <c r="AM50" s="336">
        <f t="shared" ca="1" si="0"/>
        <v>0</v>
      </c>
      <c r="AN50" s="470" cm="1">
        <f t="array" aca="1" ref="AN50" ca="1">ROUND(ORÇAMENTO.CustoUnitario*(1+$AH50),2)</f>
        <v>0</v>
      </c>
    </row>
    <row r="51" spans="1:40" ht="25.5" x14ac:dyDescent="0.2">
      <c r="A51" t="str">
        <f t="shared" si="1"/>
        <v>S</v>
      </c>
      <c r="B51">
        <f t="shared" ca="1" si="2"/>
        <v>2</v>
      </c>
      <c r="C51" t="str">
        <f t="shared" ca="1" si="3"/>
        <v>S</v>
      </c>
      <c r="D51">
        <f t="shared" ca="1" si="4"/>
        <v>0</v>
      </c>
      <c r="E51">
        <f ca="1">IF($C51=1,OFFSET(E51,-1,0)+MAX(1,COUNTIF(QCI!$A$13:$A$24,OFFSET(ORÇAMENTO!E51,-1,0))),OFFSET(E51,-1,0))</f>
        <v>2</v>
      </c>
      <c r="F51">
        <f t="shared" ca="1" si="5"/>
        <v>3</v>
      </c>
      <c r="G51">
        <f t="shared" ca="1" si="6"/>
        <v>0</v>
      </c>
      <c r="H51">
        <f t="shared" ca="1" si="7"/>
        <v>0</v>
      </c>
      <c r="I51">
        <f t="shared" ca="1" si="8"/>
        <v>0</v>
      </c>
      <c r="J51">
        <f t="shared" ca="1" si="16"/>
        <v>0</v>
      </c>
      <c r="K51">
        <f ca="1">IF(OR($C51="S",$C51=0),0,MATCH(OFFSET($D51,0,$C51)+IF($C51&lt;&gt;1,1,COUNTIF(QCI!$A$13:$A$24,ORÇAMENTO!E51)),OFFSET($D51,1,$C51,ROW($C$71)-ROW($C51)),0))</f>
        <v>0</v>
      </c>
      <c r="L51" s="114" t="str">
        <f t="shared" ca="1" si="10"/>
        <v/>
      </c>
      <c r="M51" s="115" t="s">
        <v>705</v>
      </c>
      <c r="N51" s="116" t="str">
        <f t="shared" ca="1" si="11"/>
        <v>Serviço</v>
      </c>
      <c r="O51" s="117" t="str">
        <f t="shared" ca="1" si="12"/>
        <v>-</v>
      </c>
      <c r="P51" s="118" t="s">
        <v>750</v>
      </c>
      <c r="Q51" s="119" t="s">
        <v>1043</v>
      </c>
      <c r="R51" s="120" t="str" cm="1">
        <f t="array" aca="1" ref="R51" ca="1">IF($C51="S",REFERENCIA.Descricao,"(digite a descrição aqui)")</f>
        <v>(Código não identificado nas referências)</v>
      </c>
      <c r="S51" s="121" t="str" cm="1">
        <f t="array" aca="1" ref="S51" ca="1">REFERENCIA.Unidade</f>
        <v>-</v>
      </c>
      <c r="T51" s="122">
        <f ca="1">OFFSET(CÁLCULO!H$15,ROW($T51)-ROW(T$15),0)</f>
        <v>6</v>
      </c>
      <c r="U51" s="123"/>
      <c r="V51" s="124" t="s">
        <v>663</v>
      </c>
      <c r="W51" s="122" cm="1">
        <f t="array" aca="1" ref="W51" ca="1">IF($C51="S",ROUND(IF(TIPOORCAMENTO="Proposto",ORÇAMENTO.CustoUnitario*(1+$AH51),ORÇAMENTO.PrecoUnitarioLicitado),15-13*$AF$10),0)</f>
        <v>0</v>
      </c>
      <c r="X51" s="125" cm="1">
        <f t="array" aca="1" ref="X51" ca="1">IF($C51="S",IF(OR(Import.TipoArredondamento&lt;&gt;"TransfereGOV",ACOMPANHAMENTO="BM"),VTOTAL1,SUM(OFFSET(CÁLCULO!$AA$15,ROW($X51)-ROW($X$15),1):OFFSET(CÁLCULO!$AL$15,ROW($X51)-ROW($X$15),-1))),IF($C51=0,0,ROUND(SomaAgrup,15-13*$AF$11)))</f>
        <v>0</v>
      </c>
      <c r="Y51" s="126" t="s">
        <v>751</v>
      </c>
      <c r="Z51" t="str">
        <f t="shared" ca="1" si="13"/>
        <v/>
      </c>
      <c r="AA51" s="127" cm="1">
        <f t="array" aca="1" ref="AA51" ca="1">IF($C51="S",IF($Z51="CP",$X51,IF($Z51="RA",(($X51)*QCI!$AA$3),0)),SomaAgrup)</f>
        <v>0</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CÓDIGO N/ID</v>
      </c>
      <c r="AD51" t="str">
        <f ca="1">IF(C51&lt;=CRONO.NivelExibicao,MAX($AD$15:OFFSET(AD51,-1,0))+IF($C51&lt;&gt;1,1,MAX(1,COUNTIF(QCI!$A$13:$A$24,OFFSET($E51,-1,0)))),"")</f>
        <v/>
      </c>
      <c r="AE51" s="7" t="str" cm="1">
        <f t="array" aca="1" ref="AE51" ca="1">IF(AND($C51="S",ORÇAMENTO.CodBarra&lt;&gt;""),IF(ORÇAMENTO.Fonte="",ORÇAMENTO.CodBarra,CONCATENATE(ORÇAMENTO.Fonte," ",ORÇAMENTO.CodBarra)))</f>
        <v>SINAPI 92269</v>
      </c>
      <c r="AF51" s="12" t="str"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(Código não identificado nas referências)</v>
      </c>
      <c r="AG51" s="428" cm="1">
        <f t="array" aca="1" ref="AG51" ca="1">ROUND(IF(DESONERACAO="sim",REFERENCIA.Desonerado,REFERENCIA.NaoDesonerado),2)</f>
        <v>0</v>
      </c>
      <c r="AH51" s="429">
        <f t="shared" ca="1" si="14"/>
        <v>0.2069</v>
      </c>
      <c r="AJ51" s="431">
        <f>(0.25*3*4*2)</f>
        <v>6</v>
      </c>
      <c r="AL51" s="439"/>
      <c r="AM51" s="336">
        <f t="shared" ca="1" si="0"/>
        <v>0</v>
      </c>
      <c r="AN51" s="470" cm="1">
        <f t="array" aca="1" ref="AN51" ca="1">ROUND(ORÇAMENTO.CustoUnitario*(1+$AH51),2)</f>
        <v>0</v>
      </c>
    </row>
    <row r="52" spans="1:40" ht="25.5" x14ac:dyDescent="0.2">
      <c r="A52" t="str">
        <f t="shared" si="1"/>
        <v>S</v>
      </c>
      <c r="B52">
        <f t="shared" ca="1" si="2"/>
        <v>2</v>
      </c>
      <c r="C52" t="str">
        <f t="shared" ca="1" si="3"/>
        <v>S</v>
      </c>
      <c r="D52">
        <f t="shared" ca="1" si="4"/>
        <v>0</v>
      </c>
      <c r="E52">
        <f ca="1">IF($C52=1,OFFSET(E52,-1,0)+MAX(1,COUNTIF(QCI!$A$13:$A$24,OFFSET(ORÇAMENTO!E52,-1,0))),OFFSET(E52,-1,0))</f>
        <v>2</v>
      </c>
      <c r="F52">
        <f t="shared" ca="1" si="5"/>
        <v>3</v>
      </c>
      <c r="G52">
        <f t="shared" ca="1" si="6"/>
        <v>0</v>
      </c>
      <c r="H52">
        <f t="shared" ca="1" si="7"/>
        <v>0</v>
      </c>
      <c r="I52">
        <f t="shared" ca="1" si="8"/>
        <v>0</v>
      </c>
      <c r="J52">
        <f t="shared" ca="1" si="16"/>
        <v>0</v>
      </c>
      <c r="K52">
        <f ca="1">IF(OR($C52="S",$C52=0),0,MATCH(OFFSET($D52,0,$C52)+IF($C52&lt;&gt;1,1,COUNTIF(QCI!$A$13:$A$24,ORÇAMENTO!E52)),OFFSET($D52,1,$C52,ROW($C$71)-ROW($C52)),0))</f>
        <v>0</v>
      </c>
      <c r="L52" s="114" t="str">
        <f t="shared" ca="1" si="10"/>
        <v/>
      </c>
      <c r="M52" s="115" t="s">
        <v>705</v>
      </c>
      <c r="N52" s="116" t="str">
        <f t="shared" ca="1" si="11"/>
        <v>Serviço</v>
      </c>
      <c r="O52" s="117" t="str">
        <f t="shared" ca="1" si="12"/>
        <v>-</v>
      </c>
      <c r="P52" s="118" t="s">
        <v>750</v>
      </c>
      <c r="Q52" s="119" t="s">
        <v>1042</v>
      </c>
      <c r="R52" s="120" t="str" cm="1">
        <f t="array" aca="1" ref="R52" ca="1">IF($C52="S",REFERENCIA.Descricao,"(digite a descrição aqui)")</f>
        <v>(Código não identificado nas referências)</v>
      </c>
      <c r="S52" s="121" t="str" cm="1">
        <f t="array" aca="1" ref="S52" ca="1">REFERENCIA.Unidade</f>
        <v>-</v>
      </c>
      <c r="T52" s="122">
        <f ca="1">OFFSET(CÁLCULO!H$15,ROW($T52)-ROW(T$15),0)</f>
        <v>0.38</v>
      </c>
      <c r="U52" s="123"/>
      <c r="V52" s="124" t="s">
        <v>663</v>
      </c>
      <c r="W52" s="122" cm="1">
        <f t="array" aca="1" ref="W52" ca="1">IF($C52="S",ROUND(IF(TIPOORCAMENTO="Proposto",ORÇAMENTO.CustoUnitario*(1+$AH52),ORÇAMENTO.PrecoUnitarioLicitado),15-13*$AF$10),0)</f>
        <v>0</v>
      </c>
      <c r="X52" s="125" cm="1">
        <f t="array" aca="1" ref="X52" ca="1">IF($C52="S",IF(OR(Import.TipoArredondamento&lt;&gt;"TransfereGOV",ACOMPANHAMENTO="BM"),VTOTAL1,SUM(OFFSET(CÁLCULO!$AA$15,ROW($X52)-ROW($X$15),1):OFFSET(CÁLCULO!$AL$15,ROW($X52)-ROW($X$15),-1))),IF($C52=0,0,ROUND(SomaAgrup,15-13*$AF$11)))</f>
        <v>0</v>
      </c>
      <c r="Y52" s="126" t="s">
        <v>751</v>
      </c>
      <c r="Z52" t="str">
        <f t="shared" ca="1" si="13"/>
        <v/>
      </c>
      <c r="AA52" s="127" cm="1">
        <f t="array" aca="1" ref="AA52" ca="1">IF($C52="S",IF($Z52="CP",$X52,IF($Z52="RA",(($X52)*QCI!$AA$3),0)),SomaAgrup)</f>
        <v>0</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CÓDIGO N/ID</v>
      </c>
      <c r="AD52" t="str">
        <f ca="1">IF(C52&lt;=CRONO.NivelExibicao,MAX($AD$15:OFFSET(AD52,-1,0))+IF($C52&lt;&gt;1,1,MAX(1,COUNTIF(QCI!$A$13:$A$24,OFFSET($E52,-1,0)))),"")</f>
        <v/>
      </c>
      <c r="AE52" s="7" t="str" cm="1">
        <f t="array" aca="1" ref="AE52" ca="1">IF(AND($C52="S",ORÇAMENTO.CodBarra&lt;&gt;""),IF(ORÇAMENTO.Fonte="",ORÇAMENTO.CodBarra,CONCATENATE(ORÇAMENTO.Fonte," ",ORÇAMENTO.CodBarra)))</f>
        <v>SINAPI 103669</v>
      </c>
      <c r="AF52" s="12" t="str"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(Código não identificado nas referências)</v>
      </c>
      <c r="AG52" s="428" cm="1">
        <f t="array" aca="1" ref="AG52" ca="1">ROUND(IF(DESONERACAO="sim",REFERENCIA.Desonerado,REFERENCIA.NaoDesonerado),2)</f>
        <v>0</v>
      </c>
      <c r="AH52" s="429">
        <f t="shared" ca="1" si="14"/>
        <v>0.2069</v>
      </c>
      <c r="AJ52" s="431">
        <f>0.25*0.25*3*2</f>
        <v>0.375</v>
      </c>
      <c r="AL52" s="439"/>
      <c r="AM52" s="336">
        <f t="shared" ca="1" si="0"/>
        <v>0</v>
      </c>
      <c r="AN52" s="470" cm="1">
        <f t="array" aca="1" ref="AN52" ca="1">ROUND(ORÇAMENTO.CustoUnitario*(1+$AH52),2)</f>
        <v>0</v>
      </c>
    </row>
    <row r="53" spans="1:40" ht="25.5" x14ac:dyDescent="0.2">
      <c r="A53">
        <f t="shared" si="1"/>
        <v>2</v>
      </c>
      <c r="B53">
        <f t="shared" ca="1" si="2"/>
        <v>2</v>
      </c>
      <c r="C53">
        <f t="shared" ca="1" si="3"/>
        <v>2</v>
      </c>
      <c r="D53">
        <f t="shared" ca="1" si="4"/>
        <v>4</v>
      </c>
      <c r="E53">
        <f ca="1">IF($C53=1,OFFSET(E53,-1,0)+MAX(1,COUNTIF(QCI!$A$13:$A$24,OFFSET(ORÇAMENTO!E53,-1,0))),OFFSET(E53,-1,0))</f>
        <v>2</v>
      </c>
      <c r="F53">
        <f t="shared" ca="1" si="5"/>
        <v>4</v>
      </c>
      <c r="G53">
        <f t="shared" ca="1" si="6"/>
        <v>0</v>
      </c>
      <c r="H53">
        <f t="shared" ca="1" si="7"/>
        <v>0</v>
      </c>
      <c r="I53">
        <f t="shared" ca="1" si="8"/>
        <v>0</v>
      </c>
      <c r="J53">
        <f t="shared" ca="1" si="16"/>
        <v>18</v>
      </c>
      <c r="K53">
        <f ca="1">IF(OR($C53="S",$C53=0),0,MATCH(OFFSET($D53,0,$C53)+IF($C53&lt;&gt;1,1,COUNTIF(QCI!$A$13:$A$24,ORÇAMENTO!E53)),OFFSET($D53,1,$C53,ROW($C$71)-ROW($C53)),0))</f>
        <v>4</v>
      </c>
      <c r="L53" s="114" t="str">
        <f t="shared" ca="1" si="10"/>
        <v>F</v>
      </c>
      <c r="M53" s="115" t="s">
        <v>702</v>
      </c>
      <c r="N53" s="116" t="str">
        <f t="shared" ca="1" si="11"/>
        <v>Nível 2</v>
      </c>
      <c r="O53" s="117" t="str">
        <f t="shared" ca="1" si="12"/>
        <v>2.4.</v>
      </c>
      <c r="P53" s="118" t="s">
        <v>750</v>
      </c>
      <c r="Q53" s="119"/>
      <c r="R53" s="120" t="s">
        <v>1044</v>
      </c>
      <c r="S53" s="121" t="str" cm="1">
        <f t="array" aca="1" ref="S53" ca="1">REFERENCIA.Unidade</f>
        <v>-</v>
      </c>
      <c r="T53" s="122">
        <f ca="1">OFFSET(CÁLCULO!H$15,ROW($T53)-ROW(T$15),0)</f>
        <v>0</v>
      </c>
      <c r="U53" s="123"/>
      <c r="V53" s="124" t="s">
        <v>663</v>
      </c>
      <c r="W53" s="122" cm="1">
        <f t="array" aca="1" ref="W53" ca="1">IF($C53="S",ROUND(IF(TIPOORCAMENTO="Proposto",ORÇAMENTO.CustoUnitario*(1+$AH53),ORÇAMENTO.PrecoUnitarioLicitado),15-13*$AF$10),0)</f>
        <v>0</v>
      </c>
      <c r="X53" s="125" cm="1">
        <f t="array" aca="1" ref="X53" ca="1">IF($C53="S",IF(OR(Import.TipoArredondamento&lt;&gt;"TransfereGOV",ACOMPANHAMENTO="BM"),VTOTAL1,SUM(OFFSET(CÁLCULO!$AA$15,ROW($X53)-ROW($X$15),1):OFFSET(CÁLCULO!$AL$15,ROW($X53)-ROW($X$15),-1))),IF($C53=0,0,ROUND(SomaAgrup,15-13*$AF$11)))</f>
        <v>0</v>
      </c>
      <c r="Y53" s="126" t="s">
        <v>751</v>
      </c>
      <c r="Z53" t="str">
        <f t="shared" ca="1" si="13"/>
        <v/>
      </c>
      <c r="AA53" s="127" cm="1">
        <f t="array" aca="1" ref="AA53" ca="1">IF($C53="S",IF($Z53="CP",$X53,IF($Z53="RA",(($X53)*QCI!$AA$3),0)),SomaAgrup)</f>
        <v>0</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f ca="1">IF(C53&lt;=CRONO.NivelExibicao,MAX($AD$15:OFFSET(AD53,-1,0))+IF($C53&lt;&gt;1,1,MAX(1,COUNTIF(QCI!$A$13:$A$24,OFFSET($E53,-1,0)))),"")</f>
        <v>10</v>
      </c>
      <c r="AE53" s="7" t="b" cm="1">
        <f t="array" aca="1" ref="AE53" ca="1">IF(AND($C53="S",ORÇAMENTO.CodBarra&lt;&gt;""),IF(ORÇAMENTO.Fonte="",ORÇAMENTO.CodBarra,CONCATENATE(ORÇAMENTO.Fonte," ",ORÇAMENTO.CodBarra)))</f>
        <v>0</v>
      </c>
      <c r="AF53" s="12" t="str"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(Sem Código)</v>
      </c>
      <c r="AG53" s="428" cm="1">
        <f t="array" aca="1" ref="AG53" ca="1">ROUND(IF(DESONERACAO="sim",REFERENCIA.Desonerado,REFERENCIA.NaoDesonerado),2)</f>
        <v>0</v>
      </c>
      <c r="AH53" s="429">
        <f t="shared" ca="1" si="14"/>
        <v>0.2069</v>
      </c>
      <c r="AJ53" s="431"/>
      <c r="AL53" s="439"/>
      <c r="AM53" s="336">
        <f t="shared" ca="1" si="0"/>
        <v>0</v>
      </c>
      <c r="AN53" s="470" cm="1">
        <f t="array" aca="1" ref="AN53" ca="1">ROUND(ORÇAMENTO.CustoUnitario*(1+$AH53),2)</f>
        <v>0</v>
      </c>
    </row>
    <row r="54" spans="1:40" ht="38.25" x14ac:dyDescent="0.2">
      <c r="A54" t="str">
        <f t="shared" si="1"/>
        <v>S</v>
      </c>
      <c r="B54">
        <f t="shared" ca="1" si="2"/>
        <v>2</v>
      </c>
      <c r="C54" t="str">
        <f t="shared" ca="1" si="3"/>
        <v>S</v>
      </c>
      <c r="D54">
        <f t="shared" ca="1" si="4"/>
        <v>0</v>
      </c>
      <c r="E54">
        <f ca="1">IF($C54=1,OFFSET(E54,-1,0)+MAX(1,COUNTIF(QCI!$A$13:$A$24,OFFSET(ORÇAMENTO!E54,-1,0))),OFFSET(E54,-1,0))</f>
        <v>2</v>
      </c>
      <c r="F54">
        <f t="shared" ca="1" si="5"/>
        <v>4</v>
      </c>
      <c r="G54">
        <f t="shared" ca="1" si="6"/>
        <v>0</v>
      </c>
      <c r="H54">
        <f t="shared" ca="1" si="7"/>
        <v>0</v>
      </c>
      <c r="I54">
        <f t="shared" ca="1" si="8"/>
        <v>0</v>
      </c>
      <c r="J54">
        <f t="shared" ca="1" si="16"/>
        <v>0</v>
      </c>
      <c r="K54">
        <f ca="1">IF(OR($C54="S",$C54=0),0,MATCH(OFFSET($D54,0,$C54)+IF($C54&lt;&gt;1,1,COUNTIF(QCI!$A$13:$A$24,ORÇAMENTO!E54)),OFFSET($D54,1,$C54,ROW($C$71)-ROW($C54)),0))</f>
        <v>0</v>
      </c>
      <c r="L54" s="114" t="str">
        <f t="shared" ca="1" si="10"/>
        <v/>
      </c>
      <c r="M54" s="115" t="s">
        <v>705</v>
      </c>
      <c r="N54" s="116" t="str">
        <f t="shared" ca="1" si="11"/>
        <v>Serviço</v>
      </c>
      <c r="O54" s="117" t="str">
        <f t="shared" ca="1" si="12"/>
        <v>-</v>
      </c>
      <c r="P54" s="118" t="s">
        <v>750</v>
      </c>
      <c r="Q54" s="119" t="s">
        <v>1036</v>
      </c>
      <c r="R54" s="120" t="str" cm="1">
        <f t="array" aca="1" ref="R54" ca="1">IF($C54="S",REFERENCIA.Descricao,"(digite a descrição aqui)")</f>
        <v>(Código não identificado nas referências)</v>
      </c>
      <c r="S54" s="121" t="str" cm="1">
        <f t="array" aca="1" ref="S54" ca="1">REFERENCIA.Unidade</f>
        <v>-</v>
      </c>
      <c r="T54" s="122">
        <f ca="1">OFFSET(CÁLCULO!H$15,ROW($T54)-ROW(T$15),0)</f>
        <v>5.08</v>
      </c>
      <c r="U54" s="123"/>
      <c r="V54" s="124" t="s">
        <v>663</v>
      </c>
      <c r="W54" s="122" cm="1">
        <f t="array" aca="1" ref="W54" ca="1">IF($C54="S",ROUND(IF(TIPOORCAMENTO="Proposto",ORÇAMENTO.CustoUnitario*(1+$AH54),ORÇAMENTO.PrecoUnitarioLicitado),15-13*$AF$10),0)</f>
        <v>0</v>
      </c>
      <c r="X54" s="125" cm="1">
        <f t="array" aca="1" ref="X54" ca="1">IF($C54="S",IF(OR(Import.TipoArredondamento&lt;&gt;"TransfereGOV",ACOMPANHAMENTO="BM"),VTOTAL1,SUM(OFFSET(CÁLCULO!$AA$15,ROW($X54)-ROW($X$15),1):OFFSET(CÁLCULO!$AL$15,ROW($X54)-ROW($X$15),-1))),IF($C54=0,0,ROUND(SomaAgrup,15-13*$AF$11)))</f>
        <v>0</v>
      </c>
      <c r="Y54" s="126" t="s">
        <v>751</v>
      </c>
      <c r="Z54" t="str">
        <f t="shared" ca="1" si="13"/>
        <v/>
      </c>
      <c r="AA54" s="127" cm="1">
        <f t="array" aca="1" ref="AA54" ca="1">IF($C54="S",IF($Z54="CP",$X54,IF($Z54="RA",(($X54)*QCI!$AA$3),0)),SomaAgrup)</f>
        <v>0</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CÓDIGO N/ID</v>
      </c>
      <c r="AD54" t="str">
        <f ca="1">IF(C54&lt;=CRONO.NivelExibicao,MAX($AD$15:OFFSET(AD54,-1,0))+IF($C54&lt;&gt;1,1,MAX(1,COUNTIF(QCI!$A$13:$A$24,OFFSET($E54,-1,0)))),"")</f>
        <v/>
      </c>
      <c r="AE54" s="7" t="str" cm="1">
        <f t="array" aca="1" ref="AE54" ca="1">IF(AND($C54="S",ORÇAMENTO.CodBarra&lt;&gt;""),IF(ORÇAMENTO.Fonte="",ORÇAMENTO.CodBarra,CONCATENATE(ORÇAMENTO.Fonte," ",ORÇAMENTO.CodBarra)))</f>
        <v>SINAPI 92759</v>
      </c>
      <c r="AF54" s="12" t="str"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(Código não identificado nas referências)</v>
      </c>
      <c r="AG54" s="428" cm="1">
        <f t="array" aca="1" ref="AG54" ca="1">ROUND(IF(DESONERACAO="sim",REFERENCIA.Desonerado,REFERENCIA.NaoDesonerado),2)</f>
        <v>0</v>
      </c>
      <c r="AH54" s="429">
        <f t="shared" ca="1" si="14"/>
        <v>0.2069</v>
      </c>
      <c r="AJ54" s="431">
        <f>((1.25+1.25+4.45)/0.15)*0.7*(1.88/12)</f>
        <v>5.0812222222222214</v>
      </c>
      <c r="AL54" s="439"/>
      <c r="AM54" s="336">
        <f t="shared" ca="1" si="0"/>
        <v>0</v>
      </c>
      <c r="AN54" s="470" cm="1">
        <f t="array" aca="1" ref="AN54" ca="1">ROUND(ORÇAMENTO.CustoUnitario*(1+$AH54),2)</f>
        <v>0</v>
      </c>
    </row>
    <row r="55" spans="1:40" ht="38.25" x14ac:dyDescent="0.2">
      <c r="A55" t="str">
        <f t="shared" si="1"/>
        <v>S</v>
      </c>
      <c r="B55">
        <f t="shared" ca="1" si="2"/>
        <v>2</v>
      </c>
      <c r="C55" t="str">
        <f t="shared" ca="1" si="3"/>
        <v>S</v>
      </c>
      <c r="D55">
        <f t="shared" ca="1" si="4"/>
        <v>0</v>
      </c>
      <c r="E55">
        <f ca="1">IF($C55=1,OFFSET(E55,-1,0)+MAX(1,COUNTIF(QCI!$A$13:$A$24,OFFSET(ORÇAMENTO!E55,-1,0))),OFFSET(E55,-1,0))</f>
        <v>2</v>
      </c>
      <c r="F55">
        <f t="shared" ca="1" si="5"/>
        <v>4</v>
      </c>
      <c r="G55">
        <f t="shared" ca="1" si="6"/>
        <v>0</v>
      </c>
      <c r="H55">
        <f t="shared" ca="1" si="7"/>
        <v>0</v>
      </c>
      <c r="I55">
        <f t="shared" ca="1" si="8"/>
        <v>0</v>
      </c>
      <c r="J55">
        <f t="shared" ca="1" si="16"/>
        <v>0</v>
      </c>
      <c r="K55">
        <f ca="1">IF(OR($C55="S",$C55=0),0,MATCH(OFFSET($D55,0,$C55)+IF($C55&lt;&gt;1,1,COUNTIF(QCI!$A$13:$A$24,ORÇAMENTO!E55)),OFFSET($D55,1,$C55,ROW($C$71)-ROW($C55)),0))</f>
        <v>0</v>
      </c>
      <c r="L55" s="114" t="str">
        <f t="shared" ca="1" si="10"/>
        <v/>
      </c>
      <c r="M55" s="115" t="s">
        <v>705</v>
      </c>
      <c r="N55" s="116" t="str">
        <f t="shared" ca="1" si="11"/>
        <v>Serviço</v>
      </c>
      <c r="O55" s="117" t="str">
        <f t="shared" ca="1" si="12"/>
        <v>-</v>
      </c>
      <c r="P55" s="118" t="s">
        <v>750</v>
      </c>
      <c r="Q55" s="119" t="s">
        <v>1037</v>
      </c>
      <c r="R55" s="120" t="str" cm="1">
        <f t="array" aca="1" ref="R55" ca="1">IF($C55="S",REFERENCIA.Descricao,"(digite a descrição aqui)")</f>
        <v>(Código não identificado nas referências)</v>
      </c>
      <c r="S55" s="121" t="str" cm="1">
        <f t="array" aca="1" ref="S55" ca="1">REFERENCIA.Unidade</f>
        <v>-</v>
      </c>
      <c r="T55" s="122">
        <f ca="1">OFFSET(CÁLCULO!H$15,ROW($T55)-ROW(T$15),0)</f>
        <v>6.81</v>
      </c>
      <c r="U55" s="123"/>
      <c r="V55" s="124" t="s">
        <v>663</v>
      </c>
      <c r="W55" s="122" cm="1">
        <f t="array" aca="1" ref="W55" ca="1">IF($C55="S",ROUND(IF(TIPOORCAMENTO="Proposto",ORÇAMENTO.CustoUnitario*(1+$AH55),ORÇAMENTO.PrecoUnitarioLicitado),15-13*$AF$10),0)</f>
        <v>0</v>
      </c>
      <c r="X55" s="125" cm="1">
        <f t="array" aca="1" ref="X55" ca="1">IF($C55="S",IF(OR(Import.TipoArredondamento&lt;&gt;"TransfereGOV",ACOMPANHAMENTO="BM"),VTOTAL1,SUM(OFFSET(CÁLCULO!$AA$15,ROW($X55)-ROW($X$15),1):OFFSET(CÁLCULO!$AL$15,ROW($X55)-ROW($X$15),-1))),IF($C55=0,0,ROUND(SomaAgrup,15-13*$AF$11)))</f>
        <v>0</v>
      </c>
      <c r="Y55" s="126" t="s">
        <v>751</v>
      </c>
      <c r="Z55" t="str">
        <f t="shared" ca="1" si="13"/>
        <v/>
      </c>
      <c r="AA55" s="127" cm="1">
        <f t="array" aca="1" ref="AA55" ca="1">IF($C55="S",IF($Z55="CP",$X55,IF($Z55="RA",(($X55)*QCI!$AA$3),0)),SomaAgrup)</f>
        <v>0</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CÓDIGO N/ID</v>
      </c>
      <c r="AD55" t="str">
        <f ca="1">IF(C55&lt;=CRONO.NivelExibicao,MAX($AD$15:OFFSET(AD55,-1,0))+IF($C55&lt;&gt;1,1,MAX(1,COUNTIF(QCI!$A$13:$A$24,OFFSET($E55,-1,0)))),"")</f>
        <v/>
      </c>
      <c r="AE55" s="7" t="str" cm="1">
        <f t="array" aca="1" ref="AE55" ca="1">IF(AND($C55="S",ORÇAMENTO.CodBarra&lt;&gt;""),IF(ORÇAMENTO.Fonte="",ORÇAMENTO.CodBarra,CONCATENATE(ORÇAMENTO.Fonte," ",ORÇAMENTO.CodBarra)))</f>
        <v>SINAPI 92760</v>
      </c>
      <c r="AF55" s="12" t="str"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(Código não identificado nas referências)</v>
      </c>
      <c r="AG55" s="428" cm="1">
        <f t="array" aca="1" ref="AG55" ca="1">ROUND(IF(DESONERACAO="sim",REFERENCIA.Desonerado,REFERENCIA.NaoDesonerado),2)</f>
        <v>0</v>
      </c>
      <c r="AH55" s="429">
        <f t="shared" ca="1" si="14"/>
        <v>0.2069</v>
      </c>
      <c r="AJ55" s="431">
        <f>(1.25+1.25+4.45)*4*0.245</f>
        <v>6.8109999999999999</v>
      </c>
      <c r="AL55" s="439"/>
      <c r="AM55" s="336">
        <f t="shared" ca="1" si="0"/>
        <v>0</v>
      </c>
      <c r="AN55" s="470" cm="1">
        <f t="array" aca="1" ref="AN55" ca="1">ROUND(ORÇAMENTO.CustoUnitario*(1+$AH55),2)</f>
        <v>0</v>
      </c>
    </row>
    <row r="56" spans="1:40" ht="38.25" x14ac:dyDescent="0.2">
      <c r="A56" t="str">
        <f t="shared" si="1"/>
        <v>S</v>
      </c>
      <c r="B56">
        <f t="shared" ca="1" si="2"/>
        <v>2</v>
      </c>
      <c r="C56" t="str">
        <f t="shared" ca="1" si="3"/>
        <v>S</v>
      </c>
      <c r="D56">
        <f t="shared" ca="1" si="4"/>
        <v>0</v>
      </c>
      <c r="E56">
        <f ca="1">IF($C56=1,OFFSET(E56,-1,0)+MAX(1,COUNTIF(QCI!$A$13:$A$24,OFFSET(ORÇAMENTO!E56,-1,0))),OFFSET(E56,-1,0))</f>
        <v>2</v>
      </c>
      <c r="F56">
        <f t="shared" ca="1" si="5"/>
        <v>4</v>
      </c>
      <c r="G56">
        <f t="shared" ca="1" si="6"/>
        <v>0</v>
      </c>
      <c r="H56">
        <f t="shared" ca="1" si="7"/>
        <v>0</v>
      </c>
      <c r="I56">
        <f t="shared" ca="1" si="8"/>
        <v>0</v>
      </c>
      <c r="J56">
        <f t="shared" ca="1" si="16"/>
        <v>0</v>
      </c>
      <c r="K56">
        <f ca="1">IF(OR($C56="S",$C56=0),0,MATCH(OFFSET($D56,0,$C56)+IF($C56&lt;&gt;1,1,COUNTIF(QCI!$A$13:$A$24,ORÇAMENTO!E56)),OFFSET($D56,1,$C56,ROW($C$71)-ROW($C56)),0))</f>
        <v>0</v>
      </c>
      <c r="L56" s="114" t="str">
        <f t="shared" ca="1" si="10"/>
        <v/>
      </c>
      <c r="M56" s="115" t="s">
        <v>705</v>
      </c>
      <c r="N56" s="116" t="str">
        <f t="shared" ca="1" si="11"/>
        <v>Serviço</v>
      </c>
      <c r="O56" s="117" t="str">
        <f t="shared" ca="1" si="12"/>
        <v>-</v>
      </c>
      <c r="P56" s="118" t="s">
        <v>750</v>
      </c>
      <c r="Q56" s="119" t="s">
        <v>1039</v>
      </c>
      <c r="R56" s="120" t="str" cm="1">
        <f t="array" aca="1" ref="R56" ca="1">IF($C56="S",REFERENCIA.Descricao,"(digite a descrição aqui)")</f>
        <v>(Código não identificado nas referências)</v>
      </c>
      <c r="S56" s="121" t="str" cm="1">
        <f t="array" aca="1" ref="S56" ca="1">REFERENCIA.Unidade</f>
        <v>-</v>
      </c>
      <c r="T56" s="122">
        <f ca="1">OFFSET(CÁLCULO!H$15,ROW($T56)-ROW(T$15),0)</f>
        <v>0.26</v>
      </c>
      <c r="U56" s="123"/>
      <c r="V56" s="124" t="s">
        <v>663</v>
      </c>
      <c r="W56" s="122" cm="1">
        <f t="array" aca="1" ref="W56" ca="1">IF($C56="S",ROUND(IF(TIPOORCAMENTO="Proposto",ORÇAMENTO.CustoUnitario*(1+$AH56),ORÇAMENTO.PrecoUnitarioLicitado),15-13*$AF$10),0)</f>
        <v>0</v>
      </c>
      <c r="X56" s="125" cm="1">
        <f t="array" aca="1" ref="X56" ca="1">IF($C56="S",IF(OR(Import.TipoArredondamento&lt;&gt;"TransfereGOV",ACOMPANHAMENTO="BM"),VTOTAL1,SUM(OFFSET(CÁLCULO!$AA$15,ROW($X56)-ROW($X$15),1):OFFSET(CÁLCULO!$AL$15,ROW($X56)-ROW($X$15),-1))),IF($C56=0,0,ROUND(SomaAgrup,15-13*$AF$11)))</f>
        <v>0</v>
      </c>
      <c r="Y56" s="126" t="s">
        <v>751</v>
      </c>
      <c r="Z56" t="str">
        <f t="shared" ca="1" si="13"/>
        <v/>
      </c>
      <c r="AA56" s="127" cm="1">
        <f t="array" aca="1" ref="AA56" ca="1">IF($C56="S",IF($Z56="CP",$X56,IF($Z56="RA",(($X56)*QCI!$AA$3),0)),SomaAgrup)</f>
        <v>0</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CÓDIGO N/ID</v>
      </c>
      <c r="AD56" t="str">
        <f ca="1">IF(C56&lt;=CRONO.NivelExibicao,MAX($AD$15:OFFSET(AD56,-1,0))+IF($C56&lt;&gt;1,1,MAX(1,COUNTIF(QCI!$A$13:$A$24,OFFSET($E56,-1,0)))),"")</f>
        <v/>
      </c>
      <c r="AE56" s="7" t="str" cm="1">
        <f t="array" aca="1" ref="AE56" ca="1">IF(AND($C56="S",ORÇAMENTO.CodBarra&lt;&gt;""),IF(ORÇAMENTO.Fonte="",ORÇAMENTO.CodBarra,CONCATENATE(ORÇAMENTO.Fonte," ",ORÇAMENTO.CodBarra)))</f>
        <v>SINAPI 96557</v>
      </c>
      <c r="AF56" s="12" t="str"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(Código não identificado nas referências)</v>
      </c>
      <c r="AG56" s="428" cm="1">
        <f t="array" aca="1" ref="AG56" ca="1">ROUND(IF(DESONERACAO="sim",REFERENCIA.Desonerado,REFERENCIA.NaoDesonerado),2)</f>
        <v>0</v>
      </c>
      <c r="AH56" s="429">
        <f t="shared" ca="1" si="14"/>
        <v>0.2069</v>
      </c>
      <c r="AJ56" s="431">
        <v>0.26</v>
      </c>
      <c r="AL56" s="439"/>
      <c r="AM56" s="336">
        <f t="shared" ca="1" si="0"/>
        <v>0</v>
      </c>
      <c r="AN56" s="470" cm="1">
        <f t="array" aca="1" ref="AN56" ca="1">ROUND(ORÇAMENTO.CustoUnitario*(1+$AH56),2)</f>
        <v>0</v>
      </c>
    </row>
    <row r="57" spans="1:40" x14ac:dyDescent="0.2">
      <c r="A57">
        <f t="shared" si="1"/>
        <v>2</v>
      </c>
      <c r="B57">
        <f t="shared" ca="1" si="2"/>
        <v>2</v>
      </c>
      <c r="C57">
        <f t="shared" ca="1" si="3"/>
        <v>2</v>
      </c>
      <c r="D57">
        <f t="shared" ca="1" si="4"/>
        <v>6</v>
      </c>
      <c r="E57">
        <f ca="1">IF($C57=1,OFFSET(E57,-1,0)+MAX(1,COUNTIF(QCI!$A$13:$A$24,OFFSET(ORÇAMENTO!E57,-1,0))),OFFSET(E57,-1,0))</f>
        <v>2</v>
      </c>
      <c r="F57">
        <f t="shared" ca="1" si="5"/>
        <v>5</v>
      </c>
      <c r="G57">
        <f t="shared" ca="1" si="6"/>
        <v>0</v>
      </c>
      <c r="H57">
        <f t="shared" ca="1" si="7"/>
        <v>0</v>
      </c>
      <c r="I57">
        <f t="shared" ca="1" si="8"/>
        <v>0</v>
      </c>
      <c r="J57">
        <f t="shared" ref="J57:J62" ca="1" si="17">IF(OR($C57="S",$C57=0),0,MATCH(0,OFFSET($D57,1,$C57,ROW($C$71)-ROW($C57)),0))</f>
        <v>14</v>
      </c>
      <c r="K57">
        <f ca="1">IF(OR($C57="S",$C57=0),0,MATCH(OFFSET($D57,0,$C57)+IF($C57&lt;&gt;1,1,COUNTIF(QCI!$A$13:$A$24,ORÇAMENTO!E57)),OFFSET($D57,1,$C57,ROW($C$71)-ROW($C57)),0))</f>
        <v>6</v>
      </c>
      <c r="L57" s="114" t="str">
        <f t="shared" ca="1" si="10"/>
        <v>F</v>
      </c>
      <c r="M57" s="115" t="s">
        <v>702</v>
      </c>
      <c r="N57" s="116" t="str">
        <f t="shared" ca="1" si="11"/>
        <v>Nível 2</v>
      </c>
      <c r="O57" s="117" t="str">
        <f t="shared" ca="1" si="12"/>
        <v>2.5.</v>
      </c>
      <c r="P57" s="118" t="s">
        <v>750</v>
      </c>
      <c r="Q57" s="119"/>
      <c r="R57" s="120" t="s">
        <v>1052</v>
      </c>
      <c r="S57" s="121" t="str" cm="1">
        <f t="array" aca="1" ref="S57" ca="1">REFERENCIA.Unidade</f>
        <v>-</v>
      </c>
      <c r="T57" s="122">
        <f ca="1">OFFSET(CÁLCULO!H$15,ROW($T57)-ROW(T$15),0)</f>
        <v>0</v>
      </c>
      <c r="U57" s="123"/>
      <c r="V57" s="124" t="s">
        <v>663</v>
      </c>
      <c r="W57" s="122" cm="1">
        <f t="array" aca="1" ref="W57" ca="1">IF($C57="S",ROUND(IF(TIPOORCAMENTO="Proposto",ORÇAMENTO.CustoUnitario*(1+$AH57),ORÇAMENTO.PrecoUnitarioLicitado),15-13*$AF$10),0)</f>
        <v>0</v>
      </c>
      <c r="X57" s="125" cm="1">
        <f t="array" aca="1" ref="X57" ca="1">IF($C57="S",IF(OR(Import.TipoArredondamento&lt;&gt;"TransfereGOV",ACOMPANHAMENTO="BM"),VTOTAL1,SUM(OFFSET(CÁLCULO!$AA$15,ROW($X57)-ROW($X$15),1):OFFSET(CÁLCULO!$AL$15,ROW($X57)-ROW($X$15),-1))),IF($C57=0,0,ROUND(SomaAgrup,15-13*$AF$11)))</f>
        <v>0</v>
      </c>
      <c r="Y57" s="126" t="s">
        <v>751</v>
      </c>
      <c r="Z57" t="str">
        <f t="shared" ca="1" si="13"/>
        <v/>
      </c>
      <c r="AA57" s="127" cm="1">
        <f t="array" aca="1" ref="AA57" ca="1">IF($C57="S",IF($Z57="CP",$X57,IF($Z57="RA",(($X57)*QCI!$AA$3),0)),SomaAgrup)</f>
        <v>0</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f ca="1">IF(C57&lt;=CRONO.NivelExibicao,MAX($AD$15:OFFSET(AD57,-1,0))+IF($C57&lt;&gt;1,1,MAX(1,COUNTIF(QCI!$A$13:$A$24,OFFSET($E57,-1,0)))),"")</f>
        <v>11</v>
      </c>
      <c r="AE57" s="7" t="b" cm="1">
        <f t="array" aca="1" ref="AE57" ca="1">IF(AND($C57="S",ORÇAMENTO.CodBarra&lt;&gt;""),IF(ORÇAMENTO.Fonte="",ORÇAMENTO.CodBarra,CONCATENATE(ORÇAMENTO.Fonte," ",ORÇAMENTO.CodBarra)))</f>
        <v>0</v>
      </c>
      <c r="AF57" s="12" t="str"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(Sem Código)</v>
      </c>
      <c r="AG57" s="428" cm="1">
        <f t="array" aca="1" ref="AG57" ca="1">ROUND(IF(DESONERACAO="sim",REFERENCIA.Desonerado,REFERENCIA.NaoDesonerado),2)</f>
        <v>0</v>
      </c>
      <c r="AH57" s="429">
        <f t="shared" ca="1" si="14"/>
        <v>0.2069</v>
      </c>
      <c r="AJ57" s="431"/>
      <c r="AL57" s="439"/>
      <c r="AM57" s="336">
        <f t="shared" ca="1" si="0"/>
        <v>0</v>
      </c>
      <c r="AN57" s="470" cm="1">
        <f t="array" aca="1" ref="AN57" ca="1">ROUND(ORÇAMENTO.CustoUnitario*(1+$AH57),2)</f>
        <v>0</v>
      </c>
    </row>
    <row r="58" spans="1:40" ht="51" x14ac:dyDescent="0.2">
      <c r="A58" t="str">
        <f t="shared" si="1"/>
        <v>S</v>
      </c>
      <c r="B58">
        <f t="shared" ca="1" si="2"/>
        <v>2</v>
      </c>
      <c r="C58" t="str">
        <f t="shared" ca="1" si="3"/>
        <v>S</v>
      </c>
      <c r="D58">
        <f t="shared" ca="1" si="4"/>
        <v>0</v>
      </c>
      <c r="E58">
        <f ca="1">IF($C58=1,OFFSET(E58,-1,0)+MAX(1,COUNTIF(QCI!$A$13:$A$24,OFFSET(ORÇAMENTO!E58,-1,0))),OFFSET(E58,-1,0))</f>
        <v>2</v>
      </c>
      <c r="F58">
        <f t="shared" ca="1" si="5"/>
        <v>5</v>
      </c>
      <c r="G58">
        <f t="shared" ca="1" si="6"/>
        <v>0</v>
      </c>
      <c r="H58">
        <f t="shared" ca="1" si="7"/>
        <v>0</v>
      </c>
      <c r="I58">
        <f t="shared" ca="1" si="8"/>
        <v>0</v>
      </c>
      <c r="J58">
        <f t="shared" ca="1" si="17"/>
        <v>0</v>
      </c>
      <c r="K58">
        <f ca="1">IF(OR($C58="S",$C58=0),0,MATCH(OFFSET($D58,0,$C58)+IF($C58&lt;&gt;1,1,COUNTIF(QCI!$A$13:$A$24,ORÇAMENTO!E58)),OFFSET($D58,1,$C58,ROW($C$71)-ROW($C58)),0))</f>
        <v>0</v>
      </c>
      <c r="L58" s="114" t="str">
        <f t="shared" ca="1" si="10"/>
        <v/>
      </c>
      <c r="M58" s="115" t="s">
        <v>705</v>
      </c>
      <c r="N58" s="116" t="str">
        <f t="shared" ca="1" si="11"/>
        <v>Serviço</v>
      </c>
      <c r="O58" s="117" t="str">
        <f t="shared" ca="1" si="12"/>
        <v>-</v>
      </c>
      <c r="P58" s="118" t="s">
        <v>750</v>
      </c>
      <c r="Q58" s="119" t="s">
        <v>1053</v>
      </c>
      <c r="R58" s="120" t="str" cm="1">
        <f t="array" aca="1" ref="R58" ca="1">IF($C58="S",REFERENCIA.Descricao,"(digite a descrição aqui)")</f>
        <v>(Código não identificado nas referências)</v>
      </c>
      <c r="S58" s="121" t="str" cm="1">
        <f t="array" aca="1" ref="S58" ca="1">REFERENCIA.Unidade</f>
        <v>-</v>
      </c>
      <c r="T58" s="122">
        <f ca="1">OFFSET(CÁLCULO!H$15,ROW($T58)-ROW(T$15),0)</f>
        <v>1</v>
      </c>
      <c r="U58" s="123"/>
      <c r="V58" s="124" t="s">
        <v>663</v>
      </c>
      <c r="W58" s="122" cm="1">
        <f t="array" aca="1" ref="W58" ca="1">IF($C58="S",ROUND(IF(TIPOORCAMENTO="Proposto",ORÇAMENTO.CustoUnitario*(1+$AH58),ORÇAMENTO.PrecoUnitarioLicitado),15-13*$AF$10),0)</f>
        <v>0</v>
      </c>
      <c r="X58" s="125" cm="1">
        <f t="array" aca="1" ref="X58" ca="1">IF($C58="S",IF(OR(Import.TipoArredondamento&lt;&gt;"TransfereGOV",ACOMPANHAMENTO="BM"),VTOTAL1,SUM(OFFSET(CÁLCULO!$AA$15,ROW($X58)-ROW($X$15),1):OFFSET(CÁLCULO!$AL$15,ROW($X58)-ROW($X$15),-1))),IF($C58=0,0,ROUND(SomaAgrup,15-13*$AF$11)))</f>
        <v>0</v>
      </c>
      <c r="Y58" s="126" t="s">
        <v>751</v>
      </c>
      <c r="Z58" t="str">
        <f t="shared" ca="1" si="13"/>
        <v/>
      </c>
      <c r="AA58" s="127" cm="1">
        <f t="array" aca="1" ref="AA58" ca="1">IF($C58="S",IF($Z58="CP",$X58,IF($Z58="RA",(($X58)*QCI!$AA$3),0)),SomaAgrup)</f>
        <v>0</v>
      </c>
      <c r="AB58" s="128" cm="1">
        <f t="array" aca="1" ref="AB58" ca="1">IF($C58="S",IF($Z58="OU",ROUND($X58,2),0),SomaAgrup)</f>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CÓDIGO N/ID</v>
      </c>
      <c r="AD58" t="str">
        <f ca="1">IF(C58&lt;=CRONO.NivelExibicao,MAX($AD$15:OFFSET(AD58,-1,0))+IF($C58&lt;&gt;1,1,MAX(1,COUNTIF(QCI!$A$13:$A$24,OFFSET($E58,-1,0)))),"")</f>
        <v/>
      </c>
      <c r="AE58" s="7" t="str" cm="1">
        <f t="array" aca="1" ref="AE58" ca="1">IF(AND($C58="S",ORÇAMENTO.CodBarra&lt;&gt;""),IF(ORÇAMENTO.Fonte="",ORÇAMENTO.CodBarra,CONCATENATE(ORÇAMENTO.Fonte," ",ORÇAMENTO.CodBarra)))</f>
        <v>SINAPI 103366</v>
      </c>
      <c r="AF58" s="12" t="str"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(Código não identificado nas referências)</v>
      </c>
      <c r="AG58" s="428" cm="1">
        <f t="array" aca="1" ref="AG58" ca="1">ROUND(IF(DESONERACAO="sim",REFERENCIA.Desonerado,REFERENCIA.NaoDesonerado),2)</f>
        <v>0</v>
      </c>
      <c r="AH58" s="429">
        <f t="shared" ca="1" si="14"/>
        <v>0.2069</v>
      </c>
      <c r="AJ58" s="431">
        <v>1</v>
      </c>
      <c r="AL58" s="439"/>
      <c r="AM58" s="336">
        <f t="shared" ca="1" si="0"/>
        <v>0</v>
      </c>
      <c r="AN58" s="470" cm="1">
        <f t="array" aca="1" ref="AN58" ca="1">ROUND(ORÇAMENTO.CustoUnitario*(1+$AH58),2)</f>
        <v>0</v>
      </c>
    </row>
    <row r="59" spans="1:40" ht="51" x14ac:dyDescent="0.2">
      <c r="A59" t="str">
        <f t="shared" si="1"/>
        <v>S</v>
      </c>
      <c r="B59">
        <f t="shared" ca="1" si="2"/>
        <v>2</v>
      </c>
      <c r="C59" t="str">
        <f t="shared" ca="1" si="3"/>
        <v>S</v>
      </c>
      <c r="D59">
        <f t="shared" ca="1" si="4"/>
        <v>0</v>
      </c>
      <c r="E59">
        <f ca="1">IF($C59=1,OFFSET(E59,-1,0)+MAX(1,COUNTIF(QCI!$A$13:$A$24,OFFSET(ORÇAMENTO!E59,-1,0))),OFFSET(E59,-1,0))</f>
        <v>2</v>
      </c>
      <c r="F59">
        <f t="shared" ca="1" si="5"/>
        <v>5</v>
      </c>
      <c r="G59">
        <f t="shared" ca="1" si="6"/>
        <v>0</v>
      </c>
      <c r="H59">
        <f t="shared" ca="1" si="7"/>
        <v>0</v>
      </c>
      <c r="I59">
        <f t="shared" ca="1" si="8"/>
        <v>0</v>
      </c>
      <c r="J59">
        <f t="shared" ca="1" si="17"/>
        <v>0</v>
      </c>
      <c r="K59">
        <f ca="1">IF(OR($C59="S",$C59=0),0,MATCH(OFFSET($D59,0,$C59)+IF($C59&lt;&gt;1,1,COUNTIF(QCI!$A$13:$A$24,ORÇAMENTO!E59)),OFFSET($D59,1,$C59,ROW($C$71)-ROW($C59)),0))</f>
        <v>0</v>
      </c>
      <c r="L59" s="114" t="str">
        <f t="shared" ca="1" si="10"/>
        <v/>
      </c>
      <c r="M59" s="115" t="s">
        <v>705</v>
      </c>
      <c r="N59" s="116" t="str">
        <f t="shared" ca="1" si="11"/>
        <v>Serviço</v>
      </c>
      <c r="O59" s="117" t="str">
        <f t="shared" ca="1" si="12"/>
        <v>-</v>
      </c>
      <c r="P59" s="118" t="s">
        <v>750</v>
      </c>
      <c r="Q59" s="119" t="s">
        <v>1054</v>
      </c>
      <c r="R59" s="120" t="str" cm="1">
        <f t="array" aca="1" ref="R59" ca="1">IF($C59="S",REFERENCIA.Descricao,"(digite a descrição aqui)")</f>
        <v>(Código não identificado nas referências)</v>
      </c>
      <c r="S59" s="121" t="str" cm="1">
        <f t="array" aca="1" ref="S59" ca="1">REFERENCIA.Unidade</f>
        <v>-</v>
      </c>
      <c r="T59" s="122">
        <f ca="1">OFFSET(CÁLCULO!H$15,ROW($T59)-ROW(T$15),0)</f>
        <v>2</v>
      </c>
      <c r="U59" s="123"/>
      <c r="V59" s="124" t="s">
        <v>663</v>
      </c>
      <c r="W59" s="122" cm="1">
        <f t="array" aca="1" ref="W59" ca="1">IF($C59="S",ROUND(IF(TIPOORCAMENTO="Proposto",ORÇAMENTO.CustoUnitario*(1+$AH59),ORÇAMENTO.PrecoUnitarioLicitado),15-13*$AF$10),0)</f>
        <v>0</v>
      </c>
      <c r="X59" s="125" cm="1">
        <f t="array" aca="1" ref="X59" ca="1">IF($C59="S",IF(OR(Import.TipoArredondamento&lt;&gt;"TransfereGOV",ACOMPANHAMENTO="BM"),VTOTAL1,SUM(OFFSET(CÁLCULO!$AA$15,ROW($X59)-ROW($X$15),1):OFFSET(CÁLCULO!$AL$15,ROW($X59)-ROW($X$15),-1))),IF($C59=0,0,ROUND(SomaAgrup,15-13*$AF$11)))</f>
        <v>0</v>
      </c>
      <c r="Y59" s="126" t="s">
        <v>751</v>
      </c>
      <c r="Z59" t="str">
        <f t="shared" ca="1" si="13"/>
        <v/>
      </c>
      <c r="AA59" s="127" cm="1">
        <f t="array" aca="1" ref="AA59" ca="1">IF($C59="S",IF($Z59="CP",$X59,IF($Z59="RA",(($X59)*QCI!$AA$3),0)),SomaAgrup)</f>
        <v>0</v>
      </c>
      <c r="AB59" s="128" cm="1">
        <f t="array" aca="1" ref="AB59" ca="1">IF($C59="S",IF($Z59="OU",ROUND($X59,2),0),SomaAgrup)</f>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CÓDIGO N/ID</v>
      </c>
      <c r="AD59" t="str">
        <f ca="1">IF(C59&lt;=CRONO.NivelExibicao,MAX($AD$15:OFFSET(AD59,-1,0))+IF($C59&lt;&gt;1,1,MAX(1,COUNTIF(QCI!$A$13:$A$24,OFFSET($E59,-1,0)))),"")</f>
        <v/>
      </c>
      <c r="AE59" s="7" t="str" cm="1">
        <f t="array" aca="1" ref="AE59" ca="1">IF(AND($C59="S",ORÇAMENTO.CodBarra&lt;&gt;""),IF(ORÇAMENTO.Fonte="",ORÇAMENTO.CodBarra,CONCATENATE(ORÇAMENTO.Fonte," ",ORÇAMENTO.CodBarra)))</f>
        <v>SINAPI 87905</v>
      </c>
      <c r="AF59" s="12" t="str"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(Código não identificado nas referências)</v>
      </c>
      <c r="AG59" s="428" cm="1">
        <f t="array" aca="1" ref="AG59" ca="1">ROUND(IF(DESONERACAO="sim",REFERENCIA.Desonerado,REFERENCIA.NaoDesonerado),2)</f>
        <v>0</v>
      </c>
      <c r="AH59" s="429">
        <f t="shared" ca="1" si="14"/>
        <v>0.2069</v>
      </c>
      <c r="AJ59" s="431">
        <v>2</v>
      </c>
      <c r="AL59" s="439"/>
      <c r="AM59" s="336">
        <f t="shared" ca="1" si="0"/>
        <v>0</v>
      </c>
      <c r="AN59" s="470" cm="1">
        <f t="array" aca="1" ref="AN59" ca="1">ROUND(ORÇAMENTO.CustoUnitario*(1+$AH59),2)</f>
        <v>0</v>
      </c>
    </row>
    <row r="60" spans="1:40" ht="51" x14ac:dyDescent="0.2">
      <c r="A60" t="str">
        <f t="shared" si="1"/>
        <v>S</v>
      </c>
      <c r="B60">
        <f t="shared" ca="1" si="2"/>
        <v>2</v>
      </c>
      <c r="C60" t="str">
        <f t="shared" ca="1" si="3"/>
        <v>S</v>
      </c>
      <c r="D60">
        <f t="shared" ca="1" si="4"/>
        <v>0</v>
      </c>
      <c r="E60">
        <f ca="1">IF($C60=1,OFFSET(E60,-1,0)+MAX(1,COUNTIF(QCI!$A$13:$A$24,OFFSET(ORÇAMENTO!E60,-1,0))),OFFSET(E60,-1,0))</f>
        <v>2</v>
      </c>
      <c r="F60">
        <f t="shared" ca="1" si="5"/>
        <v>5</v>
      </c>
      <c r="G60">
        <f t="shared" ca="1" si="6"/>
        <v>0</v>
      </c>
      <c r="H60">
        <f t="shared" ca="1" si="7"/>
        <v>0</v>
      </c>
      <c r="I60">
        <f t="shared" ca="1" si="8"/>
        <v>0</v>
      </c>
      <c r="J60">
        <f t="shared" ca="1" si="17"/>
        <v>0</v>
      </c>
      <c r="K60">
        <f ca="1">IF(OR($C60="S",$C60=0),0,MATCH(OFFSET($D60,0,$C60)+IF($C60&lt;&gt;1,1,COUNTIF(QCI!$A$13:$A$24,ORÇAMENTO!E60)),OFFSET($D60,1,$C60,ROW($C$71)-ROW($C60)),0))</f>
        <v>0</v>
      </c>
      <c r="L60" s="114" t="str">
        <f t="shared" ca="1" si="10"/>
        <v/>
      </c>
      <c r="M60" s="115" t="s">
        <v>705</v>
      </c>
      <c r="N60" s="116" t="str">
        <f t="shared" ca="1" si="11"/>
        <v>Serviço</v>
      </c>
      <c r="O60" s="117" t="str">
        <f t="shared" ca="1" si="12"/>
        <v>-</v>
      </c>
      <c r="P60" s="118" t="s">
        <v>750</v>
      </c>
      <c r="Q60" s="119" t="s">
        <v>1055</v>
      </c>
      <c r="R60" s="120" t="str" cm="1">
        <f t="array" aca="1" ref="R60" ca="1">IF($C60="S",REFERENCIA.Descricao,"(digite a descrição aqui)")</f>
        <v>(Código não identificado nas referências)</v>
      </c>
      <c r="S60" s="121" t="str" cm="1">
        <f t="array" aca="1" ref="S60" ca="1">REFERENCIA.Unidade</f>
        <v>-</v>
      </c>
      <c r="T60" s="122">
        <f ca="1">OFFSET(CÁLCULO!H$15,ROW($T60)-ROW(T$15),0)</f>
        <v>2</v>
      </c>
      <c r="U60" s="123"/>
      <c r="V60" s="124" t="s">
        <v>663</v>
      </c>
      <c r="W60" s="122" cm="1">
        <f t="array" aca="1" ref="W60" ca="1">IF($C60="S",ROUND(IF(TIPOORCAMENTO="Proposto",ORÇAMENTO.CustoUnitario*(1+$AH60),ORÇAMENTO.PrecoUnitarioLicitado),15-13*$AF$10),0)</f>
        <v>0</v>
      </c>
      <c r="X60" s="125" cm="1">
        <f t="array" aca="1" ref="X60" ca="1">IF($C60="S",IF(OR(Import.TipoArredondamento&lt;&gt;"TransfereGOV",ACOMPANHAMENTO="BM"),VTOTAL1,SUM(OFFSET(CÁLCULO!$AA$15,ROW($X60)-ROW($X$15),1):OFFSET(CÁLCULO!$AL$15,ROW($X60)-ROW($X$15),-1))),IF($C60=0,0,ROUND(SomaAgrup,15-13*$AF$11)))</f>
        <v>0</v>
      </c>
      <c r="Y60" s="126" t="s">
        <v>751</v>
      </c>
      <c r="Z60" t="str">
        <f t="shared" ca="1" si="13"/>
        <v/>
      </c>
      <c r="AA60" s="127" cm="1">
        <f t="array" aca="1" ref="AA60" ca="1">IF($C60="S",IF($Z60="CP",$X60,IF($Z60="RA",(($X60)*QCI!$AA$3),0)),SomaAgrup)</f>
        <v>0</v>
      </c>
      <c r="AB60" s="128" cm="1">
        <f t="array" aca="1" ref="AB60" ca="1">IF($C60="S",IF($Z60="OU",ROUND($X60,2),0),SomaAgrup)</f>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CÓDIGO N/ID</v>
      </c>
      <c r="AD60" t="str">
        <f ca="1">IF(C60&lt;=CRONO.NivelExibicao,MAX($AD$15:OFFSET(AD60,-1,0))+IF($C60&lt;&gt;1,1,MAX(1,COUNTIF(QCI!$A$13:$A$24,OFFSET($E60,-1,0)))),"")</f>
        <v/>
      </c>
      <c r="AE60" s="7" t="str" cm="1">
        <f t="array" aca="1" ref="AE60" ca="1">IF(AND($C60="S",ORÇAMENTO.CodBarra&lt;&gt;""),IF(ORÇAMENTO.Fonte="",ORÇAMENTO.CodBarra,CONCATENATE(ORÇAMENTO.Fonte," ",ORÇAMENTO.CodBarra)))</f>
        <v>SINAPI 87794</v>
      </c>
      <c r="AF60" s="12" t="str"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(Código não identificado nas referências)</v>
      </c>
      <c r="AG60" s="428" cm="1">
        <f t="array" aca="1" ref="AG60" ca="1">ROUND(IF(DESONERACAO="sim",REFERENCIA.Desonerado,REFERENCIA.NaoDesonerado),2)</f>
        <v>0</v>
      </c>
      <c r="AH60" s="429">
        <f t="shared" ca="1" si="14"/>
        <v>0.2069</v>
      </c>
      <c r="AJ60" s="431">
        <v>2</v>
      </c>
      <c r="AL60" s="439"/>
      <c r="AM60" s="336">
        <f t="shared" ca="1" si="0"/>
        <v>0</v>
      </c>
      <c r="AN60" s="470" cm="1">
        <f t="array" aca="1" ref="AN60" ca="1">ROUND(ORÇAMENTO.CustoUnitario*(1+$AH60),2)</f>
        <v>0</v>
      </c>
    </row>
    <row r="61" spans="1:40" ht="25.5" x14ac:dyDescent="0.2">
      <c r="A61" t="str">
        <f t="shared" si="1"/>
        <v>S</v>
      </c>
      <c r="B61">
        <f t="shared" ca="1" si="2"/>
        <v>2</v>
      </c>
      <c r="C61" t="str">
        <f t="shared" ca="1" si="3"/>
        <v>S</v>
      </c>
      <c r="D61">
        <f t="shared" ca="1" si="4"/>
        <v>0</v>
      </c>
      <c r="E61">
        <f ca="1">IF($C61=1,OFFSET(E61,-1,0)+MAX(1,COUNTIF(QCI!$A$13:$A$24,OFFSET(ORÇAMENTO!E61,-1,0))),OFFSET(E61,-1,0))</f>
        <v>2</v>
      </c>
      <c r="F61">
        <f t="shared" ca="1" si="5"/>
        <v>5</v>
      </c>
      <c r="G61">
        <f t="shared" ca="1" si="6"/>
        <v>0</v>
      </c>
      <c r="H61">
        <f t="shared" ca="1" si="7"/>
        <v>0</v>
      </c>
      <c r="I61">
        <f t="shared" ca="1" si="8"/>
        <v>0</v>
      </c>
      <c r="J61">
        <f t="shared" ca="1" si="17"/>
        <v>0</v>
      </c>
      <c r="K61">
        <f ca="1">IF(OR($C61="S",$C61=0),0,MATCH(OFFSET($D61,0,$C61)+IF($C61&lt;&gt;1,1,COUNTIF(QCI!$A$13:$A$24,ORÇAMENTO!E61)),OFFSET($D61,1,$C61,ROW($C$71)-ROW($C61)),0))</f>
        <v>0</v>
      </c>
      <c r="L61" s="114" t="str">
        <f t="shared" ca="1" si="10"/>
        <v/>
      </c>
      <c r="M61" s="115" t="s">
        <v>705</v>
      </c>
      <c r="N61" s="116" t="str">
        <f t="shared" ca="1" si="11"/>
        <v>Serviço</v>
      </c>
      <c r="O61" s="117" t="str">
        <f t="shared" ca="1" si="12"/>
        <v>-</v>
      </c>
      <c r="P61" s="118" t="s">
        <v>750</v>
      </c>
      <c r="Q61" s="119" t="s">
        <v>1050</v>
      </c>
      <c r="R61" s="120" t="str" cm="1">
        <f t="array" aca="1" ref="R61" ca="1">IF($C61="S",REFERENCIA.Descricao,"(digite a descrição aqui)")</f>
        <v>(Código não identificado nas referências)</v>
      </c>
      <c r="S61" s="121" t="str" cm="1">
        <f t="array" aca="1" ref="S61" ca="1">REFERENCIA.Unidade</f>
        <v>-</v>
      </c>
      <c r="T61" s="122">
        <f ca="1">OFFSET(CÁLCULO!H$15,ROW($T61)-ROW(T$15),0)</f>
        <v>2</v>
      </c>
      <c r="U61" s="123"/>
      <c r="V61" s="124" t="s">
        <v>663</v>
      </c>
      <c r="W61" s="122" cm="1">
        <f t="array" aca="1" ref="W61" ca="1">IF($C61="S",ROUND(IF(TIPOORCAMENTO="Proposto",ORÇAMENTO.CustoUnitario*(1+$AH61),ORÇAMENTO.PrecoUnitarioLicitado),15-13*$AF$10),0)</f>
        <v>0</v>
      </c>
      <c r="X61" s="125" cm="1">
        <f t="array" aca="1" ref="X61" ca="1">IF($C61="S",IF(OR(Import.TipoArredondamento&lt;&gt;"TransfereGOV",ACOMPANHAMENTO="BM"),VTOTAL1,SUM(OFFSET(CÁLCULO!$AA$15,ROW($X61)-ROW($X$15),1):OFFSET(CÁLCULO!$AL$15,ROW($X61)-ROW($X$15),-1))),IF($C61=0,0,ROUND(SomaAgrup,15-13*$AF$11)))</f>
        <v>0</v>
      </c>
      <c r="Y61" s="126" t="s">
        <v>751</v>
      </c>
      <c r="Z61" t="str">
        <f t="shared" ca="1" si="13"/>
        <v/>
      </c>
      <c r="AA61" s="127" cm="1">
        <f t="array" aca="1" ref="AA61" ca="1">IF($C61="S",IF($Z61="CP",$X61,IF($Z61="RA",(($X61)*QCI!$AA$3),0)),SomaAgrup)</f>
        <v>0</v>
      </c>
      <c r="AB61" s="128" cm="1">
        <f t="array" aca="1" ref="AB61" ca="1">IF($C61="S",IF($Z61="OU",ROUND($X61,2),0),SomaAgrup)</f>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CÓDIGO N/ID</v>
      </c>
      <c r="AD61" t="str">
        <f ca="1">IF(C61&lt;=CRONO.NivelExibicao,MAX($AD$15:OFFSET(AD61,-1,0))+IF($C61&lt;&gt;1,1,MAX(1,COUNTIF(QCI!$A$13:$A$24,OFFSET($E61,-1,0)))),"")</f>
        <v/>
      </c>
      <c r="AE61" s="7" t="str" cm="1">
        <f t="array" aca="1" ref="AE61" ca="1">IF(AND($C61="S",ORÇAMENTO.CodBarra&lt;&gt;""),IF(ORÇAMENTO.Fonte="",ORÇAMENTO.CodBarra,CONCATENATE(ORÇAMENTO.Fonte," ",ORÇAMENTO.CodBarra)))</f>
        <v>SINAPI 88485</v>
      </c>
      <c r="AF61" s="12" t="str"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(Código não identificado nas referências)</v>
      </c>
      <c r="AG61" s="428" cm="1">
        <f t="array" aca="1" ref="AG61" ca="1">ROUND(IF(DESONERACAO="sim",REFERENCIA.Desonerado,REFERENCIA.NaoDesonerado),2)</f>
        <v>0</v>
      </c>
      <c r="AH61" s="429">
        <f t="shared" ca="1" si="14"/>
        <v>0.2069</v>
      </c>
      <c r="AJ61" s="431">
        <v>2</v>
      </c>
      <c r="AL61" s="439"/>
      <c r="AM61" s="336">
        <f t="shared" ca="1" si="0"/>
        <v>0</v>
      </c>
      <c r="AN61" s="470" cm="1">
        <f t="array" aca="1" ref="AN61" ca="1">ROUND(ORÇAMENTO.CustoUnitario*(1+$AH61),2)</f>
        <v>0</v>
      </c>
    </row>
    <row r="62" spans="1:40" ht="25.5" x14ac:dyDescent="0.2">
      <c r="A62" t="str">
        <f t="shared" si="1"/>
        <v>S</v>
      </c>
      <c r="B62">
        <f t="shared" ca="1" si="2"/>
        <v>2</v>
      </c>
      <c r="C62" t="str">
        <f t="shared" ca="1" si="3"/>
        <v>S</v>
      </c>
      <c r="D62">
        <f t="shared" ca="1" si="4"/>
        <v>0</v>
      </c>
      <c r="E62">
        <f ca="1">IF($C62=1,OFFSET(E62,-1,0)+MAX(1,COUNTIF(QCI!$A$13:$A$24,OFFSET(ORÇAMENTO!E62,-1,0))),OFFSET(E62,-1,0))</f>
        <v>2</v>
      </c>
      <c r="F62">
        <f t="shared" ca="1" si="5"/>
        <v>5</v>
      </c>
      <c r="G62">
        <f t="shared" ca="1" si="6"/>
        <v>0</v>
      </c>
      <c r="H62">
        <f t="shared" ca="1" si="7"/>
        <v>0</v>
      </c>
      <c r="I62">
        <f t="shared" ca="1" si="8"/>
        <v>0</v>
      </c>
      <c r="J62">
        <f t="shared" ca="1" si="17"/>
        <v>0</v>
      </c>
      <c r="K62">
        <f ca="1">IF(OR($C62="S",$C62=0),0,MATCH(OFFSET($D62,0,$C62)+IF($C62&lt;&gt;1,1,COUNTIF(QCI!$A$13:$A$24,ORÇAMENTO!E62)),OFFSET($D62,1,$C62,ROW($C$71)-ROW($C62)),0))</f>
        <v>0</v>
      </c>
      <c r="L62" s="114" t="str">
        <f t="shared" ca="1" si="10"/>
        <v/>
      </c>
      <c r="M62" s="115" t="s">
        <v>705</v>
      </c>
      <c r="N62" s="116" t="str">
        <f t="shared" ca="1" si="11"/>
        <v>Serviço</v>
      </c>
      <c r="O62" s="117" t="str">
        <f t="shared" ca="1" si="12"/>
        <v>-</v>
      </c>
      <c r="P62" s="118" t="s">
        <v>750</v>
      </c>
      <c r="Q62" s="119" t="s">
        <v>1051</v>
      </c>
      <c r="R62" s="120" t="str" cm="1">
        <f t="array" aca="1" ref="R62" ca="1">IF($C62="S",REFERENCIA.Descricao,"(digite a descrição aqui)")</f>
        <v>(Código não identificado nas referências)</v>
      </c>
      <c r="S62" s="121" t="str" cm="1">
        <f t="array" aca="1" ref="S62" ca="1">REFERENCIA.Unidade</f>
        <v>-</v>
      </c>
      <c r="T62" s="122">
        <f ca="1">OFFSET(CÁLCULO!H$15,ROW($T62)-ROW(T$15),0)</f>
        <v>2</v>
      </c>
      <c r="U62" s="123"/>
      <c r="V62" s="124" t="s">
        <v>663</v>
      </c>
      <c r="W62" s="122" cm="1">
        <f t="array" aca="1" ref="W62" ca="1">IF($C62="S",ROUND(IF(TIPOORCAMENTO="Proposto",ORÇAMENTO.CustoUnitario*(1+$AH62),ORÇAMENTO.PrecoUnitarioLicitado),15-13*$AF$10),0)</f>
        <v>0</v>
      </c>
      <c r="X62" s="125" cm="1">
        <f t="array" aca="1" ref="X62" ca="1">IF($C62="S",IF(OR(Import.TipoArredondamento&lt;&gt;"TransfereGOV",ACOMPANHAMENTO="BM"),VTOTAL1,SUM(OFFSET(CÁLCULO!$AA$15,ROW($X62)-ROW($X$15),1):OFFSET(CÁLCULO!$AL$15,ROW($X62)-ROW($X$15),-1))),IF($C62=0,0,ROUND(SomaAgrup,15-13*$AF$11)))</f>
        <v>0</v>
      </c>
      <c r="Y62" s="126" t="s">
        <v>751</v>
      </c>
      <c r="Z62" t="str">
        <f t="shared" ca="1" si="13"/>
        <v/>
      </c>
      <c r="AA62" s="127" cm="1">
        <f t="array" aca="1" ref="AA62" ca="1">IF($C62="S",IF($Z62="CP",$X62,IF($Z62="RA",(($X62)*QCI!$AA$3),0)),SomaAgrup)</f>
        <v>0</v>
      </c>
      <c r="AB62" s="128" cm="1">
        <f t="array" aca="1" ref="AB62" ca="1">IF($C62="S",IF($Z62="OU",ROUND($X62,2),0),SomaAgrup)</f>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CÓDIGO N/ID</v>
      </c>
      <c r="AD62" t="str">
        <f ca="1">IF(C62&lt;=CRONO.NivelExibicao,MAX($AD$15:OFFSET(AD62,-1,0))+IF($C62&lt;&gt;1,1,MAX(1,COUNTIF(QCI!$A$13:$A$24,OFFSET($E62,-1,0)))),"")</f>
        <v/>
      </c>
      <c r="AE62" s="7" t="str" cm="1">
        <f t="array" aca="1" ref="AE62" ca="1">IF(AND($C62="S",ORÇAMENTO.CodBarra&lt;&gt;""),IF(ORÇAMENTO.Fonte="",ORÇAMENTO.CodBarra,CONCATENATE(ORÇAMENTO.Fonte," ",ORÇAMENTO.CodBarra)))</f>
        <v>SINAPI 88489</v>
      </c>
      <c r="AF62" s="12" t="str"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(Código não identificado nas referências)</v>
      </c>
      <c r="AG62" s="428" cm="1">
        <f t="array" aca="1" ref="AG62" ca="1">ROUND(IF(DESONERACAO="sim",REFERENCIA.Desonerado,REFERENCIA.NaoDesonerado),2)</f>
        <v>0</v>
      </c>
      <c r="AH62" s="429">
        <f t="shared" ca="1" si="14"/>
        <v>0.2069</v>
      </c>
      <c r="AJ62" s="431">
        <v>2</v>
      </c>
      <c r="AL62" s="439"/>
      <c r="AM62" s="336">
        <f t="shared" ca="1" si="0"/>
        <v>0</v>
      </c>
      <c r="AN62" s="470" cm="1">
        <f t="array" aca="1" ref="AN62" ca="1">ROUND(ORÇAMENTO.CustoUnitario*(1+$AH62),2)</f>
        <v>0</v>
      </c>
    </row>
    <row r="63" spans="1:40" x14ac:dyDescent="0.2">
      <c r="A63">
        <f t="shared" si="1"/>
        <v>2</v>
      </c>
      <c r="B63">
        <f t="shared" ca="1" si="2"/>
        <v>2</v>
      </c>
      <c r="C63">
        <f t="shared" ca="1" si="3"/>
        <v>2</v>
      </c>
      <c r="D63">
        <f t="shared" ca="1" si="4"/>
        <v>5</v>
      </c>
      <c r="E63">
        <f ca="1">IF($C63=1,OFFSET(E63,-1,0)+MAX(1,COUNTIF(QCI!$A$13:$A$24,OFFSET(ORÇAMENTO!E63,-1,0))),OFFSET(E63,-1,0))</f>
        <v>2</v>
      </c>
      <c r="F63">
        <f t="shared" ca="1" si="5"/>
        <v>6</v>
      </c>
      <c r="G63">
        <f t="shared" ca="1" si="6"/>
        <v>0</v>
      </c>
      <c r="H63">
        <f t="shared" ca="1" si="7"/>
        <v>0</v>
      </c>
      <c r="I63">
        <f t="shared" ca="1" si="8"/>
        <v>0</v>
      </c>
      <c r="J63">
        <f t="shared" ref="J63:J70" ca="1" si="18">IF(OR($C63="S",$C63=0),0,MATCH(0,OFFSET($D63,1,$C63,ROW($C$71)-ROW($C63)),0))</f>
        <v>8</v>
      </c>
      <c r="K63">
        <f ca="1">IF(OR($C63="S",$C63=0),0,MATCH(OFFSET($D63,0,$C63)+IF($C63&lt;&gt;1,1,COUNTIF(QCI!$A$13:$A$24,ORÇAMENTO!E63)),OFFSET($D63,1,$C63,ROW($C$71)-ROW($C63)),0))</f>
        <v>5</v>
      </c>
      <c r="L63" s="114" t="str">
        <f t="shared" ca="1" si="10"/>
        <v>F</v>
      </c>
      <c r="M63" s="115" t="s">
        <v>702</v>
      </c>
      <c r="N63" s="116" t="str">
        <f t="shared" ca="1" si="11"/>
        <v>Nível 2</v>
      </c>
      <c r="O63" s="117" t="str">
        <f t="shared" ca="1" si="12"/>
        <v>2.6.</v>
      </c>
      <c r="P63" s="118" t="s">
        <v>750</v>
      </c>
      <c r="Q63" s="119"/>
      <c r="R63" s="120" t="s">
        <v>1045</v>
      </c>
      <c r="S63" s="121" t="str" cm="1">
        <f t="array" aca="1" ref="S63" ca="1">REFERENCIA.Unidade</f>
        <v>-</v>
      </c>
      <c r="T63" s="122">
        <f ca="1">OFFSET(CÁLCULO!H$15,ROW($T63)-ROW(T$15),0)</f>
        <v>0</v>
      </c>
      <c r="U63" s="123"/>
      <c r="V63" s="124" t="s">
        <v>663</v>
      </c>
      <c r="W63" s="122" cm="1">
        <f t="array" aca="1" ref="W63" ca="1">IF($C63="S",ROUND(IF(TIPOORCAMENTO="Proposto",ORÇAMENTO.CustoUnitario*(1+$AH63),ORÇAMENTO.PrecoUnitarioLicitado),15-13*$AF$10),0)</f>
        <v>0</v>
      </c>
      <c r="X63" s="125" cm="1">
        <f t="array" aca="1" ref="X63" ca="1">IF($C63="S",IF(OR(Import.TipoArredondamento&lt;&gt;"TransfereGOV",ACOMPANHAMENTO="BM"),VTOTAL1,SUM(OFFSET(CÁLCULO!$AA$15,ROW($X63)-ROW($X$15),1):OFFSET(CÁLCULO!$AL$15,ROW($X63)-ROW($X$15),-1))),IF($C63=0,0,ROUND(SomaAgrup,15-13*$AF$11)))</f>
        <v>0</v>
      </c>
      <c r="Y63" s="126" t="s">
        <v>751</v>
      </c>
      <c r="Z63" t="str">
        <f t="shared" ca="1" si="13"/>
        <v/>
      </c>
      <c r="AA63" s="127" cm="1">
        <f t="array" aca="1" ref="AA63" ca="1">IF($C63="S",IF($Z63="CP",$X63,IF($Z63="RA",(($X63)*QCI!$AA$3),0)),SomaAgrup)</f>
        <v>0</v>
      </c>
      <c r="AB63" s="128" cm="1">
        <f t="array" aca="1" ref="AB63" ca="1">IF($C63="S",IF($Z63="OU",ROUND($X63,2),0),SomaAgrup)</f>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f ca="1">IF(C63&lt;=CRONO.NivelExibicao,MAX($AD$15:OFFSET(AD63,-1,0))+IF($C63&lt;&gt;1,1,MAX(1,COUNTIF(QCI!$A$13:$A$24,OFFSET($E63,-1,0)))),"")</f>
        <v>12</v>
      </c>
      <c r="AE63" s="7" t="b" cm="1">
        <f t="array" aca="1" ref="AE63" ca="1">IF(AND($C63="S",ORÇAMENTO.CodBarra&lt;&gt;""),IF(ORÇAMENTO.Fonte="",ORÇAMENTO.CodBarra,CONCATENATE(ORÇAMENTO.Fonte," ",ORÇAMENTO.CodBarra)))</f>
        <v>0</v>
      </c>
      <c r="AF63" s="12" t="str"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(Sem Código)</v>
      </c>
      <c r="AG63" s="428" cm="1">
        <f t="array" aca="1" ref="AG63" ca="1">ROUND(IF(DESONERACAO="sim",REFERENCIA.Desonerado,REFERENCIA.NaoDesonerado),2)</f>
        <v>0</v>
      </c>
      <c r="AH63" s="429">
        <f t="shared" ca="1" si="14"/>
        <v>0.2069</v>
      </c>
      <c r="AJ63" s="431"/>
      <c r="AL63" s="439"/>
      <c r="AM63" s="336">
        <f t="shared" ca="1" si="0"/>
        <v>0</v>
      </c>
      <c r="AN63" s="470" cm="1">
        <f t="array" aca="1" ref="AN63" ca="1">ROUND(ORÇAMENTO.CustoUnitario*(1+$AH63),2)</f>
        <v>0</v>
      </c>
    </row>
    <row r="64" spans="1:40" ht="51" x14ac:dyDescent="0.2">
      <c r="A64" t="str">
        <f t="shared" si="1"/>
        <v>S</v>
      </c>
      <c r="B64">
        <f t="shared" ca="1" si="2"/>
        <v>2</v>
      </c>
      <c r="C64" t="str">
        <f t="shared" ca="1" si="3"/>
        <v>S</v>
      </c>
      <c r="D64">
        <f t="shared" ca="1" si="4"/>
        <v>0</v>
      </c>
      <c r="E64">
        <f ca="1">IF($C64=1,OFFSET(E64,-1,0)+MAX(1,COUNTIF(QCI!$A$13:$A$24,OFFSET(ORÇAMENTO!E64,-1,0))),OFFSET(E64,-1,0))</f>
        <v>2</v>
      </c>
      <c r="F64">
        <f t="shared" ca="1" si="5"/>
        <v>6</v>
      </c>
      <c r="G64">
        <f t="shared" ca="1" si="6"/>
        <v>0</v>
      </c>
      <c r="H64">
        <f t="shared" ca="1" si="7"/>
        <v>0</v>
      </c>
      <c r="I64">
        <f t="shared" ca="1" si="8"/>
        <v>0</v>
      </c>
      <c r="J64">
        <f t="shared" ca="1" si="18"/>
        <v>0</v>
      </c>
      <c r="K64">
        <f ca="1">IF(OR($C64="S",$C64=0),0,MATCH(OFFSET($D64,0,$C64)+IF($C64&lt;&gt;1,1,COUNTIF(QCI!$A$13:$A$24,ORÇAMENTO!E64)),OFFSET($D64,1,$C64,ROW($C$71)-ROW($C64)),0))</f>
        <v>0</v>
      </c>
      <c r="L64" s="114" t="str">
        <f t="shared" ca="1" si="10"/>
        <v/>
      </c>
      <c r="M64" s="115" t="s">
        <v>705</v>
      </c>
      <c r="N64" s="116" t="str">
        <f t="shared" ca="1" si="11"/>
        <v>Serviço</v>
      </c>
      <c r="O64" s="117" t="str">
        <f t="shared" ca="1" si="12"/>
        <v>-</v>
      </c>
      <c r="P64" s="118" t="s">
        <v>750</v>
      </c>
      <c r="Q64" s="119" t="s">
        <v>1046</v>
      </c>
      <c r="R64" s="120" t="str" cm="1">
        <f t="array" aca="1" ref="R64" ca="1">IF($C64="S",REFERENCIA.Descricao,"(digite a descrição aqui)")</f>
        <v>(Código não identificado nas referências)</v>
      </c>
      <c r="S64" s="121" t="str" cm="1">
        <f t="array" aca="1" ref="S64" ca="1">REFERENCIA.Unidade</f>
        <v>-</v>
      </c>
      <c r="T64" s="122">
        <f ca="1">OFFSET(CÁLCULO!H$15,ROW($T64)-ROW(T$15),0)</f>
        <v>2</v>
      </c>
      <c r="U64" s="123"/>
      <c r="V64" s="124" t="s">
        <v>663</v>
      </c>
      <c r="W64" s="122" cm="1">
        <f t="array" aca="1" ref="W64" ca="1">IF($C64="S",ROUND(IF(TIPOORCAMENTO="Proposto",ORÇAMENTO.CustoUnitario*(1+$AH64),ORÇAMENTO.PrecoUnitarioLicitado),15-13*$AF$10),0)</f>
        <v>0</v>
      </c>
      <c r="X64" s="125" cm="1">
        <f t="array" aca="1" ref="X64" ca="1">IF($C64="S",IF(OR(Import.TipoArredondamento&lt;&gt;"TransfereGOV",ACOMPANHAMENTO="BM"),VTOTAL1,SUM(OFFSET(CÁLCULO!$AA$15,ROW($X64)-ROW($X$15),1):OFFSET(CÁLCULO!$AL$15,ROW($X64)-ROW($X$15),-1))),IF($C64=0,0,ROUND(SomaAgrup,15-13*$AF$11)))</f>
        <v>0</v>
      </c>
      <c r="Y64" s="126" t="s">
        <v>751</v>
      </c>
      <c r="Z64" t="str">
        <f t="shared" ca="1" si="13"/>
        <v/>
      </c>
      <c r="AA64" s="127" cm="1">
        <f t="array" aca="1" ref="AA64" ca="1">IF($C64="S",IF($Z64="CP",$X64,IF($Z64="RA",(($X64)*QCI!$AA$3),0)),SomaAgrup)</f>
        <v>0</v>
      </c>
      <c r="AB64" s="128" cm="1">
        <f t="array" aca="1" ref="AB64" ca="1">IF($C64="S",IF($Z64="OU",ROUND($X64,2),0),SomaAgrup)</f>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CÓDIGO N/ID</v>
      </c>
      <c r="AD64" t="str">
        <f ca="1">IF(C64&lt;=CRONO.NivelExibicao,MAX($AD$15:OFFSET(AD64,-1,0))+IF($C64&lt;&gt;1,1,MAX(1,COUNTIF(QCI!$A$13:$A$24,OFFSET($E64,-1,0)))),"")</f>
        <v/>
      </c>
      <c r="AE64" s="7" t="str" cm="1">
        <f t="array" aca="1" ref="AE64" ca="1">IF(AND($C64="S",ORÇAMENTO.CodBarra&lt;&gt;""),IF(ORÇAMENTO.Fonte="",ORÇAMENTO.CodBarra,CONCATENATE(ORÇAMENTO.Fonte," ",ORÇAMENTO.CodBarra)))</f>
        <v>SINAPI 92602</v>
      </c>
      <c r="AF64" s="12" t="str"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(Código não identificado nas referências)</v>
      </c>
      <c r="AG64" s="428" cm="1">
        <f t="array" aca="1" ref="AG64" ca="1">ROUND(IF(DESONERACAO="sim",REFERENCIA.Desonerado,REFERENCIA.NaoDesonerado),2)</f>
        <v>0</v>
      </c>
      <c r="AH64" s="429">
        <f t="shared" ca="1" si="14"/>
        <v>0.2069</v>
      </c>
      <c r="AJ64" s="431">
        <v>2</v>
      </c>
      <c r="AL64" s="439"/>
      <c r="AM64" s="336">
        <f t="shared" ca="1" si="0"/>
        <v>0</v>
      </c>
      <c r="AN64" s="470" cm="1">
        <f t="array" aca="1" ref="AN64" ca="1">ROUND(ORÇAMENTO.CustoUnitario*(1+$AH64),2)</f>
        <v>0</v>
      </c>
    </row>
    <row r="65" spans="1:40" ht="51" x14ac:dyDescent="0.2">
      <c r="A65" t="str">
        <f t="shared" si="1"/>
        <v>S</v>
      </c>
      <c r="B65">
        <f t="shared" ca="1" si="2"/>
        <v>2</v>
      </c>
      <c r="C65" t="str">
        <f t="shared" ca="1" si="3"/>
        <v>S</v>
      </c>
      <c r="D65">
        <f t="shared" ca="1" si="4"/>
        <v>0</v>
      </c>
      <c r="E65">
        <f ca="1">IF($C65=1,OFFSET(E65,-1,0)+MAX(1,COUNTIF(QCI!$A$13:$A$24,OFFSET(ORÇAMENTO!E65,-1,0))),OFFSET(E65,-1,0))</f>
        <v>2</v>
      </c>
      <c r="F65">
        <f t="shared" ca="1" si="5"/>
        <v>6</v>
      </c>
      <c r="G65">
        <f t="shared" ca="1" si="6"/>
        <v>0</v>
      </c>
      <c r="H65">
        <f t="shared" ca="1" si="7"/>
        <v>0</v>
      </c>
      <c r="I65">
        <f t="shared" ca="1" si="8"/>
        <v>0</v>
      </c>
      <c r="J65">
        <f t="shared" ca="1" si="18"/>
        <v>0</v>
      </c>
      <c r="K65">
        <f ca="1">IF(OR($C65="S",$C65=0),0,MATCH(OFFSET($D65,0,$C65)+IF($C65&lt;&gt;1,1,COUNTIF(QCI!$A$13:$A$24,ORÇAMENTO!E65)),OFFSET($D65,1,$C65,ROW($C$71)-ROW($C65)),0))</f>
        <v>0</v>
      </c>
      <c r="L65" s="114" t="str">
        <f t="shared" ca="1" si="10"/>
        <v/>
      </c>
      <c r="M65" s="115" t="s">
        <v>705</v>
      </c>
      <c r="N65" s="116" t="str">
        <f t="shared" ca="1" si="11"/>
        <v>Serviço</v>
      </c>
      <c r="O65" s="117" t="str">
        <f t="shared" ca="1" si="12"/>
        <v>-</v>
      </c>
      <c r="P65" s="118" t="s">
        <v>750</v>
      </c>
      <c r="Q65" s="119" t="s">
        <v>1047</v>
      </c>
      <c r="R65" s="120" t="str" cm="1">
        <f t="array" aca="1" ref="R65" ca="1">IF($C65="S",REFERENCIA.Descricao,"(digite a descrição aqui)")</f>
        <v>(Código não identificado nas referências)</v>
      </c>
      <c r="S65" s="121" t="str" cm="1">
        <f t="array" aca="1" ref="S65" ca="1">REFERENCIA.Unidade</f>
        <v>-</v>
      </c>
      <c r="T65" s="122">
        <f ca="1">OFFSET(CÁLCULO!H$15,ROW($T65)-ROW(T$15),0)</f>
        <v>9.92</v>
      </c>
      <c r="U65" s="123"/>
      <c r="V65" s="124" t="s">
        <v>663</v>
      </c>
      <c r="W65" s="122" cm="1">
        <f t="array" aca="1" ref="W65" ca="1">IF($C65="S",ROUND(IF(TIPOORCAMENTO="Proposto",ORÇAMENTO.CustoUnitario*(1+$AH65),ORÇAMENTO.PrecoUnitarioLicitado),15-13*$AF$10),0)</f>
        <v>0</v>
      </c>
      <c r="X65" s="125" cm="1">
        <f t="array" aca="1" ref="X65" ca="1">IF($C65="S",IF(OR(Import.TipoArredondamento&lt;&gt;"TransfereGOV",ACOMPANHAMENTO="BM"),VTOTAL1,SUM(OFFSET(CÁLCULO!$AA$15,ROW($X65)-ROW($X$15),1):OFFSET(CÁLCULO!$AL$15,ROW($X65)-ROW($X$15),-1))),IF($C65=0,0,ROUND(SomaAgrup,15-13*$AF$11)))</f>
        <v>0</v>
      </c>
      <c r="Y65" s="126" t="s">
        <v>751</v>
      </c>
      <c r="Z65" t="str">
        <f t="shared" ca="1" si="13"/>
        <v/>
      </c>
      <c r="AA65" s="127" cm="1">
        <f t="array" aca="1" ref="AA65" ca="1">IF($C65="S",IF($Z65="CP",$X65,IF($Z65="RA",(($X65)*QCI!$AA$3),0)),SomaAgrup)</f>
        <v>0</v>
      </c>
      <c r="AB65" s="128" cm="1">
        <f t="array" aca="1" ref="AB65" ca="1">IF($C65="S",IF($Z65="OU",ROUND($X65,2),0),SomaAgrup)</f>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CÓDIGO N/ID</v>
      </c>
      <c r="AD65" t="str">
        <f ca="1">IF(C65&lt;=CRONO.NivelExibicao,MAX($AD$15:OFFSET(AD65,-1,0))+IF($C65&lt;&gt;1,1,MAX(1,COUNTIF(QCI!$A$13:$A$24,OFFSET($E65,-1,0)))),"")</f>
        <v/>
      </c>
      <c r="AE65" s="7" t="str" cm="1">
        <f t="array" aca="1" ref="AE65" ca="1">IF(AND($C65="S",ORÇAMENTO.CodBarra&lt;&gt;""),IF(ORÇAMENTO.Fonte="",ORÇAMENTO.CodBarra,CONCATENATE(ORÇAMENTO.Fonte," ",ORÇAMENTO.CodBarra)))</f>
        <v>SINAPI 92580</v>
      </c>
      <c r="AF65" s="12" t="str"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(Código não identificado nas referências)</v>
      </c>
      <c r="AG65" s="428" cm="1">
        <f t="array" aca="1" ref="AG65" ca="1">ROUND(IF(DESONERACAO="sim",REFERENCIA.Desonerado,REFERENCIA.NaoDesonerado),2)</f>
        <v>0</v>
      </c>
      <c r="AH65" s="429">
        <f t="shared" ca="1" si="14"/>
        <v>0.2069</v>
      </c>
      <c r="AJ65" s="431">
        <f>2.68*1.85*2</f>
        <v>9.9160000000000004</v>
      </c>
      <c r="AL65" s="439"/>
      <c r="AM65" s="336">
        <f t="shared" ca="1" si="0"/>
        <v>0</v>
      </c>
      <c r="AN65" s="470" cm="1">
        <f t="array" aca="1" ref="AN65" ca="1">ROUND(ORÇAMENTO.CustoUnitario*(1+$AH65),2)</f>
        <v>0</v>
      </c>
    </row>
    <row r="66" spans="1:40" ht="25.5" x14ac:dyDescent="0.2">
      <c r="A66" t="str">
        <f t="shared" si="1"/>
        <v>S</v>
      </c>
      <c r="B66">
        <f t="shared" ca="1" si="2"/>
        <v>2</v>
      </c>
      <c r="C66" t="str">
        <f t="shared" ca="1" si="3"/>
        <v>S</v>
      </c>
      <c r="D66">
        <f t="shared" ca="1" si="4"/>
        <v>0</v>
      </c>
      <c r="E66">
        <f ca="1">IF($C66=1,OFFSET(E66,-1,0)+MAX(1,COUNTIF(QCI!$A$13:$A$24,OFFSET(ORÇAMENTO!E66,-1,0))),OFFSET(E66,-1,0))</f>
        <v>2</v>
      </c>
      <c r="F66">
        <f t="shared" ca="1" si="5"/>
        <v>6</v>
      </c>
      <c r="G66">
        <f t="shared" ca="1" si="6"/>
        <v>0</v>
      </c>
      <c r="H66">
        <f t="shared" ca="1" si="7"/>
        <v>0</v>
      </c>
      <c r="I66">
        <f t="shared" ca="1" si="8"/>
        <v>0</v>
      </c>
      <c r="J66">
        <f t="shared" ca="1" si="18"/>
        <v>0</v>
      </c>
      <c r="K66">
        <f ca="1">IF(OR($C66="S",$C66=0),0,MATCH(OFFSET($D66,0,$C66)+IF($C66&lt;&gt;1,1,COUNTIF(QCI!$A$13:$A$24,ORÇAMENTO!E66)),OFFSET($D66,1,$C66,ROW($C$71)-ROW($C66)),0))</f>
        <v>0</v>
      </c>
      <c r="L66" s="114" t="str">
        <f t="shared" ca="1" si="10"/>
        <v/>
      </c>
      <c r="M66" s="115" t="s">
        <v>705</v>
      </c>
      <c r="N66" s="116" t="str">
        <f t="shared" ca="1" si="11"/>
        <v>Serviço</v>
      </c>
      <c r="O66" s="117" t="str">
        <f t="shared" ca="1" si="12"/>
        <v>-</v>
      </c>
      <c r="P66" s="118" t="s">
        <v>750</v>
      </c>
      <c r="Q66" s="119" t="s">
        <v>1048</v>
      </c>
      <c r="R66" s="120" t="str" cm="1">
        <f t="array" aca="1" ref="R66" ca="1">IF($C66="S",REFERENCIA.Descricao,"(digite a descrição aqui)")</f>
        <v>(Código não identificado nas referências)</v>
      </c>
      <c r="S66" s="121" t="str" cm="1">
        <f t="array" aca="1" ref="S66" ca="1">REFERENCIA.Unidade</f>
        <v>-</v>
      </c>
      <c r="T66" s="122">
        <f ca="1">OFFSET(CÁLCULO!H$15,ROW($T66)-ROW(T$15),0)</f>
        <v>9.92</v>
      </c>
      <c r="U66" s="123"/>
      <c r="V66" s="124" t="s">
        <v>663</v>
      </c>
      <c r="W66" s="122" cm="1">
        <f t="array" aca="1" ref="W66" ca="1">IF($C66="S",ROUND(IF(TIPOORCAMENTO="Proposto",ORÇAMENTO.CustoUnitario*(1+$AH66),ORÇAMENTO.PrecoUnitarioLicitado),15-13*$AF$10),0)</f>
        <v>0</v>
      </c>
      <c r="X66" s="125" cm="1">
        <f t="array" aca="1" ref="X66" ca="1">IF($C66="S",IF(OR(Import.TipoArredondamento&lt;&gt;"TransfereGOV",ACOMPANHAMENTO="BM"),VTOTAL1,SUM(OFFSET(CÁLCULO!$AA$15,ROW($X66)-ROW($X$15),1):OFFSET(CÁLCULO!$AL$15,ROW($X66)-ROW($X$15),-1))),IF($C66=0,0,ROUND(SomaAgrup,15-13*$AF$11)))</f>
        <v>0</v>
      </c>
      <c r="Y66" s="126" t="s">
        <v>751</v>
      </c>
      <c r="Z66" t="str">
        <f t="shared" ca="1" si="13"/>
        <v/>
      </c>
      <c r="AA66" s="127" cm="1">
        <f t="array" aca="1" ref="AA66" ca="1">IF($C66="S",IF($Z66="CP",$X66,IF($Z66="RA",(($X66)*QCI!$AA$3),0)),SomaAgrup)</f>
        <v>0</v>
      </c>
      <c r="AB66" s="128" cm="1">
        <f t="array" aca="1" ref="AB66" ca="1">IF($C66="S",IF($Z66="OU",ROUND($X66,2),0),SomaAgrup)</f>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CÓDIGO N/ID</v>
      </c>
      <c r="AD66" t="str">
        <f ca="1">IF(C66&lt;=CRONO.NivelExibicao,MAX($AD$15:OFFSET(AD66,-1,0))+IF($C66&lt;&gt;1,1,MAX(1,COUNTIF(QCI!$A$13:$A$24,OFFSET($E66,-1,0)))),"")</f>
        <v/>
      </c>
      <c r="AE66" s="7" t="str" cm="1">
        <f t="array" aca="1" ref="AE66" ca="1">IF(AND($C66="S",ORÇAMENTO.CodBarra&lt;&gt;""),IF(ORÇAMENTO.Fonte="",ORÇAMENTO.CodBarra,CONCATENATE(ORÇAMENTO.Fonte," ",ORÇAMENTO.CodBarra)))</f>
        <v>SINAPI 94213</v>
      </c>
      <c r="AF66" s="12" t="str"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(Código não identificado nas referências)</v>
      </c>
      <c r="AG66" s="428" cm="1">
        <f t="array" aca="1" ref="AG66" ca="1">ROUND(IF(DESONERACAO="sim",REFERENCIA.Desonerado,REFERENCIA.NaoDesonerado),2)</f>
        <v>0</v>
      </c>
      <c r="AH66" s="429">
        <f t="shared" ca="1" si="14"/>
        <v>0.2069</v>
      </c>
      <c r="AJ66" s="431">
        <f>AJ65</f>
        <v>9.9160000000000004</v>
      </c>
      <c r="AL66" s="439"/>
      <c r="AM66" s="336">
        <f t="shared" ca="1" si="0"/>
        <v>0</v>
      </c>
      <c r="AN66" s="470" cm="1">
        <f t="array" aca="1" ref="AN66" ca="1">ROUND(ORÇAMENTO.CustoUnitario*(1+$AH66),2)</f>
        <v>0</v>
      </c>
    </row>
    <row r="67" spans="1:40" ht="51" x14ac:dyDescent="0.2">
      <c r="A67" t="str">
        <f t="shared" si="1"/>
        <v>S</v>
      </c>
      <c r="B67">
        <f t="shared" ca="1" si="2"/>
        <v>2</v>
      </c>
      <c r="C67" t="str">
        <f t="shared" ca="1" si="3"/>
        <v>S</v>
      </c>
      <c r="D67">
        <f t="shared" ca="1" si="4"/>
        <v>0</v>
      </c>
      <c r="E67">
        <f ca="1">IF($C67=1,OFFSET(E67,-1,0)+MAX(1,COUNTIF(QCI!$A$13:$A$24,OFFSET(ORÇAMENTO!E67,-1,0))),OFFSET(E67,-1,0))</f>
        <v>2</v>
      </c>
      <c r="F67">
        <f t="shared" ca="1" si="5"/>
        <v>6</v>
      </c>
      <c r="G67">
        <f t="shared" ca="1" si="6"/>
        <v>0</v>
      </c>
      <c r="H67">
        <f t="shared" ca="1" si="7"/>
        <v>0</v>
      </c>
      <c r="I67">
        <f t="shared" ca="1" si="8"/>
        <v>0</v>
      </c>
      <c r="J67">
        <f t="shared" ca="1" si="18"/>
        <v>0</v>
      </c>
      <c r="K67">
        <f ca="1">IF(OR($C67="S",$C67=0),0,MATCH(OFFSET($D67,0,$C67)+IF($C67&lt;&gt;1,1,COUNTIF(QCI!$A$13:$A$24,ORÇAMENTO!E67)),OFFSET($D67,1,$C67,ROW($C$71)-ROW($C67)),0))</f>
        <v>0</v>
      </c>
      <c r="L67" s="114" t="str">
        <f t="shared" ca="1" si="10"/>
        <v/>
      </c>
      <c r="M67" s="115" t="s">
        <v>705</v>
      </c>
      <c r="N67" s="116" t="str">
        <f t="shared" ca="1" si="11"/>
        <v>Serviço</v>
      </c>
      <c r="O67" s="117" t="str">
        <f t="shared" ca="1" si="12"/>
        <v>-</v>
      </c>
      <c r="P67" s="118" t="s">
        <v>750</v>
      </c>
      <c r="Q67" s="119" t="s">
        <v>1049</v>
      </c>
      <c r="R67" s="120" t="str" cm="1">
        <f t="array" aca="1" ref="R67" ca="1">IF($C67="S",REFERENCIA.Descricao,"(digite a descrição aqui)")</f>
        <v>(Código não identificado nas referências)</v>
      </c>
      <c r="S67" s="121" t="str" cm="1">
        <f t="array" aca="1" ref="S67" ca="1">REFERENCIA.Unidade</f>
        <v>-</v>
      </c>
      <c r="T67" s="122">
        <f ca="1">OFFSET(CÁLCULO!H$15,ROW($T67)-ROW(T$15),0)</f>
        <v>10</v>
      </c>
      <c r="U67" s="123"/>
      <c r="V67" s="124" t="s">
        <v>663</v>
      </c>
      <c r="W67" s="122" cm="1">
        <f t="array" aca="1" ref="W67" ca="1">IF($C67="S",ROUND(IF(TIPOORCAMENTO="Proposto",ORÇAMENTO.CustoUnitario*(1+$AH67),ORÇAMENTO.PrecoUnitarioLicitado),15-13*$AF$10),0)</f>
        <v>0</v>
      </c>
      <c r="X67" s="125" cm="1">
        <f t="array" aca="1" ref="X67" ca="1">IF($C67="S",IF(OR(Import.TipoArredondamento&lt;&gt;"TransfereGOV",ACOMPANHAMENTO="BM"),VTOTAL1,SUM(OFFSET(CÁLCULO!$AA$15,ROW($X67)-ROW($X$15),1):OFFSET(CÁLCULO!$AL$15,ROW($X67)-ROW($X$15),-1))),IF($C67=0,0,ROUND(SomaAgrup,15-13*$AF$11)))</f>
        <v>0</v>
      </c>
      <c r="Y67" s="126" t="s">
        <v>751</v>
      </c>
      <c r="Z67" t="str">
        <f t="shared" ca="1" si="13"/>
        <v/>
      </c>
      <c r="AA67" s="127" cm="1">
        <f t="array" aca="1" ref="AA67" ca="1">IF($C67="S",IF($Z67="CP",$X67,IF($Z67="RA",(($X67)*QCI!$AA$3),0)),SomaAgrup)</f>
        <v>0</v>
      </c>
      <c r="AB67" s="128" cm="1">
        <f t="array" aca="1" ref="AB67" ca="1">IF($C67="S",IF($Z67="OU",ROUND($X67,2),0),SomaAgrup)</f>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CÓDIGO N/ID</v>
      </c>
      <c r="AD67" t="str">
        <f ca="1">IF(C67&lt;=CRONO.NivelExibicao,MAX($AD$15:OFFSET(AD67,-1,0))+IF($C67&lt;&gt;1,1,MAX(1,COUNTIF(QCI!$A$13:$A$24,OFFSET($E67,-1,0)))),"")</f>
        <v/>
      </c>
      <c r="AE67" s="7" t="str" cm="1">
        <f t="array" aca="1" ref="AE67" ca="1">IF(AND($C67="S",ORÇAMENTO.CodBarra&lt;&gt;""),IF(ORÇAMENTO.Fonte="",ORÇAMENTO.CodBarra,CONCATENATE(ORÇAMENTO.Fonte," ",ORÇAMENTO.CodBarra)))</f>
        <v>SINAPI 100741</v>
      </c>
      <c r="AF67" s="12" t="str"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(Código não identificado nas referências)</v>
      </c>
      <c r="AG67" s="428" cm="1">
        <f t="array" aca="1" ref="AG67" ca="1">ROUND(IF(DESONERACAO="sim",REFERENCIA.Desonerado,REFERENCIA.NaoDesonerado),2)</f>
        <v>0</v>
      </c>
      <c r="AH67" s="429">
        <f t="shared" ca="1" si="14"/>
        <v>0.2069</v>
      </c>
      <c r="AJ67" s="431">
        <v>10</v>
      </c>
      <c r="AL67" s="439"/>
      <c r="AM67" s="336">
        <f t="shared" ca="1" si="0"/>
        <v>0</v>
      </c>
      <c r="AN67" s="470" cm="1">
        <f t="array" aca="1" ref="AN67" ca="1">ROUND(ORÇAMENTO.CustoUnitario*(1+$AH67),2)</f>
        <v>0</v>
      </c>
    </row>
    <row r="68" spans="1:40" x14ac:dyDescent="0.2">
      <c r="A68">
        <f t="shared" si="1"/>
        <v>2</v>
      </c>
      <c r="B68">
        <f t="shared" ca="1" si="2"/>
        <v>2</v>
      </c>
      <c r="C68">
        <f t="shared" ca="1" si="3"/>
        <v>2</v>
      </c>
      <c r="D68">
        <f t="shared" ca="1" si="4"/>
        <v>3</v>
      </c>
      <c r="E68">
        <f ca="1">IF($C68=1,OFFSET(E68,-1,0)+MAX(1,COUNTIF(QCI!$A$13:$A$24,OFFSET(ORÇAMENTO!E68,-1,0))),OFFSET(E68,-1,0))</f>
        <v>2</v>
      </c>
      <c r="F68">
        <f t="shared" ca="1" si="5"/>
        <v>7</v>
      </c>
      <c r="G68">
        <f t="shared" ca="1" si="6"/>
        <v>0</v>
      </c>
      <c r="H68">
        <f t="shared" ca="1" si="7"/>
        <v>0</v>
      </c>
      <c r="I68">
        <f t="shared" ca="1" si="8"/>
        <v>0</v>
      </c>
      <c r="J68">
        <f t="shared" ca="1" si="18"/>
        <v>3</v>
      </c>
      <c r="K68" t="e">
        <f ca="1">IF(OR($C68="S",$C68=0),0,MATCH(OFFSET($D68,0,$C68)+IF($C68&lt;&gt;1,1,COUNTIF(QCI!$A$13:$A$24,ORÇAMENTO!E68)),OFFSET($D68,1,$C68,ROW($C$71)-ROW($C68)),0))</f>
        <v>#N/A</v>
      </c>
      <c r="L68" s="114" t="str">
        <f t="shared" ca="1" si="10"/>
        <v>F</v>
      </c>
      <c r="M68" s="115" t="s">
        <v>702</v>
      </c>
      <c r="N68" s="116" t="str">
        <f t="shared" ca="1" si="11"/>
        <v>Nível 2</v>
      </c>
      <c r="O68" s="117" t="str">
        <f t="shared" ca="1" si="12"/>
        <v>2.7.</v>
      </c>
      <c r="P68" s="118" t="s">
        <v>750</v>
      </c>
      <c r="Q68" s="119"/>
      <c r="R68" s="120" t="s">
        <v>1059</v>
      </c>
      <c r="S68" s="121" t="str" cm="1">
        <f t="array" aca="1" ref="S68" ca="1">REFERENCIA.Unidade</f>
        <v>-</v>
      </c>
      <c r="T68" s="122">
        <f ca="1">OFFSET(CÁLCULO!H$15,ROW($T68)-ROW(T$15),0)</f>
        <v>0</v>
      </c>
      <c r="U68" s="123"/>
      <c r="V68" s="124" t="s">
        <v>663</v>
      </c>
      <c r="W68" s="122" cm="1">
        <f t="array" aca="1" ref="W68" ca="1">IF($C68="S",ROUND(IF(TIPOORCAMENTO="Proposto",ORÇAMENTO.CustoUnitario*(1+$AH68),ORÇAMENTO.PrecoUnitarioLicitado),15-13*$AF$10),0)</f>
        <v>0</v>
      </c>
      <c r="X68" s="125" cm="1">
        <f t="array" aca="1" ref="X68" ca="1">IF($C68="S",IF(OR(Import.TipoArredondamento&lt;&gt;"TransfereGOV",ACOMPANHAMENTO="BM"),VTOTAL1,SUM(OFFSET(CÁLCULO!$AA$15,ROW($X68)-ROW($X$15),1):OFFSET(CÁLCULO!$AL$15,ROW($X68)-ROW($X$15),-1))),IF($C68=0,0,ROUND(SomaAgrup,15-13*$AF$11)))</f>
        <v>0</v>
      </c>
      <c r="Y68" s="126" t="s">
        <v>751</v>
      </c>
      <c r="Z68" t="str">
        <f t="shared" ca="1" si="13"/>
        <v/>
      </c>
      <c r="AA68" s="127" cm="1">
        <f t="array" aca="1" ref="AA68" ca="1">IF($C68="S",IF($Z68="CP",$X68,IF($Z68="RA",(($X68)*QCI!$AA$3),0)),SomaAgrup)</f>
        <v>0</v>
      </c>
      <c r="AB68" s="128" cm="1">
        <f t="array" aca="1" ref="AB68" ca="1">IF($C68="S",IF($Z68="OU",ROUND($X68,2),0),SomaAgrup)</f>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f ca="1">IF(C68&lt;=CRONO.NivelExibicao,MAX($AD$15:OFFSET(AD68,-1,0))+IF($C68&lt;&gt;1,1,MAX(1,COUNTIF(QCI!$A$13:$A$24,OFFSET($E68,-1,0)))),"")</f>
        <v>13</v>
      </c>
      <c r="AE68" s="7" t="b" cm="1">
        <f t="array" aca="1" ref="AE68" ca="1">IF(AND($C68="S",ORÇAMENTO.CodBarra&lt;&gt;""),IF(ORÇAMENTO.Fonte="",ORÇAMENTO.CodBarra,CONCATENATE(ORÇAMENTO.Fonte," ",ORÇAMENTO.CodBarra)))</f>
        <v>0</v>
      </c>
      <c r="AF68" s="12" t="str"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(Sem Código)</v>
      </c>
      <c r="AG68" s="428" cm="1">
        <f t="array" aca="1" ref="AG68" ca="1">ROUND(IF(DESONERACAO="sim",REFERENCIA.Desonerado,REFERENCIA.NaoDesonerado),2)</f>
        <v>0</v>
      </c>
      <c r="AH68" s="429">
        <f t="shared" ca="1" si="14"/>
        <v>0.2069</v>
      </c>
      <c r="AJ68" s="431"/>
      <c r="AL68" s="439"/>
      <c r="AM68" s="336">
        <f t="shared" ca="1" si="0"/>
        <v>0</v>
      </c>
      <c r="AN68" s="470" cm="1">
        <f t="array" aca="1" ref="AN68" ca="1">ROUND(ORÇAMENTO.CustoUnitario*(1+$AH68),2)</f>
        <v>0</v>
      </c>
    </row>
    <row r="69" spans="1:40" ht="25.5" x14ac:dyDescent="0.2">
      <c r="A69" t="str">
        <f t="shared" si="1"/>
        <v>S</v>
      </c>
      <c r="B69">
        <f t="shared" ca="1" si="2"/>
        <v>2</v>
      </c>
      <c r="C69" t="str">
        <f t="shared" ca="1" si="3"/>
        <v>S</v>
      </c>
      <c r="D69">
        <f t="shared" ca="1" si="4"/>
        <v>0</v>
      </c>
      <c r="E69">
        <f ca="1">IF($C69=1,OFFSET(E69,-1,0)+MAX(1,COUNTIF(QCI!$A$13:$A$24,OFFSET(ORÇAMENTO!E69,-1,0))),OFFSET(E69,-1,0))</f>
        <v>2</v>
      </c>
      <c r="F69">
        <f t="shared" ca="1" si="5"/>
        <v>7</v>
      </c>
      <c r="G69">
        <f t="shared" ca="1" si="6"/>
        <v>0</v>
      </c>
      <c r="H69">
        <f t="shared" ca="1" si="7"/>
        <v>0</v>
      </c>
      <c r="I69">
        <f t="shared" ca="1" si="8"/>
        <v>0</v>
      </c>
      <c r="J69">
        <f t="shared" ca="1" si="18"/>
        <v>0</v>
      </c>
      <c r="K69">
        <f ca="1">IF(OR($C69="S",$C69=0),0,MATCH(OFFSET($D69,0,$C69)+IF($C69&lt;&gt;1,1,COUNTIF(QCI!$A$13:$A$24,ORÇAMENTO!E69)),OFFSET($D69,1,$C69,ROW($C$71)-ROW($C69)),0))</f>
        <v>0</v>
      </c>
      <c r="L69" s="114" t="str">
        <f t="shared" ca="1" si="10"/>
        <v/>
      </c>
      <c r="M69" s="115" t="s">
        <v>705</v>
      </c>
      <c r="N69" s="116" t="str">
        <f t="shared" ca="1" si="11"/>
        <v>Serviço</v>
      </c>
      <c r="O69" s="117" t="str">
        <f t="shared" ca="1" si="12"/>
        <v>-</v>
      </c>
      <c r="P69" s="118" t="s">
        <v>750</v>
      </c>
      <c r="Q69" s="119" t="s">
        <v>1050</v>
      </c>
      <c r="R69" s="120" t="str" cm="1">
        <f t="array" aca="1" ref="R69" ca="1">IF($C69="S",REFERENCIA.Descricao,"(digite a descrição aqui)")</f>
        <v>(Código não identificado nas referências)</v>
      </c>
      <c r="S69" s="121" t="str" cm="1">
        <f t="array" aca="1" ref="S69" ca="1">REFERENCIA.Unidade</f>
        <v>-</v>
      </c>
      <c r="T69" s="122">
        <f ca="1">OFFSET(CÁLCULO!H$15,ROW($T69)-ROW(T$15),0)</f>
        <v>11.56</v>
      </c>
      <c r="U69" s="123"/>
      <c r="V69" s="124" t="s">
        <v>663</v>
      </c>
      <c r="W69" s="122" cm="1">
        <f t="array" aca="1" ref="W69" ca="1">IF($C69="S",ROUND(IF(TIPOORCAMENTO="Proposto",ORÇAMENTO.CustoUnitario*(1+$AH69),ORÇAMENTO.PrecoUnitarioLicitado),15-13*$AF$10),0)</f>
        <v>0</v>
      </c>
      <c r="X69" s="125" cm="1">
        <f t="array" aca="1" ref="X69" ca="1">IF($C69="S",IF(OR(Import.TipoArredondamento&lt;&gt;"TransfereGOV",ACOMPANHAMENTO="BM"),VTOTAL1,SUM(OFFSET(CÁLCULO!$AA$15,ROW($X69)-ROW($X$15),1):OFFSET(CÁLCULO!$AL$15,ROW($X69)-ROW($X$15),-1))),IF($C69=0,0,ROUND(SomaAgrup,15-13*$AF$11)))</f>
        <v>0</v>
      </c>
      <c r="Y69" s="126" t="s">
        <v>751</v>
      </c>
      <c r="Z69" t="str">
        <f t="shared" ca="1" si="13"/>
        <v/>
      </c>
      <c r="AA69" s="127" cm="1">
        <f t="array" aca="1" ref="AA69" ca="1">IF($C69="S",IF($Z69="CP",$X69,IF($Z69="RA",(($X69)*QCI!$AA$3),0)),SomaAgrup)</f>
        <v>0</v>
      </c>
      <c r="AB69" s="128" cm="1">
        <f t="array" aca="1" ref="AB69" ca="1">IF($C69="S",IF($Z69="OU",ROUND($X69,2),0),SomaAgrup)</f>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CÓDIGO N/ID</v>
      </c>
      <c r="AD69" t="str">
        <f ca="1">IF(C69&lt;=CRONO.NivelExibicao,MAX($AD$15:OFFSET(AD69,-1,0))+IF($C69&lt;&gt;1,1,MAX(1,COUNTIF(QCI!$A$13:$A$24,OFFSET($E69,-1,0)))),"")</f>
        <v/>
      </c>
      <c r="AE69" s="7" t="str" cm="1">
        <f t="array" aca="1" ref="AE69" ca="1">IF(AND($C69="S",ORÇAMENTO.CodBarra&lt;&gt;""),IF(ORÇAMENTO.Fonte="",ORÇAMENTO.CodBarra,CONCATENATE(ORÇAMENTO.Fonte," ",ORÇAMENTO.CodBarra)))</f>
        <v>SINAPI 88485</v>
      </c>
      <c r="AF69" s="12" t="str"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(Código não identificado nas referências)</v>
      </c>
      <c r="AG69" s="428" cm="1">
        <f t="array" aca="1" ref="AG69" ca="1">ROUND(IF(DESONERACAO="sim",REFERENCIA.Desonerado,REFERENCIA.NaoDesonerado),2)</f>
        <v>0</v>
      </c>
      <c r="AH69" s="429">
        <f t="shared" ca="1" si="14"/>
        <v>0.2069</v>
      </c>
      <c r="AJ69" s="431">
        <f>(0.25*3*8)+((0.5+0.3)*(1.25+1.25+4.45))</f>
        <v>11.56</v>
      </c>
      <c r="AL69" s="439"/>
      <c r="AM69" s="336">
        <f t="shared" ca="1" si="0"/>
        <v>0</v>
      </c>
      <c r="AN69" s="470" cm="1">
        <f t="array" aca="1" ref="AN69" ca="1">ROUND(ORÇAMENTO.CustoUnitario*(1+$AH69),2)</f>
        <v>0</v>
      </c>
    </row>
    <row r="70" spans="1:40" ht="25.5" x14ac:dyDescent="0.2">
      <c r="A70" t="str">
        <f t="shared" si="1"/>
        <v>S</v>
      </c>
      <c r="B70">
        <f t="shared" ca="1" si="2"/>
        <v>2</v>
      </c>
      <c r="C70" t="str">
        <f t="shared" ca="1" si="3"/>
        <v>S</v>
      </c>
      <c r="D70">
        <f t="shared" ca="1" si="4"/>
        <v>0</v>
      </c>
      <c r="E70">
        <f ca="1">IF($C70=1,OFFSET(E70,-1,0)+MAX(1,COUNTIF(QCI!$A$13:$A$24,OFFSET(ORÇAMENTO!E70,-1,0))),OFFSET(E70,-1,0))</f>
        <v>2</v>
      </c>
      <c r="F70">
        <f t="shared" ca="1" si="5"/>
        <v>7</v>
      </c>
      <c r="G70">
        <f t="shared" ca="1" si="6"/>
        <v>0</v>
      </c>
      <c r="H70">
        <f t="shared" ca="1" si="7"/>
        <v>0</v>
      </c>
      <c r="I70">
        <f t="shared" ca="1" si="8"/>
        <v>0</v>
      </c>
      <c r="J70">
        <f t="shared" ca="1" si="18"/>
        <v>0</v>
      </c>
      <c r="K70">
        <f ca="1">IF(OR($C70="S",$C70=0),0,MATCH(OFFSET($D70,0,$C70)+IF($C70&lt;&gt;1,1,COUNTIF(QCI!$A$13:$A$24,ORÇAMENTO!E70)),OFFSET($D70,1,$C70,ROW($C$71)-ROW($C70)),0))</f>
        <v>0</v>
      </c>
      <c r="L70" s="114" t="str">
        <f t="shared" ca="1" si="10"/>
        <v/>
      </c>
      <c r="M70" s="115" t="s">
        <v>705</v>
      </c>
      <c r="N70" s="116" t="str">
        <f t="shared" ca="1" si="11"/>
        <v>Serviço</v>
      </c>
      <c r="O70" s="117" t="str">
        <f t="shared" ca="1" si="12"/>
        <v>-</v>
      </c>
      <c r="P70" s="118" t="s">
        <v>750</v>
      </c>
      <c r="Q70" s="119" t="s">
        <v>1051</v>
      </c>
      <c r="R70" s="120" t="str" cm="1">
        <f t="array" aca="1" ref="R70" ca="1">IF($C70="S",REFERENCIA.Descricao,"(digite a descrição aqui)")</f>
        <v>(Código não identificado nas referências)</v>
      </c>
      <c r="S70" s="121" t="str" cm="1">
        <f t="array" aca="1" ref="S70" ca="1">REFERENCIA.Unidade</f>
        <v>-</v>
      </c>
      <c r="T70" s="122">
        <f ca="1">OFFSET(CÁLCULO!H$15,ROW($T70)-ROW(T$15),0)</f>
        <v>11.56</v>
      </c>
      <c r="U70" s="123"/>
      <c r="V70" s="124" t="s">
        <v>663</v>
      </c>
      <c r="W70" s="122" cm="1">
        <f t="array" aca="1" ref="W70" ca="1">IF($C70="S",ROUND(IF(TIPOORCAMENTO="Proposto",ORÇAMENTO.CustoUnitario*(1+$AH70),ORÇAMENTO.PrecoUnitarioLicitado),15-13*$AF$10),0)</f>
        <v>0</v>
      </c>
      <c r="X70" s="125" cm="1">
        <f t="array" aca="1" ref="X70" ca="1">IF($C70="S",IF(OR(Import.TipoArredondamento&lt;&gt;"TransfereGOV",ACOMPANHAMENTO="BM"),VTOTAL1,SUM(OFFSET(CÁLCULO!$AA$15,ROW($X70)-ROW($X$15),1):OFFSET(CÁLCULO!$AL$15,ROW($X70)-ROW($X$15),-1))),IF($C70=0,0,ROUND(SomaAgrup,15-13*$AF$11)))</f>
        <v>0</v>
      </c>
      <c r="Y70" s="126" t="s">
        <v>751</v>
      </c>
      <c r="Z70" t="str">
        <f t="shared" ca="1" si="13"/>
        <v/>
      </c>
      <c r="AA70" s="127" cm="1">
        <f t="array" aca="1" ref="AA70" ca="1">IF($C70="S",IF($Z70="CP",$X70,IF($Z70="RA",(($X70)*QCI!$AA$3),0)),SomaAgrup)</f>
        <v>0</v>
      </c>
      <c r="AB70" s="128" cm="1">
        <f t="array" aca="1" ref="AB70" ca="1">IF($C70="S",IF($Z70="OU",ROUND($X70,2),0),SomaAgrup)</f>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CÓDIGO N/ID</v>
      </c>
      <c r="AD70" t="str">
        <f ca="1">IF(C70&lt;=CRONO.NivelExibicao,MAX($AD$15:OFFSET(AD70,-1,0))+IF($C70&lt;&gt;1,1,MAX(1,COUNTIF(QCI!$A$13:$A$24,OFFSET($E70,-1,0)))),"")</f>
        <v/>
      </c>
      <c r="AE70" s="7" t="str" cm="1">
        <f t="array" aca="1" ref="AE70" ca="1">IF(AND($C70="S",ORÇAMENTO.CodBarra&lt;&gt;""),IF(ORÇAMENTO.Fonte="",ORÇAMENTO.CodBarra,CONCATENATE(ORÇAMENTO.Fonte," ",ORÇAMENTO.CodBarra)))</f>
        <v>SINAPI 88489</v>
      </c>
      <c r="AF70" s="12" t="str"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(Código não identificado nas referências)</v>
      </c>
      <c r="AG70" s="428" cm="1">
        <f t="array" aca="1" ref="AG70" ca="1">ROUND(IF(DESONERACAO="sim",REFERENCIA.Desonerado,REFERENCIA.NaoDesonerado),2)</f>
        <v>0</v>
      </c>
      <c r="AH70" s="429">
        <f t="shared" ca="1" si="14"/>
        <v>0.2069</v>
      </c>
      <c r="AJ70" s="431">
        <f>AJ69</f>
        <v>11.56</v>
      </c>
      <c r="AL70" s="439"/>
      <c r="AM70" s="336">
        <f t="shared" ca="1" si="0"/>
        <v>0</v>
      </c>
      <c r="AN70" s="470" cm="1">
        <f t="array" aca="1" ref="AN70" ca="1">ROUND(ORÇAMENTO.CustoUnitario*(1+$AH70),2)</f>
        <v>0</v>
      </c>
    </row>
    <row r="71" spans="1:40" ht="5.0999999999999996" customHeight="1" x14ac:dyDescent="0.2">
      <c r="A71">
        <v>-1</v>
      </c>
      <c r="C71">
        <v>-1</v>
      </c>
      <c r="E71">
        <v>0</v>
      </c>
      <c r="F71">
        <v>0</v>
      </c>
      <c r="G71">
        <v>0</v>
      </c>
      <c r="H71">
        <v>0</v>
      </c>
      <c r="I71">
        <v>0</v>
      </c>
      <c r="L71" s="114" t="s">
        <v>536</v>
      </c>
      <c r="M71" s="616"/>
      <c r="N71" s="424"/>
      <c r="O71" s="616"/>
      <c r="P71" s="617"/>
      <c r="Q71" s="617"/>
      <c r="R71" s="617"/>
      <c r="S71" s="617"/>
      <c r="T71" s="617"/>
      <c r="U71" s="617"/>
      <c r="V71" s="617"/>
      <c r="W71" s="617"/>
      <c r="X71" s="424"/>
      <c r="Y71" s="424"/>
      <c r="AC71" s="565" t="str" cm="1">
        <f t="array" ref="AC7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F71" s="12"/>
      <c r="AG71" s="618"/>
      <c r="AH71" s="419"/>
      <c r="AJ71" s="425"/>
      <c r="AL71" s="618"/>
      <c r="AM71" s="619"/>
      <c r="AN71" s="419"/>
    </row>
    <row r="72" spans="1:40" x14ac:dyDescent="0.2">
      <c r="AF72" s="12"/>
    </row>
    <row r="73" spans="1:40" x14ac:dyDescent="0.2">
      <c r="AF73" s="12"/>
    </row>
    <row r="74" spans="1:40" ht="14.25" x14ac:dyDescent="0.2">
      <c r="O74" s="134" t="s">
        <v>753</v>
      </c>
      <c r="Q74" s="713" t="s">
        <v>754</v>
      </c>
      <c r="R74" s="713"/>
      <c r="S74" s="713"/>
      <c r="T74" s="713"/>
      <c r="U74" s="713"/>
      <c r="V74" s="713"/>
      <c r="W74" s="713"/>
      <c r="X74" s="713"/>
      <c r="AF74" s="12"/>
    </row>
    <row r="75" spans="1:40" x14ac:dyDescent="0.2">
      <c r="AF75" s="12"/>
    </row>
    <row r="76" spans="1:40" ht="14.25" x14ac:dyDescent="0.2">
      <c r="O76" s="135" t="s">
        <v>689</v>
      </c>
      <c r="X76" s="4"/>
      <c r="AF76" s="12"/>
    </row>
    <row r="77" spans="1:40" ht="12.75" customHeight="1" x14ac:dyDescent="0.2">
      <c r="O77" s="714"/>
      <c r="P77" s="714"/>
      <c r="Q77" s="714"/>
      <c r="R77" s="714"/>
      <c r="S77" s="714"/>
      <c r="T77" s="714"/>
      <c r="U77" s="714"/>
      <c r="V77" s="714"/>
      <c r="W77" s="714"/>
      <c r="X77" s="714"/>
      <c r="AF77" s="12"/>
    </row>
    <row r="78" spans="1:40" x14ac:dyDescent="0.2">
      <c r="O78" s="714"/>
      <c r="P78" s="714"/>
      <c r="Q78" s="714"/>
      <c r="R78" s="714"/>
      <c r="S78" s="714"/>
      <c r="T78" s="714"/>
      <c r="U78" s="714"/>
      <c r="V78" s="714"/>
      <c r="W78" s="714"/>
      <c r="X78" s="714"/>
      <c r="AF78" s="12"/>
    </row>
    <row r="79" spans="1:40" x14ac:dyDescent="0.2">
      <c r="O79" s="714"/>
      <c r="P79" s="714"/>
      <c r="Q79" s="714"/>
      <c r="R79" s="714"/>
      <c r="S79" s="714"/>
      <c r="T79" s="714"/>
      <c r="U79" s="714"/>
      <c r="V79" s="714"/>
      <c r="W79" s="714"/>
      <c r="X79" s="714"/>
      <c r="AF79" s="12"/>
    </row>
    <row r="80" spans="1:40" ht="14.25" x14ac:dyDescent="0.2">
      <c r="O80" s="443"/>
      <c r="P80" s="443"/>
      <c r="Q80" s="443"/>
      <c r="R80" s="443"/>
      <c r="S80" s="443"/>
      <c r="T80" s="443"/>
      <c r="U80" s="443"/>
      <c r="V80" s="443"/>
      <c r="W80" s="443"/>
      <c r="X80" s="443"/>
      <c r="Y80" s="443"/>
      <c r="Z80" s="136"/>
      <c r="AA80" s="136"/>
      <c r="AB80" s="136"/>
      <c r="AF80" s="12"/>
    </row>
    <row r="81" spans="15:32" ht="15" x14ac:dyDescent="0.25">
      <c r="O81" s="715"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81" s="715"/>
      <c r="Q81" s="715"/>
      <c r="R81" s="715"/>
      <c r="S81" s="715"/>
      <c r="T81" s="715"/>
      <c r="U81" s="715"/>
      <c r="V81" s="715"/>
      <c r="W81" s="715"/>
      <c r="X81" s="715"/>
      <c r="Y81" s="137"/>
      <c r="Z81" s="137"/>
      <c r="AA81" s="137"/>
      <c r="AB81" s="137"/>
      <c r="AF81" s="12"/>
    </row>
    <row r="82" spans="15:32" ht="15" customHeight="1" x14ac:dyDescent="0.25">
      <c r="O82" s="717" t="s">
        <v>755</v>
      </c>
      <c r="P82" s="717"/>
      <c r="Q82" s="717"/>
      <c r="R82" s="717"/>
      <c r="S82" s="717"/>
      <c r="T82" s="717"/>
      <c r="U82" s="717"/>
      <c r="V82" s="717"/>
      <c r="W82" s="717"/>
      <c r="X82" s="717"/>
      <c r="Y82" s="137"/>
      <c r="Z82" s="137"/>
      <c r="AA82" s="137"/>
      <c r="AB82" s="137"/>
      <c r="AF82" s="12"/>
    </row>
    <row r="83" spans="15:32" x14ac:dyDescent="0.2">
      <c r="AF83" s="12"/>
    </row>
    <row r="84" spans="15:32" ht="30" customHeight="1" x14ac:dyDescent="0.2">
      <c r="O84" s="716" t="str">
        <f>Import.Município</f>
        <v>SÃO LUIZ GONZAGA/RS</v>
      </c>
      <c r="P84" s="716"/>
      <c r="Q84" s="716"/>
      <c r="S84" s="460"/>
      <c r="T84" s="460"/>
      <c r="U84" s="460"/>
      <c r="V84" s="460"/>
      <c r="W84" s="417"/>
      <c r="AF84" s="12"/>
    </row>
    <row r="85" spans="15:32" x14ac:dyDescent="0.2">
      <c r="O85" s="9" t="s">
        <v>693</v>
      </c>
      <c r="S85" s="181" t="s">
        <v>696</v>
      </c>
      <c r="T85" s="181"/>
      <c r="U85" s="181"/>
      <c r="V85" s="181"/>
      <c r="AF85" s="12"/>
    </row>
    <row r="86" spans="15:32" x14ac:dyDescent="0.2">
      <c r="S86" s="77" t="s">
        <v>240</v>
      </c>
      <c r="T86" s="78" t="str">
        <f t="array" ref="T86:T88">Import.RespOrçamento</f>
        <v>ÍGOR KIST</v>
      </c>
      <c r="V86" s="79"/>
      <c r="AF86" s="12"/>
    </row>
    <row r="87" spans="15:32" x14ac:dyDescent="0.2">
      <c r="O87" s="710">
        <f>DADOS!$C$25</f>
        <v>46237</v>
      </c>
      <c r="P87" s="710"/>
      <c r="Q87" s="710"/>
      <c r="S87" s="77" t="s">
        <v>243</v>
      </c>
      <c r="T87" s="78" t="str">
        <v>RS246150</v>
      </c>
      <c r="U87" s="79"/>
      <c r="V87" s="79"/>
      <c r="AF87" s="12"/>
    </row>
    <row r="88" spans="15:32" x14ac:dyDescent="0.2">
      <c r="O88" s="140" t="s">
        <v>694</v>
      </c>
      <c r="P88" s="1"/>
      <c r="Q88" s="1"/>
      <c r="S88" s="77" t="s">
        <v>246</v>
      </c>
      <c r="T88" s="78" t="str">
        <v>14571519</v>
      </c>
      <c r="U88" s="79"/>
      <c r="V88" s="79"/>
      <c r="AF88" s="12"/>
    </row>
    <row r="89" spans="15:32" x14ac:dyDescent="0.2">
      <c r="AF89" s="12"/>
    </row>
    <row r="90" spans="15:32" x14ac:dyDescent="0.2">
      <c r="AF90" s="12"/>
    </row>
    <row r="91" spans="15:32" x14ac:dyDescent="0.2">
      <c r="AF91" s="12"/>
    </row>
    <row r="92" spans="15:32" x14ac:dyDescent="0.2">
      <c r="AF92" s="12"/>
    </row>
    <row r="93" spans="15:32" x14ac:dyDescent="0.2">
      <c r="AF93" s="12"/>
    </row>
    <row r="94" spans="15:32" x14ac:dyDescent="0.2">
      <c r="AF94" s="12"/>
    </row>
    <row r="95" spans="15:32" x14ac:dyDescent="0.2">
      <c r="AF95" s="12"/>
    </row>
    <row r="96" spans="15:32" x14ac:dyDescent="0.2">
      <c r="AF96" s="12"/>
    </row>
    <row r="97" spans="32:32" x14ac:dyDescent="0.2">
      <c r="AF97" s="12"/>
    </row>
    <row r="98" spans="32:32" x14ac:dyDescent="0.2">
      <c r="AF98" s="12"/>
    </row>
    <row r="99" spans="32:32" x14ac:dyDescent="0.2">
      <c r="AF99" s="12"/>
    </row>
    <row r="100" spans="32:32" x14ac:dyDescent="0.2">
      <c r="AF100" s="12"/>
    </row>
    <row r="101" spans="32:32" x14ac:dyDescent="0.2">
      <c r="AF101" s="12"/>
    </row>
    <row r="102" spans="32:32" x14ac:dyDescent="0.2">
      <c r="AF102" s="12"/>
    </row>
    <row r="103" spans="32:32" x14ac:dyDescent="0.2">
      <c r="AF103" s="12"/>
    </row>
    <row r="104" spans="32:32" x14ac:dyDescent="0.2">
      <c r="AF104" s="12"/>
    </row>
    <row r="105" spans="32:32" x14ac:dyDescent="0.2">
      <c r="AF105" s="12"/>
    </row>
    <row r="106" spans="32:32" x14ac:dyDescent="0.2">
      <c r="AF106" s="12"/>
    </row>
    <row r="107" spans="32:32" x14ac:dyDescent="0.2">
      <c r="AF107" s="12"/>
    </row>
    <row r="108" spans="32:32" x14ac:dyDescent="0.2">
      <c r="AF108" s="12"/>
    </row>
    <row r="109" spans="32:32" x14ac:dyDescent="0.2">
      <c r="AF109" s="12"/>
    </row>
    <row r="110" spans="32:32" x14ac:dyDescent="0.2">
      <c r="AF110" s="12"/>
    </row>
    <row r="111" spans="32:32" x14ac:dyDescent="0.2">
      <c r="AF111" s="12"/>
    </row>
    <row r="112" spans="32: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row r="65580" spans="32:32" x14ac:dyDescent="0.2">
      <c r="AF65580" s="12"/>
    </row>
    <row r="65581" spans="32:32" x14ac:dyDescent="0.2">
      <c r="AF65581" s="12"/>
    </row>
    <row r="65582" spans="32:32" x14ac:dyDescent="0.2">
      <c r="AF65582" s="12"/>
    </row>
    <row r="65583" spans="32:32" x14ac:dyDescent="0.2">
      <c r="AF65583" s="12"/>
    </row>
    <row r="65584" spans="32:32" x14ac:dyDescent="0.2">
      <c r="AF65584" s="12"/>
    </row>
    <row r="65585" spans="32:32" x14ac:dyDescent="0.2">
      <c r="AF65585" s="12"/>
    </row>
    <row r="65586" spans="32:32" x14ac:dyDescent="0.2">
      <c r="AF65586" s="12"/>
    </row>
    <row r="65587" spans="32:32" x14ac:dyDescent="0.2">
      <c r="AF65587" s="12"/>
    </row>
    <row r="65588" spans="32:32" x14ac:dyDescent="0.2">
      <c r="AF65588" s="12"/>
    </row>
    <row r="65589" spans="32:32" x14ac:dyDescent="0.2">
      <c r="AF65589" s="12"/>
    </row>
    <row r="65590" spans="32:32" x14ac:dyDescent="0.2">
      <c r="AF65590" s="12"/>
    </row>
    <row r="65591" spans="32:32" x14ac:dyDescent="0.2">
      <c r="AF65591" s="12"/>
    </row>
    <row r="65592" spans="32:32" x14ac:dyDescent="0.2">
      <c r="AF65592" s="12"/>
    </row>
    <row r="65593" spans="32:32" x14ac:dyDescent="0.2">
      <c r="AF65593" s="12"/>
    </row>
    <row r="65594" spans="32:32" x14ac:dyDescent="0.2">
      <c r="AF65594" s="12"/>
    </row>
    <row r="65595" spans="32:32" x14ac:dyDescent="0.2">
      <c r="AF65595" s="12"/>
    </row>
    <row r="65596" spans="32:32" x14ac:dyDescent="0.2">
      <c r="AF65596" s="12"/>
    </row>
    <row r="65597" spans="32:32" x14ac:dyDescent="0.2">
      <c r="AF65597" s="12"/>
    </row>
    <row r="65598" spans="32:32" x14ac:dyDescent="0.2">
      <c r="AF65598" s="12"/>
    </row>
    <row r="65599" spans="32:32" x14ac:dyDescent="0.2">
      <c r="AF65599" s="12"/>
    </row>
    <row r="65600" spans="32:32" x14ac:dyDescent="0.2">
      <c r="AF65600" s="12"/>
    </row>
    <row r="65601" spans="32:32" x14ac:dyDescent="0.2">
      <c r="AF65601" s="12"/>
    </row>
  </sheetData>
  <sheetProtection algorithmName="SHA-512" hashValue="n1WSsO4U1W3rRbc93lSQSymgd/QeRu2o8CagtTeKyYm8b/6NjGnwrA0VPQCWKTz9oyvBUMEXkelehWZKaWmVcA==" saltValue="WNJ45x00w8+Xemm6Y4/5Jw==" spinCount="100000" sheet="1" objects="1" scenarios="1" autoFilter="0"/>
  <autoFilter ref="L15:L71"/>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87:Q87"/>
    <mergeCell ref="O15:R15"/>
    <mergeCell ref="Q74:X74"/>
    <mergeCell ref="O77:X79"/>
    <mergeCell ref="O81:X81"/>
    <mergeCell ref="O84:Q84"/>
    <mergeCell ref="O82:X82"/>
  </mergeCells>
  <phoneticPr fontId="38" type="noConversion"/>
  <conditionalFormatting sqref="M14 M16:M70">
    <cfRule type="cellIs" dxfId="320" priority="43361" stopIfTrue="1" operator="notEqual">
      <formula>$N14</formula>
    </cfRule>
  </conditionalFormatting>
  <conditionalFormatting sqref="N14:O14 W14 W16:X18 R16:R18 X39:X43 R39:R43 X20:X25 R20:R25 X48:X55 R48:R55 X64:X70 R64:R70 N16:O70 W19:W70">
    <cfRule type="expression" dxfId="319" priority="43362" stopIfTrue="1">
      <formula>$C14=1</formula>
    </cfRule>
    <cfRule type="expression" dxfId="318" priority="43363" stopIfTrue="1">
      <formula>OR($C14=0,$C14=2,$C14=3,$C14=4)</formula>
    </cfRule>
  </conditionalFormatting>
  <conditionalFormatting sqref="U14:V14 U16:V70">
    <cfRule type="expression" dxfId="317" priority="43364" stopIfTrue="1">
      <formula>$C14=1</formula>
    </cfRule>
    <cfRule type="expression" dxfId="316" priority="43365" stopIfTrue="1">
      <formula>OR($C14=0,$C14=2,$C14=3,$C14=4)</formula>
    </cfRule>
    <cfRule type="expression" dxfId="315" priority="43366" stopIfTrue="1">
      <formula>AND(TIPOORCAMENTO="Licitado",$C14&lt;&gt;"L",$C14&lt;&gt;-1)</formula>
    </cfRule>
  </conditionalFormatting>
  <conditionalFormatting sqref="P14:Q14 S14:T14 Y14 AG14:AH14 P16:Q70 S16:T70 Y16:Y70 AG16:AH70">
    <cfRule type="expression" dxfId="314" priority="43367" stopIfTrue="1">
      <formula>$C14=1</formula>
    </cfRule>
    <cfRule type="expression" dxfId="313" priority="43368" stopIfTrue="1">
      <formula>OR($C14=0,$C14=2,$C14=3,$C14=4)</formula>
    </cfRule>
  </conditionalFormatting>
  <conditionalFormatting sqref="AJ7:AJ71">
    <cfRule type="expression" dxfId="312" priority="43369" stopIfTrue="1">
      <formula>OR(ACOMPANHAMENTO&lt;&gt;"BM",TIPOORCAMENTO="Licitado")</formula>
    </cfRule>
    <cfRule type="expression" dxfId="311" priority="43370" stopIfTrue="1">
      <formula>$C7=1</formula>
    </cfRule>
    <cfRule type="expression" dxfId="310" priority="43371" stopIfTrue="1">
      <formula>OR(AND(ISNUMBER($C7),$C7=0),$C7=2,$C7=3,$C7=4)</formula>
    </cfRule>
  </conditionalFormatting>
  <conditionalFormatting sqref="AL7:AL71">
    <cfRule type="expression" dxfId="309" priority="43372" stopIfTrue="1">
      <formula>TIPOORCAMENTO="PROPOSTO"</formula>
    </cfRule>
    <cfRule type="expression" dxfId="308" priority="43373" stopIfTrue="1">
      <formula>$C7=1</formula>
    </cfRule>
    <cfRule type="expression" dxfId="307" priority="43374" stopIfTrue="1">
      <formula>OR(AND(ISNUMBER($C7),$C7=0),$C7=2,$C7=3,$C7=4)</formula>
    </cfRule>
  </conditionalFormatting>
  <conditionalFormatting sqref="O8:P8">
    <cfRule type="expression" dxfId="306" priority="43378" stopIfTrue="1">
      <formula>ISERROR(INDIRECT($F$9))</formula>
    </cfRule>
  </conditionalFormatting>
  <conditionalFormatting sqref="S7:V8">
    <cfRule type="expression" dxfId="305" priority="43379" stopIfTrue="1">
      <formula>TIPOORCAMENTO="Proposto"</formula>
    </cfRule>
  </conditionalFormatting>
  <conditionalFormatting sqref="S9:X9">
    <cfRule type="expression" dxfId="304" priority="43326" stopIfTrue="1">
      <formula>TIPOORCAMENTO="Proposto"</formula>
    </cfRule>
  </conditionalFormatting>
  <conditionalFormatting sqref="AM7:AN71">
    <cfRule type="expression" dxfId="303" priority="43375" stopIfTrue="1">
      <formula>TIPOORCAMENTO="PROPOSTO"</formula>
    </cfRule>
    <cfRule type="expression" dxfId="302" priority="43376" stopIfTrue="1">
      <formula>$C7=1</formula>
    </cfRule>
    <cfRule type="expression" dxfId="301" priority="43377" stopIfTrue="1">
      <formula>OR(AND(ISNUMBER($C7),$C7=0),$C7=2,$C7=3,$C7=4)</formula>
    </cfRule>
  </conditionalFormatting>
  <conditionalFormatting sqref="X14">
    <cfRule type="expression" dxfId="300" priority="28951" stopIfTrue="1">
      <formula>$C14=1</formula>
    </cfRule>
    <cfRule type="expression" dxfId="299" priority="28952" stopIfTrue="1">
      <formula>OR($C14=0,$C14=2,$C14=3,$C14=4)</formula>
    </cfRule>
  </conditionalFormatting>
  <conditionalFormatting sqref="AC11">
    <cfRule type="cellIs" dxfId="298" priority="19786" operator="equal">
      <formula>"OK"</formula>
    </cfRule>
  </conditionalFormatting>
  <conditionalFormatting sqref="R14">
    <cfRule type="expression" dxfId="297" priority="4718" stopIfTrue="1">
      <formula>$C14=1</formula>
    </cfRule>
    <cfRule type="expression" dxfId="296" priority="4719" stopIfTrue="1">
      <formula>OR($C14=0,$C14=2,$C14=3,$C14=4)</formula>
    </cfRule>
  </conditionalFormatting>
  <conditionalFormatting sqref="R14 R39:R43 R18:R25">
    <cfRule type="beginsWith" dxfId="295" priority="4717" operator="beginsWith" text="(">
      <formula>LEFT(R14,LEN("("))="("</formula>
    </cfRule>
  </conditionalFormatting>
  <conditionalFormatting sqref="R16:R17">
    <cfRule type="beginsWith" dxfId="294" priority="645" operator="beginsWith" text="(">
      <formula>LEFT(R16,LEN("("))="("</formula>
    </cfRule>
  </conditionalFormatting>
  <conditionalFormatting sqref="X46:X47">
    <cfRule type="expression" dxfId="293" priority="67" stopIfTrue="1">
      <formula>$C46=1</formula>
    </cfRule>
    <cfRule type="expression" dxfId="292" priority="68" stopIfTrue="1">
      <formula>OR($C46=0,$C46=2,$C46=3,$C46=4)</formula>
    </cfRule>
  </conditionalFormatting>
  <conditionalFormatting sqref="R46:R47">
    <cfRule type="expression" dxfId="291" priority="65" stopIfTrue="1">
      <formula>$C46=1</formula>
    </cfRule>
    <cfRule type="expression" dxfId="290" priority="66" stopIfTrue="1">
      <formula>OR($C46=0,$C46=2,$C46=3,$C46=4)</formula>
    </cfRule>
  </conditionalFormatting>
  <conditionalFormatting sqref="R46:R47">
    <cfRule type="beginsWith" dxfId="289" priority="64" operator="beginsWith" text="(">
      <formula>LEFT(R46,LEN("("))="("</formula>
    </cfRule>
  </conditionalFormatting>
  <conditionalFormatting sqref="R48:R55">
    <cfRule type="beginsWith" dxfId="288" priority="59" operator="beginsWith" text="(">
      <formula>LEFT(R48,LEN("("))="("</formula>
    </cfRule>
  </conditionalFormatting>
  <conditionalFormatting sqref="X56 X63">
    <cfRule type="expression" dxfId="287" priority="57" stopIfTrue="1">
      <formula>$C56=1</formula>
    </cfRule>
    <cfRule type="expression" dxfId="286" priority="58" stopIfTrue="1">
      <formula>OR($C56=0,$C56=2,$C56=3,$C56=4)</formula>
    </cfRule>
  </conditionalFormatting>
  <conditionalFormatting sqref="R56 R63">
    <cfRule type="expression" dxfId="285" priority="55" stopIfTrue="1">
      <formula>$C56=1</formula>
    </cfRule>
    <cfRule type="expression" dxfId="284" priority="56" stopIfTrue="1">
      <formula>OR($C56=0,$C56=2,$C56=3,$C56=4)</formula>
    </cfRule>
  </conditionalFormatting>
  <conditionalFormatting sqref="R56 R63">
    <cfRule type="beginsWith" dxfId="283" priority="54" operator="beginsWith" text="(">
      <formula>LEFT(R56,LEN("("))="("</formula>
    </cfRule>
  </conditionalFormatting>
  <conditionalFormatting sqref="X26:X29 X36:X38 X33:X34">
    <cfRule type="expression" dxfId="282" priority="52" stopIfTrue="1">
      <formula>$C26=1</formula>
    </cfRule>
    <cfRule type="expression" dxfId="281" priority="53" stopIfTrue="1">
      <formula>OR($C26=0,$C26=2,$C26=3,$C26=4)</formula>
    </cfRule>
  </conditionalFormatting>
  <conditionalFormatting sqref="R26:R29 R36:R38 R33:R34">
    <cfRule type="expression" dxfId="280" priority="50" stopIfTrue="1">
      <formula>$C26=1</formula>
    </cfRule>
    <cfRule type="expression" dxfId="279" priority="51" stopIfTrue="1">
      <formula>OR($C26=0,$C26=2,$C26=3,$C26=4)</formula>
    </cfRule>
  </conditionalFormatting>
  <conditionalFormatting sqref="R26:R29 R36:R38 R33:R34">
    <cfRule type="beginsWith" dxfId="278" priority="49" operator="beginsWith" text="(">
      <formula>LEFT(R26,LEN("("))="("</formula>
    </cfRule>
  </conditionalFormatting>
  <conditionalFormatting sqref="X44:X45">
    <cfRule type="expression" dxfId="277" priority="42" stopIfTrue="1">
      <formula>$C44=1</formula>
    </cfRule>
    <cfRule type="expression" dxfId="276" priority="43" stopIfTrue="1">
      <formula>OR($C44=0,$C44=2,$C44=3,$C44=4)</formula>
    </cfRule>
  </conditionalFormatting>
  <conditionalFormatting sqref="R44:R45">
    <cfRule type="expression" dxfId="275" priority="40" stopIfTrue="1">
      <formula>$C44=1</formula>
    </cfRule>
    <cfRule type="expression" dxfId="274" priority="41" stopIfTrue="1">
      <formula>OR($C44=0,$C44=2,$C44=3,$C44=4)</formula>
    </cfRule>
  </conditionalFormatting>
  <conditionalFormatting sqref="R44:R45">
    <cfRule type="beginsWith" dxfId="273" priority="39" operator="beginsWith" text="(">
      <formula>LEFT(R44,LEN("("))="("</formula>
    </cfRule>
  </conditionalFormatting>
  <conditionalFormatting sqref="X19">
    <cfRule type="expression" dxfId="272" priority="37" stopIfTrue="1">
      <formula>$C19=1</formula>
    </cfRule>
    <cfRule type="expression" dxfId="271" priority="38" stopIfTrue="1">
      <formula>OR($C19=0,$C19=2,$C19=3,$C19=4)</formula>
    </cfRule>
  </conditionalFormatting>
  <conditionalFormatting sqref="R19">
    <cfRule type="expression" dxfId="270" priority="35" stopIfTrue="1">
      <formula>$C19=1</formula>
    </cfRule>
    <cfRule type="expression" dxfId="269" priority="36" stopIfTrue="1">
      <formula>OR($C19=0,$C19=2,$C19=3,$C19=4)</formula>
    </cfRule>
  </conditionalFormatting>
  <conditionalFormatting sqref="X35">
    <cfRule type="expression" dxfId="268" priority="33" stopIfTrue="1">
      <formula>$C35=1</formula>
    </cfRule>
    <cfRule type="expression" dxfId="267" priority="34" stopIfTrue="1">
      <formula>OR($C35=0,$C35=2,$C35=3,$C35=4)</formula>
    </cfRule>
  </conditionalFormatting>
  <conditionalFormatting sqref="R35">
    <cfRule type="expression" dxfId="266" priority="31" stopIfTrue="1">
      <formula>$C35=1</formula>
    </cfRule>
    <cfRule type="expression" dxfId="265" priority="32" stopIfTrue="1">
      <formula>OR($C35=0,$C35=2,$C35=3,$C35=4)</formula>
    </cfRule>
  </conditionalFormatting>
  <conditionalFormatting sqref="R35">
    <cfRule type="beginsWith" dxfId="264" priority="30" operator="beginsWith" text="(">
      <formula>LEFT(R35,LEN("("))="("</formula>
    </cfRule>
  </conditionalFormatting>
  <conditionalFormatting sqref="R64:R70">
    <cfRule type="beginsWith" dxfId="263" priority="21" operator="beginsWith" text="(">
      <formula>LEFT(R64,LEN("("))="("</formula>
    </cfRule>
  </conditionalFormatting>
  <conditionalFormatting sqref="X57:X62">
    <cfRule type="expression" dxfId="262" priority="9" stopIfTrue="1">
      <formula>$C57=1</formula>
    </cfRule>
    <cfRule type="expression" dxfId="261" priority="10" stopIfTrue="1">
      <formula>OR($C57=0,$C57=2,$C57=3,$C57=4)</formula>
    </cfRule>
  </conditionalFormatting>
  <conditionalFormatting sqref="R57:R62">
    <cfRule type="expression" dxfId="260" priority="7" stopIfTrue="1">
      <formula>$C57=1</formula>
    </cfRule>
    <cfRule type="expression" dxfId="259" priority="8" stopIfTrue="1">
      <formula>OR($C57=0,$C57=2,$C57=3,$C57=4)</formula>
    </cfRule>
  </conditionalFormatting>
  <conditionalFormatting sqref="R57:R62">
    <cfRule type="beginsWith" dxfId="258" priority="6" operator="beginsWith" text="(">
      <formula>LEFT(R57,LEN("("))="("</formula>
    </cfRule>
  </conditionalFormatting>
  <conditionalFormatting sqref="X30:X32">
    <cfRule type="expression" dxfId="257" priority="4" stopIfTrue="1">
      <formula>$C30=1</formula>
    </cfRule>
    <cfRule type="expression" dxfId="256" priority="5" stopIfTrue="1">
      <formula>OR($C30=0,$C30=2,$C30=3,$C30=4)</formula>
    </cfRule>
  </conditionalFormatting>
  <conditionalFormatting sqref="R30:R32">
    <cfRule type="expression" dxfId="255" priority="2" stopIfTrue="1">
      <formula>$C30=1</formula>
    </cfRule>
    <cfRule type="expression" dxfId="254" priority="3" stopIfTrue="1">
      <formula>OR($C30=0,$C30=2,$C30=3,$C30=4)</formula>
    </cfRule>
  </conditionalFormatting>
  <conditionalFormatting sqref="R30:R32">
    <cfRule type="beginsWith" dxfId="253" priority="1" operator="beginsWith" text="(">
      <formula>LEFT(R30,LEN("("))="("</formula>
    </cfRule>
  </conditionalFormatting>
  <dataValidations count="8">
    <dataValidation type="decimal" operator="greaterThan" allowBlank="1" showErrorMessage="1" error="Apenas números decimais maiores que zero." sqref="U14 AL14 AJ14 AJ16:AJ70 U16:U70 AL16:AL70">
      <formula1>0</formula1>
      <formula2>0</formula2>
    </dataValidation>
    <dataValidation allowBlank="1" showInputMessage="1" showErrorMessage="1" prompt="A entrada de quantidades é feita na coluna AJ se acompanhamento por BM, ou na aba &quot;Memória de Cálculo/PLQ&quot; se acompanhamento por PLE." sqref="T14 T16:T70"/>
    <dataValidation allowBlank="1" showInputMessage="1" showErrorMessage="1" prompt="Para Orçamento Proposto, o Preço Unitário é resultado do produto do Custo Unitário pelo BDI._x000a_Para Orçamento Licitado, deve ser preenchido na Coluna AL." sqref="W14 W16:W70"/>
    <dataValidation type="list" errorStyle="information" allowBlank="1" showInputMessage="1" prompt="Selecione uma sigla de unidade na lista suspensa." sqref="S14 S16:S70">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70">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70">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70">
      <formula1>ORÇAMENTO.Lista.Fonte</formula1>
    </dataValidation>
    <dataValidation type="list" showInputMessage="1" showErrorMessage="1" errorTitle="Erro de Entrada" error="Selecione somente os itens da lista." promptTitle="Nível:" prompt="Selecione na lista o nível de itemização da Planilha." sqref="M14 M16:M70">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IF(AUTOEVENTO="Manual",ROUND(SUMPRODUCT((CÁLCULO!$M$15:$M$71=EVENTOS!$C1)*(OFFSET(CÁLCULO!$AA$15:$AA$71,0,E$13))),2),0)</f>
        <v>0</v>
      </c>
      <c r="F1" s="183">
        <f ca="1">IF(AUTOEVENTO="Manual",ROUND(SUMPRODUCT((CÁLCULO!$M$15:$M$71=EVENTOS!$C1)*(OFFSET(CÁLCULO!$AA$15,0,1):OFFSET(CÁLCULO!$AL$71,0,-1))),2),0)</f>
        <v>0</v>
      </c>
      <c r="G1" s="621" t="str">
        <f ca="1">IF(AND(D1=0,F1&gt;0),"NOME",
 IF(AND(D1&lt;&gt;0,$F$14&gt;0,F1=0),"VALOR",
 IF(AND(Import.TipoArredondamento="TransfereGOV",$A1="F",LEN(D1)&gt;100),"Nome &gt;100","")))</f>
        <v/>
      </c>
      <c r="H1" s="620" cm="1">
        <f t="array" aca="1" ref="H1" ca="1">IF(AUTOEVENTO="Manual",ROUND(SUMPRODUCT((CÁLCULO!$M$15:$M$71=EVENTOS!$C1)*(OFFSET(CÁLCULO!$AA$15:$AA$71,0,H$13))),2),0)</f>
        <v>0</v>
      </c>
      <c r="I1" s="620" cm="1">
        <f t="array" aca="1" ref="I1" ca="1">IF(AUTOEVENTO="Manual",ROUND(SUMPRODUCT((CÁLCULO!$M$15:$M$71=EVENTOS!$C1)*(OFFSET(CÁLCULO!$AA$15:$AA$71,0,I$13))),2),0)</f>
        <v>0</v>
      </c>
      <c r="J1" s="620" cm="1">
        <f t="array" aca="1" ref="J1" ca="1">IF(AUTOEVENTO="Manual",ROUND(SUMPRODUCT((CÁLCULO!$M$15:$M$71=EVENTOS!$C1)*(OFFSET(CÁLCULO!$AA$15:$AA$71,0,J$13))),2),0)</f>
        <v>0</v>
      </c>
      <c r="K1" s="620" cm="1">
        <f t="array" aca="1" ref="K1" ca="1">IF(AUTOEVENTO="Manual",ROUND(SUMPRODUCT((CÁLCULO!$M$15:$M$71=EVENTOS!$C1)*(OFFSET(CÁLCULO!$AA$15:$AA$71,0,K$13))),2),0)</f>
        <v>0</v>
      </c>
      <c r="L1" s="620" cm="1">
        <f t="array" aca="1" ref="L1" ca="1">IF(AUTOEVENTO="Manual",ROUND(SUMPRODUCT((CÁLCULO!$M$15:$M$71=EVENTOS!$C1)*(OFFSET(CÁLCULO!$AA$15:$AA$71,0,L$13))),2),0)</f>
        <v>0</v>
      </c>
      <c r="M1" s="620" cm="1">
        <f t="array" aca="1" ref="M1" ca="1">IF(AUTOEVENTO="Manual",ROUND(SUMPRODUCT((CÁLCULO!$M$15:$M$71=EVENTOS!$C1)*(OFFSET(CÁLCULO!$AA$15:$AA$71,0,M$13))),2),0)</f>
        <v>0</v>
      </c>
      <c r="N1" s="620" cm="1">
        <f t="array" aca="1" ref="N1" ca="1">IF(AUTOEVENTO="Manual",ROUND(SUMPRODUCT((CÁLCULO!$M$15:$M$71=EVENTOS!$C1)*(OFFSET(CÁLCULO!$AA$15:$AA$71,0,N$13))),2),0)</f>
        <v>0</v>
      </c>
      <c r="O1" s="620" cm="1">
        <f t="array" aca="1" ref="O1" ca="1">IF(AUTOEVENTO="Manual",ROUND(SUMPRODUCT((CÁLCULO!$M$15:$M$71=EVENTOS!$C1)*(OFFSET(CÁLCULO!$AA$15:$AA$71,0,O$13))),2),0)</f>
        <v>0</v>
      </c>
      <c r="P1" s="620" cm="1">
        <f t="array" aca="1" ref="P1" ca="1">IF(AUTOEVENTO="Manual",ROUND(SUMPRODUCT((CÁLCULO!$M$15:$M$71=EVENTOS!$C1)*(OFFSET(CÁLCULO!$AA$15:$AA$71,0,P$13))),2),0)</f>
        <v>0</v>
      </c>
      <c r="Q1" s="620" cm="1">
        <f t="array" aca="1" ref="Q1" ca="1">IF(AUTOEVENTO="Manual",ROUND(SUMPRODUCT((CÁLCULO!$M$15:$M$71=EVENTOS!$C1)*(OFFSET(CÁLCULO!$AA$15:$AA$71,0,Q$13))),2),0)</f>
        <v>0</v>
      </c>
      <c r="R1" s="620" cm="1">
        <f t="array" aca="1" ref="R1" ca="1">IF(AUTOEVENTO="Manual",ROUND(SUMPRODUCT((CÁLCULO!$M$15:$M$71=EVENTOS!$C1)*(OFFSET(CÁLCULO!$AA$15:$AA$71,0,R$13))),2),0)</f>
        <v>0</v>
      </c>
      <c r="S1" s="620" cm="1">
        <f t="array" aca="1" ref="S1" ca="1">IF(AUTOEVENTO="Manual",ROUND(SUMPRODUCT((CÁLCULO!$M$15:$M$71=EVENTOS!$C1)*(OFFSET(CÁLCULO!$AA$15:$AA$71,0,S$13))),2),0)</f>
        <v>0</v>
      </c>
      <c r="T1" s="620" cm="1">
        <f t="array" aca="1" ref="T1" ca="1">IF(AUTOEVENTO="Manual",ROUND(SUMPRODUCT((CÁLCULO!$M$15:$M$71=EVENTOS!$C1)*(OFFSET(CÁLCULO!$AA$15:$AA$71,0,T$13))),2),0)</f>
        <v>0</v>
      </c>
      <c r="U1" s="620" cm="1">
        <f t="array" aca="1" ref="U1" ca="1">IF(AUTOEVENTO="Manual",ROUND(SUMPRODUCT((CÁLCULO!$M$15:$M$71=EVENTOS!$C1)*(OFFSET(CÁLCULO!$AA$15:$AA$71,0,U$13))),2),0)</f>
        <v>0</v>
      </c>
      <c r="V1" s="620" cm="1">
        <f t="array" aca="1" ref="V1" ca="1">IF(AUTOEVENTO="Manual",ROUND(SUMPRODUCT((CÁLCULO!$M$15:$M$71=EVENTOS!$C1)*(OFFSET(CÁLCULO!$AA$15:$AA$71,0,V$13))),2),0)</f>
        <v>0</v>
      </c>
      <c r="W1" s="620" cm="1">
        <f t="array" aca="1" ref="W1" ca="1">IF(AUTOEVENTO="Manual",ROUND(SUMPRODUCT((CÁLCULO!$M$15:$M$71=EVENTOS!$C1)*(OFFSET(CÁLCULO!$AA$15:$AA$71,0,W$13))),2),0)</f>
        <v>0</v>
      </c>
      <c r="X1" s="620" cm="1">
        <f t="array" aca="1" ref="X1" ca="1">IF(AUTOEVENTO="Manual",ROUND(SUMPRODUCT((CÁLCULO!$M$15:$M$71=EVENTOS!$C1)*(OFFSET(CÁLCULO!$AA$15:$AA$71,0,X$13))),2),0)</f>
        <v>0</v>
      </c>
      <c r="Y1" s="620" cm="1">
        <f t="array" aca="1" ref="Y1" ca="1">IF(AUTOEVENTO="Manual",ROUND(SUMPRODUCT((CÁLCULO!$M$15:$M$71=EVENTOS!$C1)*(OFFSET(CÁLCULO!$AA$15:$AA$71,0,Y$13))),2),0)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PREFEITURA MUNICIPAL DE SÃO LUIZ GONZAGA</v>
      </c>
      <c r="D5" s="503"/>
      <c r="E5" s="503"/>
      <c r="F5" s="732" t="str">
        <f>Import.Apelido</f>
        <v>OBRAS COMPLEMENTARES NA EMEF SANTA RITA</v>
      </c>
      <c r="G5" s="733"/>
      <c r="H5" s="733"/>
      <c r="I5" s="733"/>
      <c r="J5" s="733"/>
      <c r="K5" s="733"/>
      <c r="L5" s="733"/>
      <c r="M5" s="734"/>
      <c r="N5" s="56" t="str">
        <f>Import.CR</f>
        <v>0</v>
      </c>
      <c r="O5" s="56" t="str">
        <f>Import.SICONV</f>
        <v>0</v>
      </c>
      <c r="P5" s="732" t="str">
        <f>Import.Apelido</f>
        <v>OBRAS COMPLEMENTARES NA EMEF SANTA RITA</v>
      </c>
      <c r="Q5" s="733"/>
      <c r="R5" s="733"/>
      <c r="S5" s="733"/>
      <c r="T5" s="733"/>
      <c r="U5" s="733"/>
      <c r="V5" s="733"/>
      <c r="W5" s="734"/>
      <c r="X5" s="56" t="str">
        <f>Import.CR</f>
        <v>0</v>
      </c>
      <c r="Y5" s="56" t="str">
        <f>Import.SICONV</f>
        <v>0</v>
      </c>
      <c r="Z5" t="s">
        <v>752</v>
      </c>
    </row>
    <row r="6" spans="1:26" ht="24.95" customHeight="1" x14ac:dyDescent="0.25">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t="s">
        <v>940</v>
      </c>
    </row>
    <row r="8" spans="1:26" ht="16.5" thickBot="1" x14ac:dyDescent="0.3">
      <c r="B8" t="s">
        <v>941</v>
      </c>
      <c r="C8" s="728" t="s">
        <v>937</v>
      </c>
      <c r="D8" s="729"/>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0</v>
      </c>
      <c r="D10" t="s">
        <v>752</v>
      </c>
      <c r="E10" s="730">
        <f ca="1">OFFSET(CÁLCULO!$P$12,0,EVENTOS!E$13)</f>
        <v>0</v>
      </c>
      <c r="F10" t="s">
        <v>752</v>
      </c>
      <c r="G10" s="725"/>
      <c r="H10" s="730">
        <f ca="1">OFFSET(CÁLCULO!$P$12,0,EVENTOS!H$13)</f>
        <v>0</v>
      </c>
      <c r="I10" s="730" t="str">
        <f ca="1">OFFSET(CÁLCULO!$P$12,0,EVENTOS!I$13)</f>
        <v>.</v>
      </c>
      <c r="J10" s="730" t="str">
        <f ca="1">OFFSET(CÁLCULO!$P$12,0,EVENTOS!J$13)</f>
        <v>.</v>
      </c>
      <c r="K10" s="725" t="str">
        <f ca="1">OFFSET(CÁLCULO!$P$12,0,EVENTOS!K$13)</f>
        <v>.</v>
      </c>
      <c r="L10" s="725" t="str">
        <f ca="1">OFFSET(CÁLCULO!$P$12,0,EVENTOS!L$13)</f>
        <v>.</v>
      </c>
      <c r="M10" s="725" t="str">
        <f ca="1">OFFSET(CÁLCULO!$P$12,0,EVENTOS!M$13)</f>
        <v>.</v>
      </c>
      <c r="N10" s="725" t="str">
        <f ca="1">OFFSET(CÁLCULO!$P$12,0,EVENTOS!N$13)</f>
        <v>.</v>
      </c>
      <c r="O10" s="725" t="str">
        <f ca="1">OFFSET(CÁLCULO!$P$12,0,EVENTOS!O$13)</f>
        <v>.</v>
      </c>
      <c r="P10" s="725" t="str">
        <f ca="1">OFFSET(CÁLCULO!$P$12,0,EVENTOS!P$13)</f>
        <v>.</v>
      </c>
      <c r="Q10" s="725" t="str">
        <f ca="1">OFFSET(CÁLCULO!$P$12,0,EVENTOS!Q$13)</f>
        <v>.</v>
      </c>
      <c r="R10" s="725" t="str">
        <f ca="1">OFFSET(CÁLCULO!$P$12,0,EVENTOS!R$13)</f>
        <v>.</v>
      </c>
      <c r="S10" s="725" t="str">
        <f ca="1">OFFSET(CÁLCULO!$P$12,0,EVENTOS!S$13)</f>
        <v>.</v>
      </c>
      <c r="T10" s="725" t="str">
        <f ca="1">OFFSET(CÁLCULO!$P$12,0,EVENTOS!T$13)</f>
        <v>.</v>
      </c>
      <c r="U10" s="725" t="str">
        <f ca="1">OFFSET(CÁLCULO!$P$12,0,EVENTOS!U$13)</f>
        <v>.</v>
      </c>
      <c r="V10" s="725" t="str">
        <f ca="1">OFFSET(CÁLCULO!$P$12,0,EVENTOS!V$13)</f>
        <v>.</v>
      </c>
      <c r="W10" s="725" t="str">
        <f ca="1">OFFSET(CÁLCULO!$P$12,0,EVENTOS!W$13)</f>
        <v>.</v>
      </c>
      <c r="X10" s="725" t="str">
        <f ca="1">OFFSET(CÁLCULO!$P$12,0,EVENTOS!X$13)</f>
        <v>.</v>
      </c>
      <c r="Y10" s="725" t="str">
        <f ca="1">OFFSET(CÁLCULO!$P$12,0,EVENTOS!Y$13)</f>
        <v>.</v>
      </c>
    </row>
    <row r="11" spans="1:26" ht="35.1" customHeight="1" x14ac:dyDescent="0.2">
      <c r="A11" s="507" t="s">
        <v>655</v>
      </c>
      <c r="C11" s="731"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31"/>
      <c r="E11" s="730"/>
      <c r="F11" s="497"/>
      <c r="G11" s="726"/>
      <c r="H11" s="730"/>
      <c r="I11" s="730"/>
      <c r="J11" s="730"/>
      <c r="K11" s="726"/>
      <c r="L11" s="726"/>
      <c r="M11" s="726"/>
      <c r="N11" s="726"/>
      <c r="O11" s="726"/>
      <c r="P11" s="726"/>
      <c r="Q11" s="726"/>
      <c r="R11" s="726"/>
      <c r="S11" s="726"/>
      <c r="T11" s="726"/>
      <c r="U11" s="726"/>
      <c r="V11" s="726"/>
      <c r="W11" s="726"/>
      <c r="X11" s="726"/>
      <c r="Y11" s="726"/>
    </row>
    <row r="12" spans="1:26" ht="12" customHeight="1" x14ac:dyDescent="0.2">
      <c r="A12" s="508" t="s">
        <v>660</v>
      </c>
      <c r="E12" s="730"/>
      <c r="G12" s="727"/>
      <c r="H12" s="730"/>
      <c r="I12" s="730"/>
      <c r="J12" s="730"/>
      <c r="K12" s="727"/>
      <c r="L12" s="727"/>
      <c r="M12" s="727"/>
      <c r="N12" s="727"/>
      <c r="O12" s="727"/>
      <c r="P12" s="727"/>
      <c r="Q12" s="727"/>
      <c r="R12" s="727"/>
      <c r="S12" s="727"/>
      <c r="T12" s="727"/>
      <c r="U12" s="727"/>
      <c r="V12" s="727"/>
      <c r="W12" s="727"/>
      <c r="X12" s="727"/>
      <c r="Y12" s="727"/>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IF($C$15=0,0,ROUND(SUMPRODUCT((CÁLCULO!$M$15:$M$71=EVENTOS!$C15)*(ORÇAMENTO!$X$15:'ORÇAMENTO'!$X$71)),2))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x14ac:dyDescent="0.2">
      <c r="A16" s="506" t="str">
        <f t="shared" si="3"/>
        <v/>
      </c>
      <c r="B16"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IF(AUTOEVENTO="Manual",ROUND(SUMPRODUCT((CÁLCULO!$M$15:$M$71=EVENTOS!$C16)*(OFFSET(CÁLCULO!$AA$15:$AA$71,0,E$13))),2),0)</f>
        <v>0</v>
      </c>
      <c r="F16" s="183">
        <f ca="1">IF(AUTOEVENTO="Manual",ROUND(SUMPRODUCT((CÁLCULO!$M$15:$M$71=EVENTOS!$C16)*(OFFSET(CÁLCULO!$AA$15,0,1):OFFSET(CÁLCULO!$AL$71,0,-1))),2),0)</f>
        <v>0</v>
      </c>
      <c r="G16" s="621" t="str">
        <f t="shared" ref="G16:G47" ca="1" si="5">IF(AND(D16=0,F16&gt;0),"NOME",
 IF(AND(D16&lt;&gt;0,$F$14&gt;0,F16=0),"VALOR",
 IF(AND(Import.TipoArredondamento="TransfereGOV",$A16="F",LEN(D16)&gt;100),"Nome &gt;100","")))</f>
        <v/>
      </c>
      <c r="H16" s="620" cm="1">
        <f t="array" aca="1" ref="H16" ca="1">IF(AUTOEVENTO="Manual",ROUND(SUMPRODUCT((CÁLCULO!$M$15:$M$71=EVENTOS!$C16)*(OFFSET(CÁLCULO!$AA$15:$AA$71,0,H$13))),2),0)</f>
        <v>0</v>
      </c>
      <c r="I16" s="620" cm="1">
        <f t="array" aca="1" ref="I16" ca="1">IF(AUTOEVENTO="Manual",ROUND(SUMPRODUCT((CÁLCULO!$M$15:$M$71=EVENTOS!$C16)*(OFFSET(CÁLCULO!$AA$15:$AA$71,0,I$13))),2),0)</f>
        <v>0</v>
      </c>
      <c r="J16" s="620" cm="1">
        <f t="array" aca="1" ref="J16" ca="1">IF(AUTOEVENTO="Manual",ROUND(SUMPRODUCT((CÁLCULO!$M$15:$M$71=EVENTOS!$C16)*(OFFSET(CÁLCULO!$AA$15:$AA$71,0,J$13))),2),0)</f>
        <v>0</v>
      </c>
      <c r="K16" s="620" cm="1">
        <f t="array" aca="1" ref="K16" ca="1">IF(AUTOEVENTO="Manual",ROUND(SUMPRODUCT((CÁLCULO!$M$15:$M$71=EVENTOS!$C16)*(OFFSET(CÁLCULO!$AA$15:$AA$71,0,K$13))),2),0)</f>
        <v>0</v>
      </c>
      <c r="L16" s="620" cm="1">
        <f t="array" aca="1" ref="L16" ca="1">IF(AUTOEVENTO="Manual",ROUND(SUMPRODUCT((CÁLCULO!$M$15:$M$71=EVENTOS!$C16)*(OFFSET(CÁLCULO!$AA$15:$AA$71,0,L$13))),2),0)</f>
        <v>0</v>
      </c>
      <c r="M16" s="620" cm="1">
        <f t="array" aca="1" ref="M16" ca="1">IF(AUTOEVENTO="Manual",ROUND(SUMPRODUCT((CÁLCULO!$M$15:$M$71=EVENTOS!$C16)*(OFFSET(CÁLCULO!$AA$15:$AA$71,0,M$13))),2),0)</f>
        <v>0</v>
      </c>
      <c r="N16" s="620" cm="1">
        <f t="array" aca="1" ref="N16" ca="1">IF(AUTOEVENTO="Manual",ROUND(SUMPRODUCT((CÁLCULO!$M$15:$M$71=EVENTOS!$C16)*(OFFSET(CÁLCULO!$AA$15:$AA$71,0,N$13))),2),0)</f>
        <v>0</v>
      </c>
      <c r="O16" s="620" cm="1">
        <f t="array" aca="1" ref="O16" ca="1">IF(AUTOEVENTO="Manual",ROUND(SUMPRODUCT((CÁLCULO!$M$15:$M$71=EVENTOS!$C16)*(OFFSET(CÁLCULO!$AA$15:$AA$71,0,O$13))),2),0)</f>
        <v>0</v>
      </c>
      <c r="P16" s="620" cm="1">
        <f t="array" aca="1" ref="P16" ca="1">IF(AUTOEVENTO="Manual",ROUND(SUMPRODUCT((CÁLCULO!$M$15:$M$71=EVENTOS!$C16)*(OFFSET(CÁLCULO!$AA$15:$AA$71,0,P$13))),2),0)</f>
        <v>0</v>
      </c>
      <c r="Q16" s="620" cm="1">
        <f t="array" aca="1" ref="Q16" ca="1">IF(AUTOEVENTO="Manual",ROUND(SUMPRODUCT((CÁLCULO!$M$15:$M$71=EVENTOS!$C16)*(OFFSET(CÁLCULO!$AA$15:$AA$71,0,Q$13))),2),0)</f>
        <v>0</v>
      </c>
      <c r="R16" s="620" cm="1">
        <f t="array" aca="1" ref="R16" ca="1">IF(AUTOEVENTO="Manual",ROUND(SUMPRODUCT((CÁLCULO!$M$15:$M$71=EVENTOS!$C16)*(OFFSET(CÁLCULO!$AA$15:$AA$71,0,R$13))),2),0)</f>
        <v>0</v>
      </c>
      <c r="S16" s="620" cm="1">
        <f t="array" aca="1" ref="S16" ca="1">IF(AUTOEVENTO="Manual",ROUND(SUMPRODUCT((CÁLCULO!$M$15:$M$71=EVENTOS!$C16)*(OFFSET(CÁLCULO!$AA$15:$AA$71,0,S$13))),2),0)</f>
        <v>0</v>
      </c>
      <c r="T16" s="620" cm="1">
        <f t="array" aca="1" ref="T16" ca="1">IF(AUTOEVENTO="Manual",ROUND(SUMPRODUCT((CÁLCULO!$M$15:$M$71=EVENTOS!$C16)*(OFFSET(CÁLCULO!$AA$15:$AA$71,0,T$13))),2),0)</f>
        <v>0</v>
      </c>
      <c r="U16" s="620" cm="1">
        <f t="array" aca="1" ref="U16" ca="1">IF(AUTOEVENTO="Manual",ROUND(SUMPRODUCT((CÁLCULO!$M$15:$M$71=EVENTOS!$C16)*(OFFSET(CÁLCULO!$AA$15:$AA$71,0,U$13))),2),0)</f>
        <v>0</v>
      </c>
      <c r="V16" s="620" cm="1">
        <f t="array" aca="1" ref="V16" ca="1">IF(AUTOEVENTO="Manual",ROUND(SUMPRODUCT((CÁLCULO!$M$15:$M$71=EVENTOS!$C16)*(OFFSET(CÁLCULO!$AA$15:$AA$71,0,V$13))),2),0)</f>
        <v>0</v>
      </c>
      <c r="W16" s="620" cm="1">
        <f t="array" aca="1" ref="W16" ca="1">IF(AUTOEVENTO="Manual",ROUND(SUMPRODUCT((CÁLCULO!$M$15:$M$71=EVENTOS!$C16)*(OFFSET(CÁLCULO!$AA$15:$AA$71,0,W$13))),2),0)</f>
        <v>0</v>
      </c>
      <c r="X16" s="620" cm="1">
        <f t="array" aca="1" ref="X16" ca="1">IF(AUTOEVENTO="Manual",ROUND(SUMPRODUCT((CÁLCULO!$M$15:$M$71=EVENTOS!$C16)*(OFFSET(CÁLCULO!$AA$15:$AA$71,0,X$13))),2),0)</f>
        <v>0</v>
      </c>
      <c r="Y16" s="620" cm="1">
        <f t="array" aca="1" ref="Y16" ca="1">IF(AUTOEVENTO="Manual",ROUND(SUMPRODUCT((CÁLCULO!$M$15:$M$71=EVENTOS!$C16)*(OFFSET(CÁLCULO!$AA$15:$AA$71,0,Y$13))),2),0)</f>
        <v>0</v>
      </c>
    </row>
    <row r="17" spans="1:25" x14ac:dyDescent="0.2">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IF(AUTOEVENTO="Manual",ROUND(SUMPRODUCT((CÁLCULO!$M$15:$M$71=EVENTOS!$C17)*(OFFSET(CÁLCULO!$AA$15:$AA$71,0,E$13))),2),0)</f>
        <v>0</v>
      </c>
      <c r="F17" s="183">
        <f ca="1">IF(AUTOEVENTO="Manual",ROUND(SUMPRODUCT((CÁLCULO!$M$15:$M$71=EVENTOS!$C17)*(OFFSET(CÁLCULO!$AA$15,0,1):OFFSET(CÁLCULO!$AL$71,0,-1))),2),0)</f>
        <v>0</v>
      </c>
      <c r="G17" s="621" t="str">
        <f t="shared" ca="1" si="5"/>
        <v/>
      </c>
      <c r="H17" s="620" cm="1">
        <f t="array" aca="1" ref="H17" ca="1">IF(AUTOEVENTO="Manual",ROUND(SUMPRODUCT((CÁLCULO!$M$15:$M$71=EVENTOS!$C17)*(OFFSET(CÁLCULO!$AA$15:$AA$71,0,H$13))),2),0)</f>
        <v>0</v>
      </c>
      <c r="I17" s="620" cm="1">
        <f t="array" aca="1" ref="I17" ca="1">IF(AUTOEVENTO="Manual",ROUND(SUMPRODUCT((CÁLCULO!$M$15:$M$71=EVENTOS!$C17)*(OFFSET(CÁLCULO!$AA$15:$AA$71,0,I$13))),2),0)</f>
        <v>0</v>
      </c>
      <c r="J17" s="620" cm="1">
        <f t="array" aca="1" ref="J17" ca="1">IF(AUTOEVENTO="Manual",ROUND(SUMPRODUCT((CÁLCULO!$M$15:$M$71=EVENTOS!$C17)*(OFFSET(CÁLCULO!$AA$15:$AA$71,0,J$13))),2),0)</f>
        <v>0</v>
      </c>
      <c r="K17" s="620" cm="1">
        <f t="array" aca="1" ref="K17" ca="1">IF(AUTOEVENTO="Manual",ROUND(SUMPRODUCT((CÁLCULO!$M$15:$M$71=EVENTOS!$C17)*(OFFSET(CÁLCULO!$AA$15:$AA$71,0,K$13))),2),0)</f>
        <v>0</v>
      </c>
      <c r="L17" s="620" cm="1">
        <f t="array" aca="1" ref="L17" ca="1">IF(AUTOEVENTO="Manual",ROUND(SUMPRODUCT((CÁLCULO!$M$15:$M$71=EVENTOS!$C17)*(OFFSET(CÁLCULO!$AA$15:$AA$71,0,L$13))),2),0)</f>
        <v>0</v>
      </c>
      <c r="M17" s="620" cm="1">
        <f t="array" aca="1" ref="M17" ca="1">IF(AUTOEVENTO="Manual",ROUND(SUMPRODUCT((CÁLCULO!$M$15:$M$71=EVENTOS!$C17)*(OFFSET(CÁLCULO!$AA$15:$AA$71,0,M$13))),2),0)</f>
        <v>0</v>
      </c>
      <c r="N17" s="620" cm="1">
        <f t="array" aca="1" ref="N17" ca="1">IF(AUTOEVENTO="Manual",ROUND(SUMPRODUCT((CÁLCULO!$M$15:$M$71=EVENTOS!$C17)*(OFFSET(CÁLCULO!$AA$15:$AA$71,0,N$13))),2),0)</f>
        <v>0</v>
      </c>
      <c r="O17" s="620" cm="1">
        <f t="array" aca="1" ref="O17" ca="1">IF(AUTOEVENTO="Manual",ROUND(SUMPRODUCT((CÁLCULO!$M$15:$M$71=EVENTOS!$C17)*(OFFSET(CÁLCULO!$AA$15:$AA$71,0,O$13))),2),0)</f>
        <v>0</v>
      </c>
      <c r="P17" s="620" cm="1">
        <f t="array" aca="1" ref="P17" ca="1">IF(AUTOEVENTO="Manual",ROUND(SUMPRODUCT((CÁLCULO!$M$15:$M$71=EVENTOS!$C17)*(OFFSET(CÁLCULO!$AA$15:$AA$71,0,P$13))),2),0)</f>
        <v>0</v>
      </c>
      <c r="Q17" s="620" cm="1">
        <f t="array" aca="1" ref="Q17" ca="1">IF(AUTOEVENTO="Manual",ROUND(SUMPRODUCT((CÁLCULO!$M$15:$M$71=EVENTOS!$C17)*(OFFSET(CÁLCULO!$AA$15:$AA$71,0,Q$13))),2),0)</f>
        <v>0</v>
      </c>
      <c r="R17" s="620" cm="1">
        <f t="array" aca="1" ref="R17" ca="1">IF(AUTOEVENTO="Manual",ROUND(SUMPRODUCT((CÁLCULO!$M$15:$M$71=EVENTOS!$C17)*(OFFSET(CÁLCULO!$AA$15:$AA$71,0,R$13))),2),0)</f>
        <v>0</v>
      </c>
      <c r="S17" s="620" cm="1">
        <f t="array" aca="1" ref="S17" ca="1">IF(AUTOEVENTO="Manual",ROUND(SUMPRODUCT((CÁLCULO!$M$15:$M$71=EVENTOS!$C17)*(OFFSET(CÁLCULO!$AA$15:$AA$71,0,S$13))),2),0)</f>
        <v>0</v>
      </c>
      <c r="T17" s="620" cm="1">
        <f t="array" aca="1" ref="T17" ca="1">IF(AUTOEVENTO="Manual",ROUND(SUMPRODUCT((CÁLCULO!$M$15:$M$71=EVENTOS!$C17)*(OFFSET(CÁLCULO!$AA$15:$AA$71,0,T$13))),2),0)</f>
        <v>0</v>
      </c>
      <c r="U17" s="620" cm="1">
        <f t="array" aca="1" ref="U17" ca="1">IF(AUTOEVENTO="Manual",ROUND(SUMPRODUCT((CÁLCULO!$M$15:$M$71=EVENTOS!$C17)*(OFFSET(CÁLCULO!$AA$15:$AA$71,0,U$13))),2),0)</f>
        <v>0</v>
      </c>
      <c r="V17" s="620" cm="1">
        <f t="array" aca="1" ref="V17" ca="1">IF(AUTOEVENTO="Manual",ROUND(SUMPRODUCT((CÁLCULO!$M$15:$M$71=EVENTOS!$C17)*(OFFSET(CÁLCULO!$AA$15:$AA$71,0,V$13))),2),0)</f>
        <v>0</v>
      </c>
      <c r="W17" s="620" cm="1">
        <f t="array" aca="1" ref="W17" ca="1">IF(AUTOEVENTO="Manual",ROUND(SUMPRODUCT((CÁLCULO!$M$15:$M$71=EVENTOS!$C17)*(OFFSET(CÁLCULO!$AA$15:$AA$71,0,W$13))),2),0)</f>
        <v>0</v>
      </c>
      <c r="X17" s="620" cm="1">
        <f t="array" aca="1" ref="X17" ca="1">IF(AUTOEVENTO="Manual",ROUND(SUMPRODUCT((CÁLCULO!$M$15:$M$71=EVENTOS!$C17)*(OFFSET(CÁLCULO!$AA$15:$AA$71,0,X$13))),2),0)</f>
        <v>0</v>
      </c>
      <c r="Y17" s="620" cm="1">
        <f t="array" aca="1" ref="Y17" ca="1">IF(AUTOEVENTO="Manual",ROUND(SUMPRODUCT((CÁLCULO!$M$15:$M$71=EVENTOS!$C17)*(OFFSET(CÁLCULO!$AA$15:$AA$71,0,Y$13))),2),0)</f>
        <v>0</v>
      </c>
    </row>
    <row r="18" spans="1:25" x14ac:dyDescent="0.2">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IF(AUTOEVENTO="Manual",ROUND(SUMPRODUCT((CÁLCULO!$M$15:$M$71=EVENTOS!$C18)*(OFFSET(CÁLCULO!$AA$15:$AA$71,0,E$13))),2),0)</f>
        <v>0</v>
      </c>
      <c r="F18" s="183">
        <f ca="1">IF(AUTOEVENTO="Manual",ROUND(SUMPRODUCT((CÁLCULO!$M$15:$M$71=EVENTOS!$C18)*(OFFSET(CÁLCULO!$AA$15,0,1):OFFSET(CÁLCULO!$AL$71,0,-1))),2),0)</f>
        <v>0</v>
      </c>
      <c r="G18" s="621" t="str">
        <f t="shared" ca="1" si="5"/>
        <v/>
      </c>
      <c r="H18" s="620" cm="1">
        <f t="array" aca="1" ref="H18" ca="1">IF(AUTOEVENTO="Manual",ROUND(SUMPRODUCT((CÁLCULO!$M$15:$M$71=EVENTOS!$C18)*(OFFSET(CÁLCULO!$AA$15:$AA$71,0,H$13))),2),0)</f>
        <v>0</v>
      </c>
      <c r="I18" s="620" cm="1">
        <f t="array" aca="1" ref="I18" ca="1">IF(AUTOEVENTO="Manual",ROUND(SUMPRODUCT((CÁLCULO!$M$15:$M$71=EVENTOS!$C18)*(OFFSET(CÁLCULO!$AA$15:$AA$71,0,I$13))),2),0)</f>
        <v>0</v>
      </c>
      <c r="J18" s="620" cm="1">
        <f t="array" aca="1" ref="J18" ca="1">IF(AUTOEVENTO="Manual",ROUND(SUMPRODUCT((CÁLCULO!$M$15:$M$71=EVENTOS!$C18)*(OFFSET(CÁLCULO!$AA$15:$AA$71,0,J$13))),2),0)</f>
        <v>0</v>
      </c>
      <c r="K18" s="620" cm="1">
        <f t="array" aca="1" ref="K18" ca="1">IF(AUTOEVENTO="Manual",ROUND(SUMPRODUCT((CÁLCULO!$M$15:$M$71=EVENTOS!$C18)*(OFFSET(CÁLCULO!$AA$15:$AA$71,0,K$13))),2),0)</f>
        <v>0</v>
      </c>
      <c r="L18" s="620" cm="1">
        <f t="array" aca="1" ref="L18" ca="1">IF(AUTOEVENTO="Manual",ROUND(SUMPRODUCT((CÁLCULO!$M$15:$M$71=EVENTOS!$C18)*(OFFSET(CÁLCULO!$AA$15:$AA$71,0,L$13))),2),0)</f>
        <v>0</v>
      </c>
      <c r="M18" s="620" cm="1">
        <f t="array" aca="1" ref="M18" ca="1">IF(AUTOEVENTO="Manual",ROUND(SUMPRODUCT((CÁLCULO!$M$15:$M$71=EVENTOS!$C18)*(OFFSET(CÁLCULO!$AA$15:$AA$71,0,M$13))),2),0)</f>
        <v>0</v>
      </c>
      <c r="N18" s="620" cm="1">
        <f t="array" aca="1" ref="N18" ca="1">IF(AUTOEVENTO="Manual",ROUND(SUMPRODUCT((CÁLCULO!$M$15:$M$71=EVENTOS!$C18)*(OFFSET(CÁLCULO!$AA$15:$AA$71,0,N$13))),2),0)</f>
        <v>0</v>
      </c>
      <c r="O18" s="620" cm="1">
        <f t="array" aca="1" ref="O18" ca="1">IF(AUTOEVENTO="Manual",ROUND(SUMPRODUCT((CÁLCULO!$M$15:$M$71=EVENTOS!$C18)*(OFFSET(CÁLCULO!$AA$15:$AA$71,0,O$13))),2),0)</f>
        <v>0</v>
      </c>
      <c r="P18" s="620" cm="1">
        <f t="array" aca="1" ref="P18" ca="1">IF(AUTOEVENTO="Manual",ROUND(SUMPRODUCT((CÁLCULO!$M$15:$M$71=EVENTOS!$C18)*(OFFSET(CÁLCULO!$AA$15:$AA$71,0,P$13))),2),0)</f>
        <v>0</v>
      </c>
      <c r="Q18" s="620" cm="1">
        <f t="array" aca="1" ref="Q18" ca="1">IF(AUTOEVENTO="Manual",ROUND(SUMPRODUCT((CÁLCULO!$M$15:$M$71=EVENTOS!$C18)*(OFFSET(CÁLCULO!$AA$15:$AA$71,0,Q$13))),2),0)</f>
        <v>0</v>
      </c>
      <c r="R18" s="620" cm="1">
        <f t="array" aca="1" ref="R18" ca="1">IF(AUTOEVENTO="Manual",ROUND(SUMPRODUCT((CÁLCULO!$M$15:$M$71=EVENTOS!$C18)*(OFFSET(CÁLCULO!$AA$15:$AA$71,0,R$13))),2),0)</f>
        <v>0</v>
      </c>
      <c r="S18" s="620" cm="1">
        <f t="array" aca="1" ref="S18" ca="1">IF(AUTOEVENTO="Manual",ROUND(SUMPRODUCT((CÁLCULO!$M$15:$M$71=EVENTOS!$C18)*(OFFSET(CÁLCULO!$AA$15:$AA$71,0,S$13))),2),0)</f>
        <v>0</v>
      </c>
      <c r="T18" s="620" cm="1">
        <f t="array" aca="1" ref="T18" ca="1">IF(AUTOEVENTO="Manual",ROUND(SUMPRODUCT((CÁLCULO!$M$15:$M$71=EVENTOS!$C18)*(OFFSET(CÁLCULO!$AA$15:$AA$71,0,T$13))),2),0)</f>
        <v>0</v>
      </c>
      <c r="U18" s="620" cm="1">
        <f t="array" aca="1" ref="U18" ca="1">IF(AUTOEVENTO="Manual",ROUND(SUMPRODUCT((CÁLCULO!$M$15:$M$71=EVENTOS!$C18)*(OFFSET(CÁLCULO!$AA$15:$AA$71,0,U$13))),2),0)</f>
        <v>0</v>
      </c>
      <c r="V18" s="620" cm="1">
        <f t="array" aca="1" ref="V18" ca="1">IF(AUTOEVENTO="Manual",ROUND(SUMPRODUCT((CÁLCULO!$M$15:$M$71=EVENTOS!$C18)*(OFFSET(CÁLCULO!$AA$15:$AA$71,0,V$13))),2),0)</f>
        <v>0</v>
      </c>
      <c r="W18" s="620" cm="1">
        <f t="array" aca="1" ref="W18" ca="1">IF(AUTOEVENTO="Manual",ROUND(SUMPRODUCT((CÁLCULO!$M$15:$M$71=EVENTOS!$C18)*(OFFSET(CÁLCULO!$AA$15:$AA$71,0,W$13))),2),0)</f>
        <v>0</v>
      </c>
      <c r="X18" s="620" cm="1">
        <f t="array" aca="1" ref="X18" ca="1">IF(AUTOEVENTO="Manual",ROUND(SUMPRODUCT((CÁLCULO!$M$15:$M$71=EVENTOS!$C18)*(OFFSET(CÁLCULO!$AA$15:$AA$71,0,X$13))),2),0)</f>
        <v>0</v>
      </c>
      <c r="Y18" s="620" cm="1">
        <f t="array" aca="1" ref="Y18" ca="1">IF(AUTOEVENTO="Manual",ROUND(SUMPRODUCT((CÁLCULO!$M$15:$M$71=EVENTOS!$C18)*(OFFSET(CÁLCULO!$AA$15:$AA$71,0,Y$13))),2),0)</f>
        <v>0</v>
      </c>
    </row>
    <row r="19" spans="1:25" x14ac:dyDescent="0.2">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IF(AUTOEVENTO="Manual",ROUND(SUMPRODUCT((CÁLCULO!$M$15:$M$71=EVENTOS!$C19)*(OFFSET(CÁLCULO!$AA$15:$AA$71,0,E$13))),2),0)</f>
        <v>0</v>
      </c>
      <c r="F19" s="183">
        <f ca="1">IF(AUTOEVENTO="Manual",ROUND(SUMPRODUCT((CÁLCULO!$M$15:$M$71=EVENTOS!$C19)*(OFFSET(CÁLCULO!$AA$15,0,1):OFFSET(CÁLCULO!$AL$71,0,-1))),2),0)</f>
        <v>0</v>
      </c>
      <c r="G19" s="621" t="str">
        <f t="shared" ca="1" si="5"/>
        <v/>
      </c>
      <c r="H19" s="620" cm="1">
        <f t="array" aca="1" ref="H19" ca="1">IF(AUTOEVENTO="Manual",ROUND(SUMPRODUCT((CÁLCULO!$M$15:$M$71=EVENTOS!$C19)*(OFFSET(CÁLCULO!$AA$15:$AA$71,0,H$13))),2),0)</f>
        <v>0</v>
      </c>
      <c r="I19" s="620" cm="1">
        <f t="array" aca="1" ref="I19" ca="1">IF(AUTOEVENTO="Manual",ROUND(SUMPRODUCT((CÁLCULO!$M$15:$M$71=EVENTOS!$C19)*(OFFSET(CÁLCULO!$AA$15:$AA$71,0,I$13))),2),0)</f>
        <v>0</v>
      </c>
      <c r="J19" s="620" cm="1">
        <f t="array" aca="1" ref="J19" ca="1">IF(AUTOEVENTO="Manual",ROUND(SUMPRODUCT((CÁLCULO!$M$15:$M$71=EVENTOS!$C19)*(OFFSET(CÁLCULO!$AA$15:$AA$71,0,J$13))),2),0)</f>
        <v>0</v>
      </c>
      <c r="K19" s="620" cm="1">
        <f t="array" aca="1" ref="K19" ca="1">IF(AUTOEVENTO="Manual",ROUND(SUMPRODUCT((CÁLCULO!$M$15:$M$71=EVENTOS!$C19)*(OFFSET(CÁLCULO!$AA$15:$AA$71,0,K$13))),2),0)</f>
        <v>0</v>
      </c>
      <c r="L19" s="620" cm="1">
        <f t="array" aca="1" ref="L19" ca="1">IF(AUTOEVENTO="Manual",ROUND(SUMPRODUCT((CÁLCULO!$M$15:$M$71=EVENTOS!$C19)*(OFFSET(CÁLCULO!$AA$15:$AA$71,0,L$13))),2),0)</f>
        <v>0</v>
      </c>
      <c r="M19" s="620" cm="1">
        <f t="array" aca="1" ref="M19" ca="1">IF(AUTOEVENTO="Manual",ROUND(SUMPRODUCT((CÁLCULO!$M$15:$M$71=EVENTOS!$C19)*(OFFSET(CÁLCULO!$AA$15:$AA$71,0,M$13))),2),0)</f>
        <v>0</v>
      </c>
      <c r="N19" s="620" cm="1">
        <f t="array" aca="1" ref="N19" ca="1">IF(AUTOEVENTO="Manual",ROUND(SUMPRODUCT((CÁLCULO!$M$15:$M$71=EVENTOS!$C19)*(OFFSET(CÁLCULO!$AA$15:$AA$71,0,N$13))),2),0)</f>
        <v>0</v>
      </c>
      <c r="O19" s="620" cm="1">
        <f t="array" aca="1" ref="O19" ca="1">IF(AUTOEVENTO="Manual",ROUND(SUMPRODUCT((CÁLCULO!$M$15:$M$71=EVENTOS!$C19)*(OFFSET(CÁLCULO!$AA$15:$AA$71,0,O$13))),2),0)</f>
        <v>0</v>
      </c>
      <c r="P19" s="620" cm="1">
        <f t="array" aca="1" ref="P19" ca="1">IF(AUTOEVENTO="Manual",ROUND(SUMPRODUCT((CÁLCULO!$M$15:$M$71=EVENTOS!$C19)*(OFFSET(CÁLCULO!$AA$15:$AA$71,0,P$13))),2),0)</f>
        <v>0</v>
      </c>
      <c r="Q19" s="620" cm="1">
        <f t="array" aca="1" ref="Q19" ca="1">IF(AUTOEVENTO="Manual",ROUND(SUMPRODUCT((CÁLCULO!$M$15:$M$71=EVENTOS!$C19)*(OFFSET(CÁLCULO!$AA$15:$AA$71,0,Q$13))),2),0)</f>
        <v>0</v>
      </c>
      <c r="R19" s="620" cm="1">
        <f t="array" aca="1" ref="R19" ca="1">IF(AUTOEVENTO="Manual",ROUND(SUMPRODUCT((CÁLCULO!$M$15:$M$71=EVENTOS!$C19)*(OFFSET(CÁLCULO!$AA$15:$AA$71,0,R$13))),2),0)</f>
        <v>0</v>
      </c>
      <c r="S19" s="620" cm="1">
        <f t="array" aca="1" ref="S19" ca="1">IF(AUTOEVENTO="Manual",ROUND(SUMPRODUCT((CÁLCULO!$M$15:$M$71=EVENTOS!$C19)*(OFFSET(CÁLCULO!$AA$15:$AA$71,0,S$13))),2),0)</f>
        <v>0</v>
      </c>
      <c r="T19" s="620" cm="1">
        <f t="array" aca="1" ref="T19" ca="1">IF(AUTOEVENTO="Manual",ROUND(SUMPRODUCT((CÁLCULO!$M$15:$M$71=EVENTOS!$C19)*(OFFSET(CÁLCULO!$AA$15:$AA$71,0,T$13))),2),0)</f>
        <v>0</v>
      </c>
      <c r="U19" s="620" cm="1">
        <f t="array" aca="1" ref="U19" ca="1">IF(AUTOEVENTO="Manual",ROUND(SUMPRODUCT((CÁLCULO!$M$15:$M$71=EVENTOS!$C19)*(OFFSET(CÁLCULO!$AA$15:$AA$71,0,U$13))),2),0)</f>
        <v>0</v>
      </c>
      <c r="V19" s="620" cm="1">
        <f t="array" aca="1" ref="V19" ca="1">IF(AUTOEVENTO="Manual",ROUND(SUMPRODUCT((CÁLCULO!$M$15:$M$71=EVENTOS!$C19)*(OFFSET(CÁLCULO!$AA$15:$AA$71,0,V$13))),2),0)</f>
        <v>0</v>
      </c>
      <c r="W19" s="620" cm="1">
        <f t="array" aca="1" ref="W19" ca="1">IF(AUTOEVENTO="Manual",ROUND(SUMPRODUCT((CÁLCULO!$M$15:$M$71=EVENTOS!$C19)*(OFFSET(CÁLCULO!$AA$15:$AA$71,0,W$13))),2),0)</f>
        <v>0</v>
      </c>
      <c r="X19" s="620" cm="1">
        <f t="array" aca="1" ref="X19" ca="1">IF(AUTOEVENTO="Manual",ROUND(SUMPRODUCT((CÁLCULO!$M$15:$M$71=EVENTOS!$C19)*(OFFSET(CÁLCULO!$AA$15:$AA$71,0,X$13))),2),0)</f>
        <v>0</v>
      </c>
      <c r="Y19" s="620" cm="1">
        <f t="array" aca="1" ref="Y19" ca="1">IF(AUTOEVENTO="Manual",ROUND(SUMPRODUCT((CÁLCULO!$M$15:$M$71=EVENTOS!$C19)*(OFFSET(CÁLCULO!$AA$15:$AA$71,0,Y$13))),2),0)</f>
        <v>0</v>
      </c>
    </row>
    <row r="20" spans="1:25" x14ac:dyDescent="0.2">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IF(AUTOEVENTO="Manual",ROUND(SUMPRODUCT((CÁLCULO!$M$15:$M$71=EVENTOS!$C20)*(OFFSET(CÁLCULO!$AA$15:$AA$71,0,E$13))),2),0)</f>
        <v>0</v>
      </c>
      <c r="F20" s="183">
        <f ca="1">IF(AUTOEVENTO="Manual",ROUND(SUMPRODUCT((CÁLCULO!$M$15:$M$71=EVENTOS!$C20)*(OFFSET(CÁLCULO!$AA$15,0,1):OFFSET(CÁLCULO!$AL$71,0,-1))),2),0)</f>
        <v>0</v>
      </c>
      <c r="G20" s="621" t="str">
        <f t="shared" ca="1" si="5"/>
        <v/>
      </c>
      <c r="H20" s="620" cm="1">
        <f t="array" aca="1" ref="H20" ca="1">IF(AUTOEVENTO="Manual",ROUND(SUMPRODUCT((CÁLCULO!$M$15:$M$71=EVENTOS!$C20)*(OFFSET(CÁLCULO!$AA$15:$AA$71,0,H$13))),2),0)</f>
        <v>0</v>
      </c>
      <c r="I20" s="620" cm="1">
        <f t="array" aca="1" ref="I20" ca="1">IF(AUTOEVENTO="Manual",ROUND(SUMPRODUCT((CÁLCULO!$M$15:$M$71=EVENTOS!$C20)*(OFFSET(CÁLCULO!$AA$15:$AA$71,0,I$13))),2),0)</f>
        <v>0</v>
      </c>
      <c r="J20" s="620" cm="1">
        <f t="array" aca="1" ref="J20" ca="1">IF(AUTOEVENTO="Manual",ROUND(SUMPRODUCT((CÁLCULO!$M$15:$M$71=EVENTOS!$C20)*(OFFSET(CÁLCULO!$AA$15:$AA$71,0,J$13))),2),0)</f>
        <v>0</v>
      </c>
      <c r="K20" s="620" cm="1">
        <f t="array" aca="1" ref="K20" ca="1">IF(AUTOEVENTO="Manual",ROUND(SUMPRODUCT((CÁLCULO!$M$15:$M$71=EVENTOS!$C20)*(OFFSET(CÁLCULO!$AA$15:$AA$71,0,K$13))),2),0)</f>
        <v>0</v>
      </c>
      <c r="L20" s="620" cm="1">
        <f t="array" aca="1" ref="L20" ca="1">IF(AUTOEVENTO="Manual",ROUND(SUMPRODUCT((CÁLCULO!$M$15:$M$71=EVENTOS!$C20)*(OFFSET(CÁLCULO!$AA$15:$AA$71,0,L$13))),2),0)</f>
        <v>0</v>
      </c>
      <c r="M20" s="620" cm="1">
        <f t="array" aca="1" ref="M20" ca="1">IF(AUTOEVENTO="Manual",ROUND(SUMPRODUCT((CÁLCULO!$M$15:$M$71=EVENTOS!$C20)*(OFFSET(CÁLCULO!$AA$15:$AA$71,0,M$13))),2),0)</f>
        <v>0</v>
      </c>
      <c r="N20" s="620" cm="1">
        <f t="array" aca="1" ref="N20" ca="1">IF(AUTOEVENTO="Manual",ROUND(SUMPRODUCT((CÁLCULO!$M$15:$M$71=EVENTOS!$C20)*(OFFSET(CÁLCULO!$AA$15:$AA$71,0,N$13))),2),0)</f>
        <v>0</v>
      </c>
      <c r="O20" s="620" cm="1">
        <f t="array" aca="1" ref="O20" ca="1">IF(AUTOEVENTO="Manual",ROUND(SUMPRODUCT((CÁLCULO!$M$15:$M$71=EVENTOS!$C20)*(OFFSET(CÁLCULO!$AA$15:$AA$71,0,O$13))),2),0)</f>
        <v>0</v>
      </c>
      <c r="P20" s="620" cm="1">
        <f t="array" aca="1" ref="P20" ca="1">IF(AUTOEVENTO="Manual",ROUND(SUMPRODUCT((CÁLCULO!$M$15:$M$71=EVENTOS!$C20)*(OFFSET(CÁLCULO!$AA$15:$AA$71,0,P$13))),2),0)</f>
        <v>0</v>
      </c>
      <c r="Q20" s="620" cm="1">
        <f t="array" aca="1" ref="Q20" ca="1">IF(AUTOEVENTO="Manual",ROUND(SUMPRODUCT((CÁLCULO!$M$15:$M$71=EVENTOS!$C20)*(OFFSET(CÁLCULO!$AA$15:$AA$71,0,Q$13))),2),0)</f>
        <v>0</v>
      </c>
      <c r="R20" s="620" cm="1">
        <f t="array" aca="1" ref="R20" ca="1">IF(AUTOEVENTO="Manual",ROUND(SUMPRODUCT((CÁLCULO!$M$15:$M$71=EVENTOS!$C20)*(OFFSET(CÁLCULO!$AA$15:$AA$71,0,R$13))),2),0)</f>
        <v>0</v>
      </c>
      <c r="S20" s="620" cm="1">
        <f t="array" aca="1" ref="S20" ca="1">IF(AUTOEVENTO="Manual",ROUND(SUMPRODUCT((CÁLCULO!$M$15:$M$71=EVENTOS!$C20)*(OFFSET(CÁLCULO!$AA$15:$AA$71,0,S$13))),2),0)</f>
        <v>0</v>
      </c>
      <c r="T20" s="620" cm="1">
        <f t="array" aca="1" ref="T20" ca="1">IF(AUTOEVENTO="Manual",ROUND(SUMPRODUCT((CÁLCULO!$M$15:$M$71=EVENTOS!$C20)*(OFFSET(CÁLCULO!$AA$15:$AA$71,0,T$13))),2),0)</f>
        <v>0</v>
      </c>
      <c r="U20" s="620" cm="1">
        <f t="array" aca="1" ref="U20" ca="1">IF(AUTOEVENTO="Manual",ROUND(SUMPRODUCT((CÁLCULO!$M$15:$M$71=EVENTOS!$C20)*(OFFSET(CÁLCULO!$AA$15:$AA$71,0,U$13))),2),0)</f>
        <v>0</v>
      </c>
      <c r="V20" s="620" cm="1">
        <f t="array" aca="1" ref="V20" ca="1">IF(AUTOEVENTO="Manual",ROUND(SUMPRODUCT((CÁLCULO!$M$15:$M$71=EVENTOS!$C20)*(OFFSET(CÁLCULO!$AA$15:$AA$71,0,V$13))),2),0)</f>
        <v>0</v>
      </c>
      <c r="W20" s="620" cm="1">
        <f t="array" aca="1" ref="W20" ca="1">IF(AUTOEVENTO="Manual",ROUND(SUMPRODUCT((CÁLCULO!$M$15:$M$71=EVENTOS!$C20)*(OFFSET(CÁLCULO!$AA$15:$AA$71,0,W$13))),2),0)</f>
        <v>0</v>
      </c>
      <c r="X20" s="620" cm="1">
        <f t="array" aca="1" ref="X20" ca="1">IF(AUTOEVENTO="Manual",ROUND(SUMPRODUCT((CÁLCULO!$M$15:$M$71=EVENTOS!$C20)*(OFFSET(CÁLCULO!$AA$15:$AA$71,0,X$13))),2),0)</f>
        <v>0</v>
      </c>
      <c r="Y20" s="620" cm="1">
        <f t="array" aca="1" ref="Y20" ca="1">IF(AUTOEVENTO="Manual",ROUND(SUMPRODUCT((CÁLCULO!$M$15:$M$71=EVENTOS!$C20)*(OFFSET(CÁLCULO!$AA$15:$AA$71,0,Y$13))),2),0)</f>
        <v>0</v>
      </c>
    </row>
    <row r="21" spans="1:25" x14ac:dyDescent="0.2">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IF(AUTOEVENTO="Manual",ROUND(SUMPRODUCT((CÁLCULO!$M$15:$M$71=EVENTOS!$C21)*(OFFSET(CÁLCULO!$AA$15:$AA$71,0,E$13))),2),0)</f>
        <v>0</v>
      </c>
      <c r="F21" s="183">
        <f ca="1">IF(AUTOEVENTO="Manual",ROUND(SUMPRODUCT((CÁLCULO!$M$15:$M$71=EVENTOS!$C21)*(OFFSET(CÁLCULO!$AA$15,0,1):OFFSET(CÁLCULO!$AL$71,0,-1))),2),0)</f>
        <v>0</v>
      </c>
      <c r="G21" s="621" t="str">
        <f t="shared" ca="1" si="5"/>
        <v/>
      </c>
      <c r="H21" s="620" cm="1">
        <f t="array" aca="1" ref="H21" ca="1">IF(AUTOEVENTO="Manual",ROUND(SUMPRODUCT((CÁLCULO!$M$15:$M$71=EVENTOS!$C21)*(OFFSET(CÁLCULO!$AA$15:$AA$71,0,H$13))),2),0)</f>
        <v>0</v>
      </c>
      <c r="I21" s="620" cm="1">
        <f t="array" aca="1" ref="I21" ca="1">IF(AUTOEVENTO="Manual",ROUND(SUMPRODUCT((CÁLCULO!$M$15:$M$71=EVENTOS!$C21)*(OFFSET(CÁLCULO!$AA$15:$AA$71,0,I$13))),2),0)</f>
        <v>0</v>
      </c>
      <c r="J21" s="620" cm="1">
        <f t="array" aca="1" ref="J21" ca="1">IF(AUTOEVENTO="Manual",ROUND(SUMPRODUCT((CÁLCULO!$M$15:$M$71=EVENTOS!$C21)*(OFFSET(CÁLCULO!$AA$15:$AA$71,0,J$13))),2),0)</f>
        <v>0</v>
      </c>
      <c r="K21" s="620" cm="1">
        <f t="array" aca="1" ref="K21" ca="1">IF(AUTOEVENTO="Manual",ROUND(SUMPRODUCT((CÁLCULO!$M$15:$M$71=EVENTOS!$C21)*(OFFSET(CÁLCULO!$AA$15:$AA$71,0,K$13))),2),0)</f>
        <v>0</v>
      </c>
      <c r="L21" s="620" cm="1">
        <f t="array" aca="1" ref="L21" ca="1">IF(AUTOEVENTO="Manual",ROUND(SUMPRODUCT((CÁLCULO!$M$15:$M$71=EVENTOS!$C21)*(OFFSET(CÁLCULO!$AA$15:$AA$71,0,L$13))),2),0)</f>
        <v>0</v>
      </c>
      <c r="M21" s="620" cm="1">
        <f t="array" aca="1" ref="M21" ca="1">IF(AUTOEVENTO="Manual",ROUND(SUMPRODUCT((CÁLCULO!$M$15:$M$71=EVENTOS!$C21)*(OFFSET(CÁLCULO!$AA$15:$AA$71,0,M$13))),2),0)</f>
        <v>0</v>
      </c>
      <c r="N21" s="620" cm="1">
        <f t="array" aca="1" ref="N21" ca="1">IF(AUTOEVENTO="Manual",ROUND(SUMPRODUCT((CÁLCULO!$M$15:$M$71=EVENTOS!$C21)*(OFFSET(CÁLCULO!$AA$15:$AA$71,0,N$13))),2),0)</f>
        <v>0</v>
      </c>
      <c r="O21" s="620" cm="1">
        <f t="array" aca="1" ref="O21" ca="1">IF(AUTOEVENTO="Manual",ROUND(SUMPRODUCT((CÁLCULO!$M$15:$M$71=EVENTOS!$C21)*(OFFSET(CÁLCULO!$AA$15:$AA$71,0,O$13))),2),0)</f>
        <v>0</v>
      </c>
      <c r="P21" s="620" cm="1">
        <f t="array" aca="1" ref="P21" ca="1">IF(AUTOEVENTO="Manual",ROUND(SUMPRODUCT((CÁLCULO!$M$15:$M$71=EVENTOS!$C21)*(OFFSET(CÁLCULO!$AA$15:$AA$71,0,P$13))),2),0)</f>
        <v>0</v>
      </c>
      <c r="Q21" s="620" cm="1">
        <f t="array" aca="1" ref="Q21" ca="1">IF(AUTOEVENTO="Manual",ROUND(SUMPRODUCT((CÁLCULO!$M$15:$M$71=EVENTOS!$C21)*(OFFSET(CÁLCULO!$AA$15:$AA$71,0,Q$13))),2),0)</f>
        <v>0</v>
      </c>
      <c r="R21" s="620" cm="1">
        <f t="array" aca="1" ref="R21" ca="1">IF(AUTOEVENTO="Manual",ROUND(SUMPRODUCT((CÁLCULO!$M$15:$M$71=EVENTOS!$C21)*(OFFSET(CÁLCULO!$AA$15:$AA$71,0,R$13))),2),0)</f>
        <v>0</v>
      </c>
      <c r="S21" s="620" cm="1">
        <f t="array" aca="1" ref="S21" ca="1">IF(AUTOEVENTO="Manual",ROUND(SUMPRODUCT((CÁLCULO!$M$15:$M$71=EVENTOS!$C21)*(OFFSET(CÁLCULO!$AA$15:$AA$71,0,S$13))),2),0)</f>
        <v>0</v>
      </c>
      <c r="T21" s="620" cm="1">
        <f t="array" aca="1" ref="T21" ca="1">IF(AUTOEVENTO="Manual",ROUND(SUMPRODUCT((CÁLCULO!$M$15:$M$71=EVENTOS!$C21)*(OFFSET(CÁLCULO!$AA$15:$AA$71,0,T$13))),2),0)</f>
        <v>0</v>
      </c>
      <c r="U21" s="620" cm="1">
        <f t="array" aca="1" ref="U21" ca="1">IF(AUTOEVENTO="Manual",ROUND(SUMPRODUCT((CÁLCULO!$M$15:$M$71=EVENTOS!$C21)*(OFFSET(CÁLCULO!$AA$15:$AA$71,0,U$13))),2),0)</f>
        <v>0</v>
      </c>
      <c r="V21" s="620" cm="1">
        <f t="array" aca="1" ref="V21" ca="1">IF(AUTOEVENTO="Manual",ROUND(SUMPRODUCT((CÁLCULO!$M$15:$M$71=EVENTOS!$C21)*(OFFSET(CÁLCULO!$AA$15:$AA$71,0,V$13))),2),0)</f>
        <v>0</v>
      </c>
      <c r="W21" s="620" cm="1">
        <f t="array" aca="1" ref="W21" ca="1">IF(AUTOEVENTO="Manual",ROUND(SUMPRODUCT((CÁLCULO!$M$15:$M$71=EVENTOS!$C21)*(OFFSET(CÁLCULO!$AA$15:$AA$71,0,W$13))),2),0)</f>
        <v>0</v>
      </c>
      <c r="X21" s="620" cm="1">
        <f t="array" aca="1" ref="X21" ca="1">IF(AUTOEVENTO="Manual",ROUND(SUMPRODUCT((CÁLCULO!$M$15:$M$71=EVENTOS!$C21)*(OFFSET(CÁLCULO!$AA$15:$AA$71,0,X$13))),2),0)</f>
        <v>0</v>
      </c>
      <c r="Y21" s="620" cm="1">
        <f t="array" aca="1" ref="Y21" ca="1">IF(AUTOEVENTO="Manual",ROUND(SUMPRODUCT((CÁLCULO!$M$15:$M$71=EVENTOS!$C21)*(OFFSET(CÁLCULO!$AA$15:$AA$71,0,Y$13))),2),0)</f>
        <v>0</v>
      </c>
    </row>
    <row r="22" spans="1:25" x14ac:dyDescent="0.2">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IF(AUTOEVENTO="Manual",ROUND(SUMPRODUCT((CÁLCULO!$M$15:$M$71=EVENTOS!$C22)*(OFFSET(CÁLCULO!$AA$15:$AA$71,0,E$13))),2),0)</f>
        <v>0</v>
      </c>
      <c r="F22" s="183">
        <f ca="1">IF(AUTOEVENTO="Manual",ROUND(SUMPRODUCT((CÁLCULO!$M$15:$M$71=EVENTOS!$C22)*(OFFSET(CÁLCULO!$AA$15,0,1):OFFSET(CÁLCULO!$AL$71,0,-1))),2),0)</f>
        <v>0</v>
      </c>
      <c r="G22" s="621" t="str">
        <f t="shared" ca="1" si="5"/>
        <v/>
      </c>
      <c r="H22" s="620" cm="1">
        <f t="array" aca="1" ref="H22" ca="1">IF(AUTOEVENTO="Manual",ROUND(SUMPRODUCT((CÁLCULO!$M$15:$M$71=EVENTOS!$C22)*(OFFSET(CÁLCULO!$AA$15:$AA$71,0,H$13))),2),0)</f>
        <v>0</v>
      </c>
      <c r="I22" s="620" cm="1">
        <f t="array" aca="1" ref="I22" ca="1">IF(AUTOEVENTO="Manual",ROUND(SUMPRODUCT((CÁLCULO!$M$15:$M$71=EVENTOS!$C22)*(OFFSET(CÁLCULO!$AA$15:$AA$71,0,I$13))),2),0)</f>
        <v>0</v>
      </c>
      <c r="J22" s="620" cm="1">
        <f t="array" aca="1" ref="J22" ca="1">IF(AUTOEVENTO="Manual",ROUND(SUMPRODUCT((CÁLCULO!$M$15:$M$71=EVENTOS!$C22)*(OFFSET(CÁLCULO!$AA$15:$AA$71,0,J$13))),2),0)</f>
        <v>0</v>
      </c>
      <c r="K22" s="620" cm="1">
        <f t="array" aca="1" ref="K22" ca="1">IF(AUTOEVENTO="Manual",ROUND(SUMPRODUCT((CÁLCULO!$M$15:$M$71=EVENTOS!$C22)*(OFFSET(CÁLCULO!$AA$15:$AA$71,0,K$13))),2),0)</f>
        <v>0</v>
      </c>
      <c r="L22" s="620" cm="1">
        <f t="array" aca="1" ref="L22" ca="1">IF(AUTOEVENTO="Manual",ROUND(SUMPRODUCT((CÁLCULO!$M$15:$M$71=EVENTOS!$C22)*(OFFSET(CÁLCULO!$AA$15:$AA$71,0,L$13))),2),0)</f>
        <v>0</v>
      </c>
      <c r="M22" s="620" cm="1">
        <f t="array" aca="1" ref="M22" ca="1">IF(AUTOEVENTO="Manual",ROUND(SUMPRODUCT((CÁLCULO!$M$15:$M$71=EVENTOS!$C22)*(OFFSET(CÁLCULO!$AA$15:$AA$71,0,M$13))),2),0)</f>
        <v>0</v>
      </c>
      <c r="N22" s="620" cm="1">
        <f t="array" aca="1" ref="N22" ca="1">IF(AUTOEVENTO="Manual",ROUND(SUMPRODUCT((CÁLCULO!$M$15:$M$71=EVENTOS!$C22)*(OFFSET(CÁLCULO!$AA$15:$AA$71,0,N$13))),2),0)</f>
        <v>0</v>
      </c>
      <c r="O22" s="620" cm="1">
        <f t="array" aca="1" ref="O22" ca="1">IF(AUTOEVENTO="Manual",ROUND(SUMPRODUCT((CÁLCULO!$M$15:$M$71=EVENTOS!$C22)*(OFFSET(CÁLCULO!$AA$15:$AA$71,0,O$13))),2),0)</f>
        <v>0</v>
      </c>
      <c r="P22" s="620" cm="1">
        <f t="array" aca="1" ref="P22" ca="1">IF(AUTOEVENTO="Manual",ROUND(SUMPRODUCT((CÁLCULO!$M$15:$M$71=EVENTOS!$C22)*(OFFSET(CÁLCULO!$AA$15:$AA$71,0,P$13))),2),0)</f>
        <v>0</v>
      </c>
      <c r="Q22" s="620" cm="1">
        <f t="array" aca="1" ref="Q22" ca="1">IF(AUTOEVENTO="Manual",ROUND(SUMPRODUCT((CÁLCULO!$M$15:$M$71=EVENTOS!$C22)*(OFFSET(CÁLCULO!$AA$15:$AA$71,0,Q$13))),2),0)</f>
        <v>0</v>
      </c>
      <c r="R22" s="620" cm="1">
        <f t="array" aca="1" ref="R22" ca="1">IF(AUTOEVENTO="Manual",ROUND(SUMPRODUCT((CÁLCULO!$M$15:$M$71=EVENTOS!$C22)*(OFFSET(CÁLCULO!$AA$15:$AA$71,0,R$13))),2),0)</f>
        <v>0</v>
      </c>
      <c r="S22" s="620" cm="1">
        <f t="array" aca="1" ref="S22" ca="1">IF(AUTOEVENTO="Manual",ROUND(SUMPRODUCT((CÁLCULO!$M$15:$M$71=EVENTOS!$C22)*(OFFSET(CÁLCULO!$AA$15:$AA$71,0,S$13))),2),0)</f>
        <v>0</v>
      </c>
      <c r="T22" s="620" cm="1">
        <f t="array" aca="1" ref="T22" ca="1">IF(AUTOEVENTO="Manual",ROUND(SUMPRODUCT((CÁLCULO!$M$15:$M$71=EVENTOS!$C22)*(OFFSET(CÁLCULO!$AA$15:$AA$71,0,T$13))),2),0)</f>
        <v>0</v>
      </c>
      <c r="U22" s="620" cm="1">
        <f t="array" aca="1" ref="U22" ca="1">IF(AUTOEVENTO="Manual",ROUND(SUMPRODUCT((CÁLCULO!$M$15:$M$71=EVENTOS!$C22)*(OFFSET(CÁLCULO!$AA$15:$AA$71,0,U$13))),2),0)</f>
        <v>0</v>
      </c>
      <c r="V22" s="620" cm="1">
        <f t="array" aca="1" ref="V22" ca="1">IF(AUTOEVENTO="Manual",ROUND(SUMPRODUCT((CÁLCULO!$M$15:$M$71=EVENTOS!$C22)*(OFFSET(CÁLCULO!$AA$15:$AA$71,0,V$13))),2),0)</f>
        <v>0</v>
      </c>
      <c r="W22" s="620" cm="1">
        <f t="array" aca="1" ref="W22" ca="1">IF(AUTOEVENTO="Manual",ROUND(SUMPRODUCT((CÁLCULO!$M$15:$M$71=EVENTOS!$C22)*(OFFSET(CÁLCULO!$AA$15:$AA$71,0,W$13))),2),0)</f>
        <v>0</v>
      </c>
      <c r="X22" s="620" cm="1">
        <f t="array" aca="1" ref="X22" ca="1">IF(AUTOEVENTO="Manual",ROUND(SUMPRODUCT((CÁLCULO!$M$15:$M$71=EVENTOS!$C22)*(OFFSET(CÁLCULO!$AA$15:$AA$71,0,X$13))),2),0)</f>
        <v>0</v>
      </c>
      <c r="Y22" s="620" cm="1">
        <f t="array" aca="1" ref="Y22" ca="1">IF(AUTOEVENTO="Manual",ROUND(SUMPRODUCT((CÁLCULO!$M$15:$M$71=EVENTOS!$C22)*(OFFSET(CÁLCULO!$AA$15:$AA$71,0,Y$13))),2),0)</f>
        <v>0</v>
      </c>
    </row>
    <row r="23" spans="1:25" x14ac:dyDescent="0.2">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IF(AUTOEVENTO="Manual",ROUND(SUMPRODUCT((CÁLCULO!$M$15:$M$71=EVENTOS!$C23)*(OFFSET(CÁLCULO!$AA$15:$AA$71,0,E$13))),2),0)</f>
        <v>0</v>
      </c>
      <c r="F23" s="183">
        <f ca="1">IF(AUTOEVENTO="Manual",ROUND(SUMPRODUCT((CÁLCULO!$M$15:$M$71=EVENTOS!$C23)*(OFFSET(CÁLCULO!$AA$15,0,1):OFFSET(CÁLCULO!$AL$71,0,-1))),2),0)</f>
        <v>0</v>
      </c>
      <c r="G23" s="621" t="str">
        <f t="shared" ca="1" si="5"/>
        <v/>
      </c>
      <c r="H23" s="620" cm="1">
        <f t="array" aca="1" ref="H23" ca="1">IF(AUTOEVENTO="Manual",ROUND(SUMPRODUCT((CÁLCULO!$M$15:$M$71=EVENTOS!$C23)*(OFFSET(CÁLCULO!$AA$15:$AA$71,0,H$13))),2),0)</f>
        <v>0</v>
      </c>
      <c r="I23" s="620" cm="1">
        <f t="array" aca="1" ref="I23" ca="1">IF(AUTOEVENTO="Manual",ROUND(SUMPRODUCT((CÁLCULO!$M$15:$M$71=EVENTOS!$C23)*(OFFSET(CÁLCULO!$AA$15:$AA$71,0,I$13))),2),0)</f>
        <v>0</v>
      </c>
      <c r="J23" s="620" cm="1">
        <f t="array" aca="1" ref="J23" ca="1">IF(AUTOEVENTO="Manual",ROUND(SUMPRODUCT((CÁLCULO!$M$15:$M$71=EVENTOS!$C23)*(OFFSET(CÁLCULO!$AA$15:$AA$71,0,J$13))),2),0)</f>
        <v>0</v>
      </c>
      <c r="K23" s="620" cm="1">
        <f t="array" aca="1" ref="K23" ca="1">IF(AUTOEVENTO="Manual",ROUND(SUMPRODUCT((CÁLCULO!$M$15:$M$71=EVENTOS!$C23)*(OFFSET(CÁLCULO!$AA$15:$AA$71,0,K$13))),2),0)</f>
        <v>0</v>
      </c>
      <c r="L23" s="620" cm="1">
        <f t="array" aca="1" ref="L23" ca="1">IF(AUTOEVENTO="Manual",ROUND(SUMPRODUCT((CÁLCULO!$M$15:$M$71=EVENTOS!$C23)*(OFFSET(CÁLCULO!$AA$15:$AA$71,0,L$13))),2),0)</f>
        <v>0</v>
      </c>
      <c r="M23" s="620" cm="1">
        <f t="array" aca="1" ref="M23" ca="1">IF(AUTOEVENTO="Manual",ROUND(SUMPRODUCT((CÁLCULO!$M$15:$M$71=EVENTOS!$C23)*(OFFSET(CÁLCULO!$AA$15:$AA$71,0,M$13))),2),0)</f>
        <v>0</v>
      </c>
      <c r="N23" s="620" cm="1">
        <f t="array" aca="1" ref="N23" ca="1">IF(AUTOEVENTO="Manual",ROUND(SUMPRODUCT((CÁLCULO!$M$15:$M$71=EVENTOS!$C23)*(OFFSET(CÁLCULO!$AA$15:$AA$71,0,N$13))),2),0)</f>
        <v>0</v>
      </c>
      <c r="O23" s="620" cm="1">
        <f t="array" aca="1" ref="O23" ca="1">IF(AUTOEVENTO="Manual",ROUND(SUMPRODUCT((CÁLCULO!$M$15:$M$71=EVENTOS!$C23)*(OFFSET(CÁLCULO!$AA$15:$AA$71,0,O$13))),2),0)</f>
        <v>0</v>
      </c>
      <c r="P23" s="620" cm="1">
        <f t="array" aca="1" ref="P23" ca="1">IF(AUTOEVENTO="Manual",ROUND(SUMPRODUCT((CÁLCULO!$M$15:$M$71=EVENTOS!$C23)*(OFFSET(CÁLCULO!$AA$15:$AA$71,0,P$13))),2),0)</f>
        <v>0</v>
      </c>
      <c r="Q23" s="620" cm="1">
        <f t="array" aca="1" ref="Q23" ca="1">IF(AUTOEVENTO="Manual",ROUND(SUMPRODUCT((CÁLCULO!$M$15:$M$71=EVENTOS!$C23)*(OFFSET(CÁLCULO!$AA$15:$AA$71,0,Q$13))),2),0)</f>
        <v>0</v>
      </c>
      <c r="R23" s="620" cm="1">
        <f t="array" aca="1" ref="R23" ca="1">IF(AUTOEVENTO="Manual",ROUND(SUMPRODUCT((CÁLCULO!$M$15:$M$71=EVENTOS!$C23)*(OFFSET(CÁLCULO!$AA$15:$AA$71,0,R$13))),2),0)</f>
        <v>0</v>
      </c>
      <c r="S23" s="620" cm="1">
        <f t="array" aca="1" ref="S23" ca="1">IF(AUTOEVENTO="Manual",ROUND(SUMPRODUCT((CÁLCULO!$M$15:$M$71=EVENTOS!$C23)*(OFFSET(CÁLCULO!$AA$15:$AA$71,0,S$13))),2),0)</f>
        <v>0</v>
      </c>
      <c r="T23" s="620" cm="1">
        <f t="array" aca="1" ref="T23" ca="1">IF(AUTOEVENTO="Manual",ROUND(SUMPRODUCT((CÁLCULO!$M$15:$M$71=EVENTOS!$C23)*(OFFSET(CÁLCULO!$AA$15:$AA$71,0,T$13))),2),0)</f>
        <v>0</v>
      </c>
      <c r="U23" s="620" cm="1">
        <f t="array" aca="1" ref="U23" ca="1">IF(AUTOEVENTO="Manual",ROUND(SUMPRODUCT((CÁLCULO!$M$15:$M$71=EVENTOS!$C23)*(OFFSET(CÁLCULO!$AA$15:$AA$71,0,U$13))),2),0)</f>
        <v>0</v>
      </c>
      <c r="V23" s="620" cm="1">
        <f t="array" aca="1" ref="V23" ca="1">IF(AUTOEVENTO="Manual",ROUND(SUMPRODUCT((CÁLCULO!$M$15:$M$71=EVENTOS!$C23)*(OFFSET(CÁLCULO!$AA$15:$AA$71,0,V$13))),2),0)</f>
        <v>0</v>
      </c>
      <c r="W23" s="620" cm="1">
        <f t="array" aca="1" ref="W23" ca="1">IF(AUTOEVENTO="Manual",ROUND(SUMPRODUCT((CÁLCULO!$M$15:$M$71=EVENTOS!$C23)*(OFFSET(CÁLCULO!$AA$15:$AA$71,0,W$13))),2),0)</f>
        <v>0</v>
      </c>
      <c r="X23" s="620" cm="1">
        <f t="array" aca="1" ref="X23" ca="1">IF(AUTOEVENTO="Manual",ROUND(SUMPRODUCT((CÁLCULO!$M$15:$M$71=EVENTOS!$C23)*(OFFSET(CÁLCULO!$AA$15:$AA$71,0,X$13))),2),0)</f>
        <v>0</v>
      </c>
      <c r="Y23" s="620" cm="1">
        <f t="array" aca="1" ref="Y23" ca="1">IF(AUTOEVENTO="Manual",ROUND(SUMPRODUCT((CÁLCULO!$M$15:$M$71=EVENTOS!$C23)*(OFFSET(CÁLCULO!$AA$15:$AA$71,0,Y$13))),2),0)</f>
        <v>0</v>
      </c>
    </row>
    <row r="24" spans="1:25" x14ac:dyDescent="0.2">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IF(AUTOEVENTO="Manual",ROUND(SUMPRODUCT((CÁLCULO!$M$15:$M$71=EVENTOS!$C24)*(OFFSET(CÁLCULO!$AA$15:$AA$71,0,E$13))),2),0)</f>
        <v>0</v>
      </c>
      <c r="F24" s="183">
        <f ca="1">IF(AUTOEVENTO="Manual",ROUND(SUMPRODUCT((CÁLCULO!$M$15:$M$71=EVENTOS!$C24)*(OFFSET(CÁLCULO!$AA$15,0,1):OFFSET(CÁLCULO!$AL$71,0,-1))),2),0)</f>
        <v>0</v>
      </c>
      <c r="G24" s="621" t="str">
        <f t="shared" ca="1" si="5"/>
        <v/>
      </c>
      <c r="H24" s="620" cm="1">
        <f t="array" aca="1" ref="H24" ca="1">IF(AUTOEVENTO="Manual",ROUND(SUMPRODUCT((CÁLCULO!$M$15:$M$71=EVENTOS!$C24)*(OFFSET(CÁLCULO!$AA$15:$AA$71,0,H$13))),2),0)</f>
        <v>0</v>
      </c>
      <c r="I24" s="620" cm="1">
        <f t="array" aca="1" ref="I24" ca="1">IF(AUTOEVENTO="Manual",ROUND(SUMPRODUCT((CÁLCULO!$M$15:$M$71=EVENTOS!$C24)*(OFFSET(CÁLCULO!$AA$15:$AA$71,0,I$13))),2),0)</f>
        <v>0</v>
      </c>
      <c r="J24" s="620" cm="1">
        <f t="array" aca="1" ref="J24" ca="1">IF(AUTOEVENTO="Manual",ROUND(SUMPRODUCT((CÁLCULO!$M$15:$M$71=EVENTOS!$C24)*(OFFSET(CÁLCULO!$AA$15:$AA$71,0,J$13))),2),0)</f>
        <v>0</v>
      </c>
      <c r="K24" s="620" cm="1">
        <f t="array" aca="1" ref="K24" ca="1">IF(AUTOEVENTO="Manual",ROUND(SUMPRODUCT((CÁLCULO!$M$15:$M$71=EVENTOS!$C24)*(OFFSET(CÁLCULO!$AA$15:$AA$71,0,K$13))),2),0)</f>
        <v>0</v>
      </c>
      <c r="L24" s="620" cm="1">
        <f t="array" aca="1" ref="L24" ca="1">IF(AUTOEVENTO="Manual",ROUND(SUMPRODUCT((CÁLCULO!$M$15:$M$71=EVENTOS!$C24)*(OFFSET(CÁLCULO!$AA$15:$AA$71,0,L$13))),2),0)</f>
        <v>0</v>
      </c>
      <c r="M24" s="620" cm="1">
        <f t="array" aca="1" ref="M24" ca="1">IF(AUTOEVENTO="Manual",ROUND(SUMPRODUCT((CÁLCULO!$M$15:$M$71=EVENTOS!$C24)*(OFFSET(CÁLCULO!$AA$15:$AA$71,0,M$13))),2),0)</f>
        <v>0</v>
      </c>
      <c r="N24" s="620" cm="1">
        <f t="array" aca="1" ref="N24" ca="1">IF(AUTOEVENTO="Manual",ROUND(SUMPRODUCT((CÁLCULO!$M$15:$M$71=EVENTOS!$C24)*(OFFSET(CÁLCULO!$AA$15:$AA$71,0,N$13))),2),0)</f>
        <v>0</v>
      </c>
      <c r="O24" s="620" cm="1">
        <f t="array" aca="1" ref="O24" ca="1">IF(AUTOEVENTO="Manual",ROUND(SUMPRODUCT((CÁLCULO!$M$15:$M$71=EVENTOS!$C24)*(OFFSET(CÁLCULO!$AA$15:$AA$71,0,O$13))),2),0)</f>
        <v>0</v>
      </c>
      <c r="P24" s="620" cm="1">
        <f t="array" aca="1" ref="P24" ca="1">IF(AUTOEVENTO="Manual",ROUND(SUMPRODUCT((CÁLCULO!$M$15:$M$71=EVENTOS!$C24)*(OFFSET(CÁLCULO!$AA$15:$AA$71,0,P$13))),2),0)</f>
        <v>0</v>
      </c>
      <c r="Q24" s="620" cm="1">
        <f t="array" aca="1" ref="Q24" ca="1">IF(AUTOEVENTO="Manual",ROUND(SUMPRODUCT((CÁLCULO!$M$15:$M$71=EVENTOS!$C24)*(OFFSET(CÁLCULO!$AA$15:$AA$71,0,Q$13))),2),0)</f>
        <v>0</v>
      </c>
      <c r="R24" s="620" cm="1">
        <f t="array" aca="1" ref="R24" ca="1">IF(AUTOEVENTO="Manual",ROUND(SUMPRODUCT((CÁLCULO!$M$15:$M$71=EVENTOS!$C24)*(OFFSET(CÁLCULO!$AA$15:$AA$71,0,R$13))),2),0)</f>
        <v>0</v>
      </c>
      <c r="S24" s="620" cm="1">
        <f t="array" aca="1" ref="S24" ca="1">IF(AUTOEVENTO="Manual",ROUND(SUMPRODUCT((CÁLCULO!$M$15:$M$71=EVENTOS!$C24)*(OFFSET(CÁLCULO!$AA$15:$AA$71,0,S$13))),2),0)</f>
        <v>0</v>
      </c>
      <c r="T24" s="620" cm="1">
        <f t="array" aca="1" ref="T24" ca="1">IF(AUTOEVENTO="Manual",ROUND(SUMPRODUCT((CÁLCULO!$M$15:$M$71=EVENTOS!$C24)*(OFFSET(CÁLCULO!$AA$15:$AA$71,0,T$13))),2),0)</f>
        <v>0</v>
      </c>
      <c r="U24" s="620" cm="1">
        <f t="array" aca="1" ref="U24" ca="1">IF(AUTOEVENTO="Manual",ROUND(SUMPRODUCT((CÁLCULO!$M$15:$M$71=EVENTOS!$C24)*(OFFSET(CÁLCULO!$AA$15:$AA$71,0,U$13))),2),0)</f>
        <v>0</v>
      </c>
      <c r="V24" s="620" cm="1">
        <f t="array" aca="1" ref="V24" ca="1">IF(AUTOEVENTO="Manual",ROUND(SUMPRODUCT((CÁLCULO!$M$15:$M$71=EVENTOS!$C24)*(OFFSET(CÁLCULO!$AA$15:$AA$71,0,V$13))),2),0)</f>
        <v>0</v>
      </c>
      <c r="W24" s="620" cm="1">
        <f t="array" aca="1" ref="W24" ca="1">IF(AUTOEVENTO="Manual",ROUND(SUMPRODUCT((CÁLCULO!$M$15:$M$71=EVENTOS!$C24)*(OFFSET(CÁLCULO!$AA$15:$AA$71,0,W$13))),2),0)</f>
        <v>0</v>
      </c>
      <c r="X24" s="620" cm="1">
        <f t="array" aca="1" ref="X24" ca="1">IF(AUTOEVENTO="Manual",ROUND(SUMPRODUCT((CÁLCULO!$M$15:$M$71=EVENTOS!$C24)*(OFFSET(CÁLCULO!$AA$15:$AA$71,0,X$13))),2),0)</f>
        <v>0</v>
      </c>
      <c r="Y24" s="620" cm="1">
        <f t="array" aca="1" ref="Y24" ca="1">IF(AUTOEVENTO="Manual",ROUND(SUMPRODUCT((CÁLCULO!$M$15:$M$71=EVENTOS!$C24)*(OFFSET(CÁLCULO!$AA$15:$AA$71,0,Y$13))),2),0)</f>
        <v>0</v>
      </c>
    </row>
    <row r="25" spans="1:25" x14ac:dyDescent="0.2">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IF(AUTOEVENTO="Manual",ROUND(SUMPRODUCT((CÁLCULO!$M$15:$M$71=EVENTOS!$C25)*(OFFSET(CÁLCULO!$AA$15:$AA$71,0,E$13))),2),0)</f>
        <v>0</v>
      </c>
      <c r="F25" s="183">
        <f ca="1">IF(AUTOEVENTO="Manual",ROUND(SUMPRODUCT((CÁLCULO!$M$15:$M$71=EVENTOS!$C25)*(OFFSET(CÁLCULO!$AA$15,0,1):OFFSET(CÁLCULO!$AL$71,0,-1))),2),0)</f>
        <v>0</v>
      </c>
      <c r="G25" s="621" t="str">
        <f t="shared" ca="1" si="5"/>
        <v/>
      </c>
      <c r="H25" s="620" cm="1">
        <f t="array" aca="1" ref="H25" ca="1">IF(AUTOEVENTO="Manual",ROUND(SUMPRODUCT((CÁLCULO!$M$15:$M$71=EVENTOS!$C25)*(OFFSET(CÁLCULO!$AA$15:$AA$71,0,H$13))),2),0)</f>
        <v>0</v>
      </c>
      <c r="I25" s="620" cm="1">
        <f t="array" aca="1" ref="I25" ca="1">IF(AUTOEVENTO="Manual",ROUND(SUMPRODUCT((CÁLCULO!$M$15:$M$71=EVENTOS!$C25)*(OFFSET(CÁLCULO!$AA$15:$AA$71,0,I$13))),2),0)</f>
        <v>0</v>
      </c>
      <c r="J25" s="620" cm="1">
        <f t="array" aca="1" ref="J25" ca="1">IF(AUTOEVENTO="Manual",ROUND(SUMPRODUCT((CÁLCULO!$M$15:$M$71=EVENTOS!$C25)*(OFFSET(CÁLCULO!$AA$15:$AA$71,0,J$13))),2),0)</f>
        <v>0</v>
      </c>
      <c r="K25" s="620" cm="1">
        <f t="array" aca="1" ref="K25" ca="1">IF(AUTOEVENTO="Manual",ROUND(SUMPRODUCT((CÁLCULO!$M$15:$M$71=EVENTOS!$C25)*(OFFSET(CÁLCULO!$AA$15:$AA$71,0,K$13))),2),0)</f>
        <v>0</v>
      </c>
      <c r="L25" s="620" cm="1">
        <f t="array" aca="1" ref="L25" ca="1">IF(AUTOEVENTO="Manual",ROUND(SUMPRODUCT((CÁLCULO!$M$15:$M$71=EVENTOS!$C25)*(OFFSET(CÁLCULO!$AA$15:$AA$71,0,L$13))),2),0)</f>
        <v>0</v>
      </c>
      <c r="M25" s="620" cm="1">
        <f t="array" aca="1" ref="M25" ca="1">IF(AUTOEVENTO="Manual",ROUND(SUMPRODUCT((CÁLCULO!$M$15:$M$71=EVENTOS!$C25)*(OFFSET(CÁLCULO!$AA$15:$AA$71,0,M$13))),2),0)</f>
        <v>0</v>
      </c>
      <c r="N25" s="620" cm="1">
        <f t="array" aca="1" ref="N25" ca="1">IF(AUTOEVENTO="Manual",ROUND(SUMPRODUCT((CÁLCULO!$M$15:$M$71=EVENTOS!$C25)*(OFFSET(CÁLCULO!$AA$15:$AA$71,0,N$13))),2),0)</f>
        <v>0</v>
      </c>
      <c r="O25" s="620" cm="1">
        <f t="array" aca="1" ref="O25" ca="1">IF(AUTOEVENTO="Manual",ROUND(SUMPRODUCT((CÁLCULO!$M$15:$M$71=EVENTOS!$C25)*(OFFSET(CÁLCULO!$AA$15:$AA$71,0,O$13))),2),0)</f>
        <v>0</v>
      </c>
      <c r="P25" s="620" cm="1">
        <f t="array" aca="1" ref="P25" ca="1">IF(AUTOEVENTO="Manual",ROUND(SUMPRODUCT((CÁLCULO!$M$15:$M$71=EVENTOS!$C25)*(OFFSET(CÁLCULO!$AA$15:$AA$71,0,P$13))),2),0)</f>
        <v>0</v>
      </c>
      <c r="Q25" s="620" cm="1">
        <f t="array" aca="1" ref="Q25" ca="1">IF(AUTOEVENTO="Manual",ROUND(SUMPRODUCT((CÁLCULO!$M$15:$M$71=EVENTOS!$C25)*(OFFSET(CÁLCULO!$AA$15:$AA$71,0,Q$13))),2),0)</f>
        <v>0</v>
      </c>
      <c r="R25" s="620" cm="1">
        <f t="array" aca="1" ref="R25" ca="1">IF(AUTOEVENTO="Manual",ROUND(SUMPRODUCT((CÁLCULO!$M$15:$M$71=EVENTOS!$C25)*(OFFSET(CÁLCULO!$AA$15:$AA$71,0,R$13))),2),0)</f>
        <v>0</v>
      </c>
      <c r="S25" s="620" cm="1">
        <f t="array" aca="1" ref="S25" ca="1">IF(AUTOEVENTO="Manual",ROUND(SUMPRODUCT((CÁLCULO!$M$15:$M$71=EVENTOS!$C25)*(OFFSET(CÁLCULO!$AA$15:$AA$71,0,S$13))),2),0)</f>
        <v>0</v>
      </c>
      <c r="T25" s="620" cm="1">
        <f t="array" aca="1" ref="T25" ca="1">IF(AUTOEVENTO="Manual",ROUND(SUMPRODUCT((CÁLCULO!$M$15:$M$71=EVENTOS!$C25)*(OFFSET(CÁLCULO!$AA$15:$AA$71,0,T$13))),2),0)</f>
        <v>0</v>
      </c>
      <c r="U25" s="620" cm="1">
        <f t="array" aca="1" ref="U25" ca="1">IF(AUTOEVENTO="Manual",ROUND(SUMPRODUCT((CÁLCULO!$M$15:$M$71=EVENTOS!$C25)*(OFFSET(CÁLCULO!$AA$15:$AA$71,0,U$13))),2),0)</f>
        <v>0</v>
      </c>
      <c r="V25" s="620" cm="1">
        <f t="array" aca="1" ref="V25" ca="1">IF(AUTOEVENTO="Manual",ROUND(SUMPRODUCT((CÁLCULO!$M$15:$M$71=EVENTOS!$C25)*(OFFSET(CÁLCULO!$AA$15:$AA$71,0,V$13))),2),0)</f>
        <v>0</v>
      </c>
      <c r="W25" s="620" cm="1">
        <f t="array" aca="1" ref="W25" ca="1">IF(AUTOEVENTO="Manual",ROUND(SUMPRODUCT((CÁLCULO!$M$15:$M$71=EVENTOS!$C25)*(OFFSET(CÁLCULO!$AA$15:$AA$71,0,W$13))),2),0)</f>
        <v>0</v>
      </c>
      <c r="X25" s="620" cm="1">
        <f t="array" aca="1" ref="X25" ca="1">IF(AUTOEVENTO="Manual",ROUND(SUMPRODUCT((CÁLCULO!$M$15:$M$71=EVENTOS!$C25)*(OFFSET(CÁLCULO!$AA$15:$AA$71,0,X$13))),2),0)</f>
        <v>0</v>
      </c>
      <c r="Y25" s="620" cm="1">
        <f t="array" aca="1" ref="Y25" ca="1">IF(AUTOEVENTO="Manual",ROUND(SUMPRODUCT((CÁLCULO!$M$15:$M$71=EVENTOS!$C25)*(OFFSET(CÁLCULO!$AA$15:$AA$71,0,Y$13))),2),0)</f>
        <v>0</v>
      </c>
    </row>
    <row r="26" spans="1:25" x14ac:dyDescent="0.2">
      <c r="A26" s="506" t="str">
        <f t="shared" si="3"/>
        <v/>
      </c>
      <c r="B26" t="str">
        <f t="shared" ca="1" si="4"/>
        <v/>
      </c>
      <c r="C26" s="182" t="str" cm="1">
        <f t="array" aca="1" ref="C26" ca="1">IF(OR(ROW(C26)=ROW(EVENTOS.firstrow)+1,AND(OFFSET(C26,-1,0)&lt;&gt;" ",OFFSET(C26,-1,1)&lt;&gt;"")),OFFSET(C26,-1,0)+1," ")</f>
        <v xml:space="preserve"> </v>
      </c>
      <c r="D26" s="496"/>
      <c r="E26" s="620" cm="1">
        <f t="array" aca="1" ref="E26" ca="1">IF(AUTOEVENTO="Manual",ROUND(SUMPRODUCT((CÁLCULO!$M$15:$M$71=EVENTOS!$C26)*(OFFSET(CÁLCULO!$AA$15:$AA$71,0,E$13))),2),0)</f>
        <v>0</v>
      </c>
      <c r="F26" s="183">
        <f ca="1">IF(AUTOEVENTO="Manual",ROUND(SUMPRODUCT((CÁLCULO!$M$15:$M$71=EVENTOS!$C26)*(OFFSET(CÁLCULO!$AA$15,0,1):OFFSET(CÁLCULO!$AL$71,0,-1))),2),0)</f>
        <v>0</v>
      </c>
      <c r="G26" s="621" t="str">
        <f t="shared" ca="1" si="5"/>
        <v/>
      </c>
      <c r="H26" s="620" cm="1">
        <f t="array" aca="1" ref="H26" ca="1">IF(AUTOEVENTO="Manual",ROUND(SUMPRODUCT((CÁLCULO!$M$15:$M$71=EVENTOS!$C26)*(OFFSET(CÁLCULO!$AA$15:$AA$71,0,H$13))),2),0)</f>
        <v>0</v>
      </c>
      <c r="I26" s="620" cm="1">
        <f t="array" aca="1" ref="I26" ca="1">IF(AUTOEVENTO="Manual",ROUND(SUMPRODUCT((CÁLCULO!$M$15:$M$71=EVENTOS!$C26)*(OFFSET(CÁLCULO!$AA$15:$AA$71,0,I$13))),2),0)</f>
        <v>0</v>
      </c>
      <c r="J26" s="620" cm="1">
        <f t="array" aca="1" ref="J26" ca="1">IF(AUTOEVENTO="Manual",ROUND(SUMPRODUCT((CÁLCULO!$M$15:$M$71=EVENTOS!$C26)*(OFFSET(CÁLCULO!$AA$15:$AA$71,0,J$13))),2),0)</f>
        <v>0</v>
      </c>
      <c r="K26" s="620" cm="1">
        <f t="array" aca="1" ref="K26" ca="1">IF(AUTOEVENTO="Manual",ROUND(SUMPRODUCT((CÁLCULO!$M$15:$M$71=EVENTOS!$C26)*(OFFSET(CÁLCULO!$AA$15:$AA$71,0,K$13))),2),0)</f>
        <v>0</v>
      </c>
      <c r="L26" s="620" cm="1">
        <f t="array" aca="1" ref="L26" ca="1">IF(AUTOEVENTO="Manual",ROUND(SUMPRODUCT((CÁLCULO!$M$15:$M$71=EVENTOS!$C26)*(OFFSET(CÁLCULO!$AA$15:$AA$71,0,L$13))),2),0)</f>
        <v>0</v>
      </c>
      <c r="M26" s="620" cm="1">
        <f t="array" aca="1" ref="M26" ca="1">IF(AUTOEVENTO="Manual",ROUND(SUMPRODUCT((CÁLCULO!$M$15:$M$71=EVENTOS!$C26)*(OFFSET(CÁLCULO!$AA$15:$AA$71,0,M$13))),2),0)</f>
        <v>0</v>
      </c>
      <c r="N26" s="620" cm="1">
        <f t="array" aca="1" ref="N26" ca="1">IF(AUTOEVENTO="Manual",ROUND(SUMPRODUCT((CÁLCULO!$M$15:$M$71=EVENTOS!$C26)*(OFFSET(CÁLCULO!$AA$15:$AA$71,0,N$13))),2),0)</f>
        <v>0</v>
      </c>
      <c r="O26" s="620" cm="1">
        <f t="array" aca="1" ref="O26" ca="1">IF(AUTOEVENTO="Manual",ROUND(SUMPRODUCT((CÁLCULO!$M$15:$M$71=EVENTOS!$C26)*(OFFSET(CÁLCULO!$AA$15:$AA$71,0,O$13))),2),0)</f>
        <v>0</v>
      </c>
      <c r="P26" s="620" cm="1">
        <f t="array" aca="1" ref="P26" ca="1">IF(AUTOEVENTO="Manual",ROUND(SUMPRODUCT((CÁLCULO!$M$15:$M$71=EVENTOS!$C26)*(OFFSET(CÁLCULO!$AA$15:$AA$71,0,P$13))),2),0)</f>
        <v>0</v>
      </c>
      <c r="Q26" s="620" cm="1">
        <f t="array" aca="1" ref="Q26" ca="1">IF(AUTOEVENTO="Manual",ROUND(SUMPRODUCT((CÁLCULO!$M$15:$M$71=EVENTOS!$C26)*(OFFSET(CÁLCULO!$AA$15:$AA$71,0,Q$13))),2),0)</f>
        <v>0</v>
      </c>
      <c r="R26" s="620" cm="1">
        <f t="array" aca="1" ref="R26" ca="1">IF(AUTOEVENTO="Manual",ROUND(SUMPRODUCT((CÁLCULO!$M$15:$M$71=EVENTOS!$C26)*(OFFSET(CÁLCULO!$AA$15:$AA$71,0,R$13))),2),0)</f>
        <v>0</v>
      </c>
      <c r="S26" s="620" cm="1">
        <f t="array" aca="1" ref="S26" ca="1">IF(AUTOEVENTO="Manual",ROUND(SUMPRODUCT((CÁLCULO!$M$15:$M$71=EVENTOS!$C26)*(OFFSET(CÁLCULO!$AA$15:$AA$71,0,S$13))),2),0)</f>
        <v>0</v>
      </c>
      <c r="T26" s="620" cm="1">
        <f t="array" aca="1" ref="T26" ca="1">IF(AUTOEVENTO="Manual",ROUND(SUMPRODUCT((CÁLCULO!$M$15:$M$71=EVENTOS!$C26)*(OFFSET(CÁLCULO!$AA$15:$AA$71,0,T$13))),2),0)</f>
        <v>0</v>
      </c>
      <c r="U26" s="620" cm="1">
        <f t="array" aca="1" ref="U26" ca="1">IF(AUTOEVENTO="Manual",ROUND(SUMPRODUCT((CÁLCULO!$M$15:$M$71=EVENTOS!$C26)*(OFFSET(CÁLCULO!$AA$15:$AA$71,0,U$13))),2),0)</f>
        <v>0</v>
      </c>
      <c r="V26" s="620" cm="1">
        <f t="array" aca="1" ref="V26" ca="1">IF(AUTOEVENTO="Manual",ROUND(SUMPRODUCT((CÁLCULO!$M$15:$M$71=EVENTOS!$C26)*(OFFSET(CÁLCULO!$AA$15:$AA$71,0,V$13))),2),0)</f>
        <v>0</v>
      </c>
      <c r="W26" s="620" cm="1">
        <f t="array" aca="1" ref="W26" ca="1">IF(AUTOEVENTO="Manual",ROUND(SUMPRODUCT((CÁLCULO!$M$15:$M$71=EVENTOS!$C26)*(OFFSET(CÁLCULO!$AA$15:$AA$71,0,W$13))),2),0)</f>
        <v>0</v>
      </c>
      <c r="X26" s="620" cm="1">
        <f t="array" aca="1" ref="X26" ca="1">IF(AUTOEVENTO="Manual",ROUND(SUMPRODUCT((CÁLCULO!$M$15:$M$71=EVENTOS!$C26)*(OFFSET(CÁLCULO!$AA$15:$AA$71,0,X$13))),2),0)</f>
        <v>0</v>
      </c>
      <c r="Y26" s="620" cm="1">
        <f t="array" aca="1" ref="Y26" ca="1">IF(AUTOEVENTO="Manual",ROUND(SUMPRODUCT((CÁLCULO!$M$15:$M$71=EVENTOS!$C26)*(OFFSET(CÁLCULO!$AA$15:$AA$71,0,Y$13))),2),0)</f>
        <v>0</v>
      </c>
    </row>
    <row r="27" spans="1:25" x14ac:dyDescent="0.2">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IF(AUTOEVENTO="Manual",ROUND(SUMPRODUCT((CÁLCULO!$M$15:$M$71=EVENTOS!$C27)*(OFFSET(CÁLCULO!$AA$15:$AA$71,0,E$13))),2),0)</f>
        <v>0</v>
      </c>
      <c r="F27" s="183">
        <f ca="1">IF(AUTOEVENTO="Manual",ROUND(SUMPRODUCT((CÁLCULO!$M$15:$M$71=EVENTOS!$C27)*(OFFSET(CÁLCULO!$AA$15,0,1):OFFSET(CÁLCULO!$AL$71,0,-1))),2),0)</f>
        <v>0</v>
      </c>
      <c r="G27" s="621" t="str">
        <f t="shared" ca="1" si="5"/>
        <v/>
      </c>
      <c r="H27" s="620" cm="1">
        <f t="array" aca="1" ref="H27" ca="1">IF(AUTOEVENTO="Manual",ROUND(SUMPRODUCT((CÁLCULO!$M$15:$M$71=EVENTOS!$C27)*(OFFSET(CÁLCULO!$AA$15:$AA$71,0,H$13))),2),0)</f>
        <v>0</v>
      </c>
      <c r="I27" s="620" cm="1">
        <f t="array" aca="1" ref="I27" ca="1">IF(AUTOEVENTO="Manual",ROUND(SUMPRODUCT((CÁLCULO!$M$15:$M$71=EVENTOS!$C27)*(OFFSET(CÁLCULO!$AA$15:$AA$71,0,I$13))),2),0)</f>
        <v>0</v>
      </c>
      <c r="J27" s="620" cm="1">
        <f t="array" aca="1" ref="J27" ca="1">IF(AUTOEVENTO="Manual",ROUND(SUMPRODUCT((CÁLCULO!$M$15:$M$71=EVENTOS!$C27)*(OFFSET(CÁLCULO!$AA$15:$AA$71,0,J$13))),2),0)</f>
        <v>0</v>
      </c>
      <c r="K27" s="620" cm="1">
        <f t="array" aca="1" ref="K27" ca="1">IF(AUTOEVENTO="Manual",ROUND(SUMPRODUCT((CÁLCULO!$M$15:$M$71=EVENTOS!$C27)*(OFFSET(CÁLCULO!$AA$15:$AA$71,0,K$13))),2),0)</f>
        <v>0</v>
      </c>
      <c r="L27" s="620" cm="1">
        <f t="array" aca="1" ref="L27" ca="1">IF(AUTOEVENTO="Manual",ROUND(SUMPRODUCT((CÁLCULO!$M$15:$M$71=EVENTOS!$C27)*(OFFSET(CÁLCULO!$AA$15:$AA$71,0,L$13))),2),0)</f>
        <v>0</v>
      </c>
      <c r="M27" s="620" cm="1">
        <f t="array" aca="1" ref="M27" ca="1">IF(AUTOEVENTO="Manual",ROUND(SUMPRODUCT((CÁLCULO!$M$15:$M$71=EVENTOS!$C27)*(OFFSET(CÁLCULO!$AA$15:$AA$71,0,M$13))),2),0)</f>
        <v>0</v>
      </c>
      <c r="N27" s="620" cm="1">
        <f t="array" aca="1" ref="N27" ca="1">IF(AUTOEVENTO="Manual",ROUND(SUMPRODUCT((CÁLCULO!$M$15:$M$71=EVENTOS!$C27)*(OFFSET(CÁLCULO!$AA$15:$AA$71,0,N$13))),2),0)</f>
        <v>0</v>
      </c>
      <c r="O27" s="620" cm="1">
        <f t="array" aca="1" ref="O27" ca="1">IF(AUTOEVENTO="Manual",ROUND(SUMPRODUCT((CÁLCULO!$M$15:$M$71=EVENTOS!$C27)*(OFFSET(CÁLCULO!$AA$15:$AA$71,0,O$13))),2),0)</f>
        <v>0</v>
      </c>
      <c r="P27" s="620" cm="1">
        <f t="array" aca="1" ref="P27" ca="1">IF(AUTOEVENTO="Manual",ROUND(SUMPRODUCT((CÁLCULO!$M$15:$M$71=EVENTOS!$C27)*(OFFSET(CÁLCULO!$AA$15:$AA$71,0,P$13))),2),0)</f>
        <v>0</v>
      </c>
      <c r="Q27" s="620" cm="1">
        <f t="array" aca="1" ref="Q27" ca="1">IF(AUTOEVENTO="Manual",ROUND(SUMPRODUCT((CÁLCULO!$M$15:$M$71=EVENTOS!$C27)*(OFFSET(CÁLCULO!$AA$15:$AA$71,0,Q$13))),2),0)</f>
        <v>0</v>
      </c>
      <c r="R27" s="620" cm="1">
        <f t="array" aca="1" ref="R27" ca="1">IF(AUTOEVENTO="Manual",ROUND(SUMPRODUCT((CÁLCULO!$M$15:$M$71=EVENTOS!$C27)*(OFFSET(CÁLCULO!$AA$15:$AA$71,0,R$13))),2),0)</f>
        <v>0</v>
      </c>
      <c r="S27" s="620" cm="1">
        <f t="array" aca="1" ref="S27" ca="1">IF(AUTOEVENTO="Manual",ROUND(SUMPRODUCT((CÁLCULO!$M$15:$M$71=EVENTOS!$C27)*(OFFSET(CÁLCULO!$AA$15:$AA$71,0,S$13))),2),0)</f>
        <v>0</v>
      </c>
      <c r="T27" s="620" cm="1">
        <f t="array" aca="1" ref="T27" ca="1">IF(AUTOEVENTO="Manual",ROUND(SUMPRODUCT((CÁLCULO!$M$15:$M$71=EVENTOS!$C27)*(OFFSET(CÁLCULO!$AA$15:$AA$71,0,T$13))),2),0)</f>
        <v>0</v>
      </c>
      <c r="U27" s="620" cm="1">
        <f t="array" aca="1" ref="U27" ca="1">IF(AUTOEVENTO="Manual",ROUND(SUMPRODUCT((CÁLCULO!$M$15:$M$71=EVENTOS!$C27)*(OFFSET(CÁLCULO!$AA$15:$AA$71,0,U$13))),2),0)</f>
        <v>0</v>
      </c>
      <c r="V27" s="620" cm="1">
        <f t="array" aca="1" ref="V27" ca="1">IF(AUTOEVENTO="Manual",ROUND(SUMPRODUCT((CÁLCULO!$M$15:$M$71=EVENTOS!$C27)*(OFFSET(CÁLCULO!$AA$15:$AA$71,0,V$13))),2),0)</f>
        <v>0</v>
      </c>
      <c r="W27" s="620" cm="1">
        <f t="array" aca="1" ref="W27" ca="1">IF(AUTOEVENTO="Manual",ROUND(SUMPRODUCT((CÁLCULO!$M$15:$M$71=EVENTOS!$C27)*(OFFSET(CÁLCULO!$AA$15:$AA$71,0,W$13))),2),0)</f>
        <v>0</v>
      </c>
      <c r="X27" s="620" cm="1">
        <f t="array" aca="1" ref="X27" ca="1">IF(AUTOEVENTO="Manual",ROUND(SUMPRODUCT((CÁLCULO!$M$15:$M$71=EVENTOS!$C27)*(OFFSET(CÁLCULO!$AA$15:$AA$71,0,X$13))),2),0)</f>
        <v>0</v>
      </c>
      <c r="Y27" s="620" cm="1">
        <f t="array" aca="1" ref="Y27" ca="1">IF(AUTOEVENTO="Manual",ROUND(SUMPRODUCT((CÁLCULO!$M$15:$M$71=EVENTOS!$C27)*(OFFSET(CÁLCULO!$AA$15:$AA$71,0,Y$13))),2),0)</f>
        <v>0</v>
      </c>
    </row>
    <row r="28" spans="1:25" x14ac:dyDescent="0.2">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IF(AUTOEVENTO="Manual",ROUND(SUMPRODUCT((CÁLCULO!$M$15:$M$71=EVENTOS!$C28)*(OFFSET(CÁLCULO!$AA$15:$AA$71,0,E$13))),2),0)</f>
        <v>0</v>
      </c>
      <c r="F28" s="183">
        <f ca="1">IF(AUTOEVENTO="Manual",ROUND(SUMPRODUCT((CÁLCULO!$M$15:$M$71=EVENTOS!$C28)*(OFFSET(CÁLCULO!$AA$15,0,1):OFFSET(CÁLCULO!$AL$71,0,-1))),2),0)</f>
        <v>0</v>
      </c>
      <c r="G28" s="621" t="str">
        <f t="shared" ca="1" si="5"/>
        <v/>
      </c>
      <c r="H28" s="620" cm="1">
        <f t="array" aca="1" ref="H28" ca="1">IF(AUTOEVENTO="Manual",ROUND(SUMPRODUCT((CÁLCULO!$M$15:$M$71=EVENTOS!$C28)*(OFFSET(CÁLCULO!$AA$15:$AA$71,0,H$13))),2),0)</f>
        <v>0</v>
      </c>
      <c r="I28" s="620" cm="1">
        <f t="array" aca="1" ref="I28" ca="1">IF(AUTOEVENTO="Manual",ROUND(SUMPRODUCT((CÁLCULO!$M$15:$M$71=EVENTOS!$C28)*(OFFSET(CÁLCULO!$AA$15:$AA$71,0,I$13))),2),0)</f>
        <v>0</v>
      </c>
      <c r="J28" s="620" cm="1">
        <f t="array" aca="1" ref="J28" ca="1">IF(AUTOEVENTO="Manual",ROUND(SUMPRODUCT((CÁLCULO!$M$15:$M$71=EVENTOS!$C28)*(OFFSET(CÁLCULO!$AA$15:$AA$71,0,J$13))),2),0)</f>
        <v>0</v>
      </c>
      <c r="K28" s="620" cm="1">
        <f t="array" aca="1" ref="K28" ca="1">IF(AUTOEVENTO="Manual",ROUND(SUMPRODUCT((CÁLCULO!$M$15:$M$71=EVENTOS!$C28)*(OFFSET(CÁLCULO!$AA$15:$AA$71,0,K$13))),2),0)</f>
        <v>0</v>
      </c>
      <c r="L28" s="620" cm="1">
        <f t="array" aca="1" ref="L28" ca="1">IF(AUTOEVENTO="Manual",ROUND(SUMPRODUCT((CÁLCULO!$M$15:$M$71=EVENTOS!$C28)*(OFFSET(CÁLCULO!$AA$15:$AA$71,0,L$13))),2),0)</f>
        <v>0</v>
      </c>
      <c r="M28" s="620" cm="1">
        <f t="array" aca="1" ref="M28" ca="1">IF(AUTOEVENTO="Manual",ROUND(SUMPRODUCT((CÁLCULO!$M$15:$M$71=EVENTOS!$C28)*(OFFSET(CÁLCULO!$AA$15:$AA$71,0,M$13))),2),0)</f>
        <v>0</v>
      </c>
      <c r="N28" s="620" cm="1">
        <f t="array" aca="1" ref="N28" ca="1">IF(AUTOEVENTO="Manual",ROUND(SUMPRODUCT((CÁLCULO!$M$15:$M$71=EVENTOS!$C28)*(OFFSET(CÁLCULO!$AA$15:$AA$71,0,N$13))),2),0)</f>
        <v>0</v>
      </c>
      <c r="O28" s="620" cm="1">
        <f t="array" aca="1" ref="O28" ca="1">IF(AUTOEVENTO="Manual",ROUND(SUMPRODUCT((CÁLCULO!$M$15:$M$71=EVENTOS!$C28)*(OFFSET(CÁLCULO!$AA$15:$AA$71,0,O$13))),2),0)</f>
        <v>0</v>
      </c>
      <c r="P28" s="620" cm="1">
        <f t="array" aca="1" ref="P28" ca="1">IF(AUTOEVENTO="Manual",ROUND(SUMPRODUCT((CÁLCULO!$M$15:$M$71=EVENTOS!$C28)*(OFFSET(CÁLCULO!$AA$15:$AA$71,0,P$13))),2),0)</f>
        <v>0</v>
      </c>
      <c r="Q28" s="620" cm="1">
        <f t="array" aca="1" ref="Q28" ca="1">IF(AUTOEVENTO="Manual",ROUND(SUMPRODUCT((CÁLCULO!$M$15:$M$71=EVENTOS!$C28)*(OFFSET(CÁLCULO!$AA$15:$AA$71,0,Q$13))),2),0)</f>
        <v>0</v>
      </c>
      <c r="R28" s="620" cm="1">
        <f t="array" aca="1" ref="R28" ca="1">IF(AUTOEVENTO="Manual",ROUND(SUMPRODUCT((CÁLCULO!$M$15:$M$71=EVENTOS!$C28)*(OFFSET(CÁLCULO!$AA$15:$AA$71,0,R$13))),2),0)</f>
        <v>0</v>
      </c>
      <c r="S28" s="620" cm="1">
        <f t="array" aca="1" ref="S28" ca="1">IF(AUTOEVENTO="Manual",ROUND(SUMPRODUCT((CÁLCULO!$M$15:$M$71=EVENTOS!$C28)*(OFFSET(CÁLCULO!$AA$15:$AA$71,0,S$13))),2),0)</f>
        <v>0</v>
      </c>
      <c r="T28" s="620" cm="1">
        <f t="array" aca="1" ref="T28" ca="1">IF(AUTOEVENTO="Manual",ROUND(SUMPRODUCT((CÁLCULO!$M$15:$M$71=EVENTOS!$C28)*(OFFSET(CÁLCULO!$AA$15:$AA$71,0,T$13))),2),0)</f>
        <v>0</v>
      </c>
      <c r="U28" s="620" cm="1">
        <f t="array" aca="1" ref="U28" ca="1">IF(AUTOEVENTO="Manual",ROUND(SUMPRODUCT((CÁLCULO!$M$15:$M$71=EVENTOS!$C28)*(OFFSET(CÁLCULO!$AA$15:$AA$71,0,U$13))),2),0)</f>
        <v>0</v>
      </c>
      <c r="V28" s="620" cm="1">
        <f t="array" aca="1" ref="V28" ca="1">IF(AUTOEVENTO="Manual",ROUND(SUMPRODUCT((CÁLCULO!$M$15:$M$71=EVENTOS!$C28)*(OFFSET(CÁLCULO!$AA$15:$AA$71,0,V$13))),2),0)</f>
        <v>0</v>
      </c>
      <c r="W28" s="620" cm="1">
        <f t="array" aca="1" ref="W28" ca="1">IF(AUTOEVENTO="Manual",ROUND(SUMPRODUCT((CÁLCULO!$M$15:$M$71=EVENTOS!$C28)*(OFFSET(CÁLCULO!$AA$15:$AA$71,0,W$13))),2),0)</f>
        <v>0</v>
      </c>
      <c r="X28" s="620" cm="1">
        <f t="array" aca="1" ref="X28" ca="1">IF(AUTOEVENTO="Manual",ROUND(SUMPRODUCT((CÁLCULO!$M$15:$M$71=EVENTOS!$C28)*(OFFSET(CÁLCULO!$AA$15:$AA$71,0,X$13))),2),0)</f>
        <v>0</v>
      </c>
      <c r="Y28" s="620" cm="1">
        <f t="array" aca="1" ref="Y28" ca="1">IF(AUTOEVENTO="Manual",ROUND(SUMPRODUCT((CÁLCULO!$M$15:$M$71=EVENTOS!$C28)*(OFFSET(CÁLCULO!$AA$15:$AA$71,0,Y$13))),2),0)</f>
        <v>0</v>
      </c>
    </row>
    <row r="29" spans="1:25" x14ac:dyDescent="0.2">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IF(AUTOEVENTO="Manual",ROUND(SUMPRODUCT((CÁLCULO!$M$15:$M$71=EVENTOS!$C29)*(OFFSET(CÁLCULO!$AA$15:$AA$71,0,E$13))),2),0)</f>
        <v>0</v>
      </c>
      <c r="F29" s="183">
        <f ca="1">IF(AUTOEVENTO="Manual",ROUND(SUMPRODUCT((CÁLCULO!$M$15:$M$71=EVENTOS!$C29)*(OFFSET(CÁLCULO!$AA$15,0,1):OFFSET(CÁLCULO!$AL$71,0,-1))),2),0)</f>
        <v>0</v>
      </c>
      <c r="G29" s="621" t="str">
        <f t="shared" ca="1" si="5"/>
        <v/>
      </c>
      <c r="H29" s="620" cm="1">
        <f t="array" aca="1" ref="H29" ca="1">IF(AUTOEVENTO="Manual",ROUND(SUMPRODUCT((CÁLCULO!$M$15:$M$71=EVENTOS!$C29)*(OFFSET(CÁLCULO!$AA$15:$AA$71,0,H$13))),2),0)</f>
        <v>0</v>
      </c>
      <c r="I29" s="620" cm="1">
        <f t="array" aca="1" ref="I29" ca="1">IF(AUTOEVENTO="Manual",ROUND(SUMPRODUCT((CÁLCULO!$M$15:$M$71=EVENTOS!$C29)*(OFFSET(CÁLCULO!$AA$15:$AA$71,0,I$13))),2),0)</f>
        <v>0</v>
      </c>
      <c r="J29" s="620" cm="1">
        <f t="array" aca="1" ref="J29" ca="1">IF(AUTOEVENTO="Manual",ROUND(SUMPRODUCT((CÁLCULO!$M$15:$M$71=EVENTOS!$C29)*(OFFSET(CÁLCULO!$AA$15:$AA$71,0,J$13))),2),0)</f>
        <v>0</v>
      </c>
      <c r="K29" s="620" cm="1">
        <f t="array" aca="1" ref="K29" ca="1">IF(AUTOEVENTO="Manual",ROUND(SUMPRODUCT((CÁLCULO!$M$15:$M$71=EVENTOS!$C29)*(OFFSET(CÁLCULO!$AA$15:$AA$71,0,K$13))),2),0)</f>
        <v>0</v>
      </c>
      <c r="L29" s="620" cm="1">
        <f t="array" aca="1" ref="L29" ca="1">IF(AUTOEVENTO="Manual",ROUND(SUMPRODUCT((CÁLCULO!$M$15:$M$71=EVENTOS!$C29)*(OFFSET(CÁLCULO!$AA$15:$AA$71,0,L$13))),2),0)</f>
        <v>0</v>
      </c>
      <c r="M29" s="620" cm="1">
        <f t="array" aca="1" ref="M29" ca="1">IF(AUTOEVENTO="Manual",ROUND(SUMPRODUCT((CÁLCULO!$M$15:$M$71=EVENTOS!$C29)*(OFFSET(CÁLCULO!$AA$15:$AA$71,0,M$13))),2),0)</f>
        <v>0</v>
      </c>
      <c r="N29" s="620" cm="1">
        <f t="array" aca="1" ref="N29" ca="1">IF(AUTOEVENTO="Manual",ROUND(SUMPRODUCT((CÁLCULO!$M$15:$M$71=EVENTOS!$C29)*(OFFSET(CÁLCULO!$AA$15:$AA$71,0,N$13))),2),0)</f>
        <v>0</v>
      </c>
      <c r="O29" s="620" cm="1">
        <f t="array" aca="1" ref="O29" ca="1">IF(AUTOEVENTO="Manual",ROUND(SUMPRODUCT((CÁLCULO!$M$15:$M$71=EVENTOS!$C29)*(OFFSET(CÁLCULO!$AA$15:$AA$71,0,O$13))),2),0)</f>
        <v>0</v>
      </c>
      <c r="P29" s="620" cm="1">
        <f t="array" aca="1" ref="P29" ca="1">IF(AUTOEVENTO="Manual",ROUND(SUMPRODUCT((CÁLCULO!$M$15:$M$71=EVENTOS!$C29)*(OFFSET(CÁLCULO!$AA$15:$AA$71,0,P$13))),2),0)</f>
        <v>0</v>
      </c>
      <c r="Q29" s="620" cm="1">
        <f t="array" aca="1" ref="Q29" ca="1">IF(AUTOEVENTO="Manual",ROUND(SUMPRODUCT((CÁLCULO!$M$15:$M$71=EVENTOS!$C29)*(OFFSET(CÁLCULO!$AA$15:$AA$71,0,Q$13))),2),0)</f>
        <v>0</v>
      </c>
      <c r="R29" s="620" cm="1">
        <f t="array" aca="1" ref="R29" ca="1">IF(AUTOEVENTO="Manual",ROUND(SUMPRODUCT((CÁLCULO!$M$15:$M$71=EVENTOS!$C29)*(OFFSET(CÁLCULO!$AA$15:$AA$71,0,R$13))),2),0)</f>
        <v>0</v>
      </c>
      <c r="S29" s="620" cm="1">
        <f t="array" aca="1" ref="S29" ca="1">IF(AUTOEVENTO="Manual",ROUND(SUMPRODUCT((CÁLCULO!$M$15:$M$71=EVENTOS!$C29)*(OFFSET(CÁLCULO!$AA$15:$AA$71,0,S$13))),2),0)</f>
        <v>0</v>
      </c>
      <c r="T29" s="620" cm="1">
        <f t="array" aca="1" ref="T29" ca="1">IF(AUTOEVENTO="Manual",ROUND(SUMPRODUCT((CÁLCULO!$M$15:$M$71=EVENTOS!$C29)*(OFFSET(CÁLCULO!$AA$15:$AA$71,0,T$13))),2),0)</f>
        <v>0</v>
      </c>
      <c r="U29" s="620" cm="1">
        <f t="array" aca="1" ref="U29" ca="1">IF(AUTOEVENTO="Manual",ROUND(SUMPRODUCT((CÁLCULO!$M$15:$M$71=EVENTOS!$C29)*(OFFSET(CÁLCULO!$AA$15:$AA$71,0,U$13))),2),0)</f>
        <v>0</v>
      </c>
      <c r="V29" s="620" cm="1">
        <f t="array" aca="1" ref="V29" ca="1">IF(AUTOEVENTO="Manual",ROUND(SUMPRODUCT((CÁLCULO!$M$15:$M$71=EVENTOS!$C29)*(OFFSET(CÁLCULO!$AA$15:$AA$71,0,V$13))),2),0)</f>
        <v>0</v>
      </c>
      <c r="W29" s="620" cm="1">
        <f t="array" aca="1" ref="W29" ca="1">IF(AUTOEVENTO="Manual",ROUND(SUMPRODUCT((CÁLCULO!$M$15:$M$71=EVENTOS!$C29)*(OFFSET(CÁLCULO!$AA$15:$AA$71,0,W$13))),2),0)</f>
        <v>0</v>
      </c>
      <c r="X29" s="620" cm="1">
        <f t="array" aca="1" ref="X29" ca="1">IF(AUTOEVENTO="Manual",ROUND(SUMPRODUCT((CÁLCULO!$M$15:$M$71=EVENTOS!$C29)*(OFFSET(CÁLCULO!$AA$15:$AA$71,0,X$13))),2),0)</f>
        <v>0</v>
      </c>
      <c r="Y29" s="620" cm="1">
        <f t="array" aca="1" ref="Y29" ca="1">IF(AUTOEVENTO="Manual",ROUND(SUMPRODUCT((CÁLCULO!$M$15:$M$71=EVENTOS!$C29)*(OFFSET(CÁLCULO!$AA$15:$AA$71,0,Y$13))),2),0)</f>
        <v>0</v>
      </c>
    </row>
    <row r="30" spans="1:25" x14ac:dyDescent="0.2">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IF(AUTOEVENTO="Manual",ROUND(SUMPRODUCT((CÁLCULO!$M$15:$M$71=EVENTOS!$C30)*(OFFSET(CÁLCULO!$AA$15:$AA$71,0,E$13))),2),0)</f>
        <v>0</v>
      </c>
      <c r="F30" s="183">
        <f ca="1">IF(AUTOEVENTO="Manual",ROUND(SUMPRODUCT((CÁLCULO!$M$15:$M$71=EVENTOS!$C30)*(OFFSET(CÁLCULO!$AA$15,0,1):OFFSET(CÁLCULO!$AL$71,0,-1))),2),0)</f>
        <v>0</v>
      </c>
      <c r="G30" s="621" t="str">
        <f t="shared" ca="1" si="5"/>
        <v/>
      </c>
      <c r="H30" s="620" cm="1">
        <f t="array" aca="1" ref="H30" ca="1">IF(AUTOEVENTO="Manual",ROUND(SUMPRODUCT((CÁLCULO!$M$15:$M$71=EVENTOS!$C30)*(OFFSET(CÁLCULO!$AA$15:$AA$71,0,H$13))),2),0)</f>
        <v>0</v>
      </c>
      <c r="I30" s="620" cm="1">
        <f t="array" aca="1" ref="I30" ca="1">IF(AUTOEVENTO="Manual",ROUND(SUMPRODUCT((CÁLCULO!$M$15:$M$71=EVENTOS!$C30)*(OFFSET(CÁLCULO!$AA$15:$AA$71,0,I$13))),2),0)</f>
        <v>0</v>
      </c>
      <c r="J30" s="620" cm="1">
        <f t="array" aca="1" ref="J30" ca="1">IF(AUTOEVENTO="Manual",ROUND(SUMPRODUCT((CÁLCULO!$M$15:$M$71=EVENTOS!$C30)*(OFFSET(CÁLCULO!$AA$15:$AA$71,0,J$13))),2),0)</f>
        <v>0</v>
      </c>
      <c r="K30" s="620" cm="1">
        <f t="array" aca="1" ref="K30" ca="1">IF(AUTOEVENTO="Manual",ROUND(SUMPRODUCT((CÁLCULO!$M$15:$M$71=EVENTOS!$C30)*(OFFSET(CÁLCULO!$AA$15:$AA$71,0,K$13))),2),0)</f>
        <v>0</v>
      </c>
      <c r="L30" s="620" cm="1">
        <f t="array" aca="1" ref="L30" ca="1">IF(AUTOEVENTO="Manual",ROUND(SUMPRODUCT((CÁLCULO!$M$15:$M$71=EVENTOS!$C30)*(OFFSET(CÁLCULO!$AA$15:$AA$71,0,L$13))),2),0)</f>
        <v>0</v>
      </c>
      <c r="M30" s="620" cm="1">
        <f t="array" aca="1" ref="M30" ca="1">IF(AUTOEVENTO="Manual",ROUND(SUMPRODUCT((CÁLCULO!$M$15:$M$71=EVENTOS!$C30)*(OFFSET(CÁLCULO!$AA$15:$AA$71,0,M$13))),2),0)</f>
        <v>0</v>
      </c>
      <c r="N30" s="620" cm="1">
        <f t="array" aca="1" ref="N30" ca="1">IF(AUTOEVENTO="Manual",ROUND(SUMPRODUCT((CÁLCULO!$M$15:$M$71=EVENTOS!$C30)*(OFFSET(CÁLCULO!$AA$15:$AA$71,0,N$13))),2),0)</f>
        <v>0</v>
      </c>
      <c r="O30" s="620" cm="1">
        <f t="array" aca="1" ref="O30" ca="1">IF(AUTOEVENTO="Manual",ROUND(SUMPRODUCT((CÁLCULO!$M$15:$M$71=EVENTOS!$C30)*(OFFSET(CÁLCULO!$AA$15:$AA$71,0,O$13))),2),0)</f>
        <v>0</v>
      </c>
      <c r="P30" s="620" cm="1">
        <f t="array" aca="1" ref="P30" ca="1">IF(AUTOEVENTO="Manual",ROUND(SUMPRODUCT((CÁLCULO!$M$15:$M$71=EVENTOS!$C30)*(OFFSET(CÁLCULO!$AA$15:$AA$71,0,P$13))),2),0)</f>
        <v>0</v>
      </c>
      <c r="Q30" s="620" cm="1">
        <f t="array" aca="1" ref="Q30" ca="1">IF(AUTOEVENTO="Manual",ROUND(SUMPRODUCT((CÁLCULO!$M$15:$M$71=EVENTOS!$C30)*(OFFSET(CÁLCULO!$AA$15:$AA$71,0,Q$13))),2),0)</f>
        <v>0</v>
      </c>
      <c r="R30" s="620" cm="1">
        <f t="array" aca="1" ref="R30" ca="1">IF(AUTOEVENTO="Manual",ROUND(SUMPRODUCT((CÁLCULO!$M$15:$M$71=EVENTOS!$C30)*(OFFSET(CÁLCULO!$AA$15:$AA$71,0,R$13))),2),0)</f>
        <v>0</v>
      </c>
      <c r="S30" s="620" cm="1">
        <f t="array" aca="1" ref="S30" ca="1">IF(AUTOEVENTO="Manual",ROUND(SUMPRODUCT((CÁLCULO!$M$15:$M$71=EVENTOS!$C30)*(OFFSET(CÁLCULO!$AA$15:$AA$71,0,S$13))),2),0)</f>
        <v>0</v>
      </c>
      <c r="T30" s="620" cm="1">
        <f t="array" aca="1" ref="T30" ca="1">IF(AUTOEVENTO="Manual",ROUND(SUMPRODUCT((CÁLCULO!$M$15:$M$71=EVENTOS!$C30)*(OFFSET(CÁLCULO!$AA$15:$AA$71,0,T$13))),2),0)</f>
        <v>0</v>
      </c>
      <c r="U30" s="620" cm="1">
        <f t="array" aca="1" ref="U30" ca="1">IF(AUTOEVENTO="Manual",ROUND(SUMPRODUCT((CÁLCULO!$M$15:$M$71=EVENTOS!$C30)*(OFFSET(CÁLCULO!$AA$15:$AA$71,0,U$13))),2),0)</f>
        <v>0</v>
      </c>
      <c r="V30" s="620" cm="1">
        <f t="array" aca="1" ref="V30" ca="1">IF(AUTOEVENTO="Manual",ROUND(SUMPRODUCT((CÁLCULO!$M$15:$M$71=EVENTOS!$C30)*(OFFSET(CÁLCULO!$AA$15:$AA$71,0,V$13))),2),0)</f>
        <v>0</v>
      </c>
      <c r="W30" s="620" cm="1">
        <f t="array" aca="1" ref="W30" ca="1">IF(AUTOEVENTO="Manual",ROUND(SUMPRODUCT((CÁLCULO!$M$15:$M$71=EVENTOS!$C30)*(OFFSET(CÁLCULO!$AA$15:$AA$71,0,W$13))),2),0)</f>
        <v>0</v>
      </c>
      <c r="X30" s="620" cm="1">
        <f t="array" aca="1" ref="X30" ca="1">IF(AUTOEVENTO="Manual",ROUND(SUMPRODUCT((CÁLCULO!$M$15:$M$71=EVENTOS!$C30)*(OFFSET(CÁLCULO!$AA$15:$AA$71,0,X$13))),2),0)</f>
        <v>0</v>
      </c>
      <c r="Y30" s="620" cm="1">
        <f t="array" aca="1" ref="Y30" ca="1">IF(AUTOEVENTO="Manual",ROUND(SUMPRODUCT((CÁLCULO!$M$15:$M$71=EVENTOS!$C30)*(OFFSET(CÁLCULO!$AA$15:$AA$71,0,Y$13))),2),0)</f>
        <v>0</v>
      </c>
    </row>
    <row r="31" spans="1:25" x14ac:dyDescent="0.2">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IF(AUTOEVENTO="Manual",ROUND(SUMPRODUCT((CÁLCULO!$M$15:$M$71=EVENTOS!$C31)*(OFFSET(CÁLCULO!$AA$15:$AA$71,0,E$13))),2),0)</f>
        <v>0</v>
      </c>
      <c r="F31" s="183">
        <f ca="1">IF(AUTOEVENTO="Manual",ROUND(SUMPRODUCT((CÁLCULO!$M$15:$M$71=EVENTOS!$C31)*(OFFSET(CÁLCULO!$AA$15,0,1):OFFSET(CÁLCULO!$AL$71,0,-1))),2),0)</f>
        <v>0</v>
      </c>
      <c r="G31" s="621" t="str">
        <f t="shared" ca="1" si="5"/>
        <v/>
      </c>
      <c r="H31" s="620" cm="1">
        <f t="array" aca="1" ref="H31" ca="1">IF(AUTOEVENTO="Manual",ROUND(SUMPRODUCT((CÁLCULO!$M$15:$M$71=EVENTOS!$C31)*(OFFSET(CÁLCULO!$AA$15:$AA$71,0,H$13))),2),0)</f>
        <v>0</v>
      </c>
      <c r="I31" s="620" cm="1">
        <f t="array" aca="1" ref="I31" ca="1">IF(AUTOEVENTO="Manual",ROUND(SUMPRODUCT((CÁLCULO!$M$15:$M$71=EVENTOS!$C31)*(OFFSET(CÁLCULO!$AA$15:$AA$71,0,I$13))),2),0)</f>
        <v>0</v>
      </c>
      <c r="J31" s="620" cm="1">
        <f t="array" aca="1" ref="J31" ca="1">IF(AUTOEVENTO="Manual",ROUND(SUMPRODUCT((CÁLCULO!$M$15:$M$71=EVENTOS!$C31)*(OFFSET(CÁLCULO!$AA$15:$AA$71,0,J$13))),2),0)</f>
        <v>0</v>
      </c>
      <c r="K31" s="620" cm="1">
        <f t="array" aca="1" ref="K31" ca="1">IF(AUTOEVENTO="Manual",ROUND(SUMPRODUCT((CÁLCULO!$M$15:$M$71=EVENTOS!$C31)*(OFFSET(CÁLCULO!$AA$15:$AA$71,0,K$13))),2),0)</f>
        <v>0</v>
      </c>
      <c r="L31" s="620" cm="1">
        <f t="array" aca="1" ref="L31" ca="1">IF(AUTOEVENTO="Manual",ROUND(SUMPRODUCT((CÁLCULO!$M$15:$M$71=EVENTOS!$C31)*(OFFSET(CÁLCULO!$AA$15:$AA$71,0,L$13))),2),0)</f>
        <v>0</v>
      </c>
      <c r="M31" s="620" cm="1">
        <f t="array" aca="1" ref="M31" ca="1">IF(AUTOEVENTO="Manual",ROUND(SUMPRODUCT((CÁLCULO!$M$15:$M$71=EVENTOS!$C31)*(OFFSET(CÁLCULO!$AA$15:$AA$71,0,M$13))),2),0)</f>
        <v>0</v>
      </c>
      <c r="N31" s="620" cm="1">
        <f t="array" aca="1" ref="N31" ca="1">IF(AUTOEVENTO="Manual",ROUND(SUMPRODUCT((CÁLCULO!$M$15:$M$71=EVENTOS!$C31)*(OFFSET(CÁLCULO!$AA$15:$AA$71,0,N$13))),2),0)</f>
        <v>0</v>
      </c>
      <c r="O31" s="620" cm="1">
        <f t="array" aca="1" ref="O31" ca="1">IF(AUTOEVENTO="Manual",ROUND(SUMPRODUCT((CÁLCULO!$M$15:$M$71=EVENTOS!$C31)*(OFFSET(CÁLCULO!$AA$15:$AA$71,0,O$13))),2),0)</f>
        <v>0</v>
      </c>
      <c r="P31" s="620" cm="1">
        <f t="array" aca="1" ref="P31" ca="1">IF(AUTOEVENTO="Manual",ROUND(SUMPRODUCT((CÁLCULO!$M$15:$M$71=EVENTOS!$C31)*(OFFSET(CÁLCULO!$AA$15:$AA$71,0,P$13))),2),0)</f>
        <v>0</v>
      </c>
      <c r="Q31" s="620" cm="1">
        <f t="array" aca="1" ref="Q31" ca="1">IF(AUTOEVENTO="Manual",ROUND(SUMPRODUCT((CÁLCULO!$M$15:$M$71=EVENTOS!$C31)*(OFFSET(CÁLCULO!$AA$15:$AA$71,0,Q$13))),2),0)</f>
        <v>0</v>
      </c>
      <c r="R31" s="620" cm="1">
        <f t="array" aca="1" ref="R31" ca="1">IF(AUTOEVENTO="Manual",ROUND(SUMPRODUCT((CÁLCULO!$M$15:$M$71=EVENTOS!$C31)*(OFFSET(CÁLCULO!$AA$15:$AA$71,0,R$13))),2),0)</f>
        <v>0</v>
      </c>
      <c r="S31" s="620" cm="1">
        <f t="array" aca="1" ref="S31" ca="1">IF(AUTOEVENTO="Manual",ROUND(SUMPRODUCT((CÁLCULO!$M$15:$M$71=EVENTOS!$C31)*(OFFSET(CÁLCULO!$AA$15:$AA$71,0,S$13))),2),0)</f>
        <v>0</v>
      </c>
      <c r="T31" s="620" cm="1">
        <f t="array" aca="1" ref="T31" ca="1">IF(AUTOEVENTO="Manual",ROUND(SUMPRODUCT((CÁLCULO!$M$15:$M$71=EVENTOS!$C31)*(OFFSET(CÁLCULO!$AA$15:$AA$71,0,T$13))),2),0)</f>
        <v>0</v>
      </c>
      <c r="U31" s="620" cm="1">
        <f t="array" aca="1" ref="U31" ca="1">IF(AUTOEVENTO="Manual",ROUND(SUMPRODUCT((CÁLCULO!$M$15:$M$71=EVENTOS!$C31)*(OFFSET(CÁLCULO!$AA$15:$AA$71,0,U$13))),2),0)</f>
        <v>0</v>
      </c>
      <c r="V31" s="620" cm="1">
        <f t="array" aca="1" ref="V31" ca="1">IF(AUTOEVENTO="Manual",ROUND(SUMPRODUCT((CÁLCULO!$M$15:$M$71=EVENTOS!$C31)*(OFFSET(CÁLCULO!$AA$15:$AA$71,0,V$13))),2),0)</f>
        <v>0</v>
      </c>
      <c r="W31" s="620" cm="1">
        <f t="array" aca="1" ref="W31" ca="1">IF(AUTOEVENTO="Manual",ROUND(SUMPRODUCT((CÁLCULO!$M$15:$M$71=EVENTOS!$C31)*(OFFSET(CÁLCULO!$AA$15:$AA$71,0,W$13))),2),0)</f>
        <v>0</v>
      </c>
      <c r="X31" s="620" cm="1">
        <f t="array" aca="1" ref="X31" ca="1">IF(AUTOEVENTO="Manual",ROUND(SUMPRODUCT((CÁLCULO!$M$15:$M$71=EVENTOS!$C31)*(OFFSET(CÁLCULO!$AA$15:$AA$71,0,X$13))),2),0)</f>
        <v>0</v>
      </c>
      <c r="Y31" s="620" cm="1">
        <f t="array" aca="1" ref="Y31" ca="1">IF(AUTOEVENTO="Manual",ROUND(SUMPRODUCT((CÁLCULO!$M$15:$M$71=EVENTOS!$C31)*(OFFSET(CÁLCULO!$AA$15:$AA$71,0,Y$13))),2),0)</f>
        <v>0</v>
      </c>
    </row>
    <row r="32" spans="1:25" x14ac:dyDescent="0.2">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IF(AUTOEVENTO="Manual",ROUND(SUMPRODUCT((CÁLCULO!$M$15:$M$71=EVENTOS!$C32)*(OFFSET(CÁLCULO!$AA$15:$AA$71,0,E$13))),2),0)</f>
        <v>0</v>
      </c>
      <c r="F32" s="183">
        <f ca="1">IF(AUTOEVENTO="Manual",ROUND(SUMPRODUCT((CÁLCULO!$M$15:$M$71=EVENTOS!$C32)*(OFFSET(CÁLCULO!$AA$15,0,1):OFFSET(CÁLCULO!$AL$71,0,-1))),2),0)</f>
        <v>0</v>
      </c>
      <c r="G32" s="621" t="str">
        <f t="shared" ca="1" si="5"/>
        <v/>
      </c>
      <c r="H32" s="620" cm="1">
        <f t="array" aca="1" ref="H32" ca="1">IF(AUTOEVENTO="Manual",ROUND(SUMPRODUCT((CÁLCULO!$M$15:$M$71=EVENTOS!$C32)*(OFFSET(CÁLCULO!$AA$15:$AA$71,0,H$13))),2),0)</f>
        <v>0</v>
      </c>
      <c r="I32" s="620" cm="1">
        <f t="array" aca="1" ref="I32" ca="1">IF(AUTOEVENTO="Manual",ROUND(SUMPRODUCT((CÁLCULO!$M$15:$M$71=EVENTOS!$C32)*(OFFSET(CÁLCULO!$AA$15:$AA$71,0,I$13))),2),0)</f>
        <v>0</v>
      </c>
      <c r="J32" s="620" cm="1">
        <f t="array" aca="1" ref="J32" ca="1">IF(AUTOEVENTO="Manual",ROUND(SUMPRODUCT((CÁLCULO!$M$15:$M$71=EVENTOS!$C32)*(OFFSET(CÁLCULO!$AA$15:$AA$71,0,J$13))),2),0)</f>
        <v>0</v>
      </c>
      <c r="K32" s="620" cm="1">
        <f t="array" aca="1" ref="K32" ca="1">IF(AUTOEVENTO="Manual",ROUND(SUMPRODUCT((CÁLCULO!$M$15:$M$71=EVENTOS!$C32)*(OFFSET(CÁLCULO!$AA$15:$AA$71,0,K$13))),2),0)</f>
        <v>0</v>
      </c>
      <c r="L32" s="620" cm="1">
        <f t="array" aca="1" ref="L32" ca="1">IF(AUTOEVENTO="Manual",ROUND(SUMPRODUCT((CÁLCULO!$M$15:$M$71=EVENTOS!$C32)*(OFFSET(CÁLCULO!$AA$15:$AA$71,0,L$13))),2),0)</f>
        <v>0</v>
      </c>
      <c r="M32" s="620" cm="1">
        <f t="array" aca="1" ref="M32" ca="1">IF(AUTOEVENTO="Manual",ROUND(SUMPRODUCT((CÁLCULO!$M$15:$M$71=EVENTOS!$C32)*(OFFSET(CÁLCULO!$AA$15:$AA$71,0,M$13))),2),0)</f>
        <v>0</v>
      </c>
      <c r="N32" s="620" cm="1">
        <f t="array" aca="1" ref="N32" ca="1">IF(AUTOEVENTO="Manual",ROUND(SUMPRODUCT((CÁLCULO!$M$15:$M$71=EVENTOS!$C32)*(OFFSET(CÁLCULO!$AA$15:$AA$71,0,N$13))),2),0)</f>
        <v>0</v>
      </c>
      <c r="O32" s="620" cm="1">
        <f t="array" aca="1" ref="O32" ca="1">IF(AUTOEVENTO="Manual",ROUND(SUMPRODUCT((CÁLCULO!$M$15:$M$71=EVENTOS!$C32)*(OFFSET(CÁLCULO!$AA$15:$AA$71,0,O$13))),2),0)</f>
        <v>0</v>
      </c>
      <c r="P32" s="620" cm="1">
        <f t="array" aca="1" ref="P32" ca="1">IF(AUTOEVENTO="Manual",ROUND(SUMPRODUCT((CÁLCULO!$M$15:$M$71=EVENTOS!$C32)*(OFFSET(CÁLCULO!$AA$15:$AA$71,0,P$13))),2),0)</f>
        <v>0</v>
      </c>
      <c r="Q32" s="620" cm="1">
        <f t="array" aca="1" ref="Q32" ca="1">IF(AUTOEVENTO="Manual",ROUND(SUMPRODUCT((CÁLCULO!$M$15:$M$71=EVENTOS!$C32)*(OFFSET(CÁLCULO!$AA$15:$AA$71,0,Q$13))),2),0)</f>
        <v>0</v>
      </c>
      <c r="R32" s="620" cm="1">
        <f t="array" aca="1" ref="R32" ca="1">IF(AUTOEVENTO="Manual",ROUND(SUMPRODUCT((CÁLCULO!$M$15:$M$71=EVENTOS!$C32)*(OFFSET(CÁLCULO!$AA$15:$AA$71,0,R$13))),2),0)</f>
        <v>0</v>
      </c>
      <c r="S32" s="620" cm="1">
        <f t="array" aca="1" ref="S32" ca="1">IF(AUTOEVENTO="Manual",ROUND(SUMPRODUCT((CÁLCULO!$M$15:$M$71=EVENTOS!$C32)*(OFFSET(CÁLCULO!$AA$15:$AA$71,0,S$13))),2),0)</f>
        <v>0</v>
      </c>
      <c r="T32" s="620" cm="1">
        <f t="array" aca="1" ref="T32" ca="1">IF(AUTOEVENTO="Manual",ROUND(SUMPRODUCT((CÁLCULO!$M$15:$M$71=EVENTOS!$C32)*(OFFSET(CÁLCULO!$AA$15:$AA$71,0,T$13))),2),0)</f>
        <v>0</v>
      </c>
      <c r="U32" s="620" cm="1">
        <f t="array" aca="1" ref="U32" ca="1">IF(AUTOEVENTO="Manual",ROUND(SUMPRODUCT((CÁLCULO!$M$15:$M$71=EVENTOS!$C32)*(OFFSET(CÁLCULO!$AA$15:$AA$71,0,U$13))),2),0)</f>
        <v>0</v>
      </c>
      <c r="V32" s="620" cm="1">
        <f t="array" aca="1" ref="V32" ca="1">IF(AUTOEVENTO="Manual",ROUND(SUMPRODUCT((CÁLCULO!$M$15:$M$71=EVENTOS!$C32)*(OFFSET(CÁLCULO!$AA$15:$AA$71,0,V$13))),2),0)</f>
        <v>0</v>
      </c>
      <c r="W32" s="620" cm="1">
        <f t="array" aca="1" ref="W32" ca="1">IF(AUTOEVENTO="Manual",ROUND(SUMPRODUCT((CÁLCULO!$M$15:$M$71=EVENTOS!$C32)*(OFFSET(CÁLCULO!$AA$15:$AA$71,0,W$13))),2),0)</f>
        <v>0</v>
      </c>
      <c r="X32" s="620" cm="1">
        <f t="array" aca="1" ref="X32" ca="1">IF(AUTOEVENTO="Manual",ROUND(SUMPRODUCT((CÁLCULO!$M$15:$M$71=EVENTOS!$C32)*(OFFSET(CÁLCULO!$AA$15:$AA$71,0,X$13))),2),0)</f>
        <v>0</v>
      </c>
      <c r="Y32" s="620" cm="1">
        <f t="array" aca="1" ref="Y32" ca="1">IF(AUTOEVENTO="Manual",ROUND(SUMPRODUCT((CÁLCULO!$M$15:$M$71=EVENTOS!$C32)*(OFFSET(CÁLCULO!$AA$15:$AA$71,0,Y$13))),2),0)</f>
        <v>0</v>
      </c>
    </row>
    <row r="33" spans="1:25" x14ac:dyDescent="0.2">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IF(AUTOEVENTO="Manual",ROUND(SUMPRODUCT((CÁLCULO!$M$15:$M$71=EVENTOS!$C33)*(OFFSET(CÁLCULO!$AA$15:$AA$71,0,E$13))),2),0)</f>
        <v>0</v>
      </c>
      <c r="F33" s="183">
        <f ca="1">IF(AUTOEVENTO="Manual",ROUND(SUMPRODUCT((CÁLCULO!$M$15:$M$71=EVENTOS!$C33)*(OFFSET(CÁLCULO!$AA$15,0,1):OFFSET(CÁLCULO!$AL$71,0,-1))),2),0)</f>
        <v>0</v>
      </c>
      <c r="G33" s="621" t="str">
        <f t="shared" ca="1" si="5"/>
        <v/>
      </c>
      <c r="H33" s="620" cm="1">
        <f t="array" aca="1" ref="H33" ca="1">IF(AUTOEVENTO="Manual",ROUND(SUMPRODUCT((CÁLCULO!$M$15:$M$71=EVENTOS!$C33)*(OFFSET(CÁLCULO!$AA$15:$AA$71,0,H$13))),2),0)</f>
        <v>0</v>
      </c>
      <c r="I33" s="620" cm="1">
        <f t="array" aca="1" ref="I33" ca="1">IF(AUTOEVENTO="Manual",ROUND(SUMPRODUCT((CÁLCULO!$M$15:$M$71=EVENTOS!$C33)*(OFFSET(CÁLCULO!$AA$15:$AA$71,0,I$13))),2),0)</f>
        <v>0</v>
      </c>
      <c r="J33" s="620" cm="1">
        <f t="array" aca="1" ref="J33" ca="1">IF(AUTOEVENTO="Manual",ROUND(SUMPRODUCT((CÁLCULO!$M$15:$M$71=EVENTOS!$C33)*(OFFSET(CÁLCULO!$AA$15:$AA$71,0,J$13))),2),0)</f>
        <v>0</v>
      </c>
      <c r="K33" s="620" cm="1">
        <f t="array" aca="1" ref="K33" ca="1">IF(AUTOEVENTO="Manual",ROUND(SUMPRODUCT((CÁLCULO!$M$15:$M$71=EVENTOS!$C33)*(OFFSET(CÁLCULO!$AA$15:$AA$71,0,K$13))),2),0)</f>
        <v>0</v>
      </c>
      <c r="L33" s="620" cm="1">
        <f t="array" aca="1" ref="L33" ca="1">IF(AUTOEVENTO="Manual",ROUND(SUMPRODUCT((CÁLCULO!$M$15:$M$71=EVENTOS!$C33)*(OFFSET(CÁLCULO!$AA$15:$AA$71,0,L$13))),2),0)</f>
        <v>0</v>
      </c>
      <c r="M33" s="620" cm="1">
        <f t="array" aca="1" ref="M33" ca="1">IF(AUTOEVENTO="Manual",ROUND(SUMPRODUCT((CÁLCULO!$M$15:$M$71=EVENTOS!$C33)*(OFFSET(CÁLCULO!$AA$15:$AA$71,0,M$13))),2),0)</f>
        <v>0</v>
      </c>
      <c r="N33" s="620" cm="1">
        <f t="array" aca="1" ref="N33" ca="1">IF(AUTOEVENTO="Manual",ROUND(SUMPRODUCT((CÁLCULO!$M$15:$M$71=EVENTOS!$C33)*(OFFSET(CÁLCULO!$AA$15:$AA$71,0,N$13))),2),0)</f>
        <v>0</v>
      </c>
      <c r="O33" s="620" cm="1">
        <f t="array" aca="1" ref="O33" ca="1">IF(AUTOEVENTO="Manual",ROUND(SUMPRODUCT((CÁLCULO!$M$15:$M$71=EVENTOS!$C33)*(OFFSET(CÁLCULO!$AA$15:$AA$71,0,O$13))),2),0)</f>
        <v>0</v>
      </c>
      <c r="P33" s="620" cm="1">
        <f t="array" aca="1" ref="P33" ca="1">IF(AUTOEVENTO="Manual",ROUND(SUMPRODUCT((CÁLCULO!$M$15:$M$71=EVENTOS!$C33)*(OFFSET(CÁLCULO!$AA$15:$AA$71,0,P$13))),2),0)</f>
        <v>0</v>
      </c>
      <c r="Q33" s="620" cm="1">
        <f t="array" aca="1" ref="Q33" ca="1">IF(AUTOEVENTO="Manual",ROUND(SUMPRODUCT((CÁLCULO!$M$15:$M$71=EVENTOS!$C33)*(OFFSET(CÁLCULO!$AA$15:$AA$71,0,Q$13))),2),0)</f>
        <v>0</v>
      </c>
      <c r="R33" s="620" cm="1">
        <f t="array" aca="1" ref="R33" ca="1">IF(AUTOEVENTO="Manual",ROUND(SUMPRODUCT((CÁLCULO!$M$15:$M$71=EVENTOS!$C33)*(OFFSET(CÁLCULO!$AA$15:$AA$71,0,R$13))),2),0)</f>
        <v>0</v>
      </c>
      <c r="S33" s="620" cm="1">
        <f t="array" aca="1" ref="S33" ca="1">IF(AUTOEVENTO="Manual",ROUND(SUMPRODUCT((CÁLCULO!$M$15:$M$71=EVENTOS!$C33)*(OFFSET(CÁLCULO!$AA$15:$AA$71,0,S$13))),2),0)</f>
        <v>0</v>
      </c>
      <c r="T33" s="620" cm="1">
        <f t="array" aca="1" ref="T33" ca="1">IF(AUTOEVENTO="Manual",ROUND(SUMPRODUCT((CÁLCULO!$M$15:$M$71=EVENTOS!$C33)*(OFFSET(CÁLCULO!$AA$15:$AA$71,0,T$13))),2),0)</f>
        <v>0</v>
      </c>
      <c r="U33" s="620" cm="1">
        <f t="array" aca="1" ref="U33" ca="1">IF(AUTOEVENTO="Manual",ROUND(SUMPRODUCT((CÁLCULO!$M$15:$M$71=EVENTOS!$C33)*(OFFSET(CÁLCULO!$AA$15:$AA$71,0,U$13))),2),0)</f>
        <v>0</v>
      </c>
      <c r="V33" s="620" cm="1">
        <f t="array" aca="1" ref="V33" ca="1">IF(AUTOEVENTO="Manual",ROUND(SUMPRODUCT((CÁLCULO!$M$15:$M$71=EVENTOS!$C33)*(OFFSET(CÁLCULO!$AA$15:$AA$71,0,V$13))),2),0)</f>
        <v>0</v>
      </c>
      <c r="W33" s="620" cm="1">
        <f t="array" aca="1" ref="W33" ca="1">IF(AUTOEVENTO="Manual",ROUND(SUMPRODUCT((CÁLCULO!$M$15:$M$71=EVENTOS!$C33)*(OFFSET(CÁLCULO!$AA$15:$AA$71,0,W$13))),2),0)</f>
        <v>0</v>
      </c>
      <c r="X33" s="620" cm="1">
        <f t="array" aca="1" ref="X33" ca="1">IF(AUTOEVENTO="Manual",ROUND(SUMPRODUCT((CÁLCULO!$M$15:$M$71=EVENTOS!$C33)*(OFFSET(CÁLCULO!$AA$15:$AA$71,0,X$13))),2),0)</f>
        <v>0</v>
      </c>
      <c r="Y33" s="620" cm="1">
        <f t="array" aca="1" ref="Y33" ca="1">IF(AUTOEVENTO="Manual",ROUND(SUMPRODUCT((CÁLCULO!$M$15:$M$71=EVENTOS!$C33)*(OFFSET(CÁLCULO!$AA$15:$AA$71,0,Y$13))),2),0)</f>
        <v>0</v>
      </c>
    </row>
    <row r="34" spans="1:25" x14ac:dyDescent="0.2">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IF(AUTOEVENTO="Manual",ROUND(SUMPRODUCT((CÁLCULO!$M$15:$M$71=EVENTOS!$C34)*(OFFSET(CÁLCULO!$AA$15:$AA$71,0,E$13))),2),0)</f>
        <v>0</v>
      </c>
      <c r="F34" s="183">
        <f ca="1">IF(AUTOEVENTO="Manual",ROUND(SUMPRODUCT((CÁLCULO!$M$15:$M$71=EVENTOS!$C34)*(OFFSET(CÁLCULO!$AA$15,0,1):OFFSET(CÁLCULO!$AL$71,0,-1))),2),0)</f>
        <v>0</v>
      </c>
      <c r="G34" s="621" t="str">
        <f t="shared" ca="1" si="5"/>
        <v/>
      </c>
      <c r="H34" s="620" cm="1">
        <f t="array" aca="1" ref="H34" ca="1">IF(AUTOEVENTO="Manual",ROUND(SUMPRODUCT((CÁLCULO!$M$15:$M$71=EVENTOS!$C34)*(OFFSET(CÁLCULO!$AA$15:$AA$71,0,H$13))),2),0)</f>
        <v>0</v>
      </c>
      <c r="I34" s="620" cm="1">
        <f t="array" aca="1" ref="I34" ca="1">IF(AUTOEVENTO="Manual",ROUND(SUMPRODUCT((CÁLCULO!$M$15:$M$71=EVENTOS!$C34)*(OFFSET(CÁLCULO!$AA$15:$AA$71,0,I$13))),2),0)</f>
        <v>0</v>
      </c>
      <c r="J34" s="620" cm="1">
        <f t="array" aca="1" ref="J34" ca="1">IF(AUTOEVENTO="Manual",ROUND(SUMPRODUCT((CÁLCULO!$M$15:$M$71=EVENTOS!$C34)*(OFFSET(CÁLCULO!$AA$15:$AA$71,0,J$13))),2),0)</f>
        <v>0</v>
      </c>
      <c r="K34" s="620" cm="1">
        <f t="array" aca="1" ref="K34" ca="1">IF(AUTOEVENTO="Manual",ROUND(SUMPRODUCT((CÁLCULO!$M$15:$M$71=EVENTOS!$C34)*(OFFSET(CÁLCULO!$AA$15:$AA$71,0,K$13))),2),0)</f>
        <v>0</v>
      </c>
      <c r="L34" s="620" cm="1">
        <f t="array" aca="1" ref="L34" ca="1">IF(AUTOEVENTO="Manual",ROUND(SUMPRODUCT((CÁLCULO!$M$15:$M$71=EVENTOS!$C34)*(OFFSET(CÁLCULO!$AA$15:$AA$71,0,L$13))),2),0)</f>
        <v>0</v>
      </c>
      <c r="M34" s="620" cm="1">
        <f t="array" aca="1" ref="M34" ca="1">IF(AUTOEVENTO="Manual",ROUND(SUMPRODUCT((CÁLCULO!$M$15:$M$71=EVENTOS!$C34)*(OFFSET(CÁLCULO!$AA$15:$AA$71,0,M$13))),2),0)</f>
        <v>0</v>
      </c>
      <c r="N34" s="620" cm="1">
        <f t="array" aca="1" ref="N34" ca="1">IF(AUTOEVENTO="Manual",ROUND(SUMPRODUCT((CÁLCULO!$M$15:$M$71=EVENTOS!$C34)*(OFFSET(CÁLCULO!$AA$15:$AA$71,0,N$13))),2),0)</f>
        <v>0</v>
      </c>
      <c r="O34" s="620" cm="1">
        <f t="array" aca="1" ref="O34" ca="1">IF(AUTOEVENTO="Manual",ROUND(SUMPRODUCT((CÁLCULO!$M$15:$M$71=EVENTOS!$C34)*(OFFSET(CÁLCULO!$AA$15:$AA$71,0,O$13))),2),0)</f>
        <v>0</v>
      </c>
      <c r="P34" s="620" cm="1">
        <f t="array" aca="1" ref="P34" ca="1">IF(AUTOEVENTO="Manual",ROUND(SUMPRODUCT((CÁLCULO!$M$15:$M$71=EVENTOS!$C34)*(OFFSET(CÁLCULO!$AA$15:$AA$71,0,P$13))),2),0)</f>
        <v>0</v>
      </c>
      <c r="Q34" s="620" cm="1">
        <f t="array" aca="1" ref="Q34" ca="1">IF(AUTOEVENTO="Manual",ROUND(SUMPRODUCT((CÁLCULO!$M$15:$M$71=EVENTOS!$C34)*(OFFSET(CÁLCULO!$AA$15:$AA$71,0,Q$13))),2),0)</f>
        <v>0</v>
      </c>
      <c r="R34" s="620" cm="1">
        <f t="array" aca="1" ref="R34" ca="1">IF(AUTOEVENTO="Manual",ROUND(SUMPRODUCT((CÁLCULO!$M$15:$M$71=EVENTOS!$C34)*(OFFSET(CÁLCULO!$AA$15:$AA$71,0,R$13))),2),0)</f>
        <v>0</v>
      </c>
      <c r="S34" s="620" cm="1">
        <f t="array" aca="1" ref="S34" ca="1">IF(AUTOEVENTO="Manual",ROUND(SUMPRODUCT((CÁLCULO!$M$15:$M$71=EVENTOS!$C34)*(OFFSET(CÁLCULO!$AA$15:$AA$71,0,S$13))),2),0)</f>
        <v>0</v>
      </c>
      <c r="T34" s="620" cm="1">
        <f t="array" aca="1" ref="T34" ca="1">IF(AUTOEVENTO="Manual",ROUND(SUMPRODUCT((CÁLCULO!$M$15:$M$71=EVENTOS!$C34)*(OFFSET(CÁLCULO!$AA$15:$AA$71,0,T$13))),2),0)</f>
        <v>0</v>
      </c>
      <c r="U34" s="620" cm="1">
        <f t="array" aca="1" ref="U34" ca="1">IF(AUTOEVENTO="Manual",ROUND(SUMPRODUCT((CÁLCULO!$M$15:$M$71=EVENTOS!$C34)*(OFFSET(CÁLCULO!$AA$15:$AA$71,0,U$13))),2),0)</f>
        <v>0</v>
      </c>
      <c r="V34" s="620" cm="1">
        <f t="array" aca="1" ref="V34" ca="1">IF(AUTOEVENTO="Manual",ROUND(SUMPRODUCT((CÁLCULO!$M$15:$M$71=EVENTOS!$C34)*(OFFSET(CÁLCULO!$AA$15:$AA$71,0,V$13))),2),0)</f>
        <v>0</v>
      </c>
      <c r="W34" s="620" cm="1">
        <f t="array" aca="1" ref="W34" ca="1">IF(AUTOEVENTO="Manual",ROUND(SUMPRODUCT((CÁLCULO!$M$15:$M$71=EVENTOS!$C34)*(OFFSET(CÁLCULO!$AA$15:$AA$71,0,W$13))),2),0)</f>
        <v>0</v>
      </c>
      <c r="X34" s="620" cm="1">
        <f t="array" aca="1" ref="X34" ca="1">IF(AUTOEVENTO="Manual",ROUND(SUMPRODUCT((CÁLCULO!$M$15:$M$71=EVENTOS!$C34)*(OFFSET(CÁLCULO!$AA$15:$AA$71,0,X$13))),2),0)</f>
        <v>0</v>
      </c>
      <c r="Y34" s="620" cm="1">
        <f t="array" aca="1" ref="Y34" ca="1">IF(AUTOEVENTO="Manual",ROUND(SUMPRODUCT((CÁLCULO!$M$15:$M$71=EVENTOS!$C34)*(OFFSET(CÁLCULO!$AA$15:$AA$71,0,Y$13))),2),0)</f>
        <v>0</v>
      </c>
    </row>
    <row r="35" spans="1:25" x14ac:dyDescent="0.2">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IF(AUTOEVENTO="Manual",ROUND(SUMPRODUCT((CÁLCULO!$M$15:$M$71=EVENTOS!$C35)*(OFFSET(CÁLCULO!$AA$15:$AA$71,0,E$13))),2),0)</f>
        <v>0</v>
      </c>
      <c r="F35" s="183">
        <f ca="1">IF(AUTOEVENTO="Manual",ROUND(SUMPRODUCT((CÁLCULO!$M$15:$M$71=EVENTOS!$C35)*(OFFSET(CÁLCULO!$AA$15,0,1):OFFSET(CÁLCULO!$AL$71,0,-1))),2),0)</f>
        <v>0</v>
      </c>
      <c r="G35" s="621" t="str">
        <f t="shared" ca="1" si="5"/>
        <v/>
      </c>
      <c r="H35" s="620" cm="1">
        <f t="array" aca="1" ref="H35" ca="1">IF(AUTOEVENTO="Manual",ROUND(SUMPRODUCT((CÁLCULO!$M$15:$M$71=EVENTOS!$C35)*(OFFSET(CÁLCULO!$AA$15:$AA$71,0,H$13))),2),0)</f>
        <v>0</v>
      </c>
      <c r="I35" s="620" cm="1">
        <f t="array" aca="1" ref="I35" ca="1">IF(AUTOEVENTO="Manual",ROUND(SUMPRODUCT((CÁLCULO!$M$15:$M$71=EVENTOS!$C35)*(OFFSET(CÁLCULO!$AA$15:$AA$71,0,I$13))),2),0)</f>
        <v>0</v>
      </c>
      <c r="J35" s="620" cm="1">
        <f t="array" aca="1" ref="J35" ca="1">IF(AUTOEVENTO="Manual",ROUND(SUMPRODUCT((CÁLCULO!$M$15:$M$71=EVENTOS!$C35)*(OFFSET(CÁLCULO!$AA$15:$AA$71,0,J$13))),2),0)</f>
        <v>0</v>
      </c>
      <c r="K35" s="620" cm="1">
        <f t="array" aca="1" ref="K35" ca="1">IF(AUTOEVENTO="Manual",ROUND(SUMPRODUCT((CÁLCULO!$M$15:$M$71=EVENTOS!$C35)*(OFFSET(CÁLCULO!$AA$15:$AA$71,0,K$13))),2),0)</f>
        <v>0</v>
      </c>
      <c r="L35" s="620" cm="1">
        <f t="array" aca="1" ref="L35" ca="1">IF(AUTOEVENTO="Manual",ROUND(SUMPRODUCT((CÁLCULO!$M$15:$M$71=EVENTOS!$C35)*(OFFSET(CÁLCULO!$AA$15:$AA$71,0,L$13))),2),0)</f>
        <v>0</v>
      </c>
      <c r="M35" s="620" cm="1">
        <f t="array" aca="1" ref="M35" ca="1">IF(AUTOEVENTO="Manual",ROUND(SUMPRODUCT((CÁLCULO!$M$15:$M$71=EVENTOS!$C35)*(OFFSET(CÁLCULO!$AA$15:$AA$71,0,M$13))),2),0)</f>
        <v>0</v>
      </c>
      <c r="N35" s="620" cm="1">
        <f t="array" aca="1" ref="N35" ca="1">IF(AUTOEVENTO="Manual",ROUND(SUMPRODUCT((CÁLCULO!$M$15:$M$71=EVENTOS!$C35)*(OFFSET(CÁLCULO!$AA$15:$AA$71,0,N$13))),2),0)</f>
        <v>0</v>
      </c>
      <c r="O35" s="620" cm="1">
        <f t="array" aca="1" ref="O35" ca="1">IF(AUTOEVENTO="Manual",ROUND(SUMPRODUCT((CÁLCULO!$M$15:$M$71=EVENTOS!$C35)*(OFFSET(CÁLCULO!$AA$15:$AA$71,0,O$13))),2),0)</f>
        <v>0</v>
      </c>
      <c r="P35" s="620" cm="1">
        <f t="array" aca="1" ref="P35" ca="1">IF(AUTOEVENTO="Manual",ROUND(SUMPRODUCT((CÁLCULO!$M$15:$M$71=EVENTOS!$C35)*(OFFSET(CÁLCULO!$AA$15:$AA$71,0,P$13))),2),0)</f>
        <v>0</v>
      </c>
      <c r="Q35" s="620" cm="1">
        <f t="array" aca="1" ref="Q35" ca="1">IF(AUTOEVENTO="Manual",ROUND(SUMPRODUCT((CÁLCULO!$M$15:$M$71=EVENTOS!$C35)*(OFFSET(CÁLCULO!$AA$15:$AA$71,0,Q$13))),2),0)</f>
        <v>0</v>
      </c>
      <c r="R35" s="620" cm="1">
        <f t="array" aca="1" ref="R35" ca="1">IF(AUTOEVENTO="Manual",ROUND(SUMPRODUCT((CÁLCULO!$M$15:$M$71=EVENTOS!$C35)*(OFFSET(CÁLCULO!$AA$15:$AA$71,0,R$13))),2),0)</f>
        <v>0</v>
      </c>
      <c r="S35" s="620" cm="1">
        <f t="array" aca="1" ref="S35" ca="1">IF(AUTOEVENTO="Manual",ROUND(SUMPRODUCT((CÁLCULO!$M$15:$M$71=EVENTOS!$C35)*(OFFSET(CÁLCULO!$AA$15:$AA$71,0,S$13))),2),0)</f>
        <v>0</v>
      </c>
      <c r="T35" s="620" cm="1">
        <f t="array" aca="1" ref="T35" ca="1">IF(AUTOEVENTO="Manual",ROUND(SUMPRODUCT((CÁLCULO!$M$15:$M$71=EVENTOS!$C35)*(OFFSET(CÁLCULO!$AA$15:$AA$71,0,T$13))),2),0)</f>
        <v>0</v>
      </c>
      <c r="U35" s="620" cm="1">
        <f t="array" aca="1" ref="U35" ca="1">IF(AUTOEVENTO="Manual",ROUND(SUMPRODUCT((CÁLCULO!$M$15:$M$71=EVENTOS!$C35)*(OFFSET(CÁLCULO!$AA$15:$AA$71,0,U$13))),2),0)</f>
        <v>0</v>
      </c>
      <c r="V35" s="620" cm="1">
        <f t="array" aca="1" ref="V35" ca="1">IF(AUTOEVENTO="Manual",ROUND(SUMPRODUCT((CÁLCULO!$M$15:$M$71=EVENTOS!$C35)*(OFFSET(CÁLCULO!$AA$15:$AA$71,0,V$13))),2),0)</f>
        <v>0</v>
      </c>
      <c r="W35" s="620" cm="1">
        <f t="array" aca="1" ref="W35" ca="1">IF(AUTOEVENTO="Manual",ROUND(SUMPRODUCT((CÁLCULO!$M$15:$M$71=EVENTOS!$C35)*(OFFSET(CÁLCULO!$AA$15:$AA$71,0,W$13))),2),0)</f>
        <v>0</v>
      </c>
      <c r="X35" s="620" cm="1">
        <f t="array" aca="1" ref="X35" ca="1">IF(AUTOEVENTO="Manual",ROUND(SUMPRODUCT((CÁLCULO!$M$15:$M$71=EVENTOS!$C35)*(OFFSET(CÁLCULO!$AA$15:$AA$71,0,X$13))),2),0)</f>
        <v>0</v>
      </c>
      <c r="Y35" s="620" cm="1">
        <f t="array" aca="1" ref="Y35" ca="1">IF(AUTOEVENTO="Manual",ROUND(SUMPRODUCT((CÁLCULO!$M$15:$M$71=EVENTOS!$C35)*(OFFSET(CÁLCULO!$AA$15:$AA$71,0,Y$13))),2),0)</f>
        <v>0</v>
      </c>
    </row>
    <row r="36" spans="1:25" x14ac:dyDescent="0.2">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IF(AUTOEVENTO="Manual",ROUND(SUMPRODUCT((CÁLCULO!$M$15:$M$71=EVENTOS!$C36)*(OFFSET(CÁLCULO!$AA$15:$AA$71,0,E$13))),2),0)</f>
        <v>0</v>
      </c>
      <c r="F36" s="183">
        <f ca="1">IF(AUTOEVENTO="Manual",ROUND(SUMPRODUCT((CÁLCULO!$M$15:$M$71=EVENTOS!$C36)*(OFFSET(CÁLCULO!$AA$15,0,1):OFFSET(CÁLCULO!$AL$71,0,-1))),2),0)</f>
        <v>0</v>
      </c>
      <c r="G36" s="621" t="str">
        <f t="shared" ca="1" si="5"/>
        <v/>
      </c>
      <c r="H36" s="620" cm="1">
        <f t="array" aca="1" ref="H36" ca="1">IF(AUTOEVENTO="Manual",ROUND(SUMPRODUCT((CÁLCULO!$M$15:$M$71=EVENTOS!$C36)*(OFFSET(CÁLCULO!$AA$15:$AA$71,0,H$13))),2),0)</f>
        <v>0</v>
      </c>
      <c r="I36" s="620" cm="1">
        <f t="array" aca="1" ref="I36" ca="1">IF(AUTOEVENTO="Manual",ROUND(SUMPRODUCT((CÁLCULO!$M$15:$M$71=EVENTOS!$C36)*(OFFSET(CÁLCULO!$AA$15:$AA$71,0,I$13))),2),0)</f>
        <v>0</v>
      </c>
      <c r="J36" s="620" cm="1">
        <f t="array" aca="1" ref="J36" ca="1">IF(AUTOEVENTO="Manual",ROUND(SUMPRODUCT((CÁLCULO!$M$15:$M$71=EVENTOS!$C36)*(OFFSET(CÁLCULO!$AA$15:$AA$71,0,J$13))),2),0)</f>
        <v>0</v>
      </c>
      <c r="K36" s="620" cm="1">
        <f t="array" aca="1" ref="K36" ca="1">IF(AUTOEVENTO="Manual",ROUND(SUMPRODUCT((CÁLCULO!$M$15:$M$71=EVENTOS!$C36)*(OFFSET(CÁLCULO!$AA$15:$AA$71,0,K$13))),2),0)</f>
        <v>0</v>
      </c>
      <c r="L36" s="620" cm="1">
        <f t="array" aca="1" ref="L36" ca="1">IF(AUTOEVENTO="Manual",ROUND(SUMPRODUCT((CÁLCULO!$M$15:$M$71=EVENTOS!$C36)*(OFFSET(CÁLCULO!$AA$15:$AA$71,0,L$13))),2),0)</f>
        <v>0</v>
      </c>
      <c r="M36" s="620" cm="1">
        <f t="array" aca="1" ref="M36" ca="1">IF(AUTOEVENTO="Manual",ROUND(SUMPRODUCT((CÁLCULO!$M$15:$M$71=EVENTOS!$C36)*(OFFSET(CÁLCULO!$AA$15:$AA$71,0,M$13))),2),0)</f>
        <v>0</v>
      </c>
      <c r="N36" s="620" cm="1">
        <f t="array" aca="1" ref="N36" ca="1">IF(AUTOEVENTO="Manual",ROUND(SUMPRODUCT((CÁLCULO!$M$15:$M$71=EVENTOS!$C36)*(OFFSET(CÁLCULO!$AA$15:$AA$71,0,N$13))),2),0)</f>
        <v>0</v>
      </c>
      <c r="O36" s="620" cm="1">
        <f t="array" aca="1" ref="O36" ca="1">IF(AUTOEVENTO="Manual",ROUND(SUMPRODUCT((CÁLCULO!$M$15:$M$71=EVENTOS!$C36)*(OFFSET(CÁLCULO!$AA$15:$AA$71,0,O$13))),2),0)</f>
        <v>0</v>
      </c>
      <c r="P36" s="620" cm="1">
        <f t="array" aca="1" ref="P36" ca="1">IF(AUTOEVENTO="Manual",ROUND(SUMPRODUCT((CÁLCULO!$M$15:$M$71=EVENTOS!$C36)*(OFFSET(CÁLCULO!$AA$15:$AA$71,0,P$13))),2),0)</f>
        <v>0</v>
      </c>
      <c r="Q36" s="620" cm="1">
        <f t="array" aca="1" ref="Q36" ca="1">IF(AUTOEVENTO="Manual",ROUND(SUMPRODUCT((CÁLCULO!$M$15:$M$71=EVENTOS!$C36)*(OFFSET(CÁLCULO!$AA$15:$AA$71,0,Q$13))),2),0)</f>
        <v>0</v>
      </c>
      <c r="R36" s="620" cm="1">
        <f t="array" aca="1" ref="R36" ca="1">IF(AUTOEVENTO="Manual",ROUND(SUMPRODUCT((CÁLCULO!$M$15:$M$71=EVENTOS!$C36)*(OFFSET(CÁLCULO!$AA$15:$AA$71,0,R$13))),2),0)</f>
        <v>0</v>
      </c>
      <c r="S36" s="620" cm="1">
        <f t="array" aca="1" ref="S36" ca="1">IF(AUTOEVENTO="Manual",ROUND(SUMPRODUCT((CÁLCULO!$M$15:$M$71=EVENTOS!$C36)*(OFFSET(CÁLCULO!$AA$15:$AA$71,0,S$13))),2),0)</f>
        <v>0</v>
      </c>
      <c r="T36" s="620" cm="1">
        <f t="array" aca="1" ref="T36" ca="1">IF(AUTOEVENTO="Manual",ROUND(SUMPRODUCT((CÁLCULO!$M$15:$M$71=EVENTOS!$C36)*(OFFSET(CÁLCULO!$AA$15:$AA$71,0,T$13))),2),0)</f>
        <v>0</v>
      </c>
      <c r="U36" s="620" cm="1">
        <f t="array" aca="1" ref="U36" ca="1">IF(AUTOEVENTO="Manual",ROUND(SUMPRODUCT((CÁLCULO!$M$15:$M$71=EVENTOS!$C36)*(OFFSET(CÁLCULO!$AA$15:$AA$71,0,U$13))),2),0)</f>
        <v>0</v>
      </c>
      <c r="V36" s="620" cm="1">
        <f t="array" aca="1" ref="V36" ca="1">IF(AUTOEVENTO="Manual",ROUND(SUMPRODUCT((CÁLCULO!$M$15:$M$71=EVENTOS!$C36)*(OFFSET(CÁLCULO!$AA$15:$AA$71,0,V$13))),2),0)</f>
        <v>0</v>
      </c>
      <c r="W36" s="620" cm="1">
        <f t="array" aca="1" ref="W36" ca="1">IF(AUTOEVENTO="Manual",ROUND(SUMPRODUCT((CÁLCULO!$M$15:$M$71=EVENTOS!$C36)*(OFFSET(CÁLCULO!$AA$15:$AA$71,0,W$13))),2),0)</f>
        <v>0</v>
      </c>
      <c r="X36" s="620" cm="1">
        <f t="array" aca="1" ref="X36" ca="1">IF(AUTOEVENTO="Manual",ROUND(SUMPRODUCT((CÁLCULO!$M$15:$M$71=EVENTOS!$C36)*(OFFSET(CÁLCULO!$AA$15:$AA$71,0,X$13))),2),0)</f>
        <v>0</v>
      </c>
      <c r="Y36" s="620" cm="1">
        <f t="array" aca="1" ref="Y36" ca="1">IF(AUTOEVENTO="Manual",ROUND(SUMPRODUCT((CÁLCULO!$M$15:$M$71=EVENTOS!$C36)*(OFFSET(CÁLCULO!$AA$15:$AA$71,0,Y$13))),2),0)</f>
        <v>0</v>
      </c>
    </row>
    <row r="37" spans="1:25" x14ac:dyDescent="0.2">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IF(AUTOEVENTO="Manual",ROUND(SUMPRODUCT((CÁLCULO!$M$15:$M$71=EVENTOS!$C37)*(OFFSET(CÁLCULO!$AA$15:$AA$71,0,E$13))),2),0)</f>
        <v>0</v>
      </c>
      <c r="F37" s="183">
        <f ca="1">IF(AUTOEVENTO="Manual",ROUND(SUMPRODUCT((CÁLCULO!$M$15:$M$71=EVENTOS!$C37)*(OFFSET(CÁLCULO!$AA$15,0,1):OFFSET(CÁLCULO!$AL$71,0,-1))),2),0)</f>
        <v>0</v>
      </c>
      <c r="G37" s="621" t="str">
        <f t="shared" ca="1" si="5"/>
        <v/>
      </c>
      <c r="H37" s="620" cm="1">
        <f t="array" aca="1" ref="H37" ca="1">IF(AUTOEVENTO="Manual",ROUND(SUMPRODUCT((CÁLCULO!$M$15:$M$71=EVENTOS!$C37)*(OFFSET(CÁLCULO!$AA$15:$AA$71,0,H$13))),2),0)</f>
        <v>0</v>
      </c>
      <c r="I37" s="620" cm="1">
        <f t="array" aca="1" ref="I37" ca="1">IF(AUTOEVENTO="Manual",ROUND(SUMPRODUCT((CÁLCULO!$M$15:$M$71=EVENTOS!$C37)*(OFFSET(CÁLCULO!$AA$15:$AA$71,0,I$13))),2),0)</f>
        <v>0</v>
      </c>
      <c r="J37" s="620" cm="1">
        <f t="array" aca="1" ref="J37" ca="1">IF(AUTOEVENTO="Manual",ROUND(SUMPRODUCT((CÁLCULO!$M$15:$M$71=EVENTOS!$C37)*(OFFSET(CÁLCULO!$AA$15:$AA$71,0,J$13))),2),0)</f>
        <v>0</v>
      </c>
      <c r="K37" s="620" cm="1">
        <f t="array" aca="1" ref="K37" ca="1">IF(AUTOEVENTO="Manual",ROUND(SUMPRODUCT((CÁLCULO!$M$15:$M$71=EVENTOS!$C37)*(OFFSET(CÁLCULO!$AA$15:$AA$71,0,K$13))),2),0)</f>
        <v>0</v>
      </c>
      <c r="L37" s="620" cm="1">
        <f t="array" aca="1" ref="L37" ca="1">IF(AUTOEVENTO="Manual",ROUND(SUMPRODUCT((CÁLCULO!$M$15:$M$71=EVENTOS!$C37)*(OFFSET(CÁLCULO!$AA$15:$AA$71,0,L$13))),2),0)</f>
        <v>0</v>
      </c>
      <c r="M37" s="620" cm="1">
        <f t="array" aca="1" ref="M37" ca="1">IF(AUTOEVENTO="Manual",ROUND(SUMPRODUCT((CÁLCULO!$M$15:$M$71=EVENTOS!$C37)*(OFFSET(CÁLCULO!$AA$15:$AA$71,0,M$13))),2),0)</f>
        <v>0</v>
      </c>
      <c r="N37" s="620" cm="1">
        <f t="array" aca="1" ref="N37" ca="1">IF(AUTOEVENTO="Manual",ROUND(SUMPRODUCT((CÁLCULO!$M$15:$M$71=EVENTOS!$C37)*(OFFSET(CÁLCULO!$AA$15:$AA$71,0,N$13))),2),0)</f>
        <v>0</v>
      </c>
      <c r="O37" s="620" cm="1">
        <f t="array" aca="1" ref="O37" ca="1">IF(AUTOEVENTO="Manual",ROUND(SUMPRODUCT((CÁLCULO!$M$15:$M$71=EVENTOS!$C37)*(OFFSET(CÁLCULO!$AA$15:$AA$71,0,O$13))),2),0)</f>
        <v>0</v>
      </c>
      <c r="P37" s="620" cm="1">
        <f t="array" aca="1" ref="P37" ca="1">IF(AUTOEVENTO="Manual",ROUND(SUMPRODUCT((CÁLCULO!$M$15:$M$71=EVENTOS!$C37)*(OFFSET(CÁLCULO!$AA$15:$AA$71,0,P$13))),2),0)</f>
        <v>0</v>
      </c>
      <c r="Q37" s="620" cm="1">
        <f t="array" aca="1" ref="Q37" ca="1">IF(AUTOEVENTO="Manual",ROUND(SUMPRODUCT((CÁLCULO!$M$15:$M$71=EVENTOS!$C37)*(OFFSET(CÁLCULO!$AA$15:$AA$71,0,Q$13))),2),0)</f>
        <v>0</v>
      </c>
      <c r="R37" s="620" cm="1">
        <f t="array" aca="1" ref="R37" ca="1">IF(AUTOEVENTO="Manual",ROUND(SUMPRODUCT((CÁLCULO!$M$15:$M$71=EVENTOS!$C37)*(OFFSET(CÁLCULO!$AA$15:$AA$71,0,R$13))),2),0)</f>
        <v>0</v>
      </c>
      <c r="S37" s="620" cm="1">
        <f t="array" aca="1" ref="S37" ca="1">IF(AUTOEVENTO="Manual",ROUND(SUMPRODUCT((CÁLCULO!$M$15:$M$71=EVENTOS!$C37)*(OFFSET(CÁLCULO!$AA$15:$AA$71,0,S$13))),2),0)</f>
        <v>0</v>
      </c>
      <c r="T37" s="620" cm="1">
        <f t="array" aca="1" ref="T37" ca="1">IF(AUTOEVENTO="Manual",ROUND(SUMPRODUCT((CÁLCULO!$M$15:$M$71=EVENTOS!$C37)*(OFFSET(CÁLCULO!$AA$15:$AA$71,0,T$13))),2),0)</f>
        <v>0</v>
      </c>
      <c r="U37" s="620" cm="1">
        <f t="array" aca="1" ref="U37" ca="1">IF(AUTOEVENTO="Manual",ROUND(SUMPRODUCT((CÁLCULO!$M$15:$M$71=EVENTOS!$C37)*(OFFSET(CÁLCULO!$AA$15:$AA$71,0,U$13))),2),0)</f>
        <v>0</v>
      </c>
      <c r="V37" s="620" cm="1">
        <f t="array" aca="1" ref="V37" ca="1">IF(AUTOEVENTO="Manual",ROUND(SUMPRODUCT((CÁLCULO!$M$15:$M$71=EVENTOS!$C37)*(OFFSET(CÁLCULO!$AA$15:$AA$71,0,V$13))),2),0)</f>
        <v>0</v>
      </c>
      <c r="W37" s="620" cm="1">
        <f t="array" aca="1" ref="W37" ca="1">IF(AUTOEVENTO="Manual",ROUND(SUMPRODUCT((CÁLCULO!$M$15:$M$71=EVENTOS!$C37)*(OFFSET(CÁLCULO!$AA$15:$AA$71,0,W$13))),2),0)</f>
        <v>0</v>
      </c>
      <c r="X37" s="620" cm="1">
        <f t="array" aca="1" ref="X37" ca="1">IF(AUTOEVENTO="Manual",ROUND(SUMPRODUCT((CÁLCULO!$M$15:$M$71=EVENTOS!$C37)*(OFFSET(CÁLCULO!$AA$15:$AA$71,0,X$13))),2),0)</f>
        <v>0</v>
      </c>
      <c r="Y37" s="620" cm="1">
        <f t="array" aca="1" ref="Y37" ca="1">IF(AUTOEVENTO="Manual",ROUND(SUMPRODUCT((CÁLCULO!$M$15:$M$71=EVENTOS!$C37)*(OFFSET(CÁLCULO!$AA$15:$AA$71,0,Y$13))),2),0)</f>
        <v>0</v>
      </c>
    </row>
    <row r="38" spans="1:25" x14ac:dyDescent="0.2">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IF(AUTOEVENTO="Manual",ROUND(SUMPRODUCT((CÁLCULO!$M$15:$M$71=EVENTOS!$C38)*(OFFSET(CÁLCULO!$AA$15:$AA$71,0,E$13))),2),0)</f>
        <v>0</v>
      </c>
      <c r="F38" s="183">
        <f ca="1">IF(AUTOEVENTO="Manual",ROUND(SUMPRODUCT((CÁLCULO!$M$15:$M$71=EVENTOS!$C38)*(OFFSET(CÁLCULO!$AA$15,0,1):OFFSET(CÁLCULO!$AL$71,0,-1))),2),0)</f>
        <v>0</v>
      </c>
      <c r="G38" s="621" t="str">
        <f t="shared" ca="1" si="5"/>
        <v/>
      </c>
      <c r="H38" s="620" cm="1">
        <f t="array" aca="1" ref="H38" ca="1">IF(AUTOEVENTO="Manual",ROUND(SUMPRODUCT((CÁLCULO!$M$15:$M$71=EVENTOS!$C38)*(OFFSET(CÁLCULO!$AA$15:$AA$71,0,H$13))),2),0)</f>
        <v>0</v>
      </c>
      <c r="I38" s="620" cm="1">
        <f t="array" aca="1" ref="I38" ca="1">IF(AUTOEVENTO="Manual",ROUND(SUMPRODUCT((CÁLCULO!$M$15:$M$71=EVENTOS!$C38)*(OFFSET(CÁLCULO!$AA$15:$AA$71,0,I$13))),2),0)</f>
        <v>0</v>
      </c>
      <c r="J38" s="620" cm="1">
        <f t="array" aca="1" ref="J38" ca="1">IF(AUTOEVENTO="Manual",ROUND(SUMPRODUCT((CÁLCULO!$M$15:$M$71=EVENTOS!$C38)*(OFFSET(CÁLCULO!$AA$15:$AA$71,0,J$13))),2),0)</f>
        <v>0</v>
      </c>
      <c r="K38" s="620" cm="1">
        <f t="array" aca="1" ref="K38" ca="1">IF(AUTOEVENTO="Manual",ROUND(SUMPRODUCT((CÁLCULO!$M$15:$M$71=EVENTOS!$C38)*(OFFSET(CÁLCULO!$AA$15:$AA$71,0,K$13))),2),0)</f>
        <v>0</v>
      </c>
      <c r="L38" s="620" cm="1">
        <f t="array" aca="1" ref="L38" ca="1">IF(AUTOEVENTO="Manual",ROUND(SUMPRODUCT((CÁLCULO!$M$15:$M$71=EVENTOS!$C38)*(OFFSET(CÁLCULO!$AA$15:$AA$71,0,L$13))),2),0)</f>
        <v>0</v>
      </c>
      <c r="M38" s="620" cm="1">
        <f t="array" aca="1" ref="M38" ca="1">IF(AUTOEVENTO="Manual",ROUND(SUMPRODUCT((CÁLCULO!$M$15:$M$71=EVENTOS!$C38)*(OFFSET(CÁLCULO!$AA$15:$AA$71,0,M$13))),2),0)</f>
        <v>0</v>
      </c>
      <c r="N38" s="620" cm="1">
        <f t="array" aca="1" ref="N38" ca="1">IF(AUTOEVENTO="Manual",ROUND(SUMPRODUCT((CÁLCULO!$M$15:$M$71=EVENTOS!$C38)*(OFFSET(CÁLCULO!$AA$15:$AA$71,0,N$13))),2),0)</f>
        <v>0</v>
      </c>
      <c r="O38" s="620" cm="1">
        <f t="array" aca="1" ref="O38" ca="1">IF(AUTOEVENTO="Manual",ROUND(SUMPRODUCT((CÁLCULO!$M$15:$M$71=EVENTOS!$C38)*(OFFSET(CÁLCULO!$AA$15:$AA$71,0,O$13))),2),0)</f>
        <v>0</v>
      </c>
      <c r="P38" s="620" cm="1">
        <f t="array" aca="1" ref="P38" ca="1">IF(AUTOEVENTO="Manual",ROUND(SUMPRODUCT((CÁLCULO!$M$15:$M$71=EVENTOS!$C38)*(OFFSET(CÁLCULO!$AA$15:$AA$71,0,P$13))),2),0)</f>
        <v>0</v>
      </c>
      <c r="Q38" s="620" cm="1">
        <f t="array" aca="1" ref="Q38" ca="1">IF(AUTOEVENTO="Manual",ROUND(SUMPRODUCT((CÁLCULO!$M$15:$M$71=EVENTOS!$C38)*(OFFSET(CÁLCULO!$AA$15:$AA$71,0,Q$13))),2),0)</f>
        <v>0</v>
      </c>
      <c r="R38" s="620" cm="1">
        <f t="array" aca="1" ref="R38" ca="1">IF(AUTOEVENTO="Manual",ROUND(SUMPRODUCT((CÁLCULO!$M$15:$M$71=EVENTOS!$C38)*(OFFSET(CÁLCULO!$AA$15:$AA$71,0,R$13))),2),0)</f>
        <v>0</v>
      </c>
      <c r="S38" s="620" cm="1">
        <f t="array" aca="1" ref="S38" ca="1">IF(AUTOEVENTO="Manual",ROUND(SUMPRODUCT((CÁLCULO!$M$15:$M$71=EVENTOS!$C38)*(OFFSET(CÁLCULO!$AA$15:$AA$71,0,S$13))),2),0)</f>
        <v>0</v>
      </c>
      <c r="T38" s="620" cm="1">
        <f t="array" aca="1" ref="T38" ca="1">IF(AUTOEVENTO="Manual",ROUND(SUMPRODUCT((CÁLCULO!$M$15:$M$71=EVENTOS!$C38)*(OFFSET(CÁLCULO!$AA$15:$AA$71,0,T$13))),2),0)</f>
        <v>0</v>
      </c>
      <c r="U38" s="620" cm="1">
        <f t="array" aca="1" ref="U38" ca="1">IF(AUTOEVENTO="Manual",ROUND(SUMPRODUCT((CÁLCULO!$M$15:$M$71=EVENTOS!$C38)*(OFFSET(CÁLCULO!$AA$15:$AA$71,0,U$13))),2),0)</f>
        <v>0</v>
      </c>
      <c r="V38" s="620" cm="1">
        <f t="array" aca="1" ref="V38" ca="1">IF(AUTOEVENTO="Manual",ROUND(SUMPRODUCT((CÁLCULO!$M$15:$M$71=EVENTOS!$C38)*(OFFSET(CÁLCULO!$AA$15:$AA$71,0,V$13))),2),0)</f>
        <v>0</v>
      </c>
      <c r="W38" s="620" cm="1">
        <f t="array" aca="1" ref="W38" ca="1">IF(AUTOEVENTO="Manual",ROUND(SUMPRODUCT((CÁLCULO!$M$15:$M$71=EVENTOS!$C38)*(OFFSET(CÁLCULO!$AA$15:$AA$71,0,W$13))),2),0)</f>
        <v>0</v>
      </c>
      <c r="X38" s="620" cm="1">
        <f t="array" aca="1" ref="X38" ca="1">IF(AUTOEVENTO="Manual",ROUND(SUMPRODUCT((CÁLCULO!$M$15:$M$71=EVENTOS!$C38)*(OFFSET(CÁLCULO!$AA$15:$AA$71,0,X$13))),2),0)</f>
        <v>0</v>
      </c>
      <c r="Y38" s="620" cm="1">
        <f t="array" aca="1" ref="Y38" ca="1">IF(AUTOEVENTO="Manual",ROUND(SUMPRODUCT((CÁLCULO!$M$15:$M$71=EVENTOS!$C38)*(OFFSET(CÁLCULO!$AA$15:$AA$71,0,Y$13))),2),0)</f>
        <v>0</v>
      </c>
    </row>
    <row r="39" spans="1:25" x14ac:dyDescent="0.2">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IF(AUTOEVENTO="Manual",ROUND(SUMPRODUCT((CÁLCULO!$M$15:$M$71=EVENTOS!$C39)*(OFFSET(CÁLCULO!$AA$15:$AA$71,0,E$13))),2),0)</f>
        <v>0</v>
      </c>
      <c r="F39" s="183">
        <f ca="1">IF(AUTOEVENTO="Manual",ROUND(SUMPRODUCT((CÁLCULO!$M$15:$M$71=EVENTOS!$C39)*(OFFSET(CÁLCULO!$AA$15,0,1):OFFSET(CÁLCULO!$AL$71,0,-1))),2),0)</f>
        <v>0</v>
      </c>
      <c r="G39" s="621" t="str">
        <f t="shared" ca="1" si="5"/>
        <v/>
      </c>
      <c r="H39" s="620" cm="1">
        <f t="array" aca="1" ref="H39" ca="1">IF(AUTOEVENTO="Manual",ROUND(SUMPRODUCT((CÁLCULO!$M$15:$M$71=EVENTOS!$C39)*(OFFSET(CÁLCULO!$AA$15:$AA$71,0,H$13))),2),0)</f>
        <v>0</v>
      </c>
      <c r="I39" s="620" cm="1">
        <f t="array" aca="1" ref="I39" ca="1">IF(AUTOEVENTO="Manual",ROUND(SUMPRODUCT((CÁLCULO!$M$15:$M$71=EVENTOS!$C39)*(OFFSET(CÁLCULO!$AA$15:$AA$71,0,I$13))),2),0)</f>
        <v>0</v>
      </c>
      <c r="J39" s="620" cm="1">
        <f t="array" aca="1" ref="J39" ca="1">IF(AUTOEVENTO="Manual",ROUND(SUMPRODUCT((CÁLCULO!$M$15:$M$71=EVENTOS!$C39)*(OFFSET(CÁLCULO!$AA$15:$AA$71,0,J$13))),2),0)</f>
        <v>0</v>
      </c>
      <c r="K39" s="620" cm="1">
        <f t="array" aca="1" ref="K39" ca="1">IF(AUTOEVENTO="Manual",ROUND(SUMPRODUCT((CÁLCULO!$M$15:$M$71=EVENTOS!$C39)*(OFFSET(CÁLCULO!$AA$15:$AA$71,0,K$13))),2),0)</f>
        <v>0</v>
      </c>
      <c r="L39" s="620" cm="1">
        <f t="array" aca="1" ref="L39" ca="1">IF(AUTOEVENTO="Manual",ROUND(SUMPRODUCT((CÁLCULO!$M$15:$M$71=EVENTOS!$C39)*(OFFSET(CÁLCULO!$AA$15:$AA$71,0,L$13))),2),0)</f>
        <v>0</v>
      </c>
      <c r="M39" s="620" cm="1">
        <f t="array" aca="1" ref="M39" ca="1">IF(AUTOEVENTO="Manual",ROUND(SUMPRODUCT((CÁLCULO!$M$15:$M$71=EVENTOS!$C39)*(OFFSET(CÁLCULO!$AA$15:$AA$71,0,M$13))),2),0)</f>
        <v>0</v>
      </c>
      <c r="N39" s="620" cm="1">
        <f t="array" aca="1" ref="N39" ca="1">IF(AUTOEVENTO="Manual",ROUND(SUMPRODUCT((CÁLCULO!$M$15:$M$71=EVENTOS!$C39)*(OFFSET(CÁLCULO!$AA$15:$AA$71,0,N$13))),2),0)</f>
        <v>0</v>
      </c>
      <c r="O39" s="620" cm="1">
        <f t="array" aca="1" ref="O39" ca="1">IF(AUTOEVENTO="Manual",ROUND(SUMPRODUCT((CÁLCULO!$M$15:$M$71=EVENTOS!$C39)*(OFFSET(CÁLCULO!$AA$15:$AA$71,0,O$13))),2),0)</f>
        <v>0</v>
      </c>
      <c r="P39" s="620" cm="1">
        <f t="array" aca="1" ref="P39" ca="1">IF(AUTOEVENTO="Manual",ROUND(SUMPRODUCT((CÁLCULO!$M$15:$M$71=EVENTOS!$C39)*(OFFSET(CÁLCULO!$AA$15:$AA$71,0,P$13))),2),0)</f>
        <v>0</v>
      </c>
      <c r="Q39" s="620" cm="1">
        <f t="array" aca="1" ref="Q39" ca="1">IF(AUTOEVENTO="Manual",ROUND(SUMPRODUCT((CÁLCULO!$M$15:$M$71=EVENTOS!$C39)*(OFFSET(CÁLCULO!$AA$15:$AA$71,0,Q$13))),2),0)</f>
        <v>0</v>
      </c>
      <c r="R39" s="620" cm="1">
        <f t="array" aca="1" ref="R39" ca="1">IF(AUTOEVENTO="Manual",ROUND(SUMPRODUCT((CÁLCULO!$M$15:$M$71=EVENTOS!$C39)*(OFFSET(CÁLCULO!$AA$15:$AA$71,0,R$13))),2),0)</f>
        <v>0</v>
      </c>
      <c r="S39" s="620" cm="1">
        <f t="array" aca="1" ref="S39" ca="1">IF(AUTOEVENTO="Manual",ROUND(SUMPRODUCT((CÁLCULO!$M$15:$M$71=EVENTOS!$C39)*(OFFSET(CÁLCULO!$AA$15:$AA$71,0,S$13))),2),0)</f>
        <v>0</v>
      </c>
      <c r="T39" s="620" cm="1">
        <f t="array" aca="1" ref="T39" ca="1">IF(AUTOEVENTO="Manual",ROUND(SUMPRODUCT((CÁLCULO!$M$15:$M$71=EVENTOS!$C39)*(OFFSET(CÁLCULO!$AA$15:$AA$71,0,T$13))),2),0)</f>
        <v>0</v>
      </c>
      <c r="U39" s="620" cm="1">
        <f t="array" aca="1" ref="U39" ca="1">IF(AUTOEVENTO="Manual",ROUND(SUMPRODUCT((CÁLCULO!$M$15:$M$71=EVENTOS!$C39)*(OFFSET(CÁLCULO!$AA$15:$AA$71,0,U$13))),2),0)</f>
        <v>0</v>
      </c>
      <c r="V39" s="620" cm="1">
        <f t="array" aca="1" ref="V39" ca="1">IF(AUTOEVENTO="Manual",ROUND(SUMPRODUCT((CÁLCULO!$M$15:$M$71=EVENTOS!$C39)*(OFFSET(CÁLCULO!$AA$15:$AA$71,0,V$13))),2),0)</f>
        <v>0</v>
      </c>
      <c r="W39" s="620" cm="1">
        <f t="array" aca="1" ref="W39" ca="1">IF(AUTOEVENTO="Manual",ROUND(SUMPRODUCT((CÁLCULO!$M$15:$M$71=EVENTOS!$C39)*(OFFSET(CÁLCULO!$AA$15:$AA$71,0,W$13))),2),0)</f>
        <v>0</v>
      </c>
      <c r="X39" s="620" cm="1">
        <f t="array" aca="1" ref="X39" ca="1">IF(AUTOEVENTO="Manual",ROUND(SUMPRODUCT((CÁLCULO!$M$15:$M$71=EVENTOS!$C39)*(OFFSET(CÁLCULO!$AA$15:$AA$71,0,X$13))),2),0)</f>
        <v>0</v>
      </c>
      <c r="Y39" s="620" cm="1">
        <f t="array" aca="1" ref="Y39" ca="1">IF(AUTOEVENTO="Manual",ROUND(SUMPRODUCT((CÁLCULO!$M$15:$M$71=EVENTOS!$C39)*(OFFSET(CÁLCULO!$AA$15:$AA$71,0,Y$13))),2),0)</f>
        <v>0</v>
      </c>
    </row>
    <row r="40" spans="1:25" x14ac:dyDescent="0.2">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IF(AUTOEVENTO="Manual",ROUND(SUMPRODUCT((CÁLCULO!$M$15:$M$71=EVENTOS!$C40)*(OFFSET(CÁLCULO!$AA$15:$AA$71,0,E$13))),2),0)</f>
        <v>0</v>
      </c>
      <c r="F40" s="183">
        <f ca="1">IF(AUTOEVENTO="Manual",ROUND(SUMPRODUCT((CÁLCULO!$M$15:$M$71=EVENTOS!$C40)*(OFFSET(CÁLCULO!$AA$15,0,1):OFFSET(CÁLCULO!$AL$71,0,-1))),2),0)</f>
        <v>0</v>
      </c>
      <c r="G40" s="621" t="str">
        <f t="shared" ca="1" si="5"/>
        <v/>
      </c>
      <c r="H40" s="620" cm="1">
        <f t="array" aca="1" ref="H40" ca="1">IF(AUTOEVENTO="Manual",ROUND(SUMPRODUCT((CÁLCULO!$M$15:$M$71=EVENTOS!$C40)*(OFFSET(CÁLCULO!$AA$15:$AA$71,0,H$13))),2),0)</f>
        <v>0</v>
      </c>
      <c r="I40" s="620" cm="1">
        <f t="array" aca="1" ref="I40" ca="1">IF(AUTOEVENTO="Manual",ROUND(SUMPRODUCT((CÁLCULO!$M$15:$M$71=EVENTOS!$C40)*(OFFSET(CÁLCULO!$AA$15:$AA$71,0,I$13))),2),0)</f>
        <v>0</v>
      </c>
      <c r="J40" s="620" cm="1">
        <f t="array" aca="1" ref="J40" ca="1">IF(AUTOEVENTO="Manual",ROUND(SUMPRODUCT((CÁLCULO!$M$15:$M$71=EVENTOS!$C40)*(OFFSET(CÁLCULO!$AA$15:$AA$71,0,J$13))),2),0)</f>
        <v>0</v>
      </c>
      <c r="K40" s="620" cm="1">
        <f t="array" aca="1" ref="K40" ca="1">IF(AUTOEVENTO="Manual",ROUND(SUMPRODUCT((CÁLCULO!$M$15:$M$71=EVENTOS!$C40)*(OFFSET(CÁLCULO!$AA$15:$AA$71,0,K$13))),2),0)</f>
        <v>0</v>
      </c>
      <c r="L40" s="620" cm="1">
        <f t="array" aca="1" ref="L40" ca="1">IF(AUTOEVENTO="Manual",ROUND(SUMPRODUCT((CÁLCULO!$M$15:$M$71=EVENTOS!$C40)*(OFFSET(CÁLCULO!$AA$15:$AA$71,0,L$13))),2),0)</f>
        <v>0</v>
      </c>
      <c r="M40" s="620" cm="1">
        <f t="array" aca="1" ref="M40" ca="1">IF(AUTOEVENTO="Manual",ROUND(SUMPRODUCT((CÁLCULO!$M$15:$M$71=EVENTOS!$C40)*(OFFSET(CÁLCULO!$AA$15:$AA$71,0,M$13))),2),0)</f>
        <v>0</v>
      </c>
      <c r="N40" s="620" cm="1">
        <f t="array" aca="1" ref="N40" ca="1">IF(AUTOEVENTO="Manual",ROUND(SUMPRODUCT((CÁLCULO!$M$15:$M$71=EVENTOS!$C40)*(OFFSET(CÁLCULO!$AA$15:$AA$71,0,N$13))),2),0)</f>
        <v>0</v>
      </c>
      <c r="O40" s="620" cm="1">
        <f t="array" aca="1" ref="O40" ca="1">IF(AUTOEVENTO="Manual",ROUND(SUMPRODUCT((CÁLCULO!$M$15:$M$71=EVENTOS!$C40)*(OFFSET(CÁLCULO!$AA$15:$AA$71,0,O$13))),2),0)</f>
        <v>0</v>
      </c>
      <c r="P40" s="620" cm="1">
        <f t="array" aca="1" ref="P40" ca="1">IF(AUTOEVENTO="Manual",ROUND(SUMPRODUCT((CÁLCULO!$M$15:$M$71=EVENTOS!$C40)*(OFFSET(CÁLCULO!$AA$15:$AA$71,0,P$13))),2),0)</f>
        <v>0</v>
      </c>
      <c r="Q40" s="620" cm="1">
        <f t="array" aca="1" ref="Q40" ca="1">IF(AUTOEVENTO="Manual",ROUND(SUMPRODUCT((CÁLCULO!$M$15:$M$71=EVENTOS!$C40)*(OFFSET(CÁLCULO!$AA$15:$AA$71,0,Q$13))),2),0)</f>
        <v>0</v>
      </c>
      <c r="R40" s="620" cm="1">
        <f t="array" aca="1" ref="R40" ca="1">IF(AUTOEVENTO="Manual",ROUND(SUMPRODUCT((CÁLCULO!$M$15:$M$71=EVENTOS!$C40)*(OFFSET(CÁLCULO!$AA$15:$AA$71,0,R$13))),2),0)</f>
        <v>0</v>
      </c>
      <c r="S40" s="620" cm="1">
        <f t="array" aca="1" ref="S40" ca="1">IF(AUTOEVENTO="Manual",ROUND(SUMPRODUCT((CÁLCULO!$M$15:$M$71=EVENTOS!$C40)*(OFFSET(CÁLCULO!$AA$15:$AA$71,0,S$13))),2),0)</f>
        <v>0</v>
      </c>
      <c r="T40" s="620" cm="1">
        <f t="array" aca="1" ref="T40" ca="1">IF(AUTOEVENTO="Manual",ROUND(SUMPRODUCT((CÁLCULO!$M$15:$M$71=EVENTOS!$C40)*(OFFSET(CÁLCULO!$AA$15:$AA$71,0,T$13))),2),0)</f>
        <v>0</v>
      </c>
      <c r="U40" s="620" cm="1">
        <f t="array" aca="1" ref="U40" ca="1">IF(AUTOEVENTO="Manual",ROUND(SUMPRODUCT((CÁLCULO!$M$15:$M$71=EVENTOS!$C40)*(OFFSET(CÁLCULO!$AA$15:$AA$71,0,U$13))),2),0)</f>
        <v>0</v>
      </c>
      <c r="V40" s="620" cm="1">
        <f t="array" aca="1" ref="V40" ca="1">IF(AUTOEVENTO="Manual",ROUND(SUMPRODUCT((CÁLCULO!$M$15:$M$71=EVENTOS!$C40)*(OFFSET(CÁLCULO!$AA$15:$AA$71,0,V$13))),2),0)</f>
        <v>0</v>
      </c>
      <c r="W40" s="620" cm="1">
        <f t="array" aca="1" ref="W40" ca="1">IF(AUTOEVENTO="Manual",ROUND(SUMPRODUCT((CÁLCULO!$M$15:$M$71=EVENTOS!$C40)*(OFFSET(CÁLCULO!$AA$15:$AA$71,0,W$13))),2),0)</f>
        <v>0</v>
      </c>
      <c r="X40" s="620" cm="1">
        <f t="array" aca="1" ref="X40" ca="1">IF(AUTOEVENTO="Manual",ROUND(SUMPRODUCT((CÁLCULO!$M$15:$M$71=EVENTOS!$C40)*(OFFSET(CÁLCULO!$AA$15:$AA$71,0,X$13))),2),0)</f>
        <v>0</v>
      </c>
      <c r="Y40" s="620" cm="1">
        <f t="array" aca="1" ref="Y40" ca="1">IF(AUTOEVENTO="Manual",ROUND(SUMPRODUCT((CÁLCULO!$M$15:$M$71=EVENTOS!$C40)*(OFFSET(CÁLCULO!$AA$15:$AA$71,0,Y$13))),2),0)</f>
        <v>0</v>
      </c>
    </row>
    <row r="41" spans="1:25" x14ac:dyDescent="0.2">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IF(AUTOEVENTO="Manual",ROUND(SUMPRODUCT((CÁLCULO!$M$15:$M$71=EVENTOS!$C41)*(OFFSET(CÁLCULO!$AA$15:$AA$71,0,E$13))),2),0)</f>
        <v>0</v>
      </c>
      <c r="F41" s="183">
        <f ca="1">IF(AUTOEVENTO="Manual",ROUND(SUMPRODUCT((CÁLCULO!$M$15:$M$71=EVENTOS!$C41)*(OFFSET(CÁLCULO!$AA$15,0,1):OFFSET(CÁLCULO!$AL$71,0,-1))),2),0)</f>
        <v>0</v>
      </c>
      <c r="G41" s="621" t="str">
        <f t="shared" ca="1" si="5"/>
        <v/>
      </c>
      <c r="H41" s="620" cm="1">
        <f t="array" aca="1" ref="H41" ca="1">IF(AUTOEVENTO="Manual",ROUND(SUMPRODUCT((CÁLCULO!$M$15:$M$71=EVENTOS!$C41)*(OFFSET(CÁLCULO!$AA$15:$AA$71,0,H$13))),2),0)</f>
        <v>0</v>
      </c>
      <c r="I41" s="620" cm="1">
        <f t="array" aca="1" ref="I41" ca="1">IF(AUTOEVENTO="Manual",ROUND(SUMPRODUCT((CÁLCULO!$M$15:$M$71=EVENTOS!$C41)*(OFFSET(CÁLCULO!$AA$15:$AA$71,0,I$13))),2),0)</f>
        <v>0</v>
      </c>
      <c r="J41" s="620" cm="1">
        <f t="array" aca="1" ref="J41" ca="1">IF(AUTOEVENTO="Manual",ROUND(SUMPRODUCT((CÁLCULO!$M$15:$M$71=EVENTOS!$C41)*(OFFSET(CÁLCULO!$AA$15:$AA$71,0,J$13))),2),0)</f>
        <v>0</v>
      </c>
      <c r="K41" s="620" cm="1">
        <f t="array" aca="1" ref="K41" ca="1">IF(AUTOEVENTO="Manual",ROUND(SUMPRODUCT((CÁLCULO!$M$15:$M$71=EVENTOS!$C41)*(OFFSET(CÁLCULO!$AA$15:$AA$71,0,K$13))),2),0)</f>
        <v>0</v>
      </c>
      <c r="L41" s="620" cm="1">
        <f t="array" aca="1" ref="L41" ca="1">IF(AUTOEVENTO="Manual",ROUND(SUMPRODUCT((CÁLCULO!$M$15:$M$71=EVENTOS!$C41)*(OFFSET(CÁLCULO!$AA$15:$AA$71,0,L$13))),2),0)</f>
        <v>0</v>
      </c>
      <c r="M41" s="620" cm="1">
        <f t="array" aca="1" ref="M41" ca="1">IF(AUTOEVENTO="Manual",ROUND(SUMPRODUCT((CÁLCULO!$M$15:$M$71=EVENTOS!$C41)*(OFFSET(CÁLCULO!$AA$15:$AA$71,0,M$13))),2),0)</f>
        <v>0</v>
      </c>
      <c r="N41" s="620" cm="1">
        <f t="array" aca="1" ref="N41" ca="1">IF(AUTOEVENTO="Manual",ROUND(SUMPRODUCT((CÁLCULO!$M$15:$M$71=EVENTOS!$C41)*(OFFSET(CÁLCULO!$AA$15:$AA$71,0,N$13))),2),0)</f>
        <v>0</v>
      </c>
      <c r="O41" s="620" cm="1">
        <f t="array" aca="1" ref="O41" ca="1">IF(AUTOEVENTO="Manual",ROUND(SUMPRODUCT((CÁLCULO!$M$15:$M$71=EVENTOS!$C41)*(OFFSET(CÁLCULO!$AA$15:$AA$71,0,O$13))),2),0)</f>
        <v>0</v>
      </c>
      <c r="P41" s="620" cm="1">
        <f t="array" aca="1" ref="P41" ca="1">IF(AUTOEVENTO="Manual",ROUND(SUMPRODUCT((CÁLCULO!$M$15:$M$71=EVENTOS!$C41)*(OFFSET(CÁLCULO!$AA$15:$AA$71,0,P$13))),2),0)</f>
        <v>0</v>
      </c>
      <c r="Q41" s="620" cm="1">
        <f t="array" aca="1" ref="Q41" ca="1">IF(AUTOEVENTO="Manual",ROUND(SUMPRODUCT((CÁLCULO!$M$15:$M$71=EVENTOS!$C41)*(OFFSET(CÁLCULO!$AA$15:$AA$71,0,Q$13))),2),0)</f>
        <v>0</v>
      </c>
      <c r="R41" s="620" cm="1">
        <f t="array" aca="1" ref="R41" ca="1">IF(AUTOEVENTO="Manual",ROUND(SUMPRODUCT((CÁLCULO!$M$15:$M$71=EVENTOS!$C41)*(OFFSET(CÁLCULO!$AA$15:$AA$71,0,R$13))),2),0)</f>
        <v>0</v>
      </c>
      <c r="S41" s="620" cm="1">
        <f t="array" aca="1" ref="S41" ca="1">IF(AUTOEVENTO="Manual",ROUND(SUMPRODUCT((CÁLCULO!$M$15:$M$71=EVENTOS!$C41)*(OFFSET(CÁLCULO!$AA$15:$AA$71,0,S$13))),2),0)</f>
        <v>0</v>
      </c>
      <c r="T41" s="620" cm="1">
        <f t="array" aca="1" ref="T41" ca="1">IF(AUTOEVENTO="Manual",ROUND(SUMPRODUCT((CÁLCULO!$M$15:$M$71=EVENTOS!$C41)*(OFFSET(CÁLCULO!$AA$15:$AA$71,0,T$13))),2),0)</f>
        <v>0</v>
      </c>
      <c r="U41" s="620" cm="1">
        <f t="array" aca="1" ref="U41" ca="1">IF(AUTOEVENTO="Manual",ROUND(SUMPRODUCT((CÁLCULO!$M$15:$M$71=EVENTOS!$C41)*(OFFSET(CÁLCULO!$AA$15:$AA$71,0,U$13))),2),0)</f>
        <v>0</v>
      </c>
      <c r="V41" s="620" cm="1">
        <f t="array" aca="1" ref="V41" ca="1">IF(AUTOEVENTO="Manual",ROUND(SUMPRODUCT((CÁLCULO!$M$15:$M$71=EVENTOS!$C41)*(OFFSET(CÁLCULO!$AA$15:$AA$71,0,V$13))),2),0)</f>
        <v>0</v>
      </c>
      <c r="W41" s="620" cm="1">
        <f t="array" aca="1" ref="W41" ca="1">IF(AUTOEVENTO="Manual",ROUND(SUMPRODUCT((CÁLCULO!$M$15:$M$71=EVENTOS!$C41)*(OFFSET(CÁLCULO!$AA$15:$AA$71,0,W$13))),2),0)</f>
        <v>0</v>
      </c>
      <c r="X41" s="620" cm="1">
        <f t="array" aca="1" ref="X41" ca="1">IF(AUTOEVENTO="Manual",ROUND(SUMPRODUCT((CÁLCULO!$M$15:$M$71=EVENTOS!$C41)*(OFFSET(CÁLCULO!$AA$15:$AA$71,0,X$13))),2),0)</f>
        <v>0</v>
      </c>
      <c r="Y41" s="620" cm="1">
        <f t="array" aca="1" ref="Y41" ca="1">IF(AUTOEVENTO="Manual",ROUND(SUMPRODUCT((CÁLCULO!$M$15:$M$71=EVENTOS!$C41)*(OFFSET(CÁLCULO!$AA$15:$AA$71,0,Y$13))),2),0)</f>
        <v>0</v>
      </c>
    </row>
    <row r="42" spans="1:25" x14ac:dyDescent="0.2">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IF(AUTOEVENTO="Manual",ROUND(SUMPRODUCT((CÁLCULO!$M$15:$M$71=EVENTOS!$C42)*(OFFSET(CÁLCULO!$AA$15:$AA$71,0,E$13))),2),0)</f>
        <v>0</v>
      </c>
      <c r="F42" s="183">
        <f ca="1">IF(AUTOEVENTO="Manual",ROUND(SUMPRODUCT((CÁLCULO!$M$15:$M$71=EVENTOS!$C42)*(OFFSET(CÁLCULO!$AA$15,0,1):OFFSET(CÁLCULO!$AL$71,0,-1))),2),0)</f>
        <v>0</v>
      </c>
      <c r="G42" s="621" t="str">
        <f t="shared" ca="1" si="5"/>
        <v/>
      </c>
      <c r="H42" s="620" cm="1">
        <f t="array" aca="1" ref="H42" ca="1">IF(AUTOEVENTO="Manual",ROUND(SUMPRODUCT((CÁLCULO!$M$15:$M$71=EVENTOS!$C42)*(OFFSET(CÁLCULO!$AA$15:$AA$71,0,H$13))),2),0)</f>
        <v>0</v>
      </c>
      <c r="I42" s="620" cm="1">
        <f t="array" aca="1" ref="I42" ca="1">IF(AUTOEVENTO="Manual",ROUND(SUMPRODUCT((CÁLCULO!$M$15:$M$71=EVENTOS!$C42)*(OFFSET(CÁLCULO!$AA$15:$AA$71,0,I$13))),2),0)</f>
        <v>0</v>
      </c>
      <c r="J42" s="620" cm="1">
        <f t="array" aca="1" ref="J42" ca="1">IF(AUTOEVENTO="Manual",ROUND(SUMPRODUCT((CÁLCULO!$M$15:$M$71=EVENTOS!$C42)*(OFFSET(CÁLCULO!$AA$15:$AA$71,0,J$13))),2),0)</f>
        <v>0</v>
      </c>
      <c r="K42" s="620" cm="1">
        <f t="array" aca="1" ref="K42" ca="1">IF(AUTOEVENTO="Manual",ROUND(SUMPRODUCT((CÁLCULO!$M$15:$M$71=EVENTOS!$C42)*(OFFSET(CÁLCULO!$AA$15:$AA$71,0,K$13))),2),0)</f>
        <v>0</v>
      </c>
      <c r="L42" s="620" cm="1">
        <f t="array" aca="1" ref="L42" ca="1">IF(AUTOEVENTO="Manual",ROUND(SUMPRODUCT((CÁLCULO!$M$15:$M$71=EVENTOS!$C42)*(OFFSET(CÁLCULO!$AA$15:$AA$71,0,L$13))),2),0)</f>
        <v>0</v>
      </c>
      <c r="M42" s="620" cm="1">
        <f t="array" aca="1" ref="M42" ca="1">IF(AUTOEVENTO="Manual",ROUND(SUMPRODUCT((CÁLCULO!$M$15:$M$71=EVENTOS!$C42)*(OFFSET(CÁLCULO!$AA$15:$AA$71,0,M$13))),2),0)</f>
        <v>0</v>
      </c>
      <c r="N42" s="620" cm="1">
        <f t="array" aca="1" ref="N42" ca="1">IF(AUTOEVENTO="Manual",ROUND(SUMPRODUCT((CÁLCULO!$M$15:$M$71=EVENTOS!$C42)*(OFFSET(CÁLCULO!$AA$15:$AA$71,0,N$13))),2),0)</f>
        <v>0</v>
      </c>
      <c r="O42" s="620" cm="1">
        <f t="array" aca="1" ref="O42" ca="1">IF(AUTOEVENTO="Manual",ROUND(SUMPRODUCT((CÁLCULO!$M$15:$M$71=EVENTOS!$C42)*(OFFSET(CÁLCULO!$AA$15:$AA$71,0,O$13))),2),0)</f>
        <v>0</v>
      </c>
      <c r="P42" s="620" cm="1">
        <f t="array" aca="1" ref="P42" ca="1">IF(AUTOEVENTO="Manual",ROUND(SUMPRODUCT((CÁLCULO!$M$15:$M$71=EVENTOS!$C42)*(OFFSET(CÁLCULO!$AA$15:$AA$71,0,P$13))),2),0)</f>
        <v>0</v>
      </c>
      <c r="Q42" s="620" cm="1">
        <f t="array" aca="1" ref="Q42" ca="1">IF(AUTOEVENTO="Manual",ROUND(SUMPRODUCT((CÁLCULO!$M$15:$M$71=EVENTOS!$C42)*(OFFSET(CÁLCULO!$AA$15:$AA$71,0,Q$13))),2),0)</f>
        <v>0</v>
      </c>
      <c r="R42" s="620" cm="1">
        <f t="array" aca="1" ref="R42" ca="1">IF(AUTOEVENTO="Manual",ROUND(SUMPRODUCT((CÁLCULO!$M$15:$M$71=EVENTOS!$C42)*(OFFSET(CÁLCULO!$AA$15:$AA$71,0,R$13))),2),0)</f>
        <v>0</v>
      </c>
      <c r="S42" s="620" cm="1">
        <f t="array" aca="1" ref="S42" ca="1">IF(AUTOEVENTO="Manual",ROUND(SUMPRODUCT((CÁLCULO!$M$15:$M$71=EVENTOS!$C42)*(OFFSET(CÁLCULO!$AA$15:$AA$71,0,S$13))),2),0)</f>
        <v>0</v>
      </c>
      <c r="T42" s="620" cm="1">
        <f t="array" aca="1" ref="T42" ca="1">IF(AUTOEVENTO="Manual",ROUND(SUMPRODUCT((CÁLCULO!$M$15:$M$71=EVENTOS!$C42)*(OFFSET(CÁLCULO!$AA$15:$AA$71,0,T$13))),2),0)</f>
        <v>0</v>
      </c>
      <c r="U42" s="620" cm="1">
        <f t="array" aca="1" ref="U42" ca="1">IF(AUTOEVENTO="Manual",ROUND(SUMPRODUCT((CÁLCULO!$M$15:$M$71=EVENTOS!$C42)*(OFFSET(CÁLCULO!$AA$15:$AA$71,0,U$13))),2),0)</f>
        <v>0</v>
      </c>
      <c r="V42" s="620" cm="1">
        <f t="array" aca="1" ref="V42" ca="1">IF(AUTOEVENTO="Manual",ROUND(SUMPRODUCT((CÁLCULO!$M$15:$M$71=EVENTOS!$C42)*(OFFSET(CÁLCULO!$AA$15:$AA$71,0,V$13))),2),0)</f>
        <v>0</v>
      </c>
      <c r="W42" s="620" cm="1">
        <f t="array" aca="1" ref="W42" ca="1">IF(AUTOEVENTO="Manual",ROUND(SUMPRODUCT((CÁLCULO!$M$15:$M$71=EVENTOS!$C42)*(OFFSET(CÁLCULO!$AA$15:$AA$71,0,W$13))),2),0)</f>
        <v>0</v>
      </c>
      <c r="X42" s="620" cm="1">
        <f t="array" aca="1" ref="X42" ca="1">IF(AUTOEVENTO="Manual",ROUND(SUMPRODUCT((CÁLCULO!$M$15:$M$71=EVENTOS!$C42)*(OFFSET(CÁLCULO!$AA$15:$AA$71,0,X$13))),2),0)</f>
        <v>0</v>
      </c>
      <c r="Y42" s="620" cm="1">
        <f t="array" aca="1" ref="Y42" ca="1">IF(AUTOEVENTO="Manual",ROUND(SUMPRODUCT((CÁLCULO!$M$15:$M$71=EVENTOS!$C42)*(OFFSET(CÁLCULO!$AA$15:$AA$71,0,Y$13))),2),0)</f>
        <v>0</v>
      </c>
    </row>
    <row r="43" spans="1:25" x14ac:dyDescent="0.2">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IF(AUTOEVENTO="Manual",ROUND(SUMPRODUCT((CÁLCULO!$M$15:$M$71=EVENTOS!$C43)*(OFFSET(CÁLCULO!$AA$15:$AA$71,0,E$13))),2),0)</f>
        <v>0</v>
      </c>
      <c r="F43" s="183">
        <f ca="1">IF(AUTOEVENTO="Manual",ROUND(SUMPRODUCT((CÁLCULO!$M$15:$M$71=EVENTOS!$C43)*(OFFSET(CÁLCULO!$AA$15,0,1):OFFSET(CÁLCULO!$AL$71,0,-1))),2),0)</f>
        <v>0</v>
      </c>
      <c r="G43" s="621" t="str">
        <f t="shared" ca="1" si="5"/>
        <v/>
      </c>
      <c r="H43" s="620" cm="1">
        <f t="array" aca="1" ref="H43" ca="1">IF(AUTOEVENTO="Manual",ROUND(SUMPRODUCT((CÁLCULO!$M$15:$M$71=EVENTOS!$C43)*(OFFSET(CÁLCULO!$AA$15:$AA$71,0,H$13))),2),0)</f>
        <v>0</v>
      </c>
      <c r="I43" s="620" cm="1">
        <f t="array" aca="1" ref="I43" ca="1">IF(AUTOEVENTO="Manual",ROUND(SUMPRODUCT((CÁLCULO!$M$15:$M$71=EVENTOS!$C43)*(OFFSET(CÁLCULO!$AA$15:$AA$71,0,I$13))),2),0)</f>
        <v>0</v>
      </c>
      <c r="J43" s="620" cm="1">
        <f t="array" aca="1" ref="J43" ca="1">IF(AUTOEVENTO="Manual",ROUND(SUMPRODUCT((CÁLCULO!$M$15:$M$71=EVENTOS!$C43)*(OFFSET(CÁLCULO!$AA$15:$AA$71,0,J$13))),2),0)</f>
        <v>0</v>
      </c>
      <c r="K43" s="620" cm="1">
        <f t="array" aca="1" ref="K43" ca="1">IF(AUTOEVENTO="Manual",ROUND(SUMPRODUCT((CÁLCULO!$M$15:$M$71=EVENTOS!$C43)*(OFFSET(CÁLCULO!$AA$15:$AA$71,0,K$13))),2),0)</f>
        <v>0</v>
      </c>
      <c r="L43" s="620" cm="1">
        <f t="array" aca="1" ref="L43" ca="1">IF(AUTOEVENTO="Manual",ROUND(SUMPRODUCT((CÁLCULO!$M$15:$M$71=EVENTOS!$C43)*(OFFSET(CÁLCULO!$AA$15:$AA$71,0,L$13))),2),0)</f>
        <v>0</v>
      </c>
      <c r="M43" s="620" cm="1">
        <f t="array" aca="1" ref="M43" ca="1">IF(AUTOEVENTO="Manual",ROUND(SUMPRODUCT((CÁLCULO!$M$15:$M$71=EVENTOS!$C43)*(OFFSET(CÁLCULO!$AA$15:$AA$71,0,M$13))),2),0)</f>
        <v>0</v>
      </c>
      <c r="N43" s="620" cm="1">
        <f t="array" aca="1" ref="N43" ca="1">IF(AUTOEVENTO="Manual",ROUND(SUMPRODUCT((CÁLCULO!$M$15:$M$71=EVENTOS!$C43)*(OFFSET(CÁLCULO!$AA$15:$AA$71,0,N$13))),2),0)</f>
        <v>0</v>
      </c>
      <c r="O43" s="620" cm="1">
        <f t="array" aca="1" ref="O43" ca="1">IF(AUTOEVENTO="Manual",ROUND(SUMPRODUCT((CÁLCULO!$M$15:$M$71=EVENTOS!$C43)*(OFFSET(CÁLCULO!$AA$15:$AA$71,0,O$13))),2),0)</f>
        <v>0</v>
      </c>
      <c r="P43" s="620" cm="1">
        <f t="array" aca="1" ref="P43" ca="1">IF(AUTOEVENTO="Manual",ROUND(SUMPRODUCT((CÁLCULO!$M$15:$M$71=EVENTOS!$C43)*(OFFSET(CÁLCULO!$AA$15:$AA$71,0,P$13))),2),0)</f>
        <v>0</v>
      </c>
      <c r="Q43" s="620" cm="1">
        <f t="array" aca="1" ref="Q43" ca="1">IF(AUTOEVENTO="Manual",ROUND(SUMPRODUCT((CÁLCULO!$M$15:$M$71=EVENTOS!$C43)*(OFFSET(CÁLCULO!$AA$15:$AA$71,0,Q$13))),2),0)</f>
        <v>0</v>
      </c>
      <c r="R43" s="620" cm="1">
        <f t="array" aca="1" ref="R43" ca="1">IF(AUTOEVENTO="Manual",ROUND(SUMPRODUCT((CÁLCULO!$M$15:$M$71=EVENTOS!$C43)*(OFFSET(CÁLCULO!$AA$15:$AA$71,0,R$13))),2),0)</f>
        <v>0</v>
      </c>
      <c r="S43" s="620" cm="1">
        <f t="array" aca="1" ref="S43" ca="1">IF(AUTOEVENTO="Manual",ROUND(SUMPRODUCT((CÁLCULO!$M$15:$M$71=EVENTOS!$C43)*(OFFSET(CÁLCULO!$AA$15:$AA$71,0,S$13))),2),0)</f>
        <v>0</v>
      </c>
      <c r="T43" s="620" cm="1">
        <f t="array" aca="1" ref="T43" ca="1">IF(AUTOEVENTO="Manual",ROUND(SUMPRODUCT((CÁLCULO!$M$15:$M$71=EVENTOS!$C43)*(OFFSET(CÁLCULO!$AA$15:$AA$71,0,T$13))),2),0)</f>
        <v>0</v>
      </c>
      <c r="U43" s="620" cm="1">
        <f t="array" aca="1" ref="U43" ca="1">IF(AUTOEVENTO="Manual",ROUND(SUMPRODUCT((CÁLCULO!$M$15:$M$71=EVENTOS!$C43)*(OFFSET(CÁLCULO!$AA$15:$AA$71,0,U$13))),2),0)</f>
        <v>0</v>
      </c>
      <c r="V43" s="620" cm="1">
        <f t="array" aca="1" ref="V43" ca="1">IF(AUTOEVENTO="Manual",ROUND(SUMPRODUCT((CÁLCULO!$M$15:$M$71=EVENTOS!$C43)*(OFFSET(CÁLCULO!$AA$15:$AA$71,0,V$13))),2),0)</f>
        <v>0</v>
      </c>
      <c r="W43" s="620" cm="1">
        <f t="array" aca="1" ref="W43" ca="1">IF(AUTOEVENTO="Manual",ROUND(SUMPRODUCT((CÁLCULO!$M$15:$M$71=EVENTOS!$C43)*(OFFSET(CÁLCULO!$AA$15:$AA$71,0,W$13))),2),0)</f>
        <v>0</v>
      </c>
      <c r="X43" s="620" cm="1">
        <f t="array" aca="1" ref="X43" ca="1">IF(AUTOEVENTO="Manual",ROUND(SUMPRODUCT((CÁLCULO!$M$15:$M$71=EVENTOS!$C43)*(OFFSET(CÁLCULO!$AA$15:$AA$71,0,X$13))),2),0)</f>
        <v>0</v>
      </c>
      <c r="Y43" s="620" cm="1">
        <f t="array" aca="1" ref="Y43" ca="1">IF(AUTOEVENTO="Manual",ROUND(SUMPRODUCT((CÁLCULO!$M$15:$M$71=EVENTOS!$C43)*(OFFSET(CÁLCULO!$AA$15:$AA$71,0,Y$13))),2),0)</f>
        <v>0</v>
      </c>
    </row>
    <row r="44" spans="1:25" x14ac:dyDescent="0.2">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IF(AUTOEVENTO="Manual",ROUND(SUMPRODUCT((CÁLCULO!$M$15:$M$71=EVENTOS!$C44)*(OFFSET(CÁLCULO!$AA$15:$AA$71,0,E$13))),2),0)</f>
        <v>0</v>
      </c>
      <c r="F44" s="183">
        <f ca="1">IF(AUTOEVENTO="Manual",ROUND(SUMPRODUCT((CÁLCULO!$M$15:$M$71=EVENTOS!$C44)*(OFFSET(CÁLCULO!$AA$15,0,1):OFFSET(CÁLCULO!$AL$71,0,-1))),2),0)</f>
        <v>0</v>
      </c>
      <c r="G44" s="621" t="str">
        <f t="shared" ca="1" si="5"/>
        <v/>
      </c>
      <c r="H44" s="620" cm="1">
        <f t="array" aca="1" ref="H44" ca="1">IF(AUTOEVENTO="Manual",ROUND(SUMPRODUCT((CÁLCULO!$M$15:$M$71=EVENTOS!$C44)*(OFFSET(CÁLCULO!$AA$15:$AA$71,0,H$13))),2),0)</f>
        <v>0</v>
      </c>
      <c r="I44" s="620" cm="1">
        <f t="array" aca="1" ref="I44" ca="1">IF(AUTOEVENTO="Manual",ROUND(SUMPRODUCT((CÁLCULO!$M$15:$M$71=EVENTOS!$C44)*(OFFSET(CÁLCULO!$AA$15:$AA$71,0,I$13))),2),0)</f>
        <v>0</v>
      </c>
      <c r="J44" s="620" cm="1">
        <f t="array" aca="1" ref="J44" ca="1">IF(AUTOEVENTO="Manual",ROUND(SUMPRODUCT((CÁLCULO!$M$15:$M$71=EVENTOS!$C44)*(OFFSET(CÁLCULO!$AA$15:$AA$71,0,J$13))),2),0)</f>
        <v>0</v>
      </c>
      <c r="K44" s="620" cm="1">
        <f t="array" aca="1" ref="K44" ca="1">IF(AUTOEVENTO="Manual",ROUND(SUMPRODUCT((CÁLCULO!$M$15:$M$71=EVENTOS!$C44)*(OFFSET(CÁLCULO!$AA$15:$AA$71,0,K$13))),2),0)</f>
        <v>0</v>
      </c>
      <c r="L44" s="620" cm="1">
        <f t="array" aca="1" ref="L44" ca="1">IF(AUTOEVENTO="Manual",ROUND(SUMPRODUCT((CÁLCULO!$M$15:$M$71=EVENTOS!$C44)*(OFFSET(CÁLCULO!$AA$15:$AA$71,0,L$13))),2),0)</f>
        <v>0</v>
      </c>
      <c r="M44" s="620" cm="1">
        <f t="array" aca="1" ref="M44" ca="1">IF(AUTOEVENTO="Manual",ROUND(SUMPRODUCT((CÁLCULO!$M$15:$M$71=EVENTOS!$C44)*(OFFSET(CÁLCULO!$AA$15:$AA$71,0,M$13))),2),0)</f>
        <v>0</v>
      </c>
      <c r="N44" s="620" cm="1">
        <f t="array" aca="1" ref="N44" ca="1">IF(AUTOEVENTO="Manual",ROUND(SUMPRODUCT((CÁLCULO!$M$15:$M$71=EVENTOS!$C44)*(OFFSET(CÁLCULO!$AA$15:$AA$71,0,N$13))),2),0)</f>
        <v>0</v>
      </c>
      <c r="O44" s="620" cm="1">
        <f t="array" aca="1" ref="O44" ca="1">IF(AUTOEVENTO="Manual",ROUND(SUMPRODUCT((CÁLCULO!$M$15:$M$71=EVENTOS!$C44)*(OFFSET(CÁLCULO!$AA$15:$AA$71,0,O$13))),2),0)</f>
        <v>0</v>
      </c>
      <c r="P44" s="620" cm="1">
        <f t="array" aca="1" ref="P44" ca="1">IF(AUTOEVENTO="Manual",ROUND(SUMPRODUCT((CÁLCULO!$M$15:$M$71=EVENTOS!$C44)*(OFFSET(CÁLCULO!$AA$15:$AA$71,0,P$13))),2),0)</f>
        <v>0</v>
      </c>
      <c r="Q44" s="620" cm="1">
        <f t="array" aca="1" ref="Q44" ca="1">IF(AUTOEVENTO="Manual",ROUND(SUMPRODUCT((CÁLCULO!$M$15:$M$71=EVENTOS!$C44)*(OFFSET(CÁLCULO!$AA$15:$AA$71,0,Q$13))),2),0)</f>
        <v>0</v>
      </c>
      <c r="R44" s="620" cm="1">
        <f t="array" aca="1" ref="R44" ca="1">IF(AUTOEVENTO="Manual",ROUND(SUMPRODUCT((CÁLCULO!$M$15:$M$71=EVENTOS!$C44)*(OFFSET(CÁLCULO!$AA$15:$AA$71,0,R$13))),2),0)</f>
        <v>0</v>
      </c>
      <c r="S44" s="620" cm="1">
        <f t="array" aca="1" ref="S44" ca="1">IF(AUTOEVENTO="Manual",ROUND(SUMPRODUCT((CÁLCULO!$M$15:$M$71=EVENTOS!$C44)*(OFFSET(CÁLCULO!$AA$15:$AA$71,0,S$13))),2),0)</f>
        <v>0</v>
      </c>
      <c r="T44" s="620" cm="1">
        <f t="array" aca="1" ref="T44" ca="1">IF(AUTOEVENTO="Manual",ROUND(SUMPRODUCT((CÁLCULO!$M$15:$M$71=EVENTOS!$C44)*(OFFSET(CÁLCULO!$AA$15:$AA$71,0,T$13))),2),0)</f>
        <v>0</v>
      </c>
      <c r="U44" s="620" cm="1">
        <f t="array" aca="1" ref="U44" ca="1">IF(AUTOEVENTO="Manual",ROUND(SUMPRODUCT((CÁLCULO!$M$15:$M$71=EVENTOS!$C44)*(OFFSET(CÁLCULO!$AA$15:$AA$71,0,U$13))),2),0)</f>
        <v>0</v>
      </c>
      <c r="V44" s="620" cm="1">
        <f t="array" aca="1" ref="V44" ca="1">IF(AUTOEVENTO="Manual",ROUND(SUMPRODUCT((CÁLCULO!$M$15:$M$71=EVENTOS!$C44)*(OFFSET(CÁLCULO!$AA$15:$AA$71,0,V$13))),2),0)</f>
        <v>0</v>
      </c>
      <c r="W44" s="620" cm="1">
        <f t="array" aca="1" ref="W44" ca="1">IF(AUTOEVENTO="Manual",ROUND(SUMPRODUCT((CÁLCULO!$M$15:$M$71=EVENTOS!$C44)*(OFFSET(CÁLCULO!$AA$15:$AA$71,0,W$13))),2),0)</f>
        <v>0</v>
      </c>
      <c r="X44" s="620" cm="1">
        <f t="array" aca="1" ref="X44" ca="1">IF(AUTOEVENTO="Manual",ROUND(SUMPRODUCT((CÁLCULO!$M$15:$M$71=EVENTOS!$C44)*(OFFSET(CÁLCULO!$AA$15:$AA$71,0,X$13))),2),0)</f>
        <v>0</v>
      </c>
      <c r="Y44" s="620" cm="1">
        <f t="array" aca="1" ref="Y44" ca="1">IF(AUTOEVENTO="Manual",ROUND(SUMPRODUCT((CÁLCULO!$M$15:$M$71=EVENTOS!$C44)*(OFFSET(CÁLCULO!$AA$15:$AA$71,0,Y$13))),2),0)</f>
        <v>0</v>
      </c>
    </row>
    <row r="45" spans="1:25" x14ac:dyDescent="0.2">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IF(AUTOEVENTO="Manual",ROUND(SUMPRODUCT((CÁLCULO!$M$15:$M$71=EVENTOS!$C45)*(OFFSET(CÁLCULO!$AA$15:$AA$71,0,E$13))),2),0)</f>
        <v>0</v>
      </c>
      <c r="F45" s="183">
        <f ca="1">IF(AUTOEVENTO="Manual",ROUND(SUMPRODUCT((CÁLCULO!$M$15:$M$71=EVENTOS!$C45)*(OFFSET(CÁLCULO!$AA$15,0,1):OFFSET(CÁLCULO!$AL$71,0,-1))),2),0)</f>
        <v>0</v>
      </c>
      <c r="G45" s="621" t="str">
        <f t="shared" ca="1" si="5"/>
        <v/>
      </c>
      <c r="H45" s="620" cm="1">
        <f t="array" aca="1" ref="H45" ca="1">IF(AUTOEVENTO="Manual",ROUND(SUMPRODUCT((CÁLCULO!$M$15:$M$71=EVENTOS!$C45)*(OFFSET(CÁLCULO!$AA$15:$AA$71,0,H$13))),2),0)</f>
        <v>0</v>
      </c>
      <c r="I45" s="620" cm="1">
        <f t="array" aca="1" ref="I45" ca="1">IF(AUTOEVENTO="Manual",ROUND(SUMPRODUCT((CÁLCULO!$M$15:$M$71=EVENTOS!$C45)*(OFFSET(CÁLCULO!$AA$15:$AA$71,0,I$13))),2),0)</f>
        <v>0</v>
      </c>
      <c r="J45" s="620" cm="1">
        <f t="array" aca="1" ref="J45" ca="1">IF(AUTOEVENTO="Manual",ROUND(SUMPRODUCT((CÁLCULO!$M$15:$M$71=EVENTOS!$C45)*(OFFSET(CÁLCULO!$AA$15:$AA$71,0,J$13))),2),0)</f>
        <v>0</v>
      </c>
      <c r="K45" s="620" cm="1">
        <f t="array" aca="1" ref="K45" ca="1">IF(AUTOEVENTO="Manual",ROUND(SUMPRODUCT((CÁLCULO!$M$15:$M$71=EVENTOS!$C45)*(OFFSET(CÁLCULO!$AA$15:$AA$71,0,K$13))),2),0)</f>
        <v>0</v>
      </c>
      <c r="L45" s="620" cm="1">
        <f t="array" aca="1" ref="L45" ca="1">IF(AUTOEVENTO="Manual",ROUND(SUMPRODUCT((CÁLCULO!$M$15:$M$71=EVENTOS!$C45)*(OFFSET(CÁLCULO!$AA$15:$AA$71,0,L$13))),2),0)</f>
        <v>0</v>
      </c>
      <c r="M45" s="620" cm="1">
        <f t="array" aca="1" ref="M45" ca="1">IF(AUTOEVENTO="Manual",ROUND(SUMPRODUCT((CÁLCULO!$M$15:$M$71=EVENTOS!$C45)*(OFFSET(CÁLCULO!$AA$15:$AA$71,0,M$13))),2),0)</f>
        <v>0</v>
      </c>
      <c r="N45" s="620" cm="1">
        <f t="array" aca="1" ref="N45" ca="1">IF(AUTOEVENTO="Manual",ROUND(SUMPRODUCT((CÁLCULO!$M$15:$M$71=EVENTOS!$C45)*(OFFSET(CÁLCULO!$AA$15:$AA$71,0,N$13))),2),0)</f>
        <v>0</v>
      </c>
      <c r="O45" s="620" cm="1">
        <f t="array" aca="1" ref="O45" ca="1">IF(AUTOEVENTO="Manual",ROUND(SUMPRODUCT((CÁLCULO!$M$15:$M$71=EVENTOS!$C45)*(OFFSET(CÁLCULO!$AA$15:$AA$71,0,O$13))),2),0)</f>
        <v>0</v>
      </c>
      <c r="P45" s="620" cm="1">
        <f t="array" aca="1" ref="P45" ca="1">IF(AUTOEVENTO="Manual",ROUND(SUMPRODUCT((CÁLCULO!$M$15:$M$71=EVENTOS!$C45)*(OFFSET(CÁLCULO!$AA$15:$AA$71,0,P$13))),2),0)</f>
        <v>0</v>
      </c>
      <c r="Q45" s="620" cm="1">
        <f t="array" aca="1" ref="Q45" ca="1">IF(AUTOEVENTO="Manual",ROUND(SUMPRODUCT((CÁLCULO!$M$15:$M$71=EVENTOS!$C45)*(OFFSET(CÁLCULO!$AA$15:$AA$71,0,Q$13))),2),0)</f>
        <v>0</v>
      </c>
      <c r="R45" s="620" cm="1">
        <f t="array" aca="1" ref="R45" ca="1">IF(AUTOEVENTO="Manual",ROUND(SUMPRODUCT((CÁLCULO!$M$15:$M$71=EVENTOS!$C45)*(OFFSET(CÁLCULO!$AA$15:$AA$71,0,R$13))),2),0)</f>
        <v>0</v>
      </c>
      <c r="S45" s="620" cm="1">
        <f t="array" aca="1" ref="S45" ca="1">IF(AUTOEVENTO="Manual",ROUND(SUMPRODUCT((CÁLCULO!$M$15:$M$71=EVENTOS!$C45)*(OFFSET(CÁLCULO!$AA$15:$AA$71,0,S$13))),2),0)</f>
        <v>0</v>
      </c>
      <c r="T45" s="620" cm="1">
        <f t="array" aca="1" ref="T45" ca="1">IF(AUTOEVENTO="Manual",ROUND(SUMPRODUCT((CÁLCULO!$M$15:$M$71=EVENTOS!$C45)*(OFFSET(CÁLCULO!$AA$15:$AA$71,0,T$13))),2),0)</f>
        <v>0</v>
      </c>
      <c r="U45" s="620" cm="1">
        <f t="array" aca="1" ref="U45" ca="1">IF(AUTOEVENTO="Manual",ROUND(SUMPRODUCT((CÁLCULO!$M$15:$M$71=EVENTOS!$C45)*(OFFSET(CÁLCULO!$AA$15:$AA$71,0,U$13))),2),0)</f>
        <v>0</v>
      </c>
      <c r="V45" s="620" cm="1">
        <f t="array" aca="1" ref="V45" ca="1">IF(AUTOEVENTO="Manual",ROUND(SUMPRODUCT((CÁLCULO!$M$15:$M$71=EVENTOS!$C45)*(OFFSET(CÁLCULO!$AA$15:$AA$71,0,V$13))),2),0)</f>
        <v>0</v>
      </c>
      <c r="W45" s="620" cm="1">
        <f t="array" aca="1" ref="W45" ca="1">IF(AUTOEVENTO="Manual",ROUND(SUMPRODUCT((CÁLCULO!$M$15:$M$71=EVENTOS!$C45)*(OFFSET(CÁLCULO!$AA$15:$AA$71,0,W$13))),2),0)</f>
        <v>0</v>
      </c>
      <c r="X45" s="620" cm="1">
        <f t="array" aca="1" ref="X45" ca="1">IF(AUTOEVENTO="Manual",ROUND(SUMPRODUCT((CÁLCULO!$M$15:$M$71=EVENTOS!$C45)*(OFFSET(CÁLCULO!$AA$15:$AA$71,0,X$13))),2),0)</f>
        <v>0</v>
      </c>
      <c r="Y45" s="620" cm="1">
        <f t="array" aca="1" ref="Y45" ca="1">IF(AUTOEVENTO="Manual",ROUND(SUMPRODUCT((CÁLCULO!$M$15:$M$71=EVENTOS!$C45)*(OFFSET(CÁLCULO!$AA$15:$AA$71,0,Y$13))),2),0)</f>
        <v>0</v>
      </c>
    </row>
    <row r="46" spans="1:25" x14ac:dyDescent="0.2">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IF(AUTOEVENTO="Manual",ROUND(SUMPRODUCT((CÁLCULO!$M$15:$M$71=EVENTOS!$C46)*(OFFSET(CÁLCULO!$AA$15:$AA$71,0,E$13))),2),0)</f>
        <v>0</v>
      </c>
      <c r="F46" s="183">
        <f ca="1">IF(AUTOEVENTO="Manual",ROUND(SUMPRODUCT((CÁLCULO!$M$15:$M$71=EVENTOS!$C46)*(OFFSET(CÁLCULO!$AA$15,0,1):OFFSET(CÁLCULO!$AL$71,0,-1))),2),0)</f>
        <v>0</v>
      </c>
      <c r="G46" s="621" t="str">
        <f t="shared" ca="1" si="5"/>
        <v/>
      </c>
      <c r="H46" s="620" cm="1">
        <f t="array" aca="1" ref="H46" ca="1">IF(AUTOEVENTO="Manual",ROUND(SUMPRODUCT((CÁLCULO!$M$15:$M$71=EVENTOS!$C46)*(OFFSET(CÁLCULO!$AA$15:$AA$71,0,H$13))),2),0)</f>
        <v>0</v>
      </c>
      <c r="I46" s="620" cm="1">
        <f t="array" aca="1" ref="I46" ca="1">IF(AUTOEVENTO="Manual",ROUND(SUMPRODUCT((CÁLCULO!$M$15:$M$71=EVENTOS!$C46)*(OFFSET(CÁLCULO!$AA$15:$AA$71,0,I$13))),2),0)</f>
        <v>0</v>
      </c>
      <c r="J46" s="620" cm="1">
        <f t="array" aca="1" ref="J46" ca="1">IF(AUTOEVENTO="Manual",ROUND(SUMPRODUCT((CÁLCULO!$M$15:$M$71=EVENTOS!$C46)*(OFFSET(CÁLCULO!$AA$15:$AA$71,0,J$13))),2),0)</f>
        <v>0</v>
      </c>
      <c r="K46" s="620" cm="1">
        <f t="array" aca="1" ref="K46" ca="1">IF(AUTOEVENTO="Manual",ROUND(SUMPRODUCT((CÁLCULO!$M$15:$M$71=EVENTOS!$C46)*(OFFSET(CÁLCULO!$AA$15:$AA$71,0,K$13))),2),0)</f>
        <v>0</v>
      </c>
      <c r="L46" s="620" cm="1">
        <f t="array" aca="1" ref="L46" ca="1">IF(AUTOEVENTO="Manual",ROUND(SUMPRODUCT((CÁLCULO!$M$15:$M$71=EVENTOS!$C46)*(OFFSET(CÁLCULO!$AA$15:$AA$71,0,L$13))),2),0)</f>
        <v>0</v>
      </c>
      <c r="M46" s="620" cm="1">
        <f t="array" aca="1" ref="M46" ca="1">IF(AUTOEVENTO="Manual",ROUND(SUMPRODUCT((CÁLCULO!$M$15:$M$71=EVENTOS!$C46)*(OFFSET(CÁLCULO!$AA$15:$AA$71,0,M$13))),2),0)</f>
        <v>0</v>
      </c>
      <c r="N46" s="620" cm="1">
        <f t="array" aca="1" ref="N46" ca="1">IF(AUTOEVENTO="Manual",ROUND(SUMPRODUCT((CÁLCULO!$M$15:$M$71=EVENTOS!$C46)*(OFFSET(CÁLCULO!$AA$15:$AA$71,0,N$13))),2),0)</f>
        <v>0</v>
      </c>
      <c r="O46" s="620" cm="1">
        <f t="array" aca="1" ref="O46" ca="1">IF(AUTOEVENTO="Manual",ROUND(SUMPRODUCT((CÁLCULO!$M$15:$M$71=EVENTOS!$C46)*(OFFSET(CÁLCULO!$AA$15:$AA$71,0,O$13))),2),0)</f>
        <v>0</v>
      </c>
      <c r="P46" s="620" cm="1">
        <f t="array" aca="1" ref="P46" ca="1">IF(AUTOEVENTO="Manual",ROUND(SUMPRODUCT((CÁLCULO!$M$15:$M$71=EVENTOS!$C46)*(OFFSET(CÁLCULO!$AA$15:$AA$71,0,P$13))),2),0)</f>
        <v>0</v>
      </c>
      <c r="Q46" s="620" cm="1">
        <f t="array" aca="1" ref="Q46" ca="1">IF(AUTOEVENTO="Manual",ROUND(SUMPRODUCT((CÁLCULO!$M$15:$M$71=EVENTOS!$C46)*(OFFSET(CÁLCULO!$AA$15:$AA$71,0,Q$13))),2),0)</f>
        <v>0</v>
      </c>
      <c r="R46" s="620" cm="1">
        <f t="array" aca="1" ref="R46" ca="1">IF(AUTOEVENTO="Manual",ROUND(SUMPRODUCT((CÁLCULO!$M$15:$M$71=EVENTOS!$C46)*(OFFSET(CÁLCULO!$AA$15:$AA$71,0,R$13))),2),0)</f>
        <v>0</v>
      </c>
      <c r="S46" s="620" cm="1">
        <f t="array" aca="1" ref="S46" ca="1">IF(AUTOEVENTO="Manual",ROUND(SUMPRODUCT((CÁLCULO!$M$15:$M$71=EVENTOS!$C46)*(OFFSET(CÁLCULO!$AA$15:$AA$71,0,S$13))),2),0)</f>
        <v>0</v>
      </c>
      <c r="T46" s="620" cm="1">
        <f t="array" aca="1" ref="T46" ca="1">IF(AUTOEVENTO="Manual",ROUND(SUMPRODUCT((CÁLCULO!$M$15:$M$71=EVENTOS!$C46)*(OFFSET(CÁLCULO!$AA$15:$AA$71,0,T$13))),2),0)</f>
        <v>0</v>
      </c>
      <c r="U46" s="620" cm="1">
        <f t="array" aca="1" ref="U46" ca="1">IF(AUTOEVENTO="Manual",ROUND(SUMPRODUCT((CÁLCULO!$M$15:$M$71=EVENTOS!$C46)*(OFFSET(CÁLCULO!$AA$15:$AA$71,0,U$13))),2),0)</f>
        <v>0</v>
      </c>
      <c r="V46" s="620" cm="1">
        <f t="array" aca="1" ref="V46" ca="1">IF(AUTOEVENTO="Manual",ROUND(SUMPRODUCT((CÁLCULO!$M$15:$M$71=EVENTOS!$C46)*(OFFSET(CÁLCULO!$AA$15:$AA$71,0,V$13))),2),0)</f>
        <v>0</v>
      </c>
      <c r="W46" s="620" cm="1">
        <f t="array" aca="1" ref="W46" ca="1">IF(AUTOEVENTO="Manual",ROUND(SUMPRODUCT((CÁLCULO!$M$15:$M$71=EVENTOS!$C46)*(OFFSET(CÁLCULO!$AA$15:$AA$71,0,W$13))),2),0)</f>
        <v>0</v>
      </c>
      <c r="X46" s="620" cm="1">
        <f t="array" aca="1" ref="X46" ca="1">IF(AUTOEVENTO="Manual",ROUND(SUMPRODUCT((CÁLCULO!$M$15:$M$71=EVENTOS!$C46)*(OFFSET(CÁLCULO!$AA$15:$AA$71,0,X$13))),2),0)</f>
        <v>0</v>
      </c>
      <c r="Y46" s="620" cm="1">
        <f t="array" aca="1" ref="Y46" ca="1">IF(AUTOEVENTO="Manual",ROUND(SUMPRODUCT((CÁLCULO!$M$15:$M$71=EVENTOS!$C46)*(OFFSET(CÁLCULO!$AA$15:$AA$71,0,Y$13))),2),0)</f>
        <v>0</v>
      </c>
    </row>
    <row r="47" spans="1:25" x14ac:dyDescent="0.2">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IF(AUTOEVENTO="Manual",ROUND(SUMPRODUCT((CÁLCULO!$M$15:$M$71=EVENTOS!$C47)*(OFFSET(CÁLCULO!$AA$15:$AA$71,0,E$13))),2),0)</f>
        <v>0</v>
      </c>
      <c r="F47" s="183">
        <f ca="1">IF(AUTOEVENTO="Manual",ROUND(SUMPRODUCT((CÁLCULO!$M$15:$M$71=EVENTOS!$C47)*(OFFSET(CÁLCULO!$AA$15,0,1):OFFSET(CÁLCULO!$AL$71,0,-1))),2),0)</f>
        <v>0</v>
      </c>
      <c r="G47" s="621" t="str">
        <f t="shared" ca="1" si="5"/>
        <v/>
      </c>
      <c r="H47" s="620" cm="1">
        <f t="array" aca="1" ref="H47" ca="1">IF(AUTOEVENTO="Manual",ROUND(SUMPRODUCT((CÁLCULO!$M$15:$M$71=EVENTOS!$C47)*(OFFSET(CÁLCULO!$AA$15:$AA$71,0,H$13))),2),0)</f>
        <v>0</v>
      </c>
      <c r="I47" s="620" cm="1">
        <f t="array" aca="1" ref="I47" ca="1">IF(AUTOEVENTO="Manual",ROUND(SUMPRODUCT((CÁLCULO!$M$15:$M$71=EVENTOS!$C47)*(OFFSET(CÁLCULO!$AA$15:$AA$71,0,I$13))),2),0)</f>
        <v>0</v>
      </c>
      <c r="J47" s="620" cm="1">
        <f t="array" aca="1" ref="J47" ca="1">IF(AUTOEVENTO="Manual",ROUND(SUMPRODUCT((CÁLCULO!$M$15:$M$71=EVENTOS!$C47)*(OFFSET(CÁLCULO!$AA$15:$AA$71,0,J$13))),2),0)</f>
        <v>0</v>
      </c>
      <c r="K47" s="620" cm="1">
        <f t="array" aca="1" ref="K47" ca="1">IF(AUTOEVENTO="Manual",ROUND(SUMPRODUCT((CÁLCULO!$M$15:$M$71=EVENTOS!$C47)*(OFFSET(CÁLCULO!$AA$15:$AA$71,0,K$13))),2),0)</f>
        <v>0</v>
      </c>
      <c r="L47" s="620" cm="1">
        <f t="array" aca="1" ref="L47" ca="1">IF(AUTOEVENTO="Manual",ROUND(SUMPRODUCT((CÁLCULO!$M$15:$M$71=EVENTOS!$C47)*(OFFSET(CÁLCULO!$AA$15:$AA$71,0,L$13))),2),0)</f>
        <v>0</v>
      </c>
      <c r="M47" s="620" cm="1">
        <f t="array" aca="1" ref="M47" ca="1">IF(AUTOEVENTO="Manual",ROUND(SUMPRODUCT((CÁLCULO!$M$15:$M$71=EVENTOS!$C47)*(OFFSET(CÁLCULO!$AA$15:$AA$71,0,M$13))),2),0)</f>
        <v>0</v>
      </c>
      <c r="N47" s="620" cm="1">
        <f t="array" aca="1" ref="N47" ca="1">IF(AUTOEVENTO="Manual",ROUND(SUMPRODUCT((CÁLCULO!$M$15:$M$71=EVENTOS!$C47)*(OFFSET(CÁLCULO!$AA$15:$AA$71,0,N$13))),2),0)</f>
        <v>0</v>
      </c>
      <c r="O47" s="620" cm="1">
        <f t="array" aca="1" ref="O47" ca="1">IF(AUTOEVENTO="Manual",ROUND(SUMPRODUCT((CÁLCULO!$M$15:$M$71=EVENTOS!$C47)*(OFFSET(CÁLCULO!$AA$15:$AA$71,0,O$13))),2),0)</f>
        <v>0</v>
      </c>
      <c r="P47" s="620" cm="1">
        <f t="array" aca="1" ref="P47" ca="1">IF(AUTOEVENTO="Manual",ROUND(SUMPRODUCT((CÁLCULO!$M$15:$M$71=EVENTOS!$C47)*(OFFSET(CÁLCULO!$AA$15:$AA$71,0,P$13))),2),0)</f>
        <v>0</v>
      </c>
      <c r="Q47" s="620" cm="1">
        <f t="array" aca="1" ref="Q47" ca="1">IF(AUTOEVENTO="Manual",ROUND(SUMPRODUCT((CÁLCULO!$M$15:$M$71=EVENTOS!$C47)*(OFFSET(CÁLCULO!$AA$15:$AA$71,0,Q$13))),2),0)</f>
        <v>0</v>
      </c>
      <c r="R47" s="620" cm="1">
        <f t="array" aca="1" ref="R47" ca="1">IF(AUTOEVENTO="Manual",ROUND(SUMPRODUCT((CÁLCULO!$M$15:$M$71=EVENTOS!$C47)*(OFFSET(CÁLCULO!$AA$15:$AA$71,0,R$13))),2),0)</f>
        <v>0</v>
      </c>
      <c r="S47" s="620" cm="1">
        <f t="array" aca="1" ref="S47" ca="1">IF(AUTOEVENTO="Manual",ROUND(SUMPRODUCT((CÁLCULO!$M$15:$M$71=EVENTOS!$C47)*(OFFSET(CÁLCULO!$AA$15:$AA$71,0,S$13))),2),0)</f>
        <v>0</v>
      </c>
      <c r="T47" s="620" cm="1">
        <f t="array" aca="1" ref="T47" ca="1">IF(AUTOEVENTO="Manual",ROUND(SUMPRODUCT((CÁLCULO!$M$15:$M$71=EVENTOS!$C47)*(OFFSET(CÁLCULO!$AA$15:$AA$71,0,T$13))),2),0)</f>
        <v>0</v>
      </c>
      <c r="U47" s="620" cm="1">
        <f t="array" aca="1" ref="U47" ca="1">IF(AUTOEVENTO="Manual",ROUND(SUMPRODUCT((CÁLCULO!$M$15:$M$71=EVENTOS!$C47)*(OFFSET(CÁLCULO!$AA$15:$AA$71,0,U$13))),2),0)</f>
        <v>0</v>
      </c>
      <c r="V47" s="620" cm="1">
        <f t="array" aca="1" ref="V47" ca="1">IF(AUTOEVENTO="Manual",ROUND(SUMPRODUCT((CÁLCULO!$M$15:$M$71=EVENTOS!$C47)*(OFFSET(CÁLCULO!$AA$15:$AA$71,0,V$13))),2),0)</f>
        <v>0</v>
      </c>
      <c r="W47" s="620" cm="1">
        <f t="array" aca="1" ref="W47" ca="1">IF(AUTOEVENTO="Manual",ROUND(SUMPRODUCT((CÁLCULO!$M$15:$M$71=EVENTOS!$C47)*(OFFSET(CÁLCULO!$AA$15:$AA$71,0,W$13))),2),0)</f>
        <v>0</v>
      </c>
      <c r="X47" s="620" cm="1">
        <f t="array" aca="1" ref="X47" ca="1">IF(AUTOEVENTO="Manual",ROUND(SUMPRODUCT((CÁLCULO!$M$15:$M$71=EVENTOS!$C47)*(OFFSET(CÁLCULO!$AA$15:$AA$71,0,X$13))),2),0)</f>
        <v>0</v>
      </c>
      <c r="Y47" s="620" cm="1">
        <f t="array" aca="1" ref="Y47" ca="1">IF(AUTOEVENTO="Manual",ROUND(SUMPRODUCT((CÁLCULO!$M$15:$M$71=EVENTOS!$C47)*(OFFSET(CÁLCULO!$AA$15:$AA$71,0,Y$13))),2),0)</f>
        <v>0</v>
      </c>
    </row>
    <row r="48" spans="1:25" x14ac:dyDescent="0.2">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IF(AUTOEVENTO="Manual",ROUND(SUMPRODUCT((CÁLCULO!$M$15:$M$71=EVENTOS!$C48)*(OFFSET(CÁLCULO!$AA$15:$AA$71,0,E$13))),2),0)</f>
        <v>0</v>
      </c>
      <c r="F48" s="183">
        <f ca="1">IF(AUTOEVENTO="Manual",ROUND(SUMPRODUCT((CÁLCULO!$M$15:$M$71=EVENTOS!$C48)*(OFFSET(CÁLCULO!$AA$15,0,1):OFFSET(CÁLCULO!$AL$71,0,-1))),2),0)</f>
        <v>0</v>
      </c>
      <c r="G48" s="621" t="str">
        <f t="shared" ref="G48:G64" ca="1" si="6">IF(AND(D48=0,F48&gt;0),"NOME",
 IF(AND(D48&lt;&gt;0,$F$14&gt;0,F48=0),"VALOR",
 IF(AND(Import.TipoArredondamento="TransfereGOV",$A48="F",LEN(D48)&gt;100),"Nome &gt;100","")))</f>
        <v/>
      </c>
      <c r="H48" s="620" cm="1">
        <f t="array" aca="1" ref="H48" ca="1">IF(AUTOEVENTO="Manual",ROUND(SUMPRODUCT((CÁLCULO!$M$15:$M$71=EVENTOS!$C48)*(OFFSET(CÁLCULO!$AA$15:$AA$71,0,H$13))),2),0)</f>
        <v>0</v>
      </c>
      <c r="I48" s="620" cm="1">
        <f t="array" aca="1" ref="I48" ca="1">IF(AUTOEVENTO="Manual",ROUND(SUMPRODUCT((CÁLCULO!$M$15:$M$71=EVENTOS!$C48)*(OFFSET(CÁLCULO!$AA$15:$AA$71,0,I$13))),2),0)</f>
        <v>0</v>
      </c>
      <c r="J48" s="620" cm="1">
        <f t="array" aca="1" ref="J48" ca="1">IF(AUTOEVENTO="Manual",ROUND(SUMPRODUCT((CÁLCULO!$M$15:$M$71=EVENTOS!$C48)*(OFFSET(CÁLCULO!$AA$15:$AA$71,0,J$13))),2),0)</f>
        <v>0</v>
      </c>
      <c r="K48" s="620" cm="1">
        <f t="array" aca="1" ref="K48" ca="1">IF(AUTOEVENTO="Manual",ROUND(SUMPRODUCT((CÁLCULO!$M$15:$M$71=EVENTOS!$C48)*(OFFSET(CÁLCULO!$AA$15:$AA$71,0,K$13))),2),0)</f>
        <v>0</v>
      </c>
      <c r="L48" s="620" cm="1">
        <f t="array" aca="1" ref="L48" ca="1">IF(AUTOEVENTO="Manual",ROUND(SUMPRODUCT((CÁLCULO!$M$15:$M$71=EVENTOS!$C48)*(OFFSET(CÁLCULO!$AA$15:$AA$71,0,L$13))),2),0)</f>
        <v>0</v>
      </c>
      <c r="M48" s="620" cm="1">
        <f t="array" aca="1" ref="M48" ca="1">IF(AUTOEVENTO="Manual",ROUND(SUMPRODUCT((CÁLCULO!$M$15:$M$71=EVENTOS!$C48)*(OFFSET(CÁLCULO!$AA$15:$AA$71,0,M$13))),2),0)</f>
        <v>0</v>
      </c>
      <c r="N48" s="620" cm="1">
        <f t="array" aca="1" ref="N48" ca="1">IF(AUTOEVENTO="Manual",ROUND(SUMPRODUCT((CÁLCULO!$M$15:$M$71=EVENTOS!$C48)*(OFFSET(CÁLCULO!$AA$15:$AA$71,0,N$13))),2),0)</f>
        <v>0</v>
      </c>
      <c r="O48" s="620" cm="1">
        <f t="array" aca="1" ref="O48" ca="1">IF(AUTOEVENTO="Manual",ROUND(SUMPRODUCT((CÁLCULO!$M$15:$M$71=EVENTOS!$C48)*(OFFSET(CÁLCULO!$AA$15:$AA$71,0,O$13))),2),0)</f>
        <v>0</v>
      </c>
      <c r="P48" s="620" cm="1">
        <f t="array" aca="1" ref="P48" ca="1">IF(AUTOEVENTO="Manual",ROUND(SUMPRODUCT((CÁLCULO!$M$15:$M$71=EVENTOS!$C48)*(OFFSET(CÁLCULO!$AA$15:$AA$71,0,P$13))),2),0)</f>
        <v>0</v>
      </c>
      <c r="Q48" s="620" cm="1">
        <f t="array" aca="1" ref="Q48" ca="1">IF(AUTOEVENTO="Manual",ROUND(SUMPRODUCT((CÁLCULO!$M$15:$M$71=EVENTOS!$C48)*(OFFSET(CÁLCULO!$AA$15:$AA$71,0,Q$13))),2),0)</f>
        <v>0</v>
      </c>
      <c r="R48" s="620" cm="1">
        <f t="array" aca="1" ref="R48" ca="1">IF(AUTOEVENTO="Manual",ROUND(SUMPRODUCT((CÁLCULO!$M$15:$M$71=EVENTOS!$C48)*(OFFSET(CÁLCULO!$AA$15:$AA$71,0,R$13))),2),0)</f>
        <v>0</v>
      </c>
      <c r="S48" s="620" cm="1">
        <f t="array" aca="1" ref="S48" ca="1">IF(AUTOEVENTO="Manual",ROUND(SUMPRODUCT((CÁLCULO!$M$15:$M$71=EVENTOS!$C48)*(OFFSET(CÁLCULO!$AA$15:$AA$71,0,S$13))),2),0)</f>
        <v>0</v>
      </c>
      <c r="T48" s="620" cm="1">
        <f t="array" aca="1" ref="T48" ca="1">IF(AUTOEVENTO="Manual",ROUND(SUMPRODUCT((CÁLCULO!$M$15:$M$71=EVENTOS!$C48)*(OFFSET(CÁLCULO!$AA$15:$AA$71,0,T$13))),2),0)</f>
        <v>0</v>
      </c>
      <c r="U48" s="620" cm="1">
        <f t="array" aca="1" ref="U48" ca="1">IF(AUTOEVENTO="Manual",ROUND(SUMPRODUCT((CÁLCULO!$M$15:$M$71=EVENTOS!$C48)*(OFFSET(CÁLCULO!$AA$15:$AA$71,0,U$13))),2),0)</f>
        <v>0</v>
      </c>
      <c r="V48" s="620" cm="1">
        <f t="array" aca="1" ref="V48" ca="1">IF(AUTOEVENTO="Manual",ROUND(SUMPRODUCT((CÁLCULO!$M$15:$M$71=EVENTOS!$C48)*(OFFSET(CÁLCULO!$AA$15:$AA$71,0,V$13))),2),0)</f>
        <v>0</v>
      </c>
      <c r="W48" s="620" cm="1">
        <f t="array" aca="1" ref="W48" ca="1">IF(AUTOEVENTO="Manual",ROUND(SUMPRODUCT((CÁLCULO!$M$15:$M$71=EVENTOS!$C48)*(OFFSET(CÁLCULO!$AA$15:$AA$71,0,W$13))),2),0)</f>
        <v>0</v>
      </c>
      <c r="X48" s="620" cm="1">
        <f t="array" aca="1" ref="X48" ca="1">IF(AUTOEVENTO="Manual",ROUND(SUMPRODUCT((CÁLCULO!$M$15:$M$71=EVENTOS!$C48)*(OFFSET(CÁLCULO!$AA$15:$AA$71,0,X$13))),2),0)</f>
        <v>0</v>
      </c>
      <c r="Y48" s="620" cm="1">
        <f t="array" aca="1" ref="Y48" ca="1">IF(AUTOEVENTO="Manual",ROUND(SUMPRODUCT((CÁLCULO!$M$15:$M$71=EVENTOS!$C48)*(OFFSET(CÁLCULO!$AA$15:$AA$71,0,Y$13))),2),0)</f>
        <v>0</v>
      </c>
    </row>
    <row r="49" spans="1:25" x14ac:dyDescent="0.2">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IF(AUTOEVENTO="Manual",ROUND(SUMPRODUCT((CÁLCULO!$M$15:$M$71=EVENTOS!$C49)*(OFFSET(CÁLCULO!$AA$15:$AA$71,0,E$13))),2),0)</f>
        <v>0</v>
      </c>
      <c r="F49" s="183">
        <f ca="1">IF(AUTOEVENTO="Manual",ROUND(SUMPRODUCT((CÁLCULO!$M$15:$M$71=EVENTOS!$C49)*(OFFSET(CÁLCULO!$AA$15,0,1):OFFSET(CÁLCULO!$AL$71,0,-1))),2),0)</f>
        <v>0</v>
      </c>
      <c r="G49" s="621" t="str">
        <f t="shared" ca="1" si="6"/>
        <v/>
      </c>
      <c r="H49" s="620" cm="1">
        <f t="array" aca="1" ref="H49" ca="1">IF(AUTOEVENTO="Manual",ROUND(SUMPRODUCT((CÁLCULO!$M$15:$M$71=EVENTOS!$C49)*(OFFSET(CÁLCULO!$AA$15:$AA$71,0,H$13))),2),0)</f>
        <v>0</v>
      </c>
      <c r="I49" s="620" cm="1">
        <f t="array" aca="1" ref="I49" ca="1">IF(AUTOEVENTO="Manual",ROUND(SUMPRODUCT((CÁLCULO!$M$15:$M$71=EVENTOS!$C49)*(OFFSET(CÁLCULO!$AA$15:$AA$71,0,I$13))),2),0)</f>
        <v>0</v>
      </c>
      <c r="J49" s="620" cm="1">
        <f t="array" aca="1" ref="J49" ca="1">IF(AUTOEVENTO="Manual",ROUND(SUMPRODUCT((CÁLCULO!$M$15:$M$71=EVENTOS!$C49)*(OFFSET(CÁLCULO!$AA$15:$AA$71,0,J$13))),2),0)</f>
        <v>0</v>
      </c>
      <c r="K49" s="620" cm="1">
        <f t="array" aca="1" ref="K49" ca="1">IF(AUTOEVENTO="Manual",ROUND(SUMPRODUCT((CÁLCULO!$M$15:$M$71=EVENTOS!$C49)*(OFFSET(CÁLCULO!$AA$15:$AA$71,0,K$13))),2),0)</f>
        <v>0</v>
      </c>
      <c r="L49" s="620" cm="1">
        <f t="array" aca="1" ref="L49" ca="1">IF(AUTOEVENTO="Manual",ROUND(SUMPRODUCT((CÁLCULO!$M$15:$M$71=EVENTOS!$C49)*(OFFSET(CÁLCULO!$AA$15:$AA$71,0,L$13))),2),0)</f>
        <v>0</v>
      </c>
      <c r="M49" s="620" cm="1">
        <f t="array" aca="1" ref="M49" ca="1">IF(AUTOEVENTO="Manual",ROUND(SUMPRODUCT((CÁLCULO!$M$15:$M$71=EVENTOS!$C49)*(OFFSET(CÁLCULO!$AA$15:$AA$71,0,M$13))),2),0)</f>
        <v>0</v>
      </c>
      <c r="N49" s="620" cm="1">
        <f t="array" aca="1" ref="N49" ca="1">IF(AUTOEVENTO="Manual",ROUND(SUMPRODUCT((CÁLCULO!$M$15:$M$71=EVENTOS!$C49)*(OFFSET(CÁLCULO!$AA$15:$AA$71,0,N$13))),2),0)</f>
        <v>0</v>
      </c>
      <c r="O49" s="620" cm="1">
        <f t="array" aca="1" ref="O49" ca="1">IF(AUTOEVENTO="Manual",ROUND(SUMPRODUCT((CÁLCULO!$M$15:$M$71=EVENTOS!$C49)*(OFFSET(CÁLCULO!$AA$15:$AA$71,0,O$13))),2),0)</f>
        <v>0</v>
      </c>
      <c r="P49" s="620" cm="1">
        <f t="array" aca="1" ref="P49" ca="1">IF(AUTOEVENTO="Manual",ROUND(SUMPRODUCT((CÁLCULO!$M$15:$M$71=EVENTOS!$C49)*(OFFSET(CÁLCULO!$AA$15:$AA$71,0,P$13))),2),0)</f>
        <v>0</v>
      </c>
      <c r="Q49" s="620" cm="1">
        <f t="array" aca="1" ref="Q49" ca="1">IF(AUTOEVENTO="Manual",ROUND(SUMPRODUCT((CÁLCULO!$M$15:$M$71=EVENTOS!$C49)*(OFFSET(CÁLCULO!$AA$15:$AA$71,0,Q$13))),2),0)</f>
        <v>0</v>
      </c>
      <c r="R49" s="620" cm="1">
        <f t="array" aca="1" ref="R49" ca="1">IF(AUTOEVENTO="Manual",ROUND(SUMPRODUCT((CÁLCULO!$M$15:$M$71=EVENTOS!$C49)*(OFFSET(CÁLCULO!$AA$15:$AA$71,0,R$13))),2),0)</f>
        <v>0</v>
      </c>
      <c r="S49" s="620" cm="1">
        <f t="array" aca="1" ref="S49" ca="1">IF(AUTOEVENTO="Manual",ROUND(SUMPRODUCT((CÁLCULO!$M$15:$M$71=EVENTOS!$C49)*(OFFSET(CÁLCULO!$AA$15:$AA$71,0,S$13))),2),0)</f>
        <v>0</v>
      </c>
      <c r="T49" s="620" cm="1">
        <f t="array" aca="1" ref="T49" ca="1">IF(AUTOEVENTO="Manual",ROUND(SUMPRODUCT((CÁLCULO!$M$15:$M$71=EVENTOS!$C49)*(OFFSET(CÁLCULO!$AA$15:$AA$71,0,T$13))),2),0)</f>
        <v>0</v>
      </c>
      <c r="U49" s="620" cm="1">
        <f t="array" aca="1" ref="U49" ca="1">IF(AUTOEVENTO="Manual",ROUND(SUMPRODUCT((CÁLCULO!$M$15:$M$71=EVENTOS!$C49)*(OFFSET(CÁLCULO!$AA$15:$AA$71,0,U$13))),2),0)</f>
        <v>0</v>
      </c>
      <c r="V49" s="620" cm="1">
        <f t="array" aca="1" ref="V49" ca="1">IF(AUTOEVENTO="Manual",ROUND(SUMPRODUCT((CÁLCULO!$M$15:$M$71=EVENTOS!$C49)*(OFFSET(CÁLCULO!$AA$15:$AA$71,0,V$13))),2),0)</f>
        <v>0</v>
      </c>
      <c r="W49" s="620" cm="1">
        <f t="array" aca="1" ref="W49" ca="1">IF(AUTOEVENTO="Manual",ROUND(SUMPRODUCT((CÁLCULO!$M$15:$M$71=EVENTOS!$C49)*(OFFSET(CÁLCULO!$AA$15:$AA$71,0,W$13))),2),0)</f>
        <v>0</v>
      </c>
      <c r="X49" s="620" cm="1">
        <f t="array" aca="1" ref="X49" ca="1">IF(AUTOEVENTO="Manual",ROUND(SUMPRODUCT((CÁLCULO!$M$15:$M$71=EVENTOS!$C49)*(OFFSET(CÁLCULO!$AA$15:$AA$71,0,X$13))),2),0)</f>
        <v>0</v>
      </c>
      <c r="Y49" s="620" cm="1">
        <f t="array" aca="1" ref="Y49" ca="1">IF(AUTOEVENTO="Manual",ROUND(SUMPRODUCT((CÁLCULO!$M$15:$M$71=EVENTOS!$C49)*(OFFSET(CÁLCULO!$AA$15:$AA$71,0,Y$13))),2),0)</f>
        <v>0</v>
      </c>
    </row>
    <row r="50" spans="1:25" x14ac:dyDescent="0.2">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IF(AUTOEVENTO="Manual",ROUND(SUMPRODUCT((CÁLCULO!$M$15:$M$71=EVENTOS!$C50)*(OFFSET(CÁLCULO!$AA$15:$AA$71,0,E$13))),2),0)</f>
        <v>0</v>
      </c>
      <c r="F50" s="183">
        <f ca="1">IF(AUTOEVENTO="Manual",ROUND(SUMPRODUCT((CÁLCULO!$M$15:$M$71=EVENTOS!$C50)*(OFFSET(CÁLCULO!$AA$15,0,1):OFFSET(CÁLCULO!$AL$71,0,-1))),2),0)</f>
        <v>0</v>
      </c>
      <c r="G50" s="621" t="str">
        <f t="shared" ca="1" si="6"/>
        <v/>
      </c>
      <c r="H50" s="620" cm="1">
        <f t="array" aca="1" ref="H50" ca="1">IF(AUTOEVENTO="Manual",ROUND(SUMPRODUCT((CÁLCULO!$M$15:$M$71=EVENTOS!$C50)*(OFFSET(CÁLCULO!$AA$15:$AA$71,0,H$13))),2),0)</f>
        <v>0</v>
      </c>
      <c r="I50" s="620" cm="1">
        <f t="array" aca="1" ref="I50" ca="1">IF(AUTOEVENTO="Manual",ROUND(SUMPRODUCT((CÁLCULO!$M$15:$M$71=EVENTOS!$C50)*(OFFSET(CÁLCULO!$AA$15:$AA$71,0,I$13))),2),0)</f>
        <v>0</v>
      </c>
      <c r="J50" s="620" cm="1">
        <f t="array" aca="1" ref="J50" ca="1">IF(AUTOEVENTO="Manual",ROUND(SUMPRODUCT((CÁLCULO!$M$15:$M$71=EVENTOS!$C50)*(OFFSET(CÁLCULO!$AA$15:$AA$71,0,J$13))),2),0)</f>
        <v>0</v>
      </c>
      <c r="K50" s="620" cm="1">
        <f t="array" aca="1" ref="K50" ca="1">IF(AUTOEVENTO="Manual",ROUND(SUMPRODUCT((CÁLCULO!$M$15:$M$71=EVENTOS!$C50)*(OFFSET(CÁLCULO!$AA$15:$AA$71,0,K$13))),2),0)</f>
        <v>0</v>
      </c>
      <c r="L50" s="620" cm="1">
        <f t="array" aca="1" ref="L50" ca="1">IF(AUTOEVENTO="Manual",ROUND(SUMPRODUCT((CÁLCULO!$M$15:$M$71=EVENTOS!$C50)*(OFFSET(CÁLCULO!$AA$15:$AA$71,0,L$13))),2),0)</f>
        <v>0</v>
      </c>
      <c r="M50" s="620" cm="1">
        <f t="array" aca="1" ref="M50" ca="1">IF(AUTOEVENTO="Manual",ROUND(SUMPRODUCT((CÁLCULO!$M$15:$M$71=EVENTOS!$C50)*(OFFSET(CÁLCULO!$AA$15:$AA$71,0,M$13))),2),0)</f>
        <v>0</v>
      </c>
      <c r="N50" s="620" cm="1">
        <f t="array" aca="1" ref="N50" ca="1">IF(AUTOEVENTO="Manual",ROUND(SUMPRODUCT((CÁLCULO!$M$15:$M$71=EVENTOS!$C50)*(OFFSET(CÁLCULO!$AA$15:$AA$71,0,N$13))),2),0)</f>
        <v>0</v>
      </c>
      <c r="O50" s="620" cm="1">
        <f t="array" aca="1" ref="O50" ca="1">IF(AUTOEVENTO="Manual",ROUND(SUMPRODUCT((CÁLCULO!$M$15:$M$71=EVENTOS!$C50)*(OFFSET(CÁLCULO!$AA$15:$AA$71,0,O$13))),2),0)</f>
        <v>0</v>
      </c>
      <c r="P50" s="620" cm="1">
        <f t="array" aca="1" ref="P50" ca="1">IF(AUTOEVENTO="Manual",ROUND(SUMPRODUCT((CÁLCULO!$M$15:$M$71=EVENTOS!$C50)*(OFFSET(CÁLCULO!$AA$15:$AA$71,0,P$13))),2),0)</f>
        <v>0</v>
      </c>
      <c r="Q50" s="620" cm="1">
        <f t="array" aca="1" ref="Q50" ca="1">IF(AUTOEVENTO="Manual",ROUND(SUMPRODUCT((CÁLCULO!$M$15:$M$71=EVENTOS!$C50)*(OFFSET(CÁLCULO!$AA$15:$AA$71,0,Q$13))),2),0)</f>
        <v>0</v>
      </c>
      <c r="R50" s="620" cm="1">
        <f t="array" aca="1" ref="R50" ca="1">IF(AUTOEVENTO="Manual",ROUND(SUMPRODUCT((CÁLCULO!$M$15:$M$71=EVENTOS!$C50)*(OFFSET(CÁLCULO!$AA$15:$AA$71,0,R$13))),2),0)</f>
        <v>0</v>
      </c>
      <c r="S50" s="620" cm="1">
        <f t="array" aca="1" ref="S50" ca="1">IF(AUTOEVENTO="Manual",ROUND(SUMPRODUCT((CÁLCULO!$M$15:$M$71=EVENTOS!$C50)*(OFFSET(CÁLCULO!$AA$15:$AA$71,0,S$13))),2),0)</f>
        <v>0</v>
      </c>
      <c r="T50" s="620" cm="1">
        <f t="array" aca="1" ref="T50" ca="1">IF(AUTOEVENTO="Manual",ROUND(SUMPRODUCT((CÁLCULO!$M$15:$M$71=EVENTOS!$C50)*(OFFSET(CÁLCULO!$AA$15:$AA$71,0,T$13))),2),0)</f>
        <v>0</v>
      </c>
      <c r="U50" s="620" cm="1">
        <f t="array" aca="1" ref="U50" ca="1">IF(AUTOEVENTO="Manual",ROUND(SUMPRODUCT((CÁLCULO!$M$15:$M$71=EVENTOS!$C50)*(OFFSET(CÁLCULO!$AA$15:$AA$71,0,U$13))),2),0)</f>
        <v>0</v>
      </c>
      <c r="V50" s="620" cm="1">
        <f t="array" aca="1" ref="V50" ca="1">IF(AUTOEVENTO="Manual",ROUND(SUMPRODUCT((CÁLCULO!$M$15:$M$71=EVENTOS!$C50)*(OFFSET(CÁLCULO!$AA$15:$AA$71,0,V$13))),2),0)</f>
        <v>0</v>
      </c>
      <c r="W50" s="620" cm="1">
        <f t="array" aca="1" ref="W50" ca="1">IF(AUTOEVENTO="Manual",ROUND(SUMPRODUCT((CÁLCULO!$M$15:$M$71=EVENTOS!$C50)*(OFFSET(CÁLCULO!$AA$15:$AA$71,0,W$13))),2),0)</f>
        <v>0</v>
      </c>
      <c r="X50" s="620" cm="1">
        <f t="array" aca="1" ref="X50" ca="1">IF(AUTOEVENTO="Manual",ROUND(SUMPRODUCT((CÁLCULO!$M$15:$M$71=EVENTOS!$C50)*(OFFSET(CÁLCULO!$AA$15:$AA$71,0,X$13))),2),0)</f>
        <v>0</v>
      </c>
      <c r="Y50" s="620" cm="1">
        <f t="array" aca="1" ref="Y50" ca="1">IF(AUTOEVENTO="Manual",ROUND(SUMPRODUCT((CÁLCULO!$M$15:$M$71=EVENTOS!$C50)*(OFFSET(CÁLCULO!$AA$15:$AA$71,0,Y$13))),2),0)</f>
        <v>0</v>
      </c>
    </row>
    <row r="51" spans="1:25" x14ac:dyDescent="0.2">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IF(AUTOEVENTO="Manual",ROUND(SUMPRODUCT((CÁLCULO!$M$15:$M$71=EVENTOS!$C51)*(OFFSET(CÁLCULO!$AA$15:$AA$71,0,E$13))),2),0)</f>
        <v>0</v>
      </c>
      <c r="F51" s="183">
        <f ca="1">IF(AUTOEVENTO="Manual",ROUND(SUMPRODUCT((CÁLCULO!$M$15:$M$71=EVENTOS!$C51)*(OFFSET(CÁLCULO!$AA$15,0,1):OFFSET(CÁLCULO!$AL$71,0,-1))),2),0)</f>
        <v>0</v>
      </c>
      <c r="G51" s="621" t="str">
        <f t="shared" ca="1" si="6"/>
        <v/>
      </c>
      <c r="H51" s="620" cm="1">
        <f t="array" aca="1" ref="H51" ca="1">IF(AUTOEVENTO="Manual",ROUND(SUMPRODUCT((CÁLCULO!$M$15:$M$71=EVENTOS!$C51)*(OFFSET(CÁLCULO!$AA$15:$AA$71,0,H$13))),2),0)</f>
        <v>0</v>
      </c>
      <c r="I51" s="620" cm="1">
        <f t="array" aca="1" ref="I51" ca="1">IF(AUTOEVENTO="Manual",ROUND(SUMPRODUCT((CÁLCULO!$M$15:$M$71=EVENTOS!$C51)*(OFFSET(CÁLCULO!$AA$15:$AA$71,0,I$13))),2),0)</f>
        <v>0</v>
      </c>
      <c r="J51" s="620" cm="1">
        <f t="array" aca="1" ref="J51" ca="1">IF(AUTOEVENTO="Manual",ROUND(SUMPRODUCT((CÁLCULO!$M$15:$M$71=EVENTOS!$C51)*(OFFSET(CÁLCULO!$AA$15:$AA$71,0,J$13))),2),0)</f>
        <v>0</v>
      </c>
      <c r="K51" s="620" cm="1">
        <f t="array" aca="1" ref="K51" ca="1">IF(AUTOEVENTO="Manual",ROUND(SUMPRODUCT((CÁLCULO!$M$15:$M$71=EVENTOS!$C51)*(OFFSET(CÁLCULO!$AA$15:$AA$71,0,K$13))),2),0)</f>
        <v>0</v>
      </c>
      <c r="L51" s="620" cm="1">
        <f t="array" aca="1" ref="L51" ca="1">IF(AUTOEVENTO="Manual",ROUND(SUMPRODUCT((CÁLCULO!$M$15:$M$71=EVENTOS!$C51)*(OFFSET(CÁLCULO!$AA$15:$AA$71,0,L$13))),2),0)</f>
        <v>0</v>
      </c>
      <c r="M51" s="620" cm="1">
        <f t="array" aca="1" ref="M51" ca="1">IF(AUTOEVENTO="Manual",ROUND(SUMPRODUCT((CÁLCULO!$M$15:$M$71=EVENTOS!$C51)*(OFFSET(CÁLCULO!$AA$15:$AA$71,0,M$13))),2),0)</f>
        <v>0</v>
      </c>
      <c r="N51" s="620" cm="1">
        <f t="array" aca="1" ref="N51" ca="1">IF(AUTOEVENTO="Manual",ROUND(SUMPRODUCT((CÁLCULO!$M$15:$M$71=EVENTOS!$C51)*(OFFSET(CÁLCULO!$AA$15:$AA$71,0,N$13))),2),0)</f>
        <v>0</v>
      </c>
      <c r="O51" s="620" cm="1">
        <f t="array" aca="1" ref="O51" ca="1">IF(AUTOEVENTO="Manual",ROUND(SUMPRODUCT((CÁLCULO!$M$15:$M$71=EVENTOS!$C51)*(OFFSET(CÁLCULO!$AA$15:$AA$71,0,O$13))),2),0)</f>
        <v>0</v>
      </c>
      <c r="P51" s="620" cm="1">
        <f t="array" aca="1" ref="P51" ca="1">IF(AUTOEVENTO="Manual",ROUND(SUMPRODUCT((CÁLCULO!$M$15:$M$71=EVENTOS!$C51)*(OFFSET(CÁLCULO!$AA$15:$AA$71,0,P$13))),2),0)</f>
        <v>0</v>
      </c>
      <c r="Q51" s="620" cm="1">
        <f t="array" aca="1" ref="Q51" ca="1">IF(AUTOEVENTO="Manual",ROUND(SUMPRODUCT((CÁLCULO!$M$15:$M$71=EVENTOS!$C51)*(OFFSET(CÁLCULO!$AA$15:$AA$71,0,Q$13))),2),0)</f>
        <v>0</v>
      </c>
      <c r="R51" s="620" cm="1">
        <f t="array" aca="1" ref="R51" ca="1">IF(AUTOEVENTO="Manual",ROUND(SUMPRODUCT((CÁLCULO!$M$15:$M$71=EVENTOS!$C51)*(OFFSET(CÁLCULO!$AA$15:$AA$71,0,R$13))),2),0)</f>
        <v>0</v>
      </c>
      <c r="S51" s="620" cm="1">
        <f t="array" aca="1" ref="S51" ca="1">IF(AUTOEVENTO="Manual",ROUND(SUMPRODUCT((CÁLCULO!$M$15:$M$71=EVENTOS!$C51)*(OFFSET(CÁLCULO!$AA$15:$AA$71,0,S$13))),2),0)</f>
        <v>0</v>
      </c>
      <c r="T51" s="620" cm="1">
        <f t="array" aca="1" ref="T51" ca="1">IF(AUTOEVENTO="Manual",ROUND(SUMPRODUCT((CÁLCULO!$M$15:$M$71=EVENTOS!$C51)*(OFFSET(CÁLCULO!$AA$15:$AA$71,0,T$13))),2),0)</f>
        <v>0</v>
      </c>
      <c r="U51" s="620" cm="1">
        <f t="array" aca="1" ref="U51" ca="1">IF(AUTOEVENTO="Manual",ROUND(SUMPRODUCT((CÁLCULO!$M$15:$M$71=EVENTOS!$C51)*(OFFSET(CÁLCULO!$AA$15:$AA$71,0,U$13))),2),0)</f>
        <v>0</v>
      </c>
      <c r="V51" s="620" cm="1">
        <f t="array" aca="1" ref="V51" ca="1">IF(AUTOEVENTO="Manual",ROUND(SUMPRODUCT((CÁLCULO!$M$15:$M$71=EVENTOS!$C51)*(OFFSET(CÁLCULO!$AA$15:$AA$71,0,V$13))),2),0)</f>
        <v>0</v>
      </c>
      <c r="W51" s="620" cm="1">
        <f t="array" aca="1" ref="W51" ca="1">IF(AUTOEVENTO="Manual",ROUND(SUMPRODUCT((CÁLCULO!$M$15:$M$71=EVENTOS!$C51)*(OFFSET(CÁLCULO!$AA$15:$AA$71,0,W$13))),2),0)</f>
        <v>0</v>
      </c>
      <c r="X51" s="620" cm="1">
        <f t="array" aca="1" ref="X51" ca="1">IF(AUTOEVENTO="Manual",ROUND(SUMPRODUCT((CÁLCULO!$M$15:$M$71=EVENTOS!$C51)*(OFFSET(CÁLCULO!$AA$15:$AA$71,0,X$13))),2),0)</f>
        <v>0</v>
      </c>
      <c r="Y51" s="620" cm="1">
        <f t="array" aca="1" ref="Y51" ca="1">IF(AUTOEVENTO="Manual",ROUND(SUMPRODUCT((CÁLCULO!$M$15:$M$71=EVENTOS!$C51)*(OFFSET(CÁLCULO!$AA$15:$AA$71,0,Y$13))),2),0)</f>
        <v>0</v>
      </c>
    </row>
    <row r="52" spans="1:25" x14ac:dyDescent="0.2">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IF(AUTOEVENTO="Manual",ROUND(SUMPRODUCT((CÁLCULO!$M$15:$M$71=EVENTOS!$C52)*(OFFSET(CÁLCULO!$AA$15:$AA$71,0,E$13))),2),0)</f>
        <v>0</v>
      </c>
      <c r="F52" s="183">
        <f ca="1">IF(AUTOEVENTO="Manual",ROUND(SUMPRODUCT((CÁLCULO!$M$15:$M$71=EVENTOS!$C52)*(OFFSET(CÁLCULO!$AA$15,0,1):OFFSET(CÁLCULO!$AL$71,0,-1))),2),0)</f>
        <v>0</v>
      </c>
      <c r="G52" s="621" t="str">
        <f t="shared" ca="1" si="6"/>
        <v/>
      </c>
      <c r="H52" s="620" cm="1">
        <f t="array" aca="1" ref="H52" ca="1">IF(AUTOEVENTO="Manual",ROUND(SUMPRODUCT((CÁLCULO!$M$15:$M$71=EVENTOS!$C52)*(OFFSET(CÁLCULO!$AA$15:$AA$71,0,H$13))),2),0)</f>
        <v>0</v>
      </c>
      <c r="I52" s="620" cm="1">
        <f t="array" aca="1" ref="I52" ca="1">IF(AUTOEVENTO="Manual",ROUND(SUMPRODUCT((CÁLCULO!$M$15:$M$71=EVENTOS!$C52)*(OFFSET(CÁLCULO!$AA$15:$AA$71,0,I$13))),2),0)</f>
        <v>0</v>
      </c>
      <c r="J52" s="620" cm="1">
        <f t="array" aca="1" ref="J52" ca="1">IF(AUTOEVENTO="Manual",ROUND(SUMPRODUCT((CÁLCULO!$M$15:$M$71=EVENTOS!$C52)*(OFFSET(CÁLCULO!$AA$15:$AA$71,0,J$13))),2),0)</f>
        <v>0</v>
      </c>
      <c r="K52" s="620" cm="1">
        <f t="array" aca="1" ref="K52" ca="1">IF(AUTOEVENTO="Manual",ROUND(SUMPRODUCT((CÁLCULO!$M$15:$M$71=EVENTOS!$C52)*(OFFSET(CÁLCULO!$AA$15:$AA$71,0,K$13))),2),0)</f>
        <v>0</v>
      </c>
      <c r="L52" s="620" cm="1">
        <f t="array" aca="1" ref="L52" ca="1">IF(AUTOEVENTO="Manual",ROUND(SUMPRODUCT((CÁLCULO!$M$15:$M$71=EVENTOS!$C52)*(OFFSET(CÁLCULO!$AA$15:$AA$71,0,L$13))),2),0)</f>
        <v>0</v>
      </c>
      <c r="M52" s="620" cm="1">
        <f t="array" aca="1" ref="M52" ca="1">IF(AUTOEVENTO="Manual",ROUND(SUMPRODUCT((CÁLCULO!$M$15:$M$71=EVENTOS!$C52)*(OFFSET(CÁLCULO!$AA$15:$AA$71,0,M$13))),2),0)</f>
        <v>0</v>
      </c>
      <c r="N52" s="620" cm="1">
        <f t="array" aca="1" ref="N52" ca="1">IF(AUTOEVENTO="Manual",ROUND(SUMPRODUCT((CÁLCULO!$M$15:$M$71=EVENTOS!$C52)*(OFFSET(CÁLCULO!$AA$15:$AA$71,0,N$13))),2),0)</f>
        <v>0</v>
      </c>
      <c r="O52" s="620" cm="1">
        <f t="array" aca="1" ref="O52" ca="1">IF(AUTOEVENTO="Manual",ROUND(SUMPRODUCT((CÁLCULO!$M$15:$M$71=EVENTOS!$C52)*(OFFSET(CÁLCULO!$AA$15:$AA$71,0,O$13))),2),0)</f>
        <v>0</v>
      </c>
      <c r="P52" s="620" cm="1">
        <f t="array" aca="1" ref="P52" ca="1">IF(AUTOEVENTO="Manual",ROUND(SUMPRODUCT((CÁLCULO!$M$15:$M$71=EVENTOS!$C52)*(OFFSET(CÁLCULO!$AA$15:$AA$71,0,P$13))),2),0)</f>
        <v>0</v>
      </c>
      <c r="Q52" s="620" cm="1">
        <f t="array" aca="1" ref="Q52" ca="1">IF(AUTOEVENTO="Manual",ROUND(SUMPRODUCT((CÁLCULO!$M$15:$M$71=EVENTOS!$C52)*(OFFSET(CÁLCULO!$AA$15:$AA$71,0,Q$13))),2),0)</f>
        <v>0</v>
      </c>
      <c r="R52" s="620" cm="1">
        <f t="array" aca="1" ref="R52" ca="1">IF(AUTOEVENTO="Manual",ROUND(SUMPRODUCT((CÁLCULO!$M$15:$M$71=EVENTOS!$C52)*(OFFSET(CÁLCULO!$AA$15:$AA$71,0,R$13))),2),0)</f>
        <v>0</v>
      </c>
      <c r="S52" s="620" cm="1">
        <f t="array" aca="1" ref="S52" ca="1">IF(AUTOEVENTO="Manual",ROUND(SUMPRODUCT((CÁLCULO!$M$15:$M$71=EVENTOS!$C52)*(OFFSET(CÁLCULO!$AA$15:$AA$71,0,S$13))),2),0)</f>
        <v>0</v>
      </c>
      <c r="T52" s="620" cm="1">
        <f t="array" aca="1" ref="T52" ca="1">IF(AUTOEVENTO="Manual",ROUND(SUMPRODUCT((CÁLCULO!$M$15:$M$71=EVENTOS!$C52)*(OFFSET(CÁLCULO!$AA$15:$AA$71,0,T$13))),2),0)</f>
        <v>0</v>
      </c>
      <c r="U52" s="620" cm="1">
        <f t="array" aca="1" ref="U52" ca="1">IF(AUTOEVENTO="Manual",ROUND(SUMPRODUCT((CÁLCULO!$M$15:$M$71=EVENTOS!$C52)*(OFFSET(CÁLCULO!$AA$15:$AA$71,0,U$13))),2),0)</f>
        <v>0</v>
      </c>
      <c r="V52" s="620" cm="1">
        <f t="array" aca="1" ref="V52" ca="1">IF(AUTOEVENTO="Manual",ROUND(SUMPRODUCT((CÁLCULO!$M$15:$M$71=EVENTOS!$C52)*(OFFSET(CÁLCULO!$AA$15:$AA$71,0,V$13))),2),0)</f>
        <v>0</v>
      </c>
      <c r="W52" s="620" cm="1">
        <f t="array" aca="1" ref="W52" ca="1">IF(AUTOEVENTO="Manual",ROUND(SUMPRODUCT((CÁLCULO!$M$15:$M$71=EVENTOS!$C52)*(OFFSET(CÁLCULO!$AA$15:$AA$71,0,W$13))),2),0)</f>
        <v>0</v>
      </c>
      <c r="X52" s="620" cm="1">
        <f t="array" aca="1" ref="X52" ca="1">IF(AUTOEVENTO="Manual",ROUND(SUMPRODUCT((CÁLCULO!$M$15:$M$71=EVENTOS!$C52)*(OFFSET(CÁLCULO!$AA$15:$AA$71,0,X$13))),2),0)</f>
        <v>0</v>
      </c>
      <c r="Y52" s="620" cm="1">
        <f t="array" aca="1" ref="Y52" ca="1">IF(AUTOEVENTO="Manual",ROUND(SUMPRODUCT((CÁLCULO!$M$15:$M$71=EVENTOS!$C52)*(OFFSET(CÁLCULO!$AA$15:$AA$71,0,Y$13))),2),0)</f>
        <v>0</v>
      </c>
    </row>
    <row r="53" spans="1:25" x14ac:dyDescent="0.2">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IF(AUTOEVENTO="Manual",ROUND(SUMPRODUCT((CÁLCULO!$M$15:$M$71=EVENTOS!$C53)*(OFFSET(CÁLCULO!$AA$15:$AA$71,0,E$13))),2),0)</f>
        <v>0</v>
      </c>
      <c r="F53" s="183">
        <f ca="1">IF(AUTOEVENTO="Manual",ROUND(SUMPRODUCT((CÁLCULO!$M$15:$M$71=EVENTOS!$C53)*(OFFSET(CÁLCULO!$AA$15,0,1):OFFSET(CÁLCULO!$AL$71,0,-1))),2),0)</f>
        <v>0</v>
      </c>
      <c r="G53" s="621" t="str">
        <f t="shared" ca="1" si="6"/>
        <v/>
      </c>
      <c r="H53" s="620" cm="1">
        <f t="array" aca="1" ref="H53" ca="1">IF(AUTOEVENTO="Manual",ROUND(SUMPRODUCT((CÁLCULO!$M$15:$M$71=EVENTOS!$C53)*(OFFSET(CÁLCULO!$AA$15:$AA$71,0,H$13))),2),0)</f>
        <v>0</v>
      </c>
      <c r="I53" s="620" cm="1">
        <f t="array" aca="1" ref="I53" ca="1">IF(AUTOEVENTO="Manual",ROUND(SUMPRODUCT((CÁLCULO!$M$15:$M$71=EVENTOS!$C53)*(OFFSET(CÁLCULO!$AA$15:$AA$71,0,I$13))),2),0)</f>
        <v>0</v>
      </c>
      <c r="J53" s="620" cm="1">
        <f t="array" aca="1" ref="J53" ca="1">IF(AUTOEVENTO="Manual",ROUND(SUMPRODUCT((CÁLCULO!$M$15:$M$71=EVENTOS!$C53)*(OFFSET(CÁLCULO!$AA$15:$AA$71,0,J$13))),2),0)</f>
        <v>0</v>
      </c>
      <c r="K53" s="620" cm="1">
        <f t="array" aca="1" ref="K53" ca="1">IF(AUTOEVENTO="Manual",ROUND(SUMPRODUCT((CÁLCULO!$M$15:$M$71=EVENTOS!$C53)*(OFFSET(CÁLCULO!$AA$15:$AA$71,0,K$13))),2),0)</f>
        <v>0</v>
      </c>
      <c r="L53" s="620" cm="1">
        <f t="array" aca="1" ref="L53" ca="1">IF(AUTOEVENTO="Manual",ROUND(SUMPRODUCT((CÁLCULO!$M$15:$M$71=EVENTOS!$C53)*(OFFSET(CÁLCULO!$AA$15:$AA$71,0,L$13))),2),0)</f>
        <v>0</v>
      </c>
      <c r="M53" s="620" cm="1">
        <f t="array" aca="1" ref="M53" ca="1">IF(AUTOEVENTO="Manual",ROUND(SUMPRODUCT((CÁLCULO!$M$15:$M$71=EVENTOS!$C53)*(OFFSET(CÁLCULO!$AA$15:$AA$71,0,M$13))),2),0)</f>
        <v>0</v>
      </c>
      <c r="N53" s="620" cm="1">
        <f t="array" aca="1" ref="N53" ca="1">IF(AUTOEVENTO="Manual",ROUND(SUMPRODUCT((CÁLCULO!$M$15:$M$71=EVENTOS!$C53)*(OFFSET(CÁLCULO!$AA$15:$AA$71,0,N$13))),2),0)</f>
        <v>0</v>
      </c>
      <c r="O53" s="620" cm="1">
        <f t="array" aca="1" ref="O53" ca="1">IF(AUTOEVENTO="Manual",ROUND(SUMPRODUCT((CÁLCULO!$M$15:$M$71=EVENTOS!$C53)*(OFFSET(CÁLCULO!$AA$15:$AA$71,0,O$13))),2),0)</f>
        <v>0</v>
      </c>
      <c r="P53" s="620" cm="1">
        <f t="array" aca="1" ref="P53" ca="1">IF(AUTOEVENTO="Manual",ROUND(SUMPRODUCT((CÁLCULO!$M$15:$M$71=EVENTOS!$C53)*(OFFSET(CÁLCULO!$AA$15:$AA$71,0,P$13))),2),0)</f>
        <v>0</v>
      </c>
      <c r="Q53" s="620" cm="1">
        <f t="array" aca="1" ref="Q53" ca="1">IF(AUTOEVENTO="Manual",ROUND(SUMPRODUCT((CÁLCULO!$M$15:$M$71=EVENTOS!$C53)*(OFFSET(CÁLCULO!$AA$15:$AA$71,0,Q$13))),2),0)</f>
        <v>0</v>
      </c>
      <c r="R53" s="620" cm="1">
        <f t="array" aca="1" ref="R53" ca="1">IF(AUTOEVENTO="Manual",ROUND(SUMPRODUCT((CÁLCULO!$M$15:$M$71=EVENTOS!$C53)*(OFFSET(CÁLCULO!$AA$15:$AA$71,0,R$13))),2),0)</f>
        <v>0</v>
      </c>
      <c r="S53" s="620" cm="1">
        <f t="array" aca="1" ref="S53" ca="1">IF(AUTOEVENTO="Manual",ROUND(SUMPRODUCT((CÁLCULO!$M$15:$M$71=EVENTOS!$C53)*(OFFSET(CÁLCULO!$AA$15:$AA$71,0,S$13))),2),0)</f>
        <v>0</v>
      </c>
      <c r="T53" s="620" cm="1">
        <f t="array" aca="1" ref="T53" ca="1">IF(AUTOEVENTO="Manual",ROUND(SUMPRODUCT((CÁLCULO!$M$15:$M$71=EVENTOS!$C53)*(OFFSET(CÁLCULO!$AA$15:$AA$71,0,T$13))),2),0)</f>
        <v>0</v>
      </c>
      <c r="U53" s="620" cm="1">
        <f t="array" aca="1" ref="U53" ca="1">IF(AUTOEVENTO="Manual",ROUND(SUMPRODUCT((CÁLCULO!$M$15:$M$71=EVENTOS!$C53)*(OFFSET(CÁLCULO!$AA$15:$AA$71,0,U$13))),2),0)</f>
        <v>0</v>
      </c>
      <c r="V53" s="620" cm="1">
        <f t="array" aca="1" ref="V53" ca="1">IF(AUTOEVENTO="Manual",ROUND(SUMPRODUCT((CÁLCULO!$M$15:$M$71=EVENTOS!$C53)*(OFFSET(CÁLCULO!$AA$15:$AA$71,0,V$13))),2),0)</f>
        <v>0</v>
      </c>
      <c r="W53" s="620" cm="1">
        <f t="array" aca="1" ref="W53" ca="1">IF(AUTOEVENTO="Manual",ROUND(SUMPRODUCT((CÁLCULO!$M$15:$M$71=EVENTOS!$C53)*(OFFSET(CÁLCULO!$AA$15:$AA$71,0,W$13))),2),0)</f>
        <v>0</v>
      </c>
      <c r="X53" s="620" cm="1">
        <f t="array" aca="1" ref="X53" ca="1">IF(AUTOEVENTO="Manual",ROUND(SUMPRODUCT((CÁLCULO!$M$15:$M$71=EVENTOS!$C53)*(OFFSET(CÁLCULO!$AA$15:$AA$71,0,X$13))),2),0)</f>
        <v>0</v>
      </c>
      <c r="Y53" s="620" cm="1">
        <f t="array" aca="1" ref="Y53" ca="1">IF(AUTOEVENTO="Manual",ROUND(SUMPRODUCT((CÁLCULO!$M$15:$M$71=EVENTOS!$C53)*(OFFSET(CÁLCULO!$AA$15:$AA$71,0,Y$13))),2),0)</f>
        <v>0</v>
      </c>
    </row>
    <row r="54" spans="1:25" x14ac:dyDescent="0.2">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IF(AUTOEVENTO="Manual",ROUND(SUMPRODUCT((CÁLCULO!$M$15:$M$71=EVENTOS!$C54)*(OFFSET(CÁLCULO!$AA$15:$AA$71,0,E$13))),2),0)</f>
        <v>0</v>
      </c>
      <c r="F54" s="183">
        <f ca="1">IF(AUTOEVENTO="Manual",ROUND(SUMPRODUCT((CÁLCULO!$M$15:$M$71=EVENTOS!$C54)*(OFFSET(CÁLCULO!$AA$15,0,1):OFFSET(CÁLCULO!$AL$71,0,-1))),2),0)</f>
        <v>0</v>
      </c>
      <c r="G54" s="621" t="str">
        <f t="shared" ca="1" si="6"/>
        <v/>
      </c>
      <c r="H54" s="620" cm="1">
        <f t="array" aca="1" ref="H54" ca="1">IF(AUTOEVENTO="Manual",ROUND(SUMPRODUCT((CÁLCULO!$M$15:$M$71=EVENTOS!$C54)*(OFFSET(CÁLCULO!$AA$15:$AA$71,0,H$13))),2),0)</f>
        <v>0</v>
      </c>
      <c r="I54" s="620" cm="1">
        <f t="array" aca="1" ref="I54" ca="1">IF(AUTOEVENTO="Manual",ROUND(SUMPRODUCT((CÁLCULO!$M$15:$M$71=EVENTOS!$C54)*(OFFSET(CÁLCULO!$AA$15:$AA$71,0,I$13))),2),0)</f>
        <v>0</v>
      </c>
      <c r="J54" s="620" cm="1">
        <f t="array" aca="1" ref="J54" ca="1">IF(AUTOEVENTO="Manual",ROUND(SUMPRODUCT((CÁLCULO!$M$15:$M$71=EVENTOS!$C54)*(OFFSET(CÁLCULO!$AA$15:$AA$71,0,J$13))),2),0)</f>
        <v>0</v>
      </c>
      <c r="K54" s="620" cm="1">
        <f t="array" aca="1" ref="K54" ca="1">IF(AUTOEVENTO="Manual",ROUND(SUMPRODUCT((CÁLCULO!$M$15:$M$71=EVENTOS!$C54)*(OFFSET(CÁLCULO!$AA$15:$AA$71,0,K$13))),2),0)</f>
        <v>0</v>
      </c>
      <c r="L54" s="620" cm="1">
        <f t="array" aca="1" ref="L54" ca="1">IF(AUTOEVENTO="Manual",ROUND(SUMPRODUCT((CÁLCULO!$M$15:$M$71=EVENTOS!$C54)*(OFFSET(CÁLCULO!$AA$15:$AA$71,0,L$13))),2),0)</f>
        <v>0</v>
      </c>
      <c r="M54" s="620" cm="1">
        <f t="array" aca="1" ref="M54" ca="1">IF(AUTOEVENTO="Manual",ROUND(SUMPRODUCT((CÁLCULO!$M$15:$M$71=EVENTOS!$C54)*(OFFSET(CÁLCULO!$AA$15:$AA$71,0,M$13))),2),0)</f>
        <v>0</v>
      </c>
      <c r="N54" s="620" cm="1">
        <f t="array" aca="1" ref="N54" ca="1">IF(AUTOEVENTO="Manual",ROUND(SUMPRODUCT((CÁLCULO!$M$15:$M$71=EVENTOS!$C54)*(OFFSET(CÁLCULO!$AA$15:$AA$71,0,N$13))),2),0)</f>
        <v>0</v>
      </c>
      <c r="O54" s="620" cm="1">
        <f t="array" aca="1" ref="O54" ca="1">IF(AUTOEVENTO="Manual",ROUND(SUMPRODUCT((CÁLCULO!$M$15:$M$71=EVENTOS!$C54)*(OFFSET(CÁLCULO!$AA$15:$AA$71,0,O$13))),2),0)</f>
        <v>0</v>
      </c>
      <c r="P54" s="620" cm="1">
        <f t="array" aca="1" ref="P54" ca="1">IF(AUTOEVENTO="Manual",ROUND(SUMPRODUCT((CÁLCULO!$M$15:$M$71=EVENTOS!$C54)*(OFFSET(CÁLCULO!$AA$15:$AA$71,0,P$13))),2),0)</f>
        <v>0</v>
      </c>
      <c r="Q54" s="620" cm="1">
        <f t="array" aca="1" ref="Q54" ca="1">IF(AUTOEVENTO="Manual",ROUND(SUMPRODUCT((CÁLCULO!$M$15:$M$71=EVENTOS!$C54)*(OFFSET(CÁLCULO!$AA$15:$AA$71,0,Q$13))),2),0)</f>
        <v>0</v>
      </c>
      <c r="R54" s="620" cm="1">
        <f t="array" aca="1" ref="R54" ca="1">IF(AUTOEVENTO="Manual",ROUND(SUMPRODUCT((CÁLCULO!$M$15:$M$71=EVENTOS!$C54)*(OFFSET(CÁLCULO!$AA$15:$AA$71,0,R$13))),2),0)</f>
        <v>0</v>
      </c>
      <c r="S54" s="620" cm="1">
        <f t="array" aca="1" ref="S54" ca="1">IF(AUTOEVENTO="Manual",ROUND(SUMPRODUCT((CÁLCULO!$M$15:$M$71=EVENTOS!$C54)*(OFFSET(CÁLCULO!$AA$15:$AA$71,0,S$13))),2),0)</f>
        <v>0</v>
      </c>
      <c r="T54" s="620" cm="1">
        <f t="array" aca="1" ref="T54" ca="1">IF(AUTOEVENTO="Manual",ROUND(SUMPRODUCT((CÁLCULO!$M$15:$M$71=EVENTOS!$C54)*(OFFSET(CÁLCULO!$AA$15:$AA$71,0,T$13))),2),0)</f>
        <v>0</v>
      </c>
      <c r="U54" s="620" cm="1">
        <f t="array" aca="1" ref="U54" ca="1">IF(AUTOEVENTO="Manual",ROUND(SUMPRODUCT((CÁLCULO!$M$15:$M$71=EVENTOS!$C54)*(OFFSET(CÁLCULO!$AA$15:$AA$71,0,U$13))),2),0)</f>
        <v>0</v>
      </c>
      <c r="V54" s="620" cm="1">
        <f t="array" aca="1" ref="V54" ca="1">IF(AUTOEVENTO="Manual",ROUND(SUMPRODUCT((CÁLCULO!$M$15:$M$71=EVENTOS!$C54)*(OFFSET(CÁLCULO!$AA$15:$AA$71,0,V$13))),2),0)</f>
        <v>0</v>
      </c>
      <c r="W54" s="620" cm="1">
        <f t="array" aca="1" ref="W54" ca="1">IF(AUTOEVENTO="Manual",ROUND(SUMPRODUCT((CÁLCULO!$M$15:$M$71=EVENTOS!$C54)*(OFFSET(CÁLCULO!$AA$15:$AA$71,0,W$13))),2),0)</f>
        <v>0</v>
      </c>
      <c r="X54" s="620" cm="1">
        <f t="array" aca="1" ref="X54" ca="1">IF(AUTOEVENTO="Manual",ROUND(SUMPRODUCT((CÁLCULO!$M$15:$M$71=EVENTOS!$C54)*(OFFSET(CÁLCULO!$AA$15:$AA$71,0,X$13))),2),0)</f>
        <v>0</v>
      </c>
      <c r="Y54" s="620" cm="1">
        <f t="array" aca="1" ref="Y54" ca="1">IF(AUTOEVENTO="Manual",ROUND(SUMPRODUCT((CÁLCULO!$M$15:$M$71=EVENTOS!$C54)*(OFFSET(CÁLCULO!$AA$15:$AA$71,0,Y$13))),2),0)</f>
        <v>0</v>
      </c>
    </row>
    <row r="55" spans="1:25" x14ac:dyDescent="0.2">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IF(AUTOEVENTO="Manual",ROUND(SUMPRODUCT((CÁLCULO!$M$15:$M$71=EVENTOS!$C55)*(OFFSET(CÁLCULO!$AA$15:$AA$71,0,E$13))),2),0)</f>
        <v>0</v>
      </c>
      <c r="F55" s="183">
        <f ca="1">IF(AUTOEVENTO="Manual",ROUND(SUMPRODUCT((CÁLCULO!$M$15:$M$71=EVENTOS!$C55)*(OFFSET(CÁLCULO!$AA$15,0,1):OFFSET(CÁLCULO!$AL$71,0,-1))),2),0)</f>
        <v>0</v>
      </c>
      <c r="G55" s="621" t="str">
        <f t="shared" ca="1" si="6"/>
        <v/>
      </c>
      <c r="H55" s="620" cm="1">
        <f t="array" aca="1" ref="H55" ca="1">IF(AUTOEVENTO="Manual",ROUND(SUMPRODUCT((CÁLCULO!$M$15:$M$71=EVENTOS!$C55)*(OFFSET(CÁLCULO!$AA$15:$AA$71,0,H$13))),2),0)</f>
        <v>0</v>
      </c>
      <c r="I55" s="620" cm="1">
        <f t="array" aca="1" ref="I55" ca="1">IF(AUTOEVENTO="Manual",ROUND(SUMPRODUCT((CÁLCULO!$M$15:$M$71=EVENTOS!$C55)*(OFFSET(CÁLCULO!$AA$15:$AA$71,0,I$13))),2),0)</f>
        <v>0</v>
      </c>
      <c r="J55" s="620" cm="1">
        <f t="array" aca="1" ref="J55" ca="1">IF(AUTOEVENTO="Manual",ROUND(SUMPRODUCT((CÁLCULO!$M$15:$M$71=EVENTOS!$C55)*(OFFSET(CÁLCULO!$AA$15:$AA$71,0,J$13))),2),0)</f>
        <v>0</v>
      </c>
      <c r="K55" s="620" cm="1">
        <f t="array" aca="1" ref="K55" ca="1">IF(AUTOEVENTO="Manual",ROUND(SUMPRODUCT((CÁLCULO!$M$15:$M$71=EVENTOS!$C55)*(OFFSET(CÁLCULO!$AA$15:$AA$71,0,K$13))),2),0)</f>
        <v>0</v>
      </c>
      <c r="L55" s="620" cm="1">
        <f t="array" aca="1" ref="L55" ca="1">IF(AUTOEVENTO="Manual",ROUND(SUMPRODUCT((CÁLCULO!$M$15:$M$71=EVENTOS!$C55)*(OFFSET(CÁLCULO!$AA$15:$AA$71,0,L$13))),2),0)</f>
        <v>0</v>
      </c>
      <c r="M55" s="620" cm="1">
        <f t="array" aca="1" ref="M55" ca="1">IF(AUTOEVENTO="Manual",ROUND(SUMPRODUCT((CÁLCULO!$M$15:$M$71=EVENTOS!$C55)*(OFFSET(CÁLCULO!$AA$15:$AA$71,0,M$13))),2),0)</f>
        <v>0</v>
      </c>
      <c r="N55" s="620" cm="1">
        <f t="array" aca="1" ref="N55" ca="1">IF(AUTOEVENTO="Manual",ROUND(SUMPRODUCT((CÁLCULO!$M$15:$M$71=EVENTOS!$C55)*(OFFSET(CÁLCULO!$AA$15:$AA$71,0,N$13))),2),0)</f>
        <v>0</v>
      </c>
      <c r="O55" s="620" cm="1">
        <f t="array" aca="1" ref="O55" ca="1">IF(AUTOEVENTO="Manual",ROUND(SUMPRODUCT((CÁLCULO!$M$15:$M$71=EVENTOS!$C55)*(OFFSET(CÁLCULO!$AA$15:$AA$71,0,O$13))),2),0)</f>
        <v>0</v>
      </c>
      <c r="P55" s="620" cm="1">
        <f t="array" aca="1" ref="P55" ca="1">IF(AUTOEVENTO="Manual",ROUND(SUMPRODUCT((CÁLCULO!$M$15:$M$71=EVENTOS!$C55)*(OFFSET(CÁLCULO!$AA$15:$AA$71,0,P$13))),2),0)</f>
        <v>0</v>
      </c>
      <c r="Q55" s="620" cm="1">
        <f t="array" aca="1" ref="Q55" ca="1">IF(AUTOEVENTO="Manual",ROUND(SUMPRODUCT((CÁLCULO!$M$15:$M$71=EVENTOS!$C55)*(OFFSET(CÁLCULO!$AA$15:$AA$71,0,Q$13))),2),0)</f>
        <v>0</v>
      </c>
      <c r="R55" s="620" cm="1">
        <f t="array" aca="1" ref="R55" ca="1">IF(AUTOEVENTO="Manual",ROUND(SUMPRODUCT((CÁLCULO!$M$15:$M$71=EVENTOS!$C55)*(OFFSET(CÁLCULO!$AA$15:$AA$71,0,R$13))),2),0)</f>
        <v>0</v>
      </c>
      <c r="S55" s="620" cm="1">
        <f t="array" aca="1" ref="S55" ca="1">IF(AUTOEVENTO="Manual",ROUND(SUMPRODUCT((CÁLCULO!$M$15:$M$71=EVENTOS!$C55)*(OFFSET(CÁLCULO!$AA$15:$AA$71,0,S$13))),2),0)</f>
        <v>0</v>
      </c>
      <c r="T55" s="620" cm="1">
        <f t="array" aca="1" ref="T55" ca="1">IF(AUTOEVENTO="Manual",ROUND(SUMPRODUCT((CÁLCULO!$M$15:$M$71=EVENTOS!$C55)*(OFFSET(CÁLCULO!$AA$15:$AA$71,0,T$13))),2),0)</f>
        <v>0</v>
      </c>
      <c r="U55" s="620" cm="1">
        <f t="array" aca="1" ref="U55" ca="1">IF(AUTOEVENTO="Manual",ROUND(SUMPRODUCT((CÁLCULO!$M$15:$M$71=EVENTOS!$C55)*(OFFSET(CÁLCULO!$AA$15:$AA$71,0,U$13))),2),0)</f>
        <v>0</v>
      </c>
      <c r="V55" s="620" cm="1">
        <f t="array" aca="1" ref="V55" ca="1">IF(AUTOEVENTO="Manual",ROUND(SUMPRODUCT((CÁLCULO!$M$15:$M$71=EVENTOS!$C55)*(OFFSET(CÁLCULO!$AA$15:$AA$71,0,V$13))),2),0)</f>
        <v>0</v>
      </c>
      <c r="W55" s="620" cm="1">
        <f t="array" aca="1" ref="W55" ca="1">IF(AUTOEVENTO="Manual",ROUND(SUMPRODUCT((CÁLCULO!$M$15:$M$71=EVENTOS!$C55)*(OFFSET(CÁLCULO!$AA$15:$AA$71,0,W$13))),2),0)</f>
        <v>0</v>
      </c>
      <c r="X55" s="620" cm="1">
        <f t="array" aca="1" ref="X55" ca="1">IF(AUTOEVENTO="Manual",ROUND(SUMPRODUCT((CÁLCULO!$M$15:$M$71=EVENTOS!$C55)*(OFFSET(CÁLCULO!$AA$15:$AA$71,0,X$13))),2),0)</f>
        <v>0</v>
      </c>
      <c r="Y55" s="620" cm="1">
        <f t="array" aca="1" ref="Y55" ca="1">IF(AUTOEVENTO="Manual",ROUND(SUMPRODUCT((CÁLCULO!$M$15:$M$71=EVENTOS!$C55)*(OFFSET(CÁLCULO!$AA$15:$AA$71,0,Y$13))),2),0)</f>
        <v>0</v>
      </c>
    </row>
    <row r="56" spans="1:25" x14ac:dyDescent="0.2">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IF(AUTOEVENTO="Manual",ROUND(SUMPRODUCT((CÁLCULO!$M$15:$M$71=EVENTOS!$C56)*(OFFSET(CÁLCULO!$AA$15:$AA$71,0,E$13))),2),0)</f>
        <v>0</v>
      </c>
      <c r="F56" s="183">
        <f ca="1">IF(AUTOEVENTO="Manual",ROUND(SUMPRODUCT((CÁLCULO!$M$15:$M$71=EVENTOS!$C56)*(OFFSET(CÁLCULO!$AA$15,0,1):OFFSET(CÁLCULO!$AL$71,0,-1))),2),0)</f>
        <v>0</v>
      </c>
      <c r="G56" s="621" t="str">
        <f t="shared" ca="1" si="6"/>
        <v/>
      </c>
      <c r="H56" s="620" cm="1">
        <f t="array" aca="1" ref="H56" ca="1">IF(AUTOEVENTO="Manual",ROUND(SUMPRODUCT((CÁLCULO!$M$15:$M$71=EVENTOS!$C56)*(OFFSET(CÁLCULO!$AA$15:$AA$71,0,H$13))),2),0)</f>
        <v>0</v>
      </c>
      <c r="I56" s="620" cm="1">
        <f t="array" aca="1" ref="I56" ca="1">IF(AUTOEVENTO="Manual",ROUND(SUMPRODUCT((CÁLCULO!$M$15:$M$71=EVENTOS!$C56)*(OFFSET(CÁLCULO!$AA$15:$AA$71,0,I$13))),2),0)</f>
        <v>0</v>
      </c>
      <c r="J56" s="620" cm="1">
        <f t="array" aca="1" ref="J56" ca="1">IF(AUTOEVENTO="Manual",ROUND(SUMPRODUCT((CÁLCULO!$M$15:$M$71=EVENTOS!$C56)*(OFFSET(CÁLCULO!$AA$15:$AA$71,0,J$13))),2),0)</f>
        <v>0</v>
      </c>
      <c r="K56" s="620" cm="1">
        <f t="array" aca="1" ref="K56" ca="1">IF(AUTOEVENTO="Manual",ROUND(SUMPRODUCT((CÁLCULO!$M$15:$M$71=EVENTOS!$C56)*(OFFSET(CÁLCULO!$AA$15:$AA$71,0,K$13))),2),0)</f>
        <v>0</v>
      </c>
      <c r="L56" s="620" cm="1">
        <f t="array" aca="1" ref="L56" ca="1">IF(AUTOEVENTO="Manual",ROUND(SUMPRODUCT((CÁLCULO!$M$15:$M$71=EVENTOS!$C56)*(OFFSET(CÁLCULO!$AA$15:$AA$71,0,L$13))),2),0)</f>
        <v>0</v>
      </c>
      <c r="M56" s="620" cm="1">
        <f t="array" aca="1" ref="M56" ca="1">IF(AUTOEVENTO="Manual",ROUND(SUMPRODUCT((CÁLCULO!$M$15:$M$71=EVENTOS!$C56)*(OFFSET(CÁLCULO!$AA$15:$AA$71,0,M$13))),2),0)</f>
        <v>0</v>
      </c>
      <c r="N56" s="620" cm="1">
        <f t="array" aca="1" ref="N56" ca="1">IF(AUTOEVENTO="Manual",ROUND(SUMPRODUCT((CÁLCULO!$M$15:$M$71=EVENTOS!$C56)*(OFFSET(CÁLCULO!$AA$15:$AA$71,0,N$13))),2),0)</f>
        <v>0</v>
      </c>
      <c r="O56" s="620" cm="1">
        <f t="array" aca="1" ref="O56" ca="1">IF(AUTOEVENTO="Manual",ROUND(SUMPRODUCT((CÁLCULO!$M$15:$M$71=EVENTOS!$C56)*(OFFSET(CÁLCULO!$AA$15:$AA$71,0,O$13))),2),0)</f>
        <v>0</v>
      </c>
      <c r="P56" s="620" cm="1">
        <f t="array" aca="1" ref="P56" ca="1">IF(AUTOEVENTO="Manual",ROUND(SUMPRODUCT((CÁLCULO!$M$15:$M$71=EVENTOS!$C56)*(OFFSET(CÁLCULO!$AA$15:$AA$71,0,P$13))),2),0)</f>
        <v>0</v>
      </c>
      <c r="Q56" s="620" cm="1">
        <f t="array" aca="1" ref="Q56" ca="1">IF(AUTOEVENTO="Manual",ROUND(SUMPRODUCT((CÁLCULO!$M$15:$M$71=EVENTOS!$C56)*(OFFSET(CÁLCULO!$AA$15:$AA$71,0,Q$13))),2),0)</f>
        <v>0</v>
      </c>
      <c r="R56" s="620" cm="1">
        <f t="array" aca="1" ref="R56" ca="1">IF(AUTOEVENTO="Manual",ROUND(SUMPRODUCT((CÁLCULO!$M$15:$M$71=EVENTOS!$C56)*(OFFSET(CÁLCULO!$AA$15:$AA$71,0,R$13))),2),0)</f>
        <v>0</v>
      </c>
      <c r="S56" s="620" cm="1">
        <f t="array" aca="1" ref="S56" ca="1">IF(AUTOEVENTO="Manual",ROUND(SUMPRODUCT((CÁLCULO!$M$15:$M$71=EVENTOS!$C56)*(OFFSET(CÁLCULO!$AA$15:$AA$71,0,S$13))),2),0)</f>
        <v>0</v>
      </c>
      <c r="T56" s="620" cm="1">
        <f t="array" aca="1" ref="T56" ca="1">IF(AUTOEVENTO="Manual",ROUND(SUMPRODUCT((CÁLCULO!$M$15:$M$71=EVENTOS!$C56)*(OFFSET(CÁLCULO!$AA$15:$AA$71,0,T$13))),2),0)</f>
        <v>0</v>
      </c>
      <c r="U56" s="620" cm="1">
        <f t="array" aca="1" ref="U56" ca="1">IF(AUTOEVENTO="Manual",ROUND(SUMPRODUCT((CÁLCULO!$M$15:$M$71=EVENTOS!$C56)*(OFFSET(CÁLCULO!$AA$15:$AA$71,0,U$13))),2),0)</f>
        <v>0</v>
      </c>
      <c r="V56" s="620" cm="1">
        <f t="array" aca="1" ref="V56" ca="1">IF(AUTOEVENTO="Manual",ROUND(SUMPRODUCT((CÁLCULO!$M$15:$M$71=EVENTOS!$C56)*(OFFSET(CÁLCULO!$AA$15:$AA$71,0,V$13))),2),0)</f>
        <v>0</v>
      </c>
      <c r="W56" s="620" cm="1">
        <f t="array" aca="1" ref="W56" ca="1">IF(AUTOEVENTO="Manual",ROUND(SUMPRODUCT((CÁLCULO!$M$15:$M$71=EVENTOS!$C56)*(OFFSET(CÁLCULO!$AA$15:$AA$71,0,W$13))),2),0)</f>
        <v>0</v>
      </c>
      <c r="X56" s="620" cm="1">
        <f t="array" aca="1" ref="X56" ca="1">IF(AUTOEVENTO="Manual",ROUND(SUMPRODUCT((CÁLCULO!$M$15:$M$71=EVENTOS!$C56)*(OFFSET(CÁLCULO!$AA$15:$AA$71,0,X$13))),2),0)</f>
        <v>0</v>
      </c>
      <c r="Y56" s="620" cm="1">
        <f t="array" aca="1" ref="Y56" ca="1">IF(AUTOEVENTO="Manual",ROUND(SUMPRODUCT((CÁLCULO!$M$15:$M$71=EVENTOS!$C56)*(OFFSET(CÁLCULO!$AA$15:$AA$71,0,Y$13))),2),0)</f>
        <v>0</v>
      </c>
    </row>
    <row r="57" spans="1:25" x14ac:dyDescent="0.2">
      <c r="A57" s="506" t="str">
        <f t="shared" si="3"/>
        <v/>
      </c>
      <c r="B57" t="str">
        <f t="shared" ca="1" si="4"/>
        <v/>
      </c>
      <c r="C57" s="182" t="str" cm="1">
        <f t="array" aca="1" ref="C57" ca="1">IF(OR(ROW(C57)=ROW(EVENTOS.firstrow)+1,AND(OFFSET(C57,-1,0)&lt;&gt;" ",OFFSET(C57,-1,1)&lt;&gt;"")),OFFSET(C57,-1,0)+1," ")</f>
        <v xml:space="preserve"> </v>
      </c>
      <c r="D57" s="496"/>
      <c r="E57" s="620" cm="1">
        <f t="array" aca="1" ref="E57" ca="1">IF(AUTOEVENTO="Manual",ROUND(SUMPRODUCT((CÁLCULO!$M$15:$M$71=EVENTOS!$C57)*(OFFSET(CÁLCULO!$AA$15:$AA$71,0,E$13))),2),0)</f>
        <v>0</v>
      </c>
      <c r="F57" s="183">
        <f ca="1">IF(AUTOEVENTO="Manual",ROUND(SUMPRODUCT((CÁLCULO!$M$15:$M$71=EVENTOS!$C57)*(OFFSET(CÁLCULO!$AA$15,0,1):OFFSET(CÁLCULO!$AL$71,0,-1))),2),0)</f>
        <v>0</v>
      </c>
      <c r="G57" s="621" t="str">
        <f t="shared" ca="1" si="6"/>
        <v/>
      </c>
      <c r="H57" s="620" cm="1">
        <f t="array" aca="1" ref="H57" ca="1">IF(AUTOEVENTO="Manual",ROUND(SUMPRODUCT((CÁLCULO!$M$15:$M$71=EVENTOS!$C57)*(OFFSET(CÁLCULO!$AA$15:$AA$71,0,H$13))),2),0)</f>
        <v>0</v>
      </c>
      <c r="I57" s="620" cm="1">
        <f t="array" aca="1" ref="I57" ca="1">IF(AUTOEVENTO="Manual",ROUND(SUMPRODUCT((CÁLCULO!$M$15:$M$71=EVENTOS!$C57)*(OFFSET(CÁLCULO!$AA$15:$AA$71,0,I$13))),2),0)</f>
        <v>0</v>
      </c>
      <c r="J57" s="620" cm="1">
        <f t="array" aca="1" ref="J57" ca="1">IF(AUTOEVENTO="Manual",ROUND(SUMPRODUCT((CÁLCULO!$M$15:$M$71=EVENTOS!$C57)*(OFFSET(CÁLCULO!$AA$15:$AA$71,0,J$13))),2),0)</f>
        <v>0</v>
      </c>
      <c r="K57" s="620" cm="1">
        <f t="array" aca="1" ref="K57" ca="1">IF(AUTOEVENTO="Manual",ROUND(SUMPRODUCT((CÁLCULO!$M$15:$M$71=EVENTOS!$C57)*(OFFSET(CÁLCULO!$AA$15:$AA$71,0,K$13))),2),0)</f>
        <v>0</v>
      </c>
      <c r="L57" s="620" cm="1">
        <f t="array" aca="1" ref="L57" ca="1">IF(AUTOEVENTO="Manual",ROUND(SUMPRODUCT((CÁLCULO!$M$15:$M$71=EVENTOS!$C57)*(OFFSET(CÁLCULO!$AA$15:$AA$71,0,L$13))),2),0)</f>
        <v>0</v>
      </c>
      <c r="M57" s="620" cm="1">
        <f t="array" aca="1" ref="M57" ca="1">IF(AUTOEVENTO="Manual",ROUND(SUMPRODUCT((CÁLCULO!$M$15:$M$71=EVENTOS!$C57)*(OFFSET(CÁLCULO!$AA$15:$AA$71,0,M$13))),2),0)</f>
        <v>0</v>
      </c>
      <c r="N57" s="620" cm="1">
        <f t="array" aca="1" ref="N57" ca="1">IF(AUTOEVENTO="Manual",ROUND(SUMPRODUCT((CÁLCULO!$M$15:$M$71=EVENTOS!$C57)*(OFFSET(CÁLCULO!$AA$15:$AA$71,0,N$13))),2),0)</f>
        <v>0</v>
      </c>
      <c r="O57" s="620" cm="1">
        <f t="array" aca="1" ref="O57" ca="1">IF(AUTOEVENTO="Manual",ROUND(SUMPRODUCT((CÁLCULO!$M$15:$M$71=EVENTOS!$C57)*(OFFSET(CÁLCULO!$AA$15:$AA$71,0,O$13))),2),0)</f>
        <v>0</v>
      </c>
      <c r="P57" s="620" cm="1">
        <f t="array" aca="1" ref="P57" ca="1">IF(AUTOEVENTO="Manual",ROUND(SUMPRODUCT((CÁLCULO!$M$15:$M$71=EVENTOS!$C57)*(OFFSET(CÁLCULO!$AA$15:$AA$71,0,P$13))),2),0)</f>
        <v>0</v>
      </c>
      <c r="Q57" s="620" cm="1">
        <f t="array" aca="1" ref="Q57" ca="1">IF(AUTOEVENTO="Manual",ROUND(SUMPRODUCT((CÁLCULO!$M$15:$M$71=EVENTOS!$C57)*(OFFSET(CÁLCULO!$AA$15:$AA$71,0,Q$13))),2),0)</f>
        <v>0</v>
      </c>
      <c r="R57" s="620" cm="1">
        <f t="array" aca="1" ref="R57" ca="1">IF(AUTOEVENTO="Manual",ROUND(SUMPRODUCT((CÁLCULO!$M$15:$M$71=EVENTOS!$C57)*(OFFSET(CÁLCULO!$AA$15:$AA$71,0,R$13))),2),0)</f>
        <v>0</v>
      </c>
      <c r="S57" s="620" cm="1">
        <f t="array" aca="1" ref="S57" ca="1">IF(AUTOEVENTO="Manual",ROUND(SUMPRODUCT((CÁLCULO!$M$15:$M$71=EVENTOS!$C57)*(OFFSET(CÁLCULO!$AA$15:$AA$71,0,S$13))),2),0)</f>
        <v>0</v>
      </c>
      <c r="T57" s="620" cm="1">
        <f t="array" aca="1" ref="T57" ca="1">IF(AUTOEVENTO="Manual",ROUND(SUMPRODUCT((CÁLCULO!$M$15:$M$71=EVENTOS!$C57)*(OFFSET(CÁLCULO!$AA$15:$AA$71,0,T$13))),2),0)</f>
        <v>0</v>
      </c>
      <c r="U57" s="620" cm="1">
        <f t="array" aca="1" ref="U57" ca="1">IF(AUTOEVENTO="Manual",ROUND(SUMPRODUCT((CÁLCULO!$M$15:$M$71=EVENTOS!$C57)*(OFFSET(CÁLCULO!$AA$15:$AA$71,0,U$13))),2),0)</f>
        <v>0</v>
      </c>
      <c r="V57" s="620" cm="1">
        <f t="array" aca="1" ref="V57" ca="1">IF(AUTOEVENTO="Manual",ROUND(SUMPRODUCT((CÁLCULO!$M$15:$M$71=EVENTOS!$C57)*(OFFSET(CÁLCULO!$AA$15:$AA$71,0,V$13))),2),0)</f>
        <v>0</v>
      </c>
      <c r="W57" s="620" cm="1">
        <f t="array" aca="1" ref="W57" ca="1">IF(AUTOEVENTO="Manual",ROUND(SUMPRODUCT((CÁLCULO!$M$15:$M$71=EVENTOS!$C57)*(OFFSET(CÁLCULO!$AA$15:$AA$71,0,W$13))),2),0)</f>
        <v>0</v>
      </c>
      <c r="X57" s="620" cm="1">
        <f t="array" aca="1" ref="X57" ca="1">IF(AUTOEVENTO="Manual",ROUND(SUMPRODUCT((CÁLCULO!$M$15:$M$71=EVENTOS!$C57)*(OFFSET(CÁLCULO!$AA$15:$AA$71,0,X$13))),2),0)</f>
        <v>0</v>
      </c>
      <c r="Y57" s="620" cm="1">
        <f t="array" aca="1" ref="Y57" ca="1">IF(AUTOEVENTO="Manual",ROUND(SUMPRODUCT((CÁLCULO!$M$15:$M$71=EVENTOS!$C57)*(OFFSET(CÁLCULO!$AA$15:$AA$71,0,Y$13))),2),0)</f>
        <v>0</v>
      </c>
    </row>
    <row r="58" spans="1:25" x14ac:dyDescent="0.2">
      <c r="A58" s="506" t="str">
        <f t="shared" si="3"/>
        <v/>
      </c>
      <c r="B58" t="str">
        <f t="shared" ca="1" si="4"/>
        <v/>
      </c>
      <c r="C58" s="182" t="str" cm="1">
        <f t="array" aca="1" ref="C58" ca="1">IF(OR(ROW(C58)=ROW(EVENTOS.firstrow)+1,AND(OFFSET(C58,-1,0)&lt;&gt;" ",OFFSET(C58,-1,1)&lt;&gt;"")),OFFSET(C58,-1,0)+1," ")</f>
        <v xml:space="preserve"> </v>
      </c>
      <c r="D58" s="496"/>
      <c r="E58" s="620" cm="1">
        <f t="array" aca="1" ref="E58" ca="1">IF(AUTOEVENTO="Manual",ROUND(SUMPRODUCT((CÁLCULO!$M$15:$M$71=EVENTOS!$C58)*(OFFSET(CÁLCULO!$AA$15:$AA$71,0,E$13))),2),0)</f>
        <v>0</v>
      </c>
      <c r="F58" s="183">
        <f ca="1">IF(AUTOEVENTO="Manual",ROUND(SUMPRODUCT((CÁLCULO!$M$15:$M$71=EVENTOS!$C58)*(OFFSET(CÁLCULO!$AA$15,0,1):OFFSET(CÁLCULO!$AL$71,0,-1))),2),0)</f>
        <v>0</v>
      </c>
      <c r="G58" s="621" t="str">
        <f t="shared" ca="1" si="6"/>
        <v/>
      </c>
      <c r="H58" s="620" cm="1">
        <f t="array" aca="1" ref="H58" ca="1">IF(AUTOEVENTO="Manual",ROUND(SUMPRODUCT((CÁLCULO!$M$15:$M$71=EVENTOS!$C58)*(OFFSET(CÁLCULO!$AA$15:$AA$71,0,H$13))),2),0)</f>
        <v>0</v>
      </c>
      <c r="I58" s="620" cm="1">
        <f t="array" aca="1" ref="I58" ca="1">IF(AUTOEVENTO="Manual",ROUND(SUMPRODUCT((CÁLCULO!$M$15:$M$71=EVENTOS!$C58)*(OFFSET(CÁLCULO!$AA$15:$AA$71,0,I$13))),2),0)</f>
        <v>0</v>
      </c>
      <c r="J58" s="620" cm="1">
        <f t="array" aca="1" ref="J58" ca="1">IF(AUTOEVENTO="Manual",ROUND(SUMPRODUCT((CÁLCULO!$M$15:$M$71=EVENTOS!$C58)*(OFFSET(CÁLCULO!$AA$15:$AA$71,0,J$13))),2),0)</f>
        <v>0</v>
      </c>
      <c r="K58" s="620" cm="1">
        <f t="array" aca="1" ref="K58" ca="1">IF(AUTOEVENTO="Manual",ROUND(SUMPRODUCT((CÁLCULO!$M$15:$M$71=EVENTOS!$C58)*(OFFSET(CÁLCULO!$AA$15:$AA$71,0,K$13))),2),0)</f>
        <v>0</v>
      </c>
      <c r="L58" s="620" cm="1">
        <f t="array" aca="1" ref="L58" ca="1">IF(AUTOEVENTO="Manual",ROUND(SUMPRODUCT((CÁLCULO!$M$15:$M$71=EVENTOS!$C58)*(OFFSET(CÁLCULO!$AA$15:$AA$71,0,L$13))),2),0)</f>
        <v>0</v>
      </c>
      <c r="M58" s="620" cm="1">
        <f t="array" aca="1" ref="M58" ca="1">IF(AUTOEVENTO="Manual",ROUND(SUMPRODUCT((CÁLCULO!$M$15:$M$71=EVENTOS!$C58)*(OFFSET(CÁLCULO!$AA$15:$AA$71,0,M$13))),2),0)</f>
        <v>0</v>
      </c>
      <c r="N58" s="620" cm="1">
        <f t="array" aca="1" ref="N58" ca="1">IF(AUTOEVENTO="Manual",ROUND(SUMPRODUCT((CÁLCULO!$M$15:$M$71=EVENTOS!$C58)*(OFFSET(CÁLCULO!$AA$15:$AA$71,0,N$13))),2),0)</f>
        <v>0</v>
      </c>
      <c r="O58" s="620" cm="1">
        <f t="array" aca="1" ref="O58" ca="1">IF(AUTOEVENTO="Manual",ROUND(SUMPRODUCT((CÁLCULO!$M$15:$M$71=EVENTOS!$C58)*(OFFSET(CÁLCULO!$AA$15:$AA$71,0,O$13))),2),0)</f>
        <v>0</v>
      </c>
      <c r="P58" s="620" cm="1">
        <f t="array" aca="1" ref="P58" ca="1">IF(AUTOEVENTO="Manual",ROUND(SUMPRODUCT((CÁLCULO!$M$15:$M$71=EVENTOS!$C58)*(OFFSET(CÁLCULO!$AA$15:$AA$71,0,P$13))),2),0)</f>
        <v>0</v>
      </c>
      <c r="Q58" s="620" cm="1">
        <f t="array" aca="1" ref="Q58" ca="1">IF(AUTOEVENTO="Manual",ROUND(SUMPRODUCT((CÁLCULO!$M$15:$M$71=EVENTOS!$C58)*(OFFSET(CÁLCULO!$AA$15:$AA$71,0,Q$13))),2),0)</f>
        <v>0</v>
      </c>
      <c r="R58" s="620" cm="1">
        <f t="array" aca="1" ref="R58" ca="1">IF(AUTOEVENTO="Manual",ROUND(SUMPRODUCT((CÁLCULO!$M$15:$M$71=EVENTOS!$C58)*(OFFSET(CÁLCULO!$AA$15:$AA$71,0,R$13))),2),0)</f>
        <v>0</v>
      </c>
      <c r="S58" s="620" cm="1">
        <f t="array" aca="1" ref="S58" ca="1">IF(AUTOEVENTO="Manual",ROUND(SUMPRODUCT((CÁLCULO!$M$15:$M$71=EVENTOS!$C58)*(OFFSET(CÁLCULO!$AA$15:$AA$71,0,S$13))),2),0)</f>
        <v>0</v>
      </c>
      <c r="T58" s="620" cm="1">
        <f t="array" aca="1" ref="T58" ca="1">IF(AUTOEVENTO="Manual",ROUND(SUMPRODUCT((CÁLCULO!$M$15:$M$71=EVENTOS!$C58)*(OFFSET(CÁLCULO!$AA$15:$AA$71,0,T$13))),2),0)</f>
        <v>0</v>
      </c>
      <c r="U58" s="620" cm="1">
        <f t="array" aca="1" ref="U58" ca="1">IF(AUTOEVENTO="Manual",ROUND(SUMPRODUCT((CÁLCULO!$M$15:$M$71=EVENTOS!$C58)*(OFFSET(CÁLCULO!$AA$15:$AA$71,0,U$13))),2),0)</f>
        <v>0</v>
      </c>
      <c r="V58" s="620" cm="1">
        <f t="array" aca="1" ref="V58" ca="1">IF(AUTOEVENTO="Manual",ROUND(SUMPRODUCT((CÁLCULO!$M$15:$M$71=EVENTOS!$C58)*(OFFSET(CÁLCULO!$AA$15:$AA$71,0,V$13))),2),0)</f>
        <v>0</v>
      </c>
      <c r="W58" s="620" cm="1">
        <f t="array" aca="1" ref="W58" ca="1">IF(AUTOEVENTO="Manual",ROUND(SUMPRODUCT((CÁLCULO!$M$15:$M$71=EVENTOS!$C58)*(OFFSET(CÁLCULO!$AA$15:$AA$71,0,W$13))),2),0)</f>
        <v>0</v>
      </c>
      <c r="X58" s="620" cm="1">
        <f t="array" aca="1" ref="X58" ca="1">IF(AUTOEVENTO="Manual",ROUND(SUMPRODUCT((CÁLCULO!$M$15:$M$71=EVENTOS!$C58)*(OFFSET(CÁLCULO!$AA$15:$AA$71,0,X$13))),2),0)</f>
        <v>0</v>
      </c>
      <c r="Y58" s="620" cm="1">
        <f t="array" aca="1" ref="Y58" ca="1">IF(AUTOEVENTO="Manual",ROUND(SUMPRODUCT((CÁLCULO!$M$15:$M$71=EVENTOS!$C58)*(OFFSET(CÁLCULO!$AA$15:$AA$71,0,Y$13))),2),0)</f>
        <v>0</v>
      </c>
    </row>
    <row r="59" spans="1:25" x14ac:dyDescent="0.2">
      <c r="A59" s="506" t="str">
        <f t="shared" si="3"/>
        <v/>
      </c>
      <c r="B59" t="str">
        <f t="shared" ca="1" si="4"/>
        <v/>
      </c>
      <c r="C59" s="182" t="str" cm="1">
        <f t="array" aca="1" ref="C59" ca="1">IF(OR(ROW(C59)=ROW(EVENTOS.firstrow)+1,AND(OFFSET(C59,-1,0)&lt;&gt;" ",OFFSET(C59,-1,1)&lt;&gt;"")),OFFSET(C59,-1,0)+1," ")</f>
        <v xml:space="preserve"> </v>
      </c>
      <c r="D59" s="496"/>
      <c r="E59" s="620" cm="1">
        <f t="array" aca="1" ref="E59" ca="1">IF(AUTOEVENTO="Manual",ROUND(SUMPRODUCT((CÁLCULO!$M$15:$M$71=EVENTOS!$C59)*(OFFSET(CÁLCULO!$AA$15:$AA$71,0,E$13))),2),0)</f>
        <v>0</v>
      </c>
      <c r="F59" s="183">
        <f ca="1">IF(AUTOEVENTO="Manual",ROUND(SUMPRODUCT((CÁLCULO!$M$15:$M$71=EVENTOS!$C59)*(OFFSET(CÁLCULO!$AA$15,0,1):OFFSET(CÁLCULO!$AL$71,0,-1))),2),0)</f>
        <v>0</v>
      </c>
      <c r="G59" s="621" t="str">
        <f t="shared" ca="1" si="6"/>
        <v/>
      </c>
      <c r="H59" s="620" cm="1">
        <f t="array" aca="1" ref="H59" ca="1">IF(AUTOEVENTO="Manual",ROUND(SUMPRODUCT((CÁLCULO!$M$15:$M$71=EVENTOS!$C59)*(OFFSET(CÁLCULO!$AA$15:$AA$71,0,H$13))),2),0)</f>
        <v>0</v>
      </c>
      <c r="I59" s="620" cm="1">
        <f t="array" aca="1" ref="I59" ca="1">IF(AUTOEVENTO="Manual",ROUND(SUMPRODUCT((CÁLCULO!$M$15:$M$71=EVENTOS!$C59)*(OFFSET(CÁLCULO!$AA$15:$AA$71,0,I$13))),2),0)</f>
        <v>0</v>
      </c>
      <c r="J59" s="620" cm="1">
        <f t="array" aca="1" ref="J59" ca="1">IF(AUTOEVENTO="Manual",ROUND(SUMPRODUCT((CÁLCULO!$M$15:$M$71=EVENTOS!$C59)*(OFFSET(CÁLCULO!$AA$15:$AA$71,0,J$13))),2),0)</f>
        <v>0</v>
      </c>
      <c r="K59" s="620" cm="1">
        <f t="array" aca="1" ref="K59" ca="1">IF(AUTOEVENTO="Manual",ROUND(SUMPRODUCT((CÁLCULO!$M$15:$M$71=EVENTOS!$C59)*(OFFSET(CÁLCULO!$AA$15:$AA$71,0,K$13))),2),0)</f>
        <v>0</v>
      </c>
      <c r="L59" s="620" cm="1">
        <f t="array" aca="1" ref="L59" ca="1">IF(AUTOEVENTO="Manual",ROUND(SUMPRODUCT((CÁLCULO!$M$15:$M$71=EVENTOS!$C59)*(OFFSET(CÁLCULO!$AA$15:$AA$71,0,L$13))),2),0)</f>
        <v>0</v>
      </c>
      <c r="M59" s="620" cm="1">
        <f t="array" aca="1" ref="M59" ca="1">IF(AUTOEVENTO="Manual",ROUND(SUMPRODUCT((CÁLCULO!$M$15:$M$71=EVENTOS!$C59)*(OFFSET(CÁLCULO!$AA$15:$AA$71,0,M$13))),2),0)</f>
        <v>0</v>
      </c>
      <c r="N59" s="620" cm="1">
        <f t="array" aca="1" ref="N59" ca="1">IF(AUTOEVENTO="Manual",ROUND(SUMPRODUCT((CÁLCULO!$M$15:$M$71=EVENTOS!$C59)*(OFFSET(CÁLCULO!$AA$15:$AA$71,0,N$13))),2),0)</f>
        <v>0</v>
      </c>
      <c r="O59" s="620" cm="1">
        <f t="array" aca="1" ref="O59" ca="1">IF(AUTOEVENTO="Manual",ROUND(SUMPRODUCT((CÁLCULO!$M$15:$M$71=EVENTOS!$C59)*(OFFSET(CÁLCULO!$AA$15:$AA$71,0,O$13))),2),0)</f>
        <v>0</v>
      </c>
      <c r="P59" s="620" cm="1">
        <f t="array" aca="1" ref="P59" ca="1">IF(AUTOEVENTO="Manual",ROUND(SUMPRODUCT((CÁLCULO!$M$15:$M$71=EVENTOS!$C59)*(OFFSET(CÁLCULO!$AA$15:$AA$71,0,P$13))),2),0)</f>
        <v>0</v>
      </c>
      <c r="Q59" s="620" cm="1">
        <f t="array" aca="1" ref="Q59" ca="1">IF(AUTOEVENTO="Manual",ROUND(SUMPRODUCT((CÁLCULO!$M$15:$M$71=EVENTOS!$C59)*(OFFSET(CÁLCULO!$AA$15:$AA$71,0,Q$13))),2),0)</f>
        <v>0</v>
      </c>
      <c r="R59" s="620" cm="1">
        <f t="array" aca="1" ref="R59" ca="1">IF(AUTOEVENTO="Manual",ROUND(SUMPRODUCT((CÁLCULO!$M$15:$M$71=EVENTOS!$C59)*(OFFSET(CÁLCULO!$AA$15:$AA$71,0,R$13))),2),0)</f>
        <v>0</v>
      </c>
      <c r="S59" s="620" cm="1">
        <f t="array" aca="1" ref="S59" ca="1">IF(AUTOEVENTO="Manual",ROUND(SUMPRODUCT((CÁLCULO!$M$15:$M$71=EVENTOS!$C59)*(OFFSET(CÁLCULO!$AA$15:$AA$71,0,S$13))),2),0)</f>
        <v>0</v>
      </c>
      <c r="T59" s="620" cm="1">
        <f t="array" aca="1" ref="T59" ca="1">IF(AUTOEVENTO="Manual",ROUND(SUMPRODUCT((CÁLCULO!$M$15:$M$71=EVENTOS!$C59)*(OFFSET(CÁLCULO!$AA$15:$AA$71,0,T$13))),2),0)</f>
        <v>0</v>
      </c>
      <c r="U59" s="620" cm="1">
        <f t="array" aca="1" ref="U59" ca="1">IF(AUTOEVENTO="Manual",ROUND(SUMPRODUCT((CÁLCULO!$M$15:$M$71=EVENTOS!$C59)*(OFFSET(CÁLCULO!$AA$15:$AA$71,0,U$13))),2),0)</f>
        <v>0</v>
      </c>
      <c r="V59" s="620" cm="1">
        <f t="array" aca="1" ref="V59" ca="1">IF(AUTOEVENTO="Manual",ROUND(SUMPRODUCT((CÁLCULO!$M$15:$M$71=EVENTOS!$C59)*(OFFSET(CÁLCULO!$AA$15:$AA$71,0,V$13))),2),0)</f>
        <v>0</v>
      </c>
      <c r="W59" s="620" cm="1">
        <f t="array" aca="1" ref="W59" ca="1">IF(AUTOEVENTO="Manual",ROUND(SUMPRODUCT((CÁLCULO!$M$15:$M$71=EVENTOS!$C59)*(OFFSET(CÁLCULO!$AA$15:$AA$71,0,W$13))),2),0)</f>
        <v>0</v>
      </c>
      <c r="X59" s="620" cm="1">
        <f t="array" aca="1" ref="X59" ca="1">IF(AUTOEVENTO="Manual",ROUND(SUMPRODUCT((CÁLCULO!$M$15:$M$71=EVENTOS!$C59)*(OFFSET(CÁLCULO!$AA$15:$AA$71,0,X$13))),2),0)</f>
        <v>0</v>
      </c>
      <c r="Y59" s="620" cm="1">
        <f t="array" aca="1" ref="Y59" ca="1">IF(AUTOEVENTO="Manual",ROUND(SUMPRODUCT((CÁLCULO!$M$15:$M$71=EVENTOS!$C59)*(OFFSET(CÁLCULO!$AA$15:$AA$71,0,Y$13))),2),0)</f>
        <v>0</v>
      </c>
    </row>
    <row r="60" spans="1:25" x14ac:dyDescent="0.2">
      <c r="A60" s="506" t="str">
        <f t="shared" si="3"/>
        <v/>
      </c>
      <c r="B60" t="str">
        <f t="shared" ca="1" si="4"/>
        <v/>
      </c>
      <c r="C60" s="182" t="str" cm="1">
        <f t="array" aca="1" ref="C60" ca="1">IF(OR(ROW(C60)=ROW(EVENTOS.firstrow)+1,AND(OFFSET(C60,-1,0)&lt;&gt;" ",OFFSET(C60,-1,1)&lt;&gt;"")),OFFSET(C60,-1,0)+1," ")</f>
        <v xml:space="preserve"> </v>
      </c>
      <c r="D60" s="496"/>
      <c r="E60" s="620" cm="1">
        <f t="array" aca="1" ref="E60" ca="1">IF(AUTOEVENTO="Manual",ROUND(SUMPRODUCT((CÁLCULO!$M$15:$M$71=EVENTOS!$C60)*(OFFSET(CÁLCULO!$AA$15:$AA$71,0,E$13))),2),0)</f>
        <v>0</v>
      </c>
      <c r="F60" s="183">
        <f ca="1">IF(AUTOEVENTO="Manual",ROUND(SUMPRODUCT((CÁLCULO!$M$15:$M$71=EVENTOS!$C60)*(OFFSET(CÁLCULO!$AA$15,0,1):OFFSET(CÁLCULO!$AL$71,0,-1))),2),0)</f>
        <v>0</v>
      </c>
      <c r="G60" s="621" t="str">
        <f t="shared" ca="1" si="6"/>
        <v/>
      </c>
      <c r="H60" s="620" cm="1">
        <f t="array" aca="1" ref="H60" ca="1">IF(AUTOEVENTO="Manual",ROUND(SUMPRODUCT((CÁLCULO!$M$15:$M$71=EVENTOS!$C60)*(OFFSET(CÁLCULO!$AA$15:$AA$71,0,H$13))),2),0)</f>
        <v>0</v>
      </c>
      <c r="I60" s="620" cm="1">
        <f t="array" aca="1" ref="I60" ca="1">IF(AUTOEVENTO="Manual",ROUND(SUMPRODUCT((CÁLCULO!$M$15:$M$71=EVENTOS!$C60)*(OFFSET(CÁLCULO!$AA$15:$AA$71,0,I$13))),2),0)</f>
        <v>0</v>
      </c>
      <c r="J60" s="620" cm="1">
        <f t="array" aca="1" ref="J60" ca="1">IF(AUTOEVENTO="Manual",ROUND(SUMPRODUCT((CÁLCULO!$M$15:$M$71=EVENTOS!$C60)*(OFFSET(CÁLCULO!$AA$15:$AA$71,0,J$13))),2),0)</f>
        <v>0</v>
      </c>
      <c r="K60" s="620" cm="1">
        <f t="array" aca="1" ref="K60" ca="1">IF(AUTOEVENTO="Manual",ROUND(SUMPRODUCT((CÁLCULO!$M$15:$M$71=EVENTOS!$C60)*(OFFSET(CÁLCULO!$AA$15:$AA$71,0,K$13))),2),0)</f>
        <v>0</v>
      </c>
      <c r="L60" s="620" cm="1">
        <f t="array" aca="1" ref="L60" ca="1">IF(AUTOEVENTO="Manual",ROUND(SUMPRODUCT((CÁLCULO!$M$15:$M$71=EVENTOS!$C60)*(OFFSET(CÁLCULO!$AA$15:$AA$71,0,L$13))),2),0)</f>
        <v>0</v>
      </c>
      <c r="M60" s="620" cm="1">
        <f t="array" aca="1" ref="M60" ca="1">IF(AUTOEVENTO="Manual",ROUND(SUMPRODUCT((CÁLCULO!$M$15:$M$71=EVENTOS!$C60)*(OFFSET(CÁLCULO!$AA$15:$AA$71,0,M$13))),2),0)</f>
        <v>0</v>
      </c>
      <c r="N60" s="620" cm="1">
        <f t="array" aca="1" ref="N60" ca="1">IF(AUTOEVENTO="Manual",ROUND(SUMPRODUCT((CÁLCULO!$M$15:$M$71=EVENTOS!$C60)*(OFFSET(CÁLCULO!$AA$15:$AA$71,0,N$13))),2),0)</f>
        <v>0</v>
      </c>
      <c r="O60" s="620" cm="1">
        <f t="array" aca="1" ref="O60" ca="1">IF(AUTOEVENTO="Manual",ROUND(SUMPRODUCT((CÁLCULO!$M$15:$M$71=EVENTOS!$C60)*(OFFSET(CÁLCULO!$AA$15:$AA$71,0,O$13))),2),0)</f>
        <v>0</v>
      </c>
      <c r="P60" s="620" cm="1">
        <f t="array" aca="1" ref="P60" ca="1">IF(AUTOEVENTO="Manual",ROUND(SUMPRODUCT((CÁLCULO!$M$15:$M$71=EVENTOS!$C60)*(OFFSET(CÁLCULO!$AA$15:$AA$71,0,P$13))),2),0)</f>
        <v>0</v>
      </c>
      <c r="Q60" s="620" cm="1">
        <f t="array" aca="1" ref="Q60" ca="1">IF(AUTOEVENTO="Manual",ROUND(SUMPRODUCT((CÁLCULO!$M$15:$M$71=EVENTOS!$C60)*(OFFSET(CÁLCULO!$AA$15:$AA$71,0,Q$13))),2),0)</f>
        <v>0</v>
      </c>
      <c r="R60" s="620" cm="1">
        <f t="array" aca="1" ref="R60" ca="1">IF(AUTOEVENTO="Manual",ROUND(SUMPRODUCT((CÁLCULO!$M$15:$M$71=EVENTOS!$C60)*(OFFSET(CÁLCULO!$AA$15:$AA$71,0,R$13))),2),0)</f>
        <v>0</v>
      </c>
      <c r="S60" s="620" cm="1">
        <f t="array" aca="1" ref="S60" ca="1">IF(AUTOEVENTO="Manual",ROUND(SUMPRODUCT((CÁLCULO!$M$15:$M$71=EVENTOS!$C60)*(OFFSET(CÁLCULO!$AA$15:$AA$71,0,S$13))),2),0)</f>
        <v>0</v>
      </c>
      <c r="T60" s="620" cm="1">
        <f t="array" aca="1" ref="T60" ca="1">IF(AUTOEVENTO="Manual",ROUND(SUMPRODUCT((CÁLCULO!$M$15:$M$71=EVENTOS!$C60)*(OFFSET(CÁLCULO!$AA$15:$AA$71,0,T$13))),2),0)</f>
        <v>0</v>
      </c>
      <c r="U60" s="620" cm="1">
        <f t="array" aca="1" ref="U60" ca="1">IF(AUTOEVENTO="Manual",ROUND(SUMPRODUCT((CÁLCULO!$M$15:$M$71=EVENTOS!$C60)*(OFFSET(CÁLCULO!$AA$15:$AA$71,0,U$13))),2),0)</f>
        <v>0</v>
      </c>
      <c r="V60" s="620" cm="1">
        <f t="array" aca="1" ref="V60" ca="1">IF(AUTOEVENTO="Manual",ROUND(SUMPRODUCT((CÁLCULO!$M$15:$M$71=EVENTOS!$C60)*(OFFSET(CÁLCULO!$AA$15:$AA$71,0,V$13))),2),0)</f>
        <v>0</v>
      </c>
      <c r="W60" s="620" cm="1">
        <f t="array" aca="1" ref="W60" ca="1">IF(AUTOEVENTO="Manual",ROUND(SUMPRODUCT((CÁLCULO!$M$15:$M$71=EVENTOS!$C60)*(OFFSET(CÁLCULO!$AA$15:$AA$71,0,W$13))),2),0)</f>
        <v>0</v>
      </c>
      <c r="X60" s="620" cm="1">
        <f t="array" aca="1" ref="X60" ca="1">IF(AUTOEVENTO="Manual",ROUND(SUMPRODUCT((CÁLCULO!$M$15:$M$71=EVENTOS!$C60)*(OFFSET(CÁLCULO!$AA$15:$AA$71,0,X$13))),2),0)</f>
        <v>0</v>
      </c>
      <c r="Y60" s="620" cm="1">
        <f t="array" aca="1" ref="Y60" ca="1">IF(AUTOEVENTO="Manual",ROUND(SUMPRODUCT((CÁLCULO!$M$15:$M$71=EVENTOS!$C60)*(OFFSET(CÁLCULO!$AA$15:$AA$71,0,Y$13))),2),0)</f>
        <v>0</v>
      </c>
    </row>
    <row r="61" spans="1:25" x14ac:dyDescent="0.2">
      <c r="A61" s="506" t="str">
        <f t="shared" si="3"/>
        <v/>
      </c>
      <c r="B61" t="str">
        <f t="shared" ca="1" si="4"/>
        <v/>
      </c>
      <c r="C61" s="182" t="str" cm="1">
        <f t="array" aca="1" ref="C61" ca="1">IF(OR(ROW(C61)=ROW(EVENTOS.firstrow)+1,AND(OFFSET(C61,-1,0)&lt;&gt;" ",OFFSET(C61,-1,1)&lt;&gt;"")),OFFSET(C61,-1,0)+1," ")</f>
        <v xml:space="preserve"> </v>
      </c>
      <c r="D61" s="496"/>
      <c r="E61" s="620" cm="1">
        <f t="array" aca="1" ref="E61" ca="1">IF(AUTOEVENTO="Manual",ROUND(SUMPRODUCT((CÁLCULO!$M$15:$M$71=EVENTOS!$C61)*(OFFSET(CÁLCULO!$AA$15:$AA$71,0,E$13))),2),0)</f>
        <v>0</v>
      </c>
      <c r="F61" s="183">
        <f ca="1">IF(AUTOEVENTO="Manual",ROUND(SUMPRODUCT((CÁLCULO!$M$15:$M$71=EVENTOS!$C61)*(OFFSET(CÁLCULO!$AA$15,0,1):OFFSET(CÁLCULO!$AL$71,0,-1))),2),0)</f>
        <v>0</v>
      </c>
      <c r="G61" s="621" t="str">
        <f t="shared" ca="1" si="6"/>
        <v/>
      </c>
      <c r="H61" s="620" cm="1">
        <f t="array" aca="1" ref="H61" ca="1">IF(AUTOEVENTO="Manual",ROUND(SUMPRODUCT((CÁLCULO!$M$15:$M$71=EVENTOS!$C61)*(OFFSET(CÁLCULO!$AA$15:$AA$71,0,H$13))),2),0)</f>
        <v>0</v>
      </c>
      <c r="I61" s="620" cm="1">
        <f t="array" aca="1" ref="I61" ca="1">IF(AUTOEVENTO="Manual",ROUND(SUMPRODUCT((CÁLCULO!$M$15:$M$71=EVENTOS!$C61)*(OFFSET(CÁLCULO!$AA$15:$AA$71,0,I$13))),2),0)</f>
        <v>0</v>
      </c>
      <c r="J61" s="620" cm="1">
        <f t="array" aca="1" ref="J61" ca="1">IF(AUTOEVENTO="Manual",ROUND(SUMPRODUCT((CÁLCULO!$M$15:$M$71=EVENTOS!$C61)*(OFFSET(CÁLCULO!$AA$15:$AA$71,0,J$13))),2),0)</f>
        <v>0</v>
      </c>
      <c r="K61" s="620" cm="1">
        <f t="array" aca="1" ref="K61" ca="1">IF(AUTOEVENTO="Manual",ROUND(SUMPRODUCT((CÁLCULO!$M$15:$M$71=EVENTOS!$C61)*(OFFSET(CÁLCULO!$AA$15:$AA$71,0,K$13))),2),0)</f>
        <v>0</v>
      </c>
      <c r="L61" s="620" cm="1">
        <f t="array" aca="1" ref="L61" ca="1">IF(AUTOEVENTO="Manual",ROUND(SUMPRODUCT((CÁLCULO!$M$15:$M$71=EVENTOS!$C61)*(OFFSET(CÁLCULO!$AA$15:$AA$71,0,L$13))),2),0)</f>
        <v>0</v>
      </c>
      <c r="M61" s="620" cm="1">
        <f t="array" aca="1" ref="M61" ca="1">IF(AUTOEVENTO="Manual",ROUND(SUMPRODUCT((CÁLCULO!$M$15:$M$71=EVENTOS!$C61)*(OFFSET(CÁLCULO!$AA$15:$AA$71,0,M$13))),2),0)</f>
        <v>0</v>
      </c>
      <c r="N61" s="620" cm="1">
        <f t="array" aca="1" ref="N61" ca="1">IF(AUTOEVENTO="Manual",ROUND(SUMPRODUCT((CÁLCULO!$M$15:$M$71=EVENTOS!$C61)*(OFFSET(CÁLCULO!$AA$15:$AA$71,0,N$13))),2),0)</f>
        <v>0</v>
      </c>
      <c r="O61" s="620" cm="1">
        <f t="array" aca="1" ref="O61" ca="1">IF(AUTOEVENTO="Manual",ROUND(SUMPRODUCT((CÁLCULO!$M$15:$M$71=EVENTOS!$C61)*(OFFSET(CÁLCULO!$AA$15:$AA$71,0,O$13))),2),0)</f>
        <v>0</v>
      </c>
      <c r="P61" s="620" cm="1">
        <f t="array" aca="1" ref="P61" ca="1">IF(AUTOEVENTO="Manual",ROUND(SUMPRODUCT((CÁLCULO!$M$15:$M$71=EVENTOS!$C61)*(OFFSET(CÁLCULO!$AA$15:$AA$71,0,P$13))),2),0)</f>
        <v>0</v>
      </c>
      <c r="Q61" s="620" cm="1">
        <f t="array" aca="1" ref="Q61" ca="1">IF(AUTOEVENTO="Manual",ROUND(SUMPRODUCT((CÁLCULO!$M$15:$M$71=EVENTOS!$C61)*(OFFSET(CÁLCULO!$AA$15:$AA$71,0,Q$13))),2),0)</f>
        <v>0</v>
      </c>
      <c r="R61" s="620" cm="1">
        <f t="array" aca="1" ref="R61" ca="1">IF(AUTOEVENTO="Manual",ROUND(SUMPRODUCT((CÁLCULO!$M$15:$M$71=EVENTOS!$C61)*(OFFSET(CÁLCULO!$AA$15:$AA$71,0,R$13))),2),0)</f>
        <v>0</v>
      </c>
      <c r="S61" s="620" cm="1">
        <f t="array" aca="1" ref="S61" ca="1">IF(AUTOEVENTO="Manual",ROUND(SUMPRODUCT((CÁLCULO!$M$15:$M$71=EVENTOS!$C61)*(OFFSET(CÁLCULO!$AA$15:$AA$71,0,S$13))),2),0)</f>
        <v>0</v>
      </c>
      <c r="T61" s="620" cm="1">
        <f t="array" aca="1" ref="T61" ca="1">IF(AUTOEVENTO="Manual",ROUND(SUMPRODUCT((CÁLCULO!$M$15:$M$71=EVENTOS!$C61)*(OFFSET(CÁLCULO!$AA$15:$AA$71,0,T$13))),2),0)</f>
        <v>0</v>
      </c>
      <c r="U61" s="620" cm="1">
        <f t="array" aca="1" ref="U61" ca="1">IF(AUTOEVENTO="Manual",ROUND(SUMPRODUCT((CÁLCULO!$M$15:$M$71=EVENTOS!$C61)*(OFFSET(CÁLCULO!$AA$15:$AA$71,0,U$13))),2),0)</f>
        <v>0</v>
      </c>
      <c r="V61" s="620" cm="1">
        <f t="array" aca="1" ref="V61" ca="1">IF(AUTOEVENTO="Manual",ROUND(SUMPRODUCT((CÁLCULO!$M$15:$M$71=EVENTOS!$C61)*(OFFSET(CÁLCULO!$AA$15:$AA$71,0,V$13))),2),0)</f>
        <v>0</v>
      </c>
      <c r="W61" s="620" cm="1">
        <f t="array" aca="1" ref="W61" ca="1">IF(AUTOEVENTO="Manual",ROUND(SUMPRODUCT((CÁLCULO!$M$15:$M$71=EVENTOS!$C61)*(OFFSET(CÁLCULO!$AA$15:$AA$71,0,W$13))),2),0)</f>
        <v>0</v>
      </c>
      <c r="X61" s="620" cm="1">
        <f t="array" aca="1" ref="X61" ca="1">IF(AUTOEVENTO="Manual",ROUND(SUMPRODUCT((CÁLCULO!$M$15:$M$71=EVENTOS!$C61)*(OFFSET(CÁLCULO!$AA$15:$AA$71,0,X$13))),2),0)</f>
        <v>0</v>
      </c>
      <c r="Y61" s="620" cm="1">
        <f t="array" aca="1" ref="Y61" ca="1">IF(AUTOEVENTO="Manual",ROUND(SUMPRODUCT((CÁLCULO!$M$15:$M$71=EVENTOS!$C61)*(OFFSET(CÁLCULO!$AA$15:$AA$71,0,Y$13))),2),0)</f>
        <v>0</v>
      </c>
    </row>
    <row r="62" spans="1:25" x14ac:dyDescent="0.2">
      <c r="A62" s="506" t="str">
        <f t="shared" si="3"/>
        <v/>
      </c>
      <c r="B62" t="str">
        <f t="shared" ca="1" si="4"/>
        <v/>
      </c>
      <c r="C62" s="182" t="str" cm="1">
        <f t="array" aca="1" ref="C62" ca="1">IF(OR(ROW(C62)=ROW(EVENTOS.firstrow)+1,AND(OFFSET(C62,-1,0)&lt;&gt;" ",OFFSET(C62,-1,1)&lt;&gt;"")),OFFSET(C62,-1,0)+1," ")</f>
        <v xml:space="preserve"> </v>
      </c>
      <c r="D62" s="496"/>
      <c r="E62" s="620" cm="1">
        <f t="array" aca="1" ref="E62" ca="1">IF(AUTOEVENTO="Manual",ROUND(SUMPRODUCT((CÁLCULO!$M$15:$M$71=EVENTOS!$C62)*(OFFSET(CÁLCULO!$AA$15:$AA$71,0,E$13))),2),0)</f>
        <v>0</v>
      </c>
      <c r="F62" s="183">
        <f ca="1">IF(AUTOEVENTO="Manual",ROUND(SUMPRODUCT((CÁLCULO!$M$15:$M$71=EVENTOS!$C62)*(OFFSET(CÁLCULO!$AA$15,0,1):OFFSET(CÁLCULO!$AL$71,0,-1))),2),0)</f>
        <v>0</v>
      </c>
      <c r="G62" s="621" t="str">
        <f t="shared" ca="1" si="6"/>
        <v/>
      </c>
      <c r="H62" s="620" cm="1">
        <f t="array" aca="1" ref="H62" ca="1">IF(AUTOEVENTO="Manual",ROUND(SUMPRODUCT((CÁLCULO!$M$15:$M$71=EVENTOS!$C62)*(OFFSET(CÁLCULO!$AA$15:$AA$71,0,H$13))),2),0)</f>
        <v>0</v>
      </c>
      <c r="I62" s="620" cm="1">
        <f t="array" aca="1" ref="I62" ca="1">IF(AUTOEVENTO="Manual",ROUND(SUMPRODUCT((CÁLCULO!$M$15:$M$71=EVENTOS!$C62)*(OFFSET(CÁLCULO!$AA$15:$AA$71,0,I$13))),2),0)</f>
        <v>0</v>
      </c>
      <c r="J62" s="620" cm="1">
        <f t="array" aca="1" ref="J62" ca="1">IF(AUTOEVENTO="Manual",ROUND(SUMPRODUCT((CÁLCULO!$M$15:$M$71=EVENTOS!$C62)*(OFFSET(CÁLCULO!$AA$15:$AA$71,0,J$13))),2),0)</f>
        <v>0</v>
      </c>
      <c r="K62" s="620" cm="1">
        <f t="array" aca="1" ref="K62" ca="1">IF(AUTOEVENTO="Manual",ROUND(SUMPRODUCT((CÁLCULO!$M$15:$M$71=EVENTOS!$C62)*(OFFSET(CÁLCULO!$AA$15:$AA$71,0,K$13))),2),0)</f>
        <v>0</v>
      </c>
      <c r="L62" s="620" cm="1">
        <f t="array" aca="1" ref="L62" ca="1">IF(AUTOEVENTO="Manual",ROUND(SUMPRODUCT((CÁLCULO!$M$15:$M$71=EVENTOS!$C62)*(OFFSET(CÁLCULO!$AA$15:$AA$71,0,L$13))),2),0)</f>
        <v>0</v>
      </c>
      <c r="M62" s="620" cm="1">
        <f t="array" aca="1" ref="M62" ca="1">IF(AUTOEVENTO="Manual",ROUND(SUMPRODUCT((CÁLCULO!$M$15:$M$71=EVENTOS!$C62)*(OFFSET(CÁLCULO!$AA$15:$AA$71,0,M$13))),2),0)</f>
        <v>0</v>
      </c>
      <c r="N62" s="620" cm="1">
        <f t="array" aca="1" ref="N62" ca="1">IF(AUTOEVENTO="Manual",ROUND(SUMPRODUCT((CÁLCULO!$M$15:$M$71=EVENTOS!$C62)*(OFFSET(CÁLCULO!$AA$15:$AA$71,0,N$13))),2),0)</f>
        <v>0</v>
      </c>
      <c r="O62" s="620" cm="1">
        <f t="array" aca="1" ref="O62" ca="1">IF(AUTOEVENTO="Manual",ROUND(SUMPRODUCT((CÁLCULO!$M$15:$M$71=EVENTOS!$C62)*(OFFSET(CÁLCULO!$AA$15:$AA$71,0,O$13))),2),0)</f>
        <v>0</v>
      </c>
      <c r="P62" s="620" cm="1">
        <f t="array" aca="1" ref="P62" ca="1">IF(AUTOEVENTO="Manual",ROUND(SUMPRODUCT((CÁLCULO!$M$15:$M$71=EVENTOS!$C62)*(OFFSET(CÁLCULO!$AA$15:$AA$71,0,P$13))),2),0)</f>
        <v>0</v>
      </c>
      <c r="Q62" s="620" cm="1">
        <f t="array" aca="1" ref="Q62" ca="1">IF(AUTOEVENTO="Manual",ROUND(SUMPRODUCT((CÁLCULO!$M$15:$M$71=EVENTOS!$C62)*(OFFSET(CÁLCULO!$AA$15:$AA$71,0,Q$13))),2),0)</f>
        <v>0</v>
      </c>
      <c r="R62" s="620" cm="1">
        <f t="array" aca="1" ref="R62" ca="1">IF(AUTOEVENTO="Manual",ROUND(SUMPRODUCT((CÁLCULO!$M$15:$M$71=EVENTOS!$C62)*(OFFSET(CÁLCULO!$AA$15:$AA$71,0,R$13))),2),0)</f>
        <v>0</v>
      </c>
      <c r="S62" s="620" cm="1">
        <f t="array" aca="1" ref="S62" ca="1">IF(AUTOEVENTO="Manual",ROUND(SUMPRODUCT((CÁLCULO!$M$15:$M$71=EVENTOS!$C62)*(OFFSET(CÁLCULO!$AA$15:$AA$71,0,S$13))),2),0)</f>
        <v>0</v>
      </c>
      <c r="T62" s="620" cm="1">
        <f t="array" aca="1" ref="T62" ca="1">IF(AUTOEVENTO="Manual",ROUND(SUMPRODUCT((CÁLCULO!$M$15:$M$71=EVENTOS!$C62)*(OFFSET(CÁLCULO!$AA$15:$AA$71,0,T$13))),2),0)</f>
        <v>0</v>
      </c>
      <c r="U62" s="620" cm="1">
        <f t="array" aca="1" ref="U62" ca="1">IF(AUTOEVENTO="Manual",ROUND(SUMPRODUCT((CÁLCULO!$M$15:$M$71=EVENTOS!$C62)*(OFFSET(CÁLCULO!$AA$15:$AA$71,0,U$13))),2),0)</f>
        <v>0</v>
      </c>
      <c r="V62" s="620" cm="1">
        <f t="array" aca="1" ref="V62" ca="1">IF(AUTOEVENTO="Manual",ROUND(SUMPRODUCT((CÁLCULO!$M$15:$M$71=EVENTOS!$C62)*(OFFSET(CÁLCULO!$AA$15:$AA$71,0,V$13))),2),0)</f>
        <v>0</v>
      </c>
      <c r="W62" s="620" cm="1">
        <f t="array" aca="1" ref="W62" ca="1">IF(AUTOEVENTO="Manual",ROUND(SUMPRODUCT((CÁLCULO!$M$15:$M$71=EVENTOS!$C62)*(OFFSET(CÁLCULO!$AA$15:$AA$71,0,W$13))),2),0)</f>
        <v>0</v>
      </c>
      <c r="X62" s="620" cm="1">
        <f t="array" aca="1" ref="X62" ca="1">IF(AUTOEVENTO="Manual",ROUND(SUMPRODUCT((CÁLCULO!$M$15:$M$71=EVENTOS!$C62)*(OFFSET(CÁLCULO!$AA$15:$AA$71,0,X$13))),2),0)</f>
        <v>0</v>
      </c>
      <c r="Y62" s="620" cm="1">
        <f t="array" aca="1" ref="Y62" ca="1">IF(AUTOEVENTO="Manual",ROUND(SUMPRODUCT((CÁLCULO!$M$15:$M$71=EVENTOS!$C62)*(OFFSET(CÁLCULO!$AA$15:$AA$71,0,Y$13))),2),0)</f>
        <v>0</v>
      </c>
    </row>
    <row r="63" spans="1:25" x14ac:dyDescent="0.2">
      <c r="A63" s="506" t="str">
        <f t="shared" si="3"/>
        <v/>
      </c>
      <c r="B63" t="str">
        <f t="shared" ca="1" si="4"/>
        <v/>
      </c>
      <c r="C63" s="182" t="str" cm="1">
        <f t="array" aca="1" ref="C63" ca="1">IF(OR(ROW(C63)=ROW(EVENTOS.firstrow)+1,AND(OFFSET(C63,-1,0)&lt;&gt;" ",OFFSET(C63,-1,1)&lt;&gt;"")),OFFSET(C63,-1,0)+1," ")</f>
        <v xml:space="preserve"> </v>
      </c>
      <c r="D63" s="496"/>
      <c r="E63" s="620" cm="1">
        <f t="array" aca="1" ref="E63" ca="1">IF(AUTOEVENTO="Manual",ROUND(SUMPRODUCT((CÁLCULO!$M$15:$M$71=EVENTOS!$C63)*(OFFSET(CÁLCULO!$AA$15:$AA$71,0,E$13))),2),0)</f>
        <v>0</v>
      </c>
      <c r="F63" s="183">
        <f ca="1">IF(AUTOEVENTO="Manual",ROUND(SUMPRODUCT((CÁLCULO!$M$15:$M$71=EVENTOS!$C63)*(OFFSET(CÁLCULO!$AA$15,0,1):OFFSET(CÁLCULO!$AL$71,0,-1))),2),0)</f>
        <v>0</v>
      </c>
      <c r="G63" s="621" t="str">
        <f t="shared" ca="1" si="6"/>
        <v/>
      </c>
      <c r="H63" s="620" cm="1">
        <f t="array" aca="1" ref="H63" ca="1">IF(AUTOEVENTO="Manual",ROUND(SUMPRODUCT((CÁLCULO!$M$15:$M$71=EVENTOS!$C63)*(OFFSET(CÁLCULO!$AA$15:$AA$71,0,H$13))),2),0)</f>
        <v>0</v>
      </c>
      <c r="I63" s="620" cm="1">
        <f t="array" aca="1" ref="I63" ca="1">IF(AUTOEVENTO="Manual",ROUND(SUMPRODUCT((CÁLCULO!$M$15:$M$71=EVENTOS!$C63)*(OFFSET(CÁLCULO!$AA$15:$AA$71,0,I$13))),2),0)</f>
        <v>0</v>
      </c>
      <c r="J63" s="620" cm="1">
        <f t="array" aca="1" ref="J63" ca="1">IF(AUTOEVENTO="Manual",ROUND(SUMPRODUCT((CÁLCULO!$M$15:$M$71=EVENTOS!$C63)*(OFFSET(CÁLCULO!$AA$15:$AA$71,0,J$13))),2),0)</f>
        <v>0</v>
      </c>
      <c r="K63" s="620" cm="1">
        <f t="array" aca="1" ref="K63" ca="1">IF(AUTOEVENTO="Manual",ROUND(SUMPRODUCT((CÁLCULO!$M$15:$M$71=EVENTOS!$C63)*(OFFSET(CÁLCULO!$AA$15:$AA$71,0,K$13))),2),0)</f>
        <v>0</v>
      </c>
      <c r="L63" s="620" cm="1">
        <f t="array" aca="1" ref="L63" ca="1">IF(AUTOEVENTO="Manual",ROUND(SUMPRODUCT((CÁLCULO!$M$15:$M$71=EVENTOS!$C63)*(OFFSET(CÁLCULO!$AA$15:$AA$71,0,L$13))),2),0)</f>
        <v>0</v>
      </c>
      <c r="M63" s="620" cm="1">
        <f t="array" aca="1" ref="M63" ca="1">IF(AUTOEVENTO="Manual",ROUND(SUMPRODUCT((CÁLCULO!$M$15:$M$71=EVENTOS!$C63)*(OFFSET(CÁLCULO!$AA$15:$AA$71,0,M$13))),2),0)</f>
        <v>0</v>
      </c>
      <c r="N63" s="620" cm="1">
        <f t="array" aca="1" ref="N63" ca="1">IF(AUTOEVENTO="Manual",ROUND(SUMPRODUCT((CÁLCULO!$M$15:$M$71=EVENTOS!$C63)*(OFFSET(CÁLCULO!$AA$15:$AA$71,0,N$13))),2),0)</f>
        <v>0</v>
      </c>
      <c r="O63" s="620" cm="1">
        <f t="array" aca="1" ref="O63" ca="1">IF(AUTOEVENTO="Manual",ROUND(SUMPRODUCT((CÁLCULO!$M$15:$M$71=EVENTOS!$C63)*(OFFSET(CÁLCULO!$AA$15:$AA$71,0,O$13))),2),0)</f>
        <v>0</v>
      </c>
      <c r="P63" s="620" cm="1">
        <f t="array" aca="1" ref="P63" ca="1">IF(AUTOEVENTO="Manual",ROUND(SUMPRODUCT((CÁLCULO!$M$15:$M$71=EVENTOS!$C63)*(OFFSET(CÁLCULO!$AA$15:$AA$71,0,P$13))),2),0)</f>
        <v>0</v>
      </c>
      <c r="Q63" s="620" cm="1">
        <f t="array" aca="1" ref="Q63" ca="1">IF(AUTOEVENTO="Manual",ROUND(SUMPRODUCT((CÁLCULO!$M$15:$M$71=EVENTOS!$C63)*(OFFSET(CÁLCULO!$AA$15:$AA$71,0,Q$13))),2),0)</f>
        <v>0</v>
      </c>
      <c r="R63" s="620" cm="1">
        <f t="array" aca="1" ref="R63" ca="1">IF(AUTOEVENTO="Manual",ROUND(SUMPRODUCT((CÁLCULO!$M$15:$M$71=EVENTOS!$C63)*(OFFSET(CÁLCULO!$AA$15:$AA$71,0,R$13))),2),0)</f>
        <v>0</v>
      </c>
      <c r="S63" s="620" cm="1">
        <f t="array" aca="1" ref="S63" ca="1">IF(AUTOEVENTO="Manual",ROUND(SUMPRODUCT((CÁLCULO!$M$15:$M$71=EVENTOS!$C63)*(OFFSET(CÁLCULO!$AA$15:$AA$71,0,S$13))),2),0)</f>
        <v>0</v>
      </c>
      <c r="T63" s="620" cm="1">
        <f t="array" aca="1" ref="T63" ca="1">IF(AUTOEVENTO="Manual",ROUND(SUMPRODUCT((CÁLCULO!$M$15:$M$71=EVENTOS!$C63)*(OFFSET(CÁLCULO!$AA$15:$AA$71,0,T$13))),2),0)</f>
        <v>0</v>
      </c>
      <c r="U63" s="620" cm="1">
        <f t="array" aca="1" ref="U63" ca="1">IF(AUTOEVENTO="Manual",ROUND(SUMPRODUCT((CÁLCULO!$M$15:$M$71=EVENTOS!$C63)*(OFFSET(CÁLCULO!$AA$15:$AA$71,0,U$13))),2),0)</f>
        <v>0</v>
      </c>
      <c r="V63" s="620" cm="1">
        <f t="array" aca="1" ref="V63" ca="1">IF(AUTOEVENTO="Manual",ROUND(SUMPRODUCT((CÁLCULO!$M$15:$M$71=EVENTOS!$C63)*(OFFSET(CÁLCULO!$AA$15:$AA$71,0,V$13))),2),0)</f>
        <v>0</v>
      </c>
      <c r="W63" s="620" cm="1">
        <f t="array" aca="1" ref="W63" ca="1">IF(AUTOEVENTO="Manual",ROUND(SUMPRODUCT((CÁLCULO!$M$15:$M$71=EVENTOS!$C63)*(OFFSET(CÁLCULO!$AA$15:$AA$71,0,W$13))),2),0)</f>
        <v>0</v>
      </c>
      <c r="X63" s="620" cm="1">
        <f t="array" aca="1" ref="X63" ca="1">IF(AUTOEVENTO="Manual",ROUND(SUMPRODUCT((CÁLCULO!$M$15:$M$71=EVENTOS!$C63)*(OFFSET(CÁLCULO!$AA$15:$AA$71,0,X$13))),2),0)</f>
        <v>0</v>
      </c>
      <c r="Y63" s="620" cm="1">
        <f t="array" aca="1" ref="Y63" ca="1">IF(AUTOEVENTO="Manual",ROUND(SUMPRODUCT((CÁLCULO!$M$15:$M$71=EVENTOS!$C63)*(OFFSET(CÁLCULO!$AA$15:$AA$71,0,Y$13))),2),0)</f>
        <v>0</v>
      </c>
    </row>
    <row r="64" spans="1:25" x14ac:dyDescent="0.2">
      <c r="A64" s="506" t="str">
        <f t="shared" si="3"/>
        <v/>
      </c>
      <c r="B64" t="str">
        <f t="shared" ca="1" si="4"/>
        <v/>
      </c>
      <c r="C64" s="182" t="str" cm="1">
        <f t="array" aca="1" ref="C64" ca="1">IF(OR(ROW(C64)=ROW(EVENTOS.firstrow)+1,AND(OFFSET(C64,-1,0)&lt;&gt;" ",OFFSET(C64,-1,1)&lt;&gt;"")),OFFSET(C64,-1,0)+1," ")</f>
        <v xml:space="preserve"> </v>
      </c>
      <c r="D64" s="496"/>
      <c r="E64" s="620" cm="1">
        <f t="array" aca="1" ref="E64" ca="1">IF(AUTOEVENTO="Manual",ROUND(SUMPRODUCT((CÁLCULO!$M$15:$M$71=EVENTOS!$C64)*(OFFSET(CÁLCULO!$AA$15:$AA$71,0,E$13))),2),0)</f>
        <v>0</v>
      </c>
      <c r="F64" s="183">
        <f ca="1">IF(AUTOEVENTO="Manual",ROUND(SUMPRODUCT((CÁLCULO!$M$15:$M$71=EVENTOS!$C64)*(OFFSET(CÁLCULO!$AA$15,0,1):OFFSET(CÁLCULO!$AL$71,0,-1))),2),0)</f>
        <v>0</v>
      </c>
      <c r="G64" s="621" t="str">
        <f t="shared" ca="1" si="6"/>
        <v/>
      </c>
      <c r="H64" s="620" cm="1">
        <f t="array" aca="1" ref="H64" ca="1">IF(AUTOEVENTO="Manual",ROUND(SUMPRODUCT((CÁLCULO!$M$15:$M$71=EVENTOS!$C64)*(OFFSET(CÁLCULO!$AA$15:$AA$71,0,H$13))),2),0)</f>
        <v>0</v>
      </c>
      <c r="I64" s="620" cm="1">
        <f t="array" aca="1" ref="I64" ca="1">IF(AUTOEVENTO="Manual",ROUND(SUMPRODUCT((CÁLCULO!$M$15:$M$71=EVENTOS!$C64)*(OFFSET(CÁLCULO!$AA$15:$AA$71,0,I$13))),2),0)</f>
        <v>0</v>
      </c>
      <c r="J64" s="620" cm="1">
        <f t="array" aca="1" ref="J64" ca="1">IF(AUTOEVENTO="Manual",ROUND(SUMPRODUCT((CÁLCULO!$M$15:$M$71=EVENTOS!$C64)*(OFFSET(CÁLCULO!$AA$15:$AA$71,0,J$13))),2),0)</f>
        <v>0</v>
      </c>
      <c r="K64" s="620" cm="1">
        <f t="array" aca="1" ref="K64" ca="1">IF(AUTOEVENTO="Manual",ROUND(SUMPRODUCT((CÁLCULO!$M$15:$M$71=EVENTOS!$C64)*(OFFSET(CÁLCULO!$AA$15:$AA$71,0,K$13))),2),0)</f>
        <v>0</v>
      </c>
      <c r="L64" s="620" cm="1">
        <f t="array" aca="1" ref="L64" ca="1">IF(AUTOEVENTO="Manual",ROUND(SUMPRODUCT((CÁLCULO!$M$15:$M$71=EVENTOS!$C64)*(OFFSET(CÁLCULO!$AA$15:$AA$71,0,L$13))),2),0)</f>
        <v>0</v>
      </c>
      <c r="M64" s="620" cm="1">
        <f t="array" aca="1" ref="M64" ca="1">IF(AUTOEVENTO="Manual",ROUND(SUMPRODUCT((CÁLCULO!$M$15:$M$71=EVENTOS!$C64)*(OFFSET(CÁLCULO!$AA$15:$AA$71,0,M$13))),2),0)</f>
        <v>0</v>
      </c>
      <c r="N64" s="620" cm="1">
        <f t="array" aca="1" ref="N64" ca="1">IF(AUTOEVENTO="Manual",ROUND(SUMPRODUCT((CÁLCULO!$M$15:$M$71=EVENTOS!$C64)*(OFFSET(CÁLCULO!$AA$15:$AA$71,0,N$13))),2),0)</f>
        <v>0</v>
      </c>
      <c r="O64" s="620" cm="1">
        <f t="array" aca="1" ref="O64" ca="1">IF(AUTOEVENTO="Manual",ROUND(SUMPRODUCT((CÁLCULO!$M$15:$M$71=EVENTOS!$C64)*(OFFSET(CÁLCULO!$AA$15:$AA$71,0,O$13))),2),0)</f>
        <v>0</v>
      </c>
      <c r="P64" s="620" cm="1">
        <f t="array" aca="1" ref="P64" ca="1">IF(AUTOEVENTO="Manual",ROUND(SUMPRODUCT((CÁLCULO!$M$15:$M$71=EVENTOS!$C64)*(OFFSET(CÁLCULO!$AA$15:$AA$71,0,P$13))),2),0)</f>
        <v>0</v>
      </c>
      <c r="Q64" s="620" cm="1">
        <f t="array" aca="1" ref="Q64" ca="1">IF(AUTOEVENTO="Manual",ROUND(SUMPRODUCT((CÁLCULO!$M$15:$M$71=EVENTOS!$C64)*(OFFSET(CÁLCULO!$AA$15:$AA$71,0,Q$13))),2),0)</f>
        <v>0</v>
      </c>
      <c r="R64" s="620" cm="1">
        <f t="array" aca="1" ref="R64" ca="1">IF(AUTOEVENTO="Manual",ROUND(SUMPRODUCT((CÁLCULO!$M$15:$M$71=EVENTOS!$C64)*(OFFSET(CÁLCULO!$AA$15:$AA$71,0,R$13))),2),0)</f>
        <v>0</v>
      </c>
      <c r="S64" s="620" cm="1">
        <f t="array" aca="1" ref="S64" ca="1">IF(AUTOEVENTO="Manual",ROUND(SUMPRODUCT((CÁLCULO!$M$15:$M$71=EVENTOS!$C64)*(OFFSET(CÁLCULO!$AA$15:$AA$71,0,S$13))),2),0)</f>
        <v>0</v>
      </c>
      <c r="T64" s="620" cm="1">
        <f t="array" aca="1" ref="T64" ca="1">IF(AUTOEVENTO="Manual",ROUND(SUMPRODUCT((CÁLCULO!$M$15:$M$71=EVENTOS!$C64)*(OFFSET(CÁLCULO!$AA$15:$AA$71,0,T$13))),2),0)</f>
        <v>0</v>
      </c>
      <c r="U64" s="620" cm="1">
        <f t="array" aca="1" ref="U64" ca="1">IF(AUTOEVENTO="Manual",ROUND(SUMPRODUCT((CÁLCULO!$M$15:$M$71=EVENTOS!$C64)*(OFFSET(CÁLCULO!$AA$15:$AA$71,0,U$13))),2),0)</f>
        <v>0</v>
      </c>
      <c r="V64" s="620" cm="1">
        <f t="array" aca="1" ref="V64" ca="1">IF(AUTOEVENTO="Manual",ROUND(SUMPRODUCT((CÁLCULO!$M$15:$M$71=EVENTOS!$C64)*(OFFSET(CÁLCULO!$AA$15:$AA$71,0,V$13))),2),0)</f>
        <v>0</v>
      </c>
      <c r="W64" s="620" cm="1">
        <f t="array" aca="1" ref="W64" ca="1">IF(AUTOEVENTO="Manual",ROUND(SUMPRODUCT((CÁLCULO!$M$15:$M$71=EVENTOS!$C64)*(OFFSET(CÁLCULO!$AA$15:$AA$71,0,W$13))),2),0)</f>
        <v>0</v>
      </c>
      <c r="X64" s="620" cm="1">
        <f t="array" aca="1" ref="X64" ca="1">IF(AUTOEVENTO="Manual",ROUND(SUMPRODUCT((CÁLCULO!$M$15:$M$71=EVENTOS!$C64)*(OFFSET(CÁLCULO!$AA$15:$AA$71,0,X$13))),2),0)</f>
        <v>0</v>
      </c>
      <c r="Y64" s="620" cm="1">
        <f t="array" aca="1" ref="Y64" ca="1">IF(AUTOEVENTO="Manual",ROUND(SUMPRODUCT((CÁLCULO!$M$15:$M$71=EVENTOS!$C64)*(OFFSET(CÁLCULO!$AA$15:$AA$71,0,Y$13))),2),0)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SÃO LUIZ GONZAGA/RS</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Nome: ÍGOR KIST</v>
      </c>
      <c r="V70" s="398" t="str">
        <f t="array" aca="1" ref="V70:V72" ca="1">OFFSET(Import.RespOrçamento,0,-1) &amp; " " &amp; Import.RespOrçamento</f>
        <v>Nome: ÍGOR KIST</v>
      </c>
    </row>
    <row r="71" spans="1:25" x14ac:dyDescent="0.2">
      <c r="A71" s="506" t="s">
        <v>536</v>
      </c>
      <c r="D71" s="494">
        <f>DADOS!$C$25</f>
        <v>46237</v>
      </c>
      <c r="L71" s="398" t="str">
        <f ca="1"/>
        <v>CREA/CAU: RS246150</v>
      </c>
      <c r="V71" s="398" t="str">
        <f ca="1"/>
        <v>CREA/CAU: RS246150</v>
      </c>
    </row>
    <row r="72" spans="1:25" x14ac:dyDescent="0.2">
      <c r="A72" s="506" t="s">
        <v>536</v>
      </c>
      <c r="D72" s="9" t="s">
        <v>694</v>
      </c>
      <c r="L72" s="398" t="str">
        <f ca="1"/>
        <v>ART/RRT: 14571519</v>
      </c>
      <c r="V72" s="398" t="str">
        <f ca="1"/>
        <v>ART/RRT: 14571519</v>
      </c>
    </row>
  </sheetData>
  <sheetProtection algorithmName="SHA-512" hashValue="llWMbmKSuB5Fqh3jFtWugXBzLeJW6lLUbIitqF6Swf5DuGf58GtV7IoDplt6mm5qmoD1JPCgmVjEsjB/QlfctQ==" saltValue="UeeUPY5CHYsAsU18e37QDw==" spinCount="100000" sheet="1" objects="1" scenarios="1" autoFilter="0"/>
  <autoFilter ref="A13:A72"/>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65">
    <cfRule type="expression" dxfId="252" priority="1" stopIfTrue="1">
      <formula>OR(AUTOEVENTO&lt;&gt;"Manual",ACOMPANHAMENTO="BM",C$10=0,C$13=0,$C1=" ")</formula>
    </cfRule>
  </conditionalFormatting>
  <conditionalFormatting sqref="A15 C15:XFD15">
    <cfRule type="expression" dxfId="251"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A1:BH65339"/>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0</v>
      </c>
      <c r="O1" s="632" cm="1">
        <f t="array" ref="O1">IF(OR(ACOMPANHAMENTO="BM",N1=0,O12=""),0,1)</f>
        <v>0</v>
      </c>
      <c r="P1" t="s">
        <v>764</v>
      </c>
      <c r="Q1" s="632" cm="1">
        <f t="array" ref="Q1">IF(OR(ACOMPANHAMENTO="BM",P1=0,Q12=""),0,1)</f>
        <v>0</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5" t="str" cm="1">
        <f t="array" ref="F6">IF(ACOMPANHAMENTO="BM","MEMÓRIA DE CÁLCULO","PLQ - PLANILHA DE LEVANTAMENTO DE QUANTIDADES")</f>
        <v>MEMÓRIA DE CÁLCULO</v>
      </c>
      <c r="G6" s="735"/>
      <c r="H6" s="735"/>
      <c r="I6" s="141"/>
      <c r="K6" s="141"/>
      <c r="L6" s="141"/>
      <c r="M6" s="142"/>
      <c r="N6" s="141"/>
      <c r="P6" s="141"/>
      <c r="Q6" s="736" t="s">
        <v>644</v>
      </c>
      <c r="R6" s="737"/>
      <c r="Y6" s="681" t="s">
        <v>644</v>
      </c>
      <c r="Z6" s="681"/>
    </row>
    <row r="7" spans="1:59" ht="15" customHeight="1" x14ac:dyDescent="0.2">
      <c r="F7" s="738" t="str" cm="1">
        <f t="array" ref="F7">IF(ACOMPANHAMENTO="BM","","Memória de Cálculo")&amp;" - "&amp;import.recurso</f>
        <v xml:space="preserve"> - OGU</v>
      </c>
      <c r="G7" s="738"/>
      <c r="H7" s="738"/>
      <c r="I7" s="143"/>
      <c r="K7" s="143"/>
      <c r="L7" s="143"/>
      <c r="M7" s="144"/>
      <c r="N7" s="143"/>
      <c r="P7" s="143"/>
      <c r="Q7" s="739" t="s">
        <v>647</v>
      </c>
      <c r="R7" s="740"/>
      <c r="Y7" s="682" t="s">
        <v>647</v>
      </c>
      <c r="Z7" s="682"/>
    </row>
    <row r="8" spans="1:59" ht="12.75" customHeight="1" x14ac:dyDescent="0.2">
      <c r="AE8" s="476"/>
    </row>
    <row r="9" spans="1:59" ht="12.75" customHeight="1" x14ac:dyDescent="0.2">
      <c r="E9" s="683" t="s">
        <v>708</v>
      </c>
      <c r="F9" s="683"/>
      <c r="G9" s="683" t="s">
        <v>707</v>
      </c>
      <c r="H9" s="683"/>
      <c r="I9" s="87" t="s">
        <v>650</v>
      </c>
      <c r="K9" s="145" t="s">
        <v>652</v>
      </c>
      <c r="L9" s="146"/>
      <c r="M9" s="146"/>
      <c r="N9" s="146"/>
      <c r="O9" s="146"/>
      <c r="P9" s="146"/>
      <c r="Q9" s="146"/>
      <c r="R9" s="147"/>
      <c r="S9" s="683" t="s">
        <v>650</v>
      </c>
      <c r="T9" s="683"/>
      <c r="U9" s="683" t="s">
        <v>652</v>
      </c>
      <c r="V9" s="683"/>
      <c r="W9" s="683"/>
      <c r="X9" s="683"/>
      <c r="Y9" s="683"/>
      <c r="Z9" s="683"/>
    </row>
    <row r="10" spans="1:59" ht="12.75" customHeight="1" x14ac:dyDescent="0.2">
      <c r="A10" s="601" t="s">
        <v>768</v>
      </c>
      <c r="E10" s="680" t="str">
        <f>Import.Apelido</f>
        <v>OBRAS COMPLEMENTARES NA EMEF SANTA RITA</v>
      </c>
      <c r="F10" s="680"/>
      <c r="G10" s="680" t="str" cm="1">
        <f t="array" ref="G10">Import.TransfereGOV</f>
        <v>0</v>
      </c>
      <c r="H10" s="680"/>
      <c r="I10" s="90" t="str">
        <f>Import.CR</f>
        <v>0</v>
      </c>
      <c r="K10" s="148" t="str">
        <f>Import.Proponente</f>
        <v>PREFEITURA MUNICIPAL DE SÃO LUIZ GONZAGA</v>
      </c>
      <c r="L10" s="149"/>
      <c r="M10" s="100"/>
      <c r="N10" s="149"/>
      <c r="O10" s="149"/>
      <c r="P10" s="149"/>
      <c r="Q10" s="149"/>
      <c r="R10" s="91"/>
      <c r="S10" s="680" t="str">
        <f>Import.CR</f>
        <v>0</v>
      </c>
      <c r="T10" s="680"/>
      <c r="U10" s="680" t="str">
        <f>Import.Proponente</f>
        <v>PREFEITURA MUNICIPAL DE SÃO LUIZ GONZAGA</v>
      </c>
      <c r="V10" s="680"/>
      <c r="W10" s="680"/>
      <c r="X10" s="680"/>
      <c r="Y10" s="680"/>
      <c r="Z10" s="680"/>
    </row>
    <row r="11" spans="1:59" ht="15" customHeight="1" x14ac:dyDescent="0.2">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IF(COUNTIF($J$15:$J$71,"►E")&gt;0,"Não pode haver serviços sem agrupador de eventos",
  IF(COUNTIF($P$11:$AA$11,"▼")&gt;0,"Não pode haver frentes de obra sem quantidades",
  IF(COUNTIF($P$11:$AA$11,"Nome &gt;100")&gt;0,"Nome da frente de obra com mais de 100 caracteres","")))))</f>
        <v/>
      </c>
      <c r="N11" s="573" t="str">
        <f ca="1">IF(OR(COUNTIF($J$15:$J$71,"►E")&gt;0,COUNTIF($J$15:$J$71,"►Q")&gt;0),"",
IF(COUNTIF($J$15:$J$71,"►S")&gt;0,"Preencha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IF(COUNTIF($J$15:$J$71,"►E")&gt;0,"Falta Definir o Agrupador de Evento na linha "&amp;MATCH("►E",$J$15:$J$71,0)+ROW($J$14),
  IF(COUNTIF($J$15:$J$71,"►Q")&gt;0,"Falta preencher a quantidade do serviço na linha "&amp;MATCH("►Q",$J$15:$J$71,0)+ROW($J$14),
  IF(COUNTIF($J$15:$J$71,"►S")&gt;0,"Verifique as quantidades preenchidas na linha "&amp;MATCH("►S",$J$15:$J$71,0)+ROW($J$14),
  IF(AND(COUNTIF($P$11:$AA$11,"▼")=0,COUNTIF($J$15:$J$71,"◄")&gt;0),"Falta Preencher o Memorial de Cálculo na linha "&amp;MATCH("◄",$J$15:$J$71,0)+ROW($J$14),"")))))</f>
        <v/>
      </c>
      <c r="J12" s="151" t="s">
        <v>764</v>
      </c>
      <c r="K12" s="152" t="s">
        <v>770</v>
      </c>
      <c r="L12" s="151" t="s">
        <v>764</v>
      </c>
      <c r="M12" s="570" cm="1">
        <f t="array" ref="M12">IF(ACOMPANHAMENTO="BM",0,MAX($M$15:$M$71))</f>
        <v>0</v>
      </c>
      <c r="N12" s="574" t="str">
        <f ca="1">IF(AND(ACOMPANHAMENTO="PLE",CÁLCULO.FrentesPreenchidas=0),"Preencher os nomes das Frentes de Obra ►","FRENTES DE OBRA:")</f>
        <v>FRENTES DE OBRA:</v>
      </c>
      <c r="O12" s="153"/>
      <c r="P12" s="151" t="s">
        <v>764</v>
      </c>
      <c r="Q12" s="452"/>
      <c r="R12" s="153"/>
      <c r="S12" s="153"/>
      <c r="T12" s="520"/>
      <c r="U12" s="153"/>
      <c r="V12" s="153"/>
      <c r="W12" s="153"/>
      <c r="X12" s="153"/>
      <c r="Y12" s="153"/>
      <c r="Z12" s="154"/>
      <c r="AA12" s="151" t="s">
        <v>764</v>
      </c>
      <c r="AB12" s="155">
        <f ca="1">IF(OFFSET($P$1,0,AB$13)=0,0,OFFSET($P$12,0,AB$13))</f>
        <v>0</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f t="shared" ref="AM12:BG12" ca="1" si="2">IF(OFFSET($P$1,0,AM$13)=0,0,OFFSET($P$12,0,AM$13))</f>
        <v>0</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f t="shared" ca="1" si="2"/>
        <v>0</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OBRAS COMPLEMENTARES NA EMEF SANTA RITA</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41" t="str">
        <f>Import.DescLote</f>
        <v>OBRAS COMPLEMENTARES NA EMEF SANTA RITA</v>
      </c>
      <c r="F15" s="741"/>
      <c r="G15" s="741"/>
      <c r="H15" s="741"/>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ROUND(SUM(OFFSET(AB$15,1,0):AB$71),2)</f>
        <v>0</v>
      </c>
      <c r="AC15" s="177">
        <f ca="1">SUM(OFFSET(AC$15,1,0):AC$71)</f>
        <v>0</v>
      </c>
      <c r="AD15" s="177">
        <f ca="1">SUM(OFFSET(AD$15,1,0):AD$71)</f>
        <v>0</v>
      </c>
      <c r="AE15" s="177">
        <f ca="1">SUM(OFFSET(AE$15,1,0):AE$71)</f>
        <v>0</v>
      </c>
      <c r="AF15" s="177">
        <f ca="1">SUM(OFFSET(AF$15,1,0):AF$71)</f>
        <v>0</v>
      </c>
      <c r="AG15" s="177">
        <f ca="1">SUM(OFFSET(AG$15,1,0):AG$71)</f>
        <v>0</v>
      </c>
      <c r="AH15" s="177">
        <f ca="1">SUM(OFFSET(AH$15,1,0):AH$71)</f>
        <v>0</v>
      </c>
      <c r="AI15" s="177">
        <f ca="1">SUM(OFFSET(AI$15,1,0):AI$71)</f>
        <v>0</v>
      </c>
      <c r="AJ15" s="177">
        <f ca="1">SUM(OFFSET(AJ$15,1,0):AJ$71)</f>
        <v>0</v>
      </c>
      <c r="AK15" s="177">
        <f ca="1">SUM(OFFSET(AK$15,1,0):AK$71)</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t="str">
        <f t="shared" ref="A16:A70"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OBRAS COMPLEMENTARES NA EMEF SANTA RITA</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70"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ALTERAÇÃO DE POSTE DE ENTRADA DE ENERGIA</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25.5" x14ac:dyDescent="0.2">
      <c r="A18" s="7" t="str">
        <f t="shared" ca="1" si="8"/>
        <v>2</v>
      </c>
      <c r="B18" s="7" t="str">
        <f ca="1">OFFSET(ORÇAMENTO!C$15,$L18,0)</f>
        <v>S</v>
      </c>
      <c r="C18" s="7" t="str">
        <f ca="1">OFFSET(ORÇAMENTO!L$15,$L18,0)</f>
        <v/>
      </c>
      <c r="D18" s="116" t="str">
        <f ca="1">OFFSET(ORÇAMENTO!N$15,$L18,0)</f>
        <v>Serviço</v>
      </c>
      <c r="E18" s="117" t="str">
        <f ca="1">OFFSET(ORÇAMENTO!O$15,$L18,0)</f>
        <v>-</v>
      </c>
      <c r="F18" s="163" t="str">
        <f ca="1">OFFSET(ORÇAMENTO!R$15,$L18,0)</f>
        <v>(Código não identificado nas referências)</v>
      </c>
      <c r="G18" s="164" t="str">
        <f ca="1">IF($D18&lt;&gt;"Serviço","",OFFSET(ORÇAMENTO!S$15,$L18,0))</f>
        <v>-</v>
      </c>
      <c r="H18" s="122" cm="1">
        <f t="array" aca="1" ref="H18" ca="1">IF($D18&lt;&gt;"Serviço",0,IF(ACOMPANHAMENTO="BM",ROUND(OFFSET(ORÇAMENTO!AJ$15,$L18,0),15-13*ORÇAMENTO!$AF$7),IF(IFERROR(CÁLCULO.FrentesPreenchidas,0)=0,0,SUM(ROUND(OFFSET($P18,0,1,1,CÁLCULO.FrentesPreenchidas),15-13*ORÇAMENTO!$AF$7)))))</f>
        <v>1</v>
      </c>
      <c r="I18" s="468"/>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ALTERAÇÃO DE POSTE DE ENTRADA DE ENERGIA</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1000000000000</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25.5" x14ac:dyDescent="0.2">
      <c r="A19" s="7" t="str">
        <f ca="1">IFERROR(IF(AUTOEVENTO="Manual",IF(K19&lt;&gt;"",MIN(VALUE(LEFT(K19,FIND(".",K19)-1)),COUNTA(EVENTOS.Lista)),0),IF(OR($B19&gt;AUTOEVENTO,$B19="S",$B19=0),SUBSTITUTE(OFFSET($A19,-1,0),IF($D19="Serviço",".",""),""),$L19&amp;".")),0)</f>
        <v>2</v>
      </c>
      <c r="B19" s="7" t="str">
        <f ca="1">OFFSET(ORÇAMENTO!C$15,$L19,0)</f>
        <v>S</v>
      </c>
      <c r="C19" s="7" t="str">
        <f ca="1">OFFSET(ORÇAMENTO!L$15,$L19,0)</f>
        <v/>
      </c>
      <c r="D19" s="116" t="str">
        <f ca="1">OFFSET(ORÇAMENTO!N$15,$L19,0)</f>
        <v>Serviço</v>
      </c>
      <c r="E19" s="117" t="str">
        <f ca="1">OFFSET(ORÇAMENTO!O$15,$L19,0)</f>
        <v>-</v>
      </c>
      <c r="F19" s="163" t="str">
        <f ca="1">OFFSET(ORÇAMENTO!R$15,$L19,0)</f>
        <v>(Código não identificado nas referências)</v>
      </c>
      <c r="G19" s="164" t="str">
        <f ca="1">IF($D19&lt;&gt;"Serviço","",OFFSET(ORÇAMENTO!S$15,$L19,0))</f>
        <v>-</v>
      </c>
      <c r="H19" s="122" cm="1">
        <f t="array" aca="1" ref="H19" ca="1">IF($D19&lt;&gt;"Serviço",0,IF(ACOMPANHAMENTO="BM",ROUND(OFFSET(ORÇAMENTO!AJ$15,$L19,0),15-13*ORÇAMENTO!$AF$7),IF(IFERROR(CÁLCULO.FrentesPreenchidas,0)=0,0,SUM(ROUND(OFFSET($P19,0,1,1,CÁLCULO.FrentesPreenchidas),15-13*ORÇAMENTO!$AF$7)))))</f>
        <v>1</v>
      </c>
      <c r="I19" s="468"/>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c r="L19" s="165">
        <f ca="1">OFFSET(L19,-1,0)+1</f>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ALTERAÇÃO DE POSTE DE ENTRADA DE ENERGIA</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1000000000000</v>
      </c>
      <c r="AN19" s="171">
        <f ca="1">IF(OR($D19&lt;&gt;"Serviço",AND(AUTOEVENTO="Manual",$M19=$A$15)),0,
         IF(OFFSET(CRONOPLE!$F$15,$M19-$A$15,AN$13)=0,10^12,OFFSET(CRONOPLE!$F$15,$M19-$A$15,AN$13)))</f>
        <v>1000000000000</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ht="51" x14ac:dyDescent="0.2">
      <c r="A20" s="7" t="str">
        <f t="shared" ca="1" si="8"/>
        <v>2</v>
      </c>
      <c r="B20" s="7" t="str">
        <f ca="1">OFFSET(ORÇAMENTO!C$15,$L20,0)</f>
        <v>S</v>
      </c>
      <c r="C20" s="7" t="str">
        <f ca="1">OFFSET(ORÇAMENTO!L$15,$L20,0)</f>
        <v/>
      </c>
      <c r="D20" s="116" t="str">
        <f ca="1">OFFSET(ORÇAMENTO!N$15,$L20,0)</f>
        <v>Serviço</v>
      </c>
      <c r="E20" s="117" t="str">
        <f ca="1">OFFSET(ORÇAMENTO!O$15,$L20,0)</f>
        <v>-</v>
      </c>
      <c r="F20" s="163" t="str">
        <f ca="1">OFFSET(ORÇAMENTO!R$15,$L20,0)</f>
        <v>(Código não identificado nas referências)</v>
      </c>
      <c r="G20" s="164" t="str">
        <f ca="1">IF($D20&lt;&gt;"Serviço","",OFFSET(ORÇAMENTO!S$15,$L20,0))</f>
        <v>-</v>
      </c>
      <c r="H20" s="122" cm="1">
        <f t="array" aca="1" ref="H20" ca="1">IF($D20&lt;&gt;"Serviço",0,IF(ACOMPANHAMENTO="BM",ROUND(OFFSET(ORÇAMENTO!AJ$15,$L20,0),15-13*ORÇAMENTO!$AF$7),IF(IFERROR(CÁLCULO.FrentesPreenchidas,0)=0,0,SUM(ROUND(OFFSET($P20,0,1,1,CÁLCULO.FrentesPreenchidas),15-13*ORÇAMENTO!$AF$7)))))</f>
        <v>1</v>
      </c>
      <c r="I20" s="468"/>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c r="L20" s="165">
        <f t="shared" ca="1" si="9"/>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ALTERAÇÃO DE POSTE DE ENTRADA DE ENERGIA</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1000000000000</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38.25" x14ac:dyDescent="0.2">
      <c r="A21" s="7" t="str">
        <f t="shared" ca="1" si="8"/>
        <v>2</v>
      </c>
      <c r="B21" s="7" t="str">
        <f ca="1">OFFSET(ORÇAMENTO!C$15,$L21,0)</f>
        <v>S</v>
      </c>
      <c r="C21" s="7" t="str">
        <f ca="1">OFFSET(ORÇAMENTO!L$15,$L21,0)</f>
        <v/>
      </c>
      <c r="D21" s="116" t="str">
        <f ca="1">OFFSET(ORÇAMENTO!N$15,$L21,0)</f>
        <v>Serviço</v>
      </c>
      <c r="E21" s="117" t="str">
        <f ca="1">OFFSET(ORÇAMENTO!O$15,$L21,0)</f>
        <v>-</v>
      </c>
      <c r="F21" s="163" t="str">
        <f ca="1">OFFSET(ORÇAMENTO!R$15,$L21,0)</f>
        <v>(Código não identificado nas referências)</v>
      </c>
      <c r="G21" s="164" t="str">
        <f ca="1">IF($D21&lt;&gt;"Serviço","",OFFSET(ORÇAMENTO!S$15,$L21,0))</f>
        <v>-</v>
      </c>
      <c r="H21" s="122" cm="1">
        <f t="array" aca="1" ref="H21" ca="1">IF($D21&lt;&gt;"Serviço",0,IF(ACOMPANHAMENTO="BM",ROUND(OFFSET(ORÇAMENTO!AJ$15,$L21,0),15-13*ORÇAMENTO!$AF$7),IF(IFERROR(CÁLCULO.FrentesPreenchidas,0)=0,0,SUM(ROUND(OFFSET($P21,0,1,1,CÁLCULO.FrentesPreenchidas),15-13*ORÇAMENTO!$AF$7)))))</f>
        <v>1.2</v>
      </c>
      <c r="I21" s="468"/>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t="shared" ca="1" si="9"/>
        <v>6</v>
      </c>
      <c r="M21" s="166">
        <f ca="1">IF($D21&lt;&gt;"Serviço","",
          IF(AUTOEVENTO="manual",$A21,
                IF(ISERROR(MATCH($A21,$A$15:OFFSET($A21,-1,0),0)),MAX($M$15:OFFSET(M21,-1,0))+1,
                      INDEX($M$15:OFFSET(M21,-1,0),MATCH($A21,$A$15:OFFSET($A21,-1,0),0)))))</f>
        <v>1</v>
      </c>
      <c r="N21" s="167" t="str">
        <f ca="1">IF($D21&lt;&gt;"Serviço","",
         IF(AUTOEVENTO="Manual",
                IF($A21=0,"&lt;-- defina o número do agrupador",
                       OFFSET(EVENTOS!$D$15,$A21-$A$15,0)),
                OFFSET($F$15,$A21,0)))</f>
        <v>ALTERAÇÃO DE POSTE DE ENTRADA DE ENERGIA</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1000000000000</v>
      </c>
      <c r="AN21" s="171">
        <f ca="1">IF(OR($D21&lt;&gt;"Serviço",AND(AUTOEVENTO="Manual",$M21=$A$15)),0,
         IF(OFFSET(CRONOPLE!$F$15,$M21-$A$15,AN$13)=0,10^12,OFFSET(CRONOPLE!$F$15,$M21-$A$15,AN$13)))</f>
        <v>1000000000000</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ht="38.25" x14ac:dyDescent="0.2">
      <c r="A22" s="7" t="str">
        <f t="shared" ca="1" si="8"/>
        <v>2</v>
      </c>
      <c r="B22" s="7" t="str">
        <f ca="1">OFFSET(ORÇAMENTO!C$15,$L22,0)</f>
        <v>S</v>
      </c>
      <c r="C22" s="7" t="str">
        <f ca="1">OFFSET(ORÇAMENTO!L$15,$L22,0)</f>
        <v/>
      </c>
      <c r="D22" s="116" t="str">
        <f ca="1">OFFSET(ORÇAMENTO!N$15,$L22,0)</f>
        <v>Serviço</v>
      </c>
      <c r="E22" s="117" t="str">
        <f ca="1">OFFSET(ORÇAMENTO!O$15,$L22,0)</f>
        <v>-</v>
      </c>
      <c r="F22" s="163" t="str">
        <f ca="1">OFFSET(ORÇAMENTO!R$15,$L22,0)</f>
        <v>(Código não identificado nas referências)</v>
      </c>
      <c r="G22" s="164" t="str">
        <f ca="1">IF($D22&lt;&gt;"Serviço","",OFFSET(ORÇAMENTO!S$15,$L22,0))</f>
        <v>-</v>
      </c>
      <c r="H22" s="122" cm="1">
        <f t="array" aca="1" ref="H22" ca="1">IF($D22&lt;&gt;"Serviço",0,IF(ACOMPANHAMENTO="BM",ROUND(OFFSET(ORÇAMENTO!AJ$15,$L22,0),15-13*ORÇAMENTO!$AF$7),IF(IFERROR(CÁLCULO.FrentesPreenchidas,0)=0,0,SUM(ROUND(OFFSET($P22,0,1,1,CÁLCULO.FrentesPreenchidas),15-13*ORÇAMENTO!$AF$7)))))</f>
        <v>1</v>
      </c>
      <c r="I22" s="468"/>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c r="L22" s="165">
        <f t="shared" ca="1" si="9"/>
        <v>7</v>
      </c>
      <c r="M22" s="166">
        <f ca="1">IF($D22&lt;&gt;"Serviço","",
          IF(AUTOEVENTO="manual",$A22,
                IF(ISERROR(MATCH($A22,$A$15:OFFSET($A22,-1,0),0)),MAX($M$15:OFFSET(M22,-1,0))+1,
                      INDEX($M$15:OFFSET(M22,-1,0),MATCH($A22,$A$15:OFFSET($A22,-1,0),0)))))</f>
        <v>1</v>
      </c>
      <c r="N22" s="167" t="str">
        <f ca="1">IF($D22&lt;&gt;"Serviço","",
         IF(AUTOEVENTO="Manual",
                IF($A22=0,"&lt;-- defina o número do agrupador",
                       OFFSET(EVENTOS!$D$15,$A22-$A$15,0)),
                OFFSET($F$15,$A22,0)))</f>
        <v>ALTERAÇÃO DE POSTE DE ENTRADA DE ENERGIA</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1000000000000</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38.25" x14ac:dyDescent="0.2">
      <c r="A23" s="7" t="str">
        <f t="shared" ca="1" si="8"/>
        <v>2</v>
      </c>
      <c r="B23" s="7" t="str">
        <f ca="1">OFFSET(ORÇAMENTO!C$15,$L23,0)</f>
        <v>S</v>
      </c>
      <c r="C23" s="7" t="str">
        <f ca="1">OFFSET(ORÇAMENTO!L$15,$L23,0)</f>
        <v/>
      </c>
      <c r="D23" s="116" t="str">
        <f ca="1">OFFSET(ORÇAMENTO!N$15,$L23,0)</f>
        <v>Serviço</v>
      </c>
      <c r="E23" s="117" t="str">
        <f ca="1">OFFSET(ORÇAMENTO!O$15,$L23,0)</f>
        <v>-</v>
      </c>
      <c r="F23" s="163" t="str">
        <f ca="1">OFFSET(ORÇAMENTO!R$15,$L23,0)</f>
        <v>(Código não identificado nas referências)</v>
      </c>
      <c r="G23" s="164" t="str">
        <f ca="1">IF($D23&lt;&gt;"Serviço","",OFFSET(ORÇAMENTO!S$15,$L23,0))</f>
        <v>-</v>
      </c>
      <c r="H23" s="122" cm="1">
        <f t="array" aca="1" ref="H23" ca="1">IF($D23&lt;&gt;"Serviço",0,IF(ACOMPANHAMENTO="BM",ROUND(OFFSET(ORÇAMENTO!AJ$15,$L23,0),15-13*ORÇAMENTO!$AF$7),IF(IFERROR(CÁLCULO.FrentesPreenchidas,0)=0,0,SUM(ROUND(OFFSET($P23,0,1,1,CÁLCULO.FrentesPreenchidas),15-13*ORÇAMENTO!$AF$7)))))</f>
        <v>8</v>
      </c>
      <c r="I23" s="468"/>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c r="L23" s="165">
        <f t="shared" ca="1" si="9"/>
        <v>8</v>
      </c>
      <c r="M23" s="166">
        <f ca="1">IF($D23&lt;&gt;"Serviço","",
          IF(AUTOEVENTO="manual",$A23,
                IF(ISERROR(MATCH($A23,$A$15:OFFSET($A23,-1,0),0)),MAX($M$15:OFFSET(M23,-1,0))+1,
                      INDEX($M$15:OFFSET(M23,-1,0),MATCH($A23,$A$15:OFFSET($A23,-1,0),0)))))</f>
        <v>1</v>
      </c>
      <c r="N23" s="167" t="str">
        <f ca="1">IF($D23&lt;&gt;"Serviço","",
         IF(AUTOEVENTO="Manual",
                IF($A23=0,"&lt;-- defina o número do agrupador",
                       OFFSET(EVENTOS!$D$15,$A23-$A$15,0)),
                OFFSET($F$15,$A23,0)))</f>
        <v>ALTERAÇÃO DE POSTE DE ENTRADA DE ENERGIA</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1000000000000</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12.75" x14ac:dyDescent="0.2">
      <c r="A24" s="7" t="str">
        <f t="shared" ca="1" si="8"/>
        <v>9.</v>
      </c>
      <c r="B24" s="7">
        <f ca="1">OFFSET(ORÇAMENTO!C$15,$L24,0)</f>
        <v>2</v>
      </c>
      <c r="C24" s="7" t="str">
        <f ca="1">OFFSET(ORÇAMENTO!L$15,$L24,0)</f>
        <v>F</v>
      </c>
      <c r="D24" s="116" t="str">
        <f ca="1">OFFSET(ORÇAMENTO!N$15,$L24,0)</f>
        <v>Nível 2</v>
      </c>
      <c r="E24" s="117" t="str">
        <f ca="1">OFFSET(ORÇAMENTO!O$15,$L24,0)</f>
        <v>1.2.</v>
      </c>
      <c r="F24" s="163" t="str">
        <f ca="1">OFFSET(ORÇAMENTO!R$15,$L24,0)</f>
        <v>CALÇADAS EXTERNAS</v>
      </c>
      <c r="G24" s="164" t="str">
        <f ca="1">IF($D24&lt;&gt;"Serviço","",OFFSET(ORÇAMENTO!S$15,$L24,0))</f>
        <v/>
      </c>
      <c r="H24" s="122" cm="1">
        <f t="array" aca="1" ref="H24" ca="1">IF($D24&lt;&gt;"Serviço",0,IF(ACOMPANHAMENTO="BM",ROUND(OFFSET(ORÇAMENTO!AJ$15,$L24,0),15-13*ORÇAMENTO!$AF$7),IF(IFERROR(CÁLCULO.FrentesPreenchidas,0)=0,0,SUM(ROUND(OFFSET($P24,0,1,1,CÁLCULO.FrentesPreenchidas),15-13*ORÇAMENTO!$AF$7)))))</f>
        <v>0</v>
      </c>
      <c r="I24" s="468"/>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c r="L24" s="165">
        <f t="shared" ca="1" si="9"/>
        <v>9</v>
      </c>
      <c r="M24" s="166" t="str">
        <f ca="1">IF($D24&lt;&gt;"Serviço","",
          IF(AUTOEVENTO="manual",$A24,
                IF(ISERROR(MATCH($A24,$A$15:OFFSET($A24,-1,0),0)),MAX($M$15:OFFSET(M24,-1,0))+1,
                      INDEX($M$15:OFFSET(M24,-1,0),MATCH($A24,$A$15:OFFSET($A24,-1,0),0)))))</f>
        <v/>
      </c>
      <c r="N24" s="167" t="str">
        <f ca="1">IF($D24&lt;&gt;"Serviço","",
         IF(AUTOEVENTO="Manual",
                IF($A24=0,"&lt;-- defina o número do agrupador",
                       OFFSET(EVENTOS!$D$15,$A24-$A$15,0)),
                OFFSET($F$15,$A24,0)))</f>
        <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0</v>
      </c>
      <c r="AN24" s="171">
        <f ca="1">IF(OR($D24&lt;&gt;"Serviço",AND(AUTOEVENTO="Manual",$M24=$A$15)),0,
         IF(OFFSET(CRONOPLE!$F$15,$M24-$A$15,AN$13)=0,10^12,OFFSET(CRONOPLE!$F$15,$M24-$A$15,AN$13)))</f>
        <v>0</v>
      </c>
      <c r="AO24" s="171">
        <f ca="1">IF(OR($D24&lt;&gt;"Serviço",AND(AUTOEVENTO="Manual",$M24=$A$15)),0,
         IF(OFFSET(CRONOPLE!$F$15,$M24-$A$15,AO$13)=0,10^12,OFFSET(CRONOPLE!$F$15,$M24-$A$15,AO$13)))</f>
        <v>0</v>
      </c>
      <c r="AP24" s="171">
        <f ca="1">IF(OR($D24&lt;&gt;"Serviço",AND(AUTOEVENTO="Manual",$M24=$A$15)),0,
         IF(OFFSET(CRONOPLE!$F$15,$M24-$A$15,AP$13)=0,10^12,OFFSET(CRONOPLE!$F$15,$M24-$A$15,AP$13)))</f>
        <v>0</v>
      </c>
      <c r="AQ24" s="171">
        <f ca="1">IF(OR($D24&lt;&gt;"Serviço",AND(AUTOEVENTO="Manual",$M24=$A$15)),0,
         IF(OFFSET(CRONOPLE!$F$15,$M24-$A$15,AQ$13)=0,10^12,OFFSET(CRONOPLE!$F$15,$M24-$A$15,AQ$13)))</f>
        <v>0</v>
      </c>
      <c r="AR24" s="171">
        <f ca="1">IF(OR($D24&lt;&gt;"Serviço",AND(AUTOEVENTO="Manual",$M24=$A$15)),0,
         IF(OFFSET(CRONOPLE!$F$15,$M24-$A$15,AR$13)=0,10^12,OFFSET(CRONOPLE!$F$15,$M24-$A$15,AR$13)))</f>
        <v>0</v>
      </c>
      <c r="AS24" s="171">
        <f ca="1">IF(OR($D24&lt;&gt;"Serviço",AND(AUTOEVENTO="Manual",$M24=$A$15)),0,
         IF(OFFSET(CRONOPLE!$F$15,$M24-$A$15,AS$13)=0,10^12,OFFSET(CRONOPLE!$F$15,$M24-$A$15,AS$13)))</f>
        <v>0</v>
      </c>
      <c r="AT24" s="171">
        <f ca="1">IF(OR($D24&lt;&gt;"Serviço",AND(AUTOEVENTO="Manual",$M24=$A$15)),0,
         IF(OFFSET(CRONOPLE!$F$15,$M24-$A$15,AT$13)=0,10^12,OFFSET(CRONOPLE!$F$15,$M24-$A$15,AT$13)))</f>
        <v>0</v>
      </c>
      <c r="AU24" s="171">
        <f ca="1">IF(OR($D24&lt;&gt;"Serviço",AND(AUTOEVENTO="Manual",$M24=$A$15)),0,
         IF(OFFSET(CRONOPLE!$F$15,$M24-$A$15,AU$13)=0,10^12,OFFSET(CRONOPLE!$F$15,$M24-$A$15,AU$13)))</f>
        <v>0</v>
      </c>
      <c r="AV24" s="171">
        <f ca="1">IF(OR($D24&lt;&gt;"Serviço",AND(AUTOEVENTO="Manual",$M24=$A$15)),0,
         IF(OFFSET(CRONOPLE!$F$15,$M24-$A$15,AV$13)=0,10^12,OFFSET(CRONOPLE!$F$15,$M24-$A$15,AV$13)))</f>
        <v>0</v>
      </c>
      <c r="AX24" s="172" cm="1">
        <f t="array" aca="1" ref="AX24" ca="1">IF(OR($D24&lt;&gt;"Serviço",AND(AUTOEVENTO="Manual",$M24=$A$15),$M24&gt;(ROW(PLE.lastrow)-ROW(PLE.firstrow))),0,
           IF(OFFSET(PLE!$G$15,$M24-$A$15,AX$13)="",10^12,OFFSET(PLE!$G$15,$M24-$A$15,AX$13)))</f>
        <v>0</v>
      </c>
      <c r="AY24" s="172" cm="1">
        <f t="array" aca="1" ref="AY24" ca="1">IF(OR($D24&lt;&gt;"Serviço",AND(AUTOEVENTO="Manual",$M24=$A$15),$M24&gt;(ROW(PLE.lastrow)-ROW(PLE.firstrow))),0,
           IF(OFFSET(PLE!$G$15,$M24-$A$15,AY$13)="",10^12,OFFSET(PLE!$G$15,$M24-$A$15,AY$13)))</f>
        <v>0</v>
      </c>
      <c r="AZ24" s="172" cm="1">
        <f t="array" aca="1" ref="AZ24" ca="1">IF(OR($D24&lt;&gt;"Serviço",AND(AUTOEVENTO="Manual",$M24=$A$15),$M24&gt;(ROW(PLE.lastrow)-ROW(PLE.firstrow))),0,
           IF(OFFSET(PLE!$G$15,$M24-$A$15,AZ$13)="",10^12,OFFSET(PLE!$G$15,$M24-$A$15,AZ$13)))</f>
        <v>0</v>
      </c>
      <c r="BA24" s="172" cm="1">
        <f t="array" aca="1" ref="BA24" ca="1">IF(OR($D24&lt;&gt;"Serviço",AND(AUTOEVENTO="Manual",$M24=$A$15),$M24&gt;(ROW(PLE.lastrow)-ROW(PLE.firstrow))),0,
           IF(OFFSET(PLE!$G$15,$M24-$A$15,BA$13)="",10^12,OFFSET(PLE!$G$15,$M24-$A$15,BA$13)))</f>
        <v>0</v>
      </c>
      <c r="BB24" s="172" cm="1">
        <f t="array" aca="1" ref="BB24" ca="1">IF(OR($D24&lt;&gt;"Serviço",AND(AUTOEVENTO="Manual",$M24=$A$15),$M24&gt;(ROW(PLE.lastrow)-ROW(PLE.firstrow))),0,
           IF(OFFSET(PLE!$G$15,$M24-$A$15,BB$13)="",10^12,OFFSET(PLE!$G$15,$M24-$A$15,BB$13)))</f>
        <v>0</v>
      </c>
      <c r="BC24" s="172" cm="1">
        <f t="array" aca="1" ref="BC24" ca="1">IF(OR($D24&lt;&gt;"Serviço",AND(AUTOEVENTO="Manual",$M24=$A$15),$M24&gt;(ROW(PLE.lastrow)-ROW(PLE.firstrow))),0,
           IF(OFFSET(PLE!$G$15,$M24-$A$15,BC$13)="",10^12,OFFSET(PLE!$G$15,$M24-$A$15,BC$13)))</f>
        <v>0</v>
      </c>
      <c r="BD24" s="172" cm="1">
        <f t="array" aca="1" ref="BD24" ca="1">IF(OR($D24&lt;&gt;"Serviço",AND(AUTOEVENTO="Manual",$M24=$A$15),$M24&gt;(ROW(PLE.lastrow)-ROW(PLE.firstrow))),0,
           IF(OFFSET(PLE!$G$15,$M24-$A$15,BD$13)="",10^12,OFFSET(PLE!$G$15,$M24-$A$15,BD$13)))</f>
        <v>0</v>
      </c>
      <c r="BE24" s="172" cm="1">
        <f t="array" aca="1" ref="BE24" ca="1">IF(OR($D24&lt;&gt;"Serviço",AND(AUTOEVENTO="Manual",$M24=$A$15),$M24&gt;(ROW(PLE.lastrow)-ROW(PLE.firstrow))),0,
           IF(OFFSET(PLE!$G$15,$M24-$A$15,BE$13)="",10^12,OFFSET(PLE!$G$15,$M24-$A$15,BE$13)))</f>
        <v>0</v>
      </c>
      <c r="BF24" s="172" cm="1">
        <f t="array" aca="1" ref="BF24" ca="1">IF(OR($D24&lt;&gt;"Serviço",AND(AUTOEVENTO="Manual",$M24=$A$15),$M24&gt;(ROW(PLE.lastrow)-ROW(PLE.firstrow))),0,
           IF(OFFSET(PLE!$G$15,$M24-$A$15,BF$13)="",10^12,OFFSET(PLE!$G$15,$M24-$A$15,BF$13)))</f>
        <v>0</v>
      </c>
      <c r="BG24" s="172" cm="1">
        <f t="array" aca="1" ref="BG24" ca="1">IF(OR($D24&lt;&gt;"Serviço",AND(AUTOEVENTO="Manual",$M24=$A$15),$M24&gt;(ROW(PLE.lastrow)-ROW(PLE.firstrow))),0,
           IF(OFFSET(PLE!$G$15,$M24-$A$15,BG$13)="",10^12,OFFSET(PLE!$G$15,$M24-$A$15,BG$13)))</f>
        <v>0</v>
      </c>
    </row>
    <row r="25" spans="1:59" ht="12.75" x14ac:dyDescent="0.2">
      <c r="A25" s="7" t="str">
        <f t="shared" ca="1" si="8"/>
        <v>9</v>
      </c>
      <c r="B25" s="7" t="str">
        <f ca="1">OFFSET(ORÇAMENTO!C$15,$L25,0)</f>
        <v>S</v>
      </c>
      <c r="C25" s="7" t="str">
        <f ca="1">OFFSET(ORÇAMENTO!L$15,$L25,0)</f>
        <v/>
      </c>
      <c r="D25" s="116" t="str">
        <f ca="1">OFFSET(ORÇAMENTO!N$15,$L25,0)</f>
        <v>Serviço</v>
      </c>
      <c r="E25" s="117" t="str">
        <f ca="1">OFFSET(ORÇAMENTO!O$15,$L25,0)</f>
        <v>-</v>
      </c>
      <c r="F25" s="163" t="str">
        <f ca="1">OFFSET(ORÇAMENTO!R$15,$L25,0)</f>
        <v>(Código não identificado nas referências)</v>
      </c>
      <c r="G25" s="164" t="str">
        <f ca="1">IF($D25&lt;&gt;"Serviço","",OFFSET(ORÇAMENTO!S$15,$L25,0))</f>
        <v>-</v>
      </c>
      <c r="H25" s="122" cm="1">
        <f t="array" aca="1" ref="H25" ca="1">IF($D25&lt;&gt;"Serviço",0,IF(ACOMPANHAMENTO="BM",ROUND(OFFSET(ORÇAMENTO!AJ$15,$L25,0),15-13*ORÇAMENTO!$AF$7),IF(IFERROR(CÁLCULO.FrentesPreenchidas,0)=0,0,SUM(ROUND(OFFSET($P25,0,1,1,CÁLCULO.FrentesPreenchidas),15-13*ORÇAMENTO!$AF$7)))))</f>
        <v>33.42</v>
      </c>
      <c r="I25" s="468"/>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c r="L25" s="165">
        <f t="shared" ca="1" si="9"/>
        <v>10</v>
      </c>
      <c r="M25" s="166">
        <f ca="1">IF($D25&lt;&gt;"Serviço","",
          IF(AUTOEVENTO="manual",$A25,
                IF(ISERROR(MATCH($A25,$A$15:OFFSET($A25,-1,0),0)),MAX($M$15:OFFSET(M25,-1,0))+1,
                      INDEX($M$15:OFFSET(M25,-1,0),MATCH($A25,$A$15:OFFSET($A25,-1,0),0)))))</f>
        <v>2</v>
      </c>
      <c r="N25" s="167" t="str">
        <f ca="1">IF($D25&lt;&gt;"Serviço","",
         IF(AUTOEVENTO="Manual",
                IF($A25=0,"&lt;-- defina o número do agrupador",
                       OFFSET(EVENTOS!$D$15,$A25-$A$15,0)),
                OFFSET($F$15,$A25,0)))</f>
        <v>CALÇADAS EXTERNAS</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1000000000000</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ht="25.5" x14ac:dyDescent="0.2">
      <c r="A26" s="7" t="str">
        <f t="shared" ca="1" si="8"/>
        <v>9</v>
      </c>
      <c r="B26" s="7" t="str">
        <f ca="1">OFFSET(ORÇAMENTO!C$15,$L26,0)</f>
        <v>S</v>
      </c>
      <c r="C26" s="7" t="str">
        <f ca="1">OFFSET(ORÇAMENTO!L$15,$L26,0)</f>
        <v/>
      </c>
      <c r="D26" s="116" t="str">
        <f ca="1">OFFSET(ORÇAMENTO!N$15,$L26,0)</f>
        <v>Serviço</v>
      </c>
      <c r="E26" s="117" t="str">
        <f ca="1">OFFSET(ORÇAMENTO!O$15,$L26,0)</f>
        <v>-</v>
      </c>
      <c r="F26" s="163" t="str">
        <f ca="1">OFFSET(ORÇAMENTO!R$15,$L26,0)</f>
        <v>(Código não identificado nas referências)</v>
      </c>
      <c r="G26" s="164" t="str">
        <f ca="1">IF($D26&lt;&gt;"Serviço","",OFFSET(ORÇAMENTO!S$15,$L26,0))</f>
        <v>-</v>
      </c>
      <c r="H26" s="122" cm="1">
        <f t="array" aca="1" ref="H26" ca="1">IF($D26&lt;&gt;"Serviço",0,IF(ACOMPANHAMENTO="BM",ROUND(OFFSET(ORÇAMENTO!AJ$15,$L26,0),15-13*ORÇAMENTO!$AF$7),IF(IFERROR(CÁLCULO.FrentesPreenchidas,0)=0,0,SUM(ROUND(OFFSET($P26,0,1,1,CÁLCULO.FrentesPreenchidas),15-13*ORÇAMENTO!$AF$7)))))</f>
        <v>11.14</v>
      </c>
      <c r="I26" s="468"/>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c r="L26" s="165">
        <f t="shared" ca="1" si="9"/>
        <v>11</v>
      </c>
      <c r="M26" s="166">
        <f ca="1">IF($D26&lt;&gt;"Serviço","",
          IF(AUTOEVENTO="manual",$A26,
                IF(ISERROR(MATCH($A26,$A$15:OFFSET($A26,-1,0),0)),MAX($M$15:OFFSET(M26,-1,0))+1,
                      INDEX($M$15:OFFSET(M26,-1,0),MATCH($A26,$A$15:OFFSET($A26,-1,0),0)))))</f>
        <v>2</v>
      </c>
      <c r="N26" s="167" t="str">
        <f ca="1">IF($D26&lt;&gt;"Serviço","",
         IF(AUTOEVENTO="Manual",
                IF($A26=0,"&lt;-- defina o número do agrupador",
                       OFFSET(EVENTOS!$D$15,$A26-$A$15,0)),
                OFFSET($F$15,$A26,0)))</f>
        <v>CALÇADAS EXTERNAS</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1000000000000</v>
      </c>
      <c r="AN26" s="171">
        <f ca="1">IF(OR($D26&lt;&gt;"Serviço",AND(AUTOEVENTO="Manual",$M26=$A$15)),0,
         IF(OFFSET(CRONOPLE!$F$15,$M26-$A$15,AN$13)=0,10^12,OFFSET(CRONOPLE!$F$15,$M26-$A$15,AN$13)))</f>
        <v>1000000000000</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38.25" x14ac:dyDescent="0.2">
      <c r="A27" s="7" t="str">
        <f t="shared" ca="1" si="8"/>
        <v>9</v>
      </c>
      <c r="B27" s="7" t="str">
        <f ca="1">OFFSET(ORÇAMENTO!C$15,$L27,0)</f>
        <v>S</v>
      </c>
      <c r="C27" s="7" t="str">
        <f ca="1">OFFSET(ORÇAMENTO!L$15,$L27,0)</f>
        <v/>
      </c>
      <c r="D27" s="116" t="str">
        <f ca="1">OFFSET(ORÇAMENTO!N$15,$L27,0)</f>
        <v>Serviço</v>
      </c>
      <c r="E27" s="117" t="str">
        <f ca="1">OFFSET(ORÇAMENTO!O$15,$L27,0)</f>
        <v>-</v>
      </c>
      <c r="F27" s="163" t="str">
        <f ca="1">OFFSET(ORÇAMENTO!R$15,$L27,0)</f>
        <v>(Código não identificado nas referências)</v>
      </c>
      <c r="G27" s="164" t="str">
        <f ca="1">IF($D27&lt;&gt;"Serviço","",OFFSET(ORÇAMENTO!S$15,$L27,0))</f>
        <v>-</v>
      </c>
      <c r="H27" s="122" cm="1">
        <f t="array" aca="1" ref="H27" ca="1">IF($D27&lt;&gt;"Serviço",0,IF(ACOMPANHAMENTO="BM",ROUND(OFFSET(ORÇAMENTO!AJ$15,$L27,0),15-13*ORÇAMENTO!$AF$7),IF(IFERROR(CÁLCULO.FrentesPreenchidas,0)=0,0,SUM(ROUND(OFFSET($P27,0,1,1,CÁLCULO.FrentesPreenchidas),15-13*ORÇAMENTO!$AF$7)))))</f>
        <v>5.57</v>
      </c>
      <c r="I27" s="468"/>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c r="L27" s="165">
        <f t="shared" ca="1" si="9"/>
        <v>12</v>
      </c>
      <c r="M27" s="166">
        <f ca="1">IF($D27&lt;&gt;"Serviço","",
          IF(AUTOEVENTO="manual",$A27,
                IF(ISERROR(MATCH($A27,$A$15:OFFSET($A27,-1,0),0)),MAX($M$15:OFFSET(M27,-1,0))+1,
                      INDEX($M$15:OFFSET(M27,-1,0),MATCH($A27,$A$15:OFFSET($A27,-1,0),0)))))</f>
        <v>2</v>
      </c>
      <c r="N27" s="167" t="str">
        <f ca="1">IF($D27&lt;&gt;"Serviço","",
         IF(AUTOEVENTO="Manual",
                IF($A27=0,"&lt;-- defina o número do agrupador",
                       OFFSET(EVENTOS!$D$15,$A27-$A$15,0)),
                OFFSET($F$15,$A27,0)))</f>
        <v>CALÇADAS EXTERNAS</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1000000000000</v>
      </c>
      <c r="AN27" s="171">
        <f ca="1">IF(OR($D27&lt;&gt;"Serviço",AND(AUTOEVENTO="Manual",$M27=$A$15)),0,
         IF(OFFSET(CRONOPLE!$F$15,$M27-$A$15,AN$13)=0,10^12,OFFSET(CRONOPLE!$F$15,$M27-$A$15,AN$13)))</f>
        <v>1000000000000</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51" x14ac:dyDescent="0.2">
      <c r="A28" s="7" t="str">
        <f t="shared" ca="1" si="8"/>
        <v>9</v>
      </c>
      <c r="B28" s="7" t="str">
        <f ca="1">OFFSET(ORÇAMENTO!C$15,$L28,0)</f>
        <v>S</v>
      </c>
      <c r="C28" s="7" t="str">
        <f ca="1">OFFSET(ORÇAMENTO!L$15,$L28,0)</f>
        <v/>
      </c>
      <c r="D28" s="116" t="str">
        <f ca="1">OFFSET(ORÇAMENTO!N$15,$L28,0)</f>
        <v>Serviço</v>
      </c>
      <c r="E28" s="117" t="str">
        <f ca="1">OFFSET(ORÇAMENTO!O$15,$L28,0)</f>
        <v>-</v>
      </c>
      <c r="F28" s="163" t="str">
        <f ca="1">OFFSET(ORÇAMENTO!R$15,$L28,0)</f>
        <v>(Código não identificado nas referências)</v>
      </c>
      <c r="G28" s="164" t="str">
        <f ca="1">IF($D28&lt;&gt;"Serviço","",OFFSET(ORÇAMENTO!S$15,$L28,0))</f>
        <v>-</v>
      </c>
      <c r="H28" s="122" cm="1">
        <f t="array" aca="1" ref="H28" ca="1">IF($D28&lt;&gt;"Serviço",0,IF(ACOMPANHAMENTO="BM",ROUND(OFFSET(ORÇAMENTO!AJ$15,$L28,0),15-13*ORÇAMENTO!$AF$7),IF(IFERROR(CÁLCULO.FrentesPreenchidas,0)=0,0,SUM(ROUND(OFFSET($P28,0,1,1,CÁLCULO.FrentesPreenchidas),15-13*ORÇAMENTO!$AF$7)))))</f>
        <v>98</v>
      </c>
      <c r="I28" s="468"/>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c r="L28" s="165">
        <f t="shared" ca="1" si="9"/>
        <v>13</v>
      </c>
      <c r="M28" s="166">
        <f ca="1">IF($D28&lt;&gt;"Serviço","",
          IF(AUTOEVENTO="manual",$A28,
                IF(ISERROR(MATCH($A28,$A$15:OFFSET($A28,-1,0),0)),MAX($M$15:OFFSET(M28,-1,0))+1,
                      INDEX($M$15:OFFSET(M28,-1,0),MATCH($A28,$A$15:OFFSET($A28,-1,0),0)))))</f>
        <v>2</v>
      </c>
      <c r="N28" s="167" t="str">
        <f ca="1">IF($D28&lt;&gt;"Serviço","",
         IF(AUTOEVENTO="Manual",
                IF($A28=0,"&lt;-- defina o número do agrupador",
                       OFFSET(EVENTOS!$D$15,$A28-$A$15,0)),
                OFFSET($F$15,$A28,0)))</f>
        <v>CALÇADAS EXTERNAS</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1000000000000</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ht="38.25" x14ac:dyDescent="0.2">
      <c r="A29" s="7" t="str">
        <f t="shared" ca="1" si="8"/>
        <v>9</v>
      </c>
      <c r="B29" s="7" t="str">
        <f ca="1">OFFSET(ORÇAMENTO!C$15,$L29,0)</f>
        <v>S</v>
      </c>
      <c r="C29" s="7" t="str">
        <f ca="1">OFFSET(ORÇAMENTO!L$15,$L29,0)</f>
        <v/>
      </c>
      <c r="D29" s="116" t="str">
        <f ca="1">OFFSET(ORÇAMENTO!N$15,$L29,0)</f>
        <v>Serviço</v>
      </c>
      <c r="E29" s="117" t="str">
        <f ca="1">OFFSET(ORÇAMENTO!O$15,$L29,0)</f>
        <v>-</v>
      </c>
      <c r="F29" s="163" t="str">
        <f ca="1">OFFSET(ORÇAMENTO!R$15,$L29,0)</f>
        <v>(Código não identificado nas referências)</v>
      </c>
      <c r="G29" s="164" t="str">
        <f ca="1">IF($D29&lt;&gt;"Serviço","",OFFSET(ORÇAMENTO!S$15,$L29,0))</f>
        <v>-</v>
      </c>
      <c r="H29" s="122" cm="1">
        <f t="array" aca="1" ref="H29" ca="1">IF($D29&lt;&gt;"Serviço",0,IF(ACOMPANHAMENTO="BM",ROUND(OFFSET(ORÇAMENTO!AJ$15,$L29,0),15-13*ORÇAMENTO!$AF$7),IF(IFERROR(CÁLCULO.FrentesPreenchidas,0)=0,0,SUM(ROUND(OFFSET($P29,0,1,1,CÁLCULO.FrentesPreenchidas),15-13*ORÇAMENTO!$AF$7)))))</f>
        <v>111.4</v>
      </c>
      <c r="I29" s="468"/>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c r="L29" s="165">
        <f t="shared" ca="1" si="9"/>
        <v>14</v>
      </c>
      <c r="M29" s="166">
        <f ca="1">IF($D29&lt;&gt;"Serviço","",
          IF(AUTOEVENTO="manual",$A29,
                IF(ISERROR(MATCH($A29,$A$15:OFFSET($A29,-1,0),0)),MAX($M$15:OFFSET(M29,-1,0))+1,
                      INDEX($M$15:OFFSET(M29,-1,0),MATCH($A29,$A$15:OFFSET($A29,-1,0),0)))))</f>
        <v>2</v>
      </c>
      <c r="N29" s="167" t="str">
        <f ca="1">IF($D29&lt;&gt;"Serviço","",
         IF(AUTOEVENTO="Manual",
                IF($A29=0,"&lt;-- defina o número do agrupador",
                       OFFSET(EVENTOS!$D$15,$A29-$A$15,0)),
                OFFSET($F$15,$A29,0)))</f>
        <v>CALÇADAS EXTERNAS</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1000000000000</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12.75" x14ac:dyDescent="0.2">
      <c r="A30" s="7" t="str">
        <f t="shared" ca="1" si="8"/>
        <v>15.</v>
      </c>
      <c r="B30" s="7">
        <f ca="1">OFFSET(ORÇAMENTO!C$15,$L30,0)</f>
        <v>2</v>
      </c>
      <c r="C30" s="7" t="str">
        <f ca="1">OFFSET(ORÇAMENTO!L$15,$L30,0)</f>
        <v>F</v>
      </c>
      <c r="D30" s="116" t="str">
        <f ca="1">OFFSET(ORÇAMENTO!N$15,$L30,0)</f>
        <v>Nível 2</v>
      </c>
      <c r="E30" s="117" t="str">
        <f ca="1">OFFSET(ORÇAMENTO!O$15,$L30,0)</f>
        <v>1.3.</v>
      </c>
      <c r="F30" s="163" t="str">
        <f ca="1">OFFSET(ORÇAMENTO!R$15,$L30,0)</f>
        <v>RAMPA DE ACESSIBILIDADE</v>
      </c>
      <c r="G30" s="164" t="str">
        <f ca="1">IF($D30&lt;&gt;"Serviço","",OFFSET(ORÇAMENTO!S$15,$L30,0))</f>
        <v/>
      </c>
      <c r="H30" s="122" cm="1">
        <f t="array" aca="1" ref="H30" ca="1">IF($D30&lt;&gt;"Serviço",0,IF(ACOMPANHAMENTO="BM",ROUND(OFFSET(ORÇAMENTO!AJ$15,$L30,0),15-13*ORÇAMENTO!$AF$7),IF(IFERROR(CÁLCULO.FrentesPreenchidas,0)=0,0,SUM(ROUND(OFFSET($P30,0,1,1,CÁLCULO.FrentesPreenchidas),15-13*ORÇAMENTO!$AF$7)))))</f>
        <v>0</v>
      </c>
      <c r="I30" s="468"/>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c r="L30" s="165">
        <f t="shared" ca="1" si="9"/>
        <v>15</v>
      </c>
      <c r="M30" s="166" t="str">
        <f ca="1">IF($D30&lt;&gt;"Serviço","",
          IF(AUTOEVENTO="manual",$A30,
                IF(ISERROR(MATCH($A30,$A$15:OFFSET($A30,-1,0),0)),MAX($M$15:OFFSET(M30,-1,0))+1,
                      INDEX($M$15:OFFSET(M30,-1,0),MATCH($A30,$A$15:OFFSET($A30,-1,0),0)))))</f>
        <v/>
      </c>
      <c r="N30" s="167" t="str">
        <f ca="1">IF($D30&lt;&gt;"Serviço","",
         IF(AUTOEVENTO="Manual",
                IF($A30=0,"&lt;-- defina o número do agrupador",
                       OFFSET(EVENTOS!$D$15,$A30-$A$15,0)),
                OFFSET($F$15,$A30,0)))</f>
        <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0</v>
      </c>
      <c r="AN30" s="171">
        <f ca="1">IF(OR($D30&lt;&gt;"Serviço",AND(AUTOEVENTO="Manual",$M30=$A$15)),0,
         IF(OFFSET(CRONOPLE!$F$15,$M30-$A$15,AN$13)=0,10^12,OFFSET(CRONOPLE!$F$15,$M30-$A$15,AN$13)))</f>
        <v>0</v>
      </c>
      <c r="AO30" s="171">
        <f ca="1">IF(OR($D30&lt;&gt;"Serviço",AND(AUTOEVENTO="Manual",$M30=$A$15)),0,
         IF(OFFSET(CRONOPLE!$F$15,$M30-$A$15,AO$13)=0,10^12,OFFSET(CRONOPLE!$F$15,$M30-$A$15,AO$13)))</f>
        <v>0</v>
      </c>
      <c r="AP30" s="171">
        <f ca="1">IF(OR($D30&lt;&gt;"Serviço",AND(AUTOEVENTO="Manual",$M30=$A$15)),0,
         IF(OFFSET(CRONOPLE!$F$15,$M30-$A$15,AP$13)=0,10^12,OFFSET(CRONOPLE!$F$15,$M30-$A$15,AP$13)))</f>
        <v>0</v>
      </c>
      <c r="AQ30" s="171">
        <f ca="1">IF(OR($D30&lt;&gt;"Serviço",AND(AUTOEVENTO="Manual",$M30=$A$15)),0,
         IF(OFFSET(CRONOPLE!$F$15,$M30-$A$15,AQ$13)=0,10^12,OFFSET(CRONOPLE!$F$15,$M30-$A$15,AQ$13)))</f>
        <v>0</v>
      </c>
      <c r="AR30" s="171">
        <f ca="1">IF(OR($D30&lt;&gt;"Serviço",AND(AUTOEVENTO="Manual",$M30=$A$15)),0,
         IF(OFFSET(CRONOPLE!$F$15,$M30-$A$15,AR$13)=0,10^12,OFFSET(CRONOPLE!$F$15,$M30-$A$15,AR$13)))</f>
        <v>0</v>
      </c>
      <c r="AS30" s="171">
        <f ca="1">IF(OR($D30&lt;&gt;"Serviço",AND(AUTOEVENTO="Manual",$M30=$A$15)),0,
         IF(OFFSET(CRONOPLE!$F$15,$M30-$A$15,AS$13)=0,10^12,OFFSET(CRONOPLE!$F$15,$M30-$A$15,AS$13)))</f>
        <v>0</v>
      </c>
      <c r="AT30" s="171">
        <f ca="1">IF(OR($D30&lt;&gt;"Serviço",AND(AUTOEVENTO="Manual",$M30=$A$15)),0,
         IF(OFFSET(CRONOPLE!$F$15,$M30-$A$15,AT$13)=0,10^12,OFFSET(CRONOPLE!$F$15,$M30-$A$15,AT$13)))</f>
        <v>0</v>
      </c>
      <c r="AU30" s="171">
        <f ca="1">IF(OR($D30&lt;&gt;"Serviço",AND(AUTOEVENTO="Manual",$M30=$A$15)),0,
         IF(OFFSET(CRONOPLE!$F$15,$M30-$A$15,AU$13)=0,10^12,OFFSET(CRONOPLE!$F$15,$M30-$A$15,AU$13)))</f>
        <v>0</v>
      </c>
      <c r="AV30" s="171">
        <f ca="1">IF(OR($D30&lt;&gt;"Serviço",AND(AUTOEVENTO="Manual",$M30=$A$15)),0,
         IF(OFFSET(CRONOPLE!$F$15,$M30-$A$15,AV$13)=0,10^12,OFFSET(CRONOPLE!$F$15,$M30-$A$15,AV$13)))</f>
        <v>0</v>
      </c>
      <c r="AX30" s="172" cm="1">
        <f t="array" aca="1" ref="AX30" ca="1">IF(OR($D30&lt;&gt;"Serviço",AND(AUTOEVENTO="Manual",$M30=$A$15),$M30&gt;(ROW(PLE.lastrow)-ROW(PLE.firstrow))),0,
           IF(OFFSET(PLE!$G$15,$M30-$A$15,AX$13)="",10^12,OFFSET(PLE!$G$15,$M30-$A$15,AX$13)))</f>
        <v>0</v>
      </c>
      <c r="AY30" s="172" cm="1">
        <f t="array" aca="1" ref="AY30" ca="1">IF(OR($D30&lt;&gt;"Serviço",AND(AUTOEVENTO="Manual",$M30=$A$15),$M30&gt;(ROW(PLE.lastrow)-ROW(PLE.firstrow))),0,
           IF(OFFSET(PLE!$G$15,$M30-$A$15,AY$13)="",10^12,OFFSET(PLE!$G$15,$M30-$A$15,AY$13)))</f>
        <v>0</v>
      </c>
      <c r="AZ30" s="172" cm="1">
        <f t="array" aca="1" ref="AZ30" ca="1">IF(OR($D30&lt;&gt;"Serviço",AND(AUTOEVENTO="Manual",$M30=$A$15),$M30&gt;(ROW(PLE.lastrow)-ROW(PLE.firstrow))),0,
           IF(OFFSET(PLE!$G$15,$M30-$A$15,AZ$13)="",10^12,OFFSET(PLE!$G$15,$M30-$A$15,AZ$13)))</f>
        <v>0</v>
      </c>
      <c r="BA30" s="172" cm="1">
        <f t="array" aca="1" ref="BA30" ca="1">IF(OR($D30&lt;&gt;"Serviço",AND(AUTOEVENTO="Manual",$M30=$A$15),$M30&gt;(ROW(PLE.lastrow)-ROW(PLE.firstrow))),0,
           IF(OFFSET(PLE!$G$15,$M30-$A$15,BA$13)="",10^12,OFFSET(PLE!$G$15,$M30-$A$15,BA$13)))</f>
        <v>0</v>
      </c>
      <c r="BB30" s="172" cm="1">
        <f t="array" aca="1" ref="BB30" ca="1">IF(OR($D30&lt;&gt;"Serviço",AND(AUTOEVENTO="Manual",$M30=$A$15),$M30&gt;(ROW(PLE.lastrow)-ROW(PLE.firstrow))),0,
           IF(OFFSET(PLE!$G$15,$M30-$A$15,BB$13)="",10^12,OFFSET(PLE!$G$15,$M30-$A$15,BB$13)))</f>
        <v>0</v>
      </c>
      <c r="BC30" s="172" cm="1">
        <f t="array" aca="1" ref="BC30" ca="1">IF(OR($D30&lt;&gt;"Serviço",AND(AUTOEVENTO="Manual",$M30=$A$15),$M30&gt;(ROW(PLE.lastrow)-ROW(PLE.firstrow))),0,
           IF(OFFSET(PLE!$G$15,$M30-$A$15,BC$13)="",10^12,OFFSET(PLE!$G$15,$M30-$A$15,BC$13)))</f>
        <v>0</v>
      </c>
      <c r="BD30" s="172" cm="1">
        <f t="array" aca="1" ref="BD30" ca="1">IF(OR($D30&lt;&gt;"Serviço",AND(AUTOEVENTO="Manual",$M30=$A$15),$M30&gt;(ROW(PLE.lastrow)-ROW(PLE.firstrow))),0,
           IF(OFFSET(PLE!$G$15,$M30-$A$15,BD$13)="",10^12,OFFSET(PLE!$G$15,$M30-$A$15,BD$13)))</f>
        <v>0</v>
      </c>
      <c r="BE30" s="172" cm="1">
        <f t="array" aca="1" ref="BE30" ca="1">IF(OR($D30&lt;&gt;"Serviço",AND(AUTOEVENTO="Manual",$M30=$A$15),$M30&gt;(ROW(PLE.lastrow)-ROW(PLE.firstrow))),0,
           IF(OFFSET(PLE!$G$15,$M30-$A$15,BE$13)="",10^12,OFFSET(PLE!$G$15,$M30-$A$15,BE$13)))</f>
        <v>0</v>
      </c>
      <c r="BF30" s="172" cm="1">
        <f t="array" aca="1" ref="BF30" ca="1">IF(OR($D30&lt;&gt;"Serviço",AND(AUTOEVENTO="Manual",$M30=$A$15),$M30&gt;(ROW(PLE.lastrow)-ROW(PLE.firstrow))),0,
           IF(OFFSET(PLE!$G$15,$M30-$A$15,BF$13)="",10^12,OFFSET(PLE!$G$15,$M30-$A$15,BF$13)))</f>
        <v>0</v>
      </c>
      <c r="BG30" s="172" cm="1">
        <f t="array" aca="1" ref="BG30" ca="1">IF(OR($D30&lt;&gt;"Serviço",AND(AUTOEVENTO="Manual",$M30=$A$15),$M30&gt;(ROW(PLE.lastrow)-ROW(PLE.firstrow))),0,
           IF(OFFSET(PLE!$G$15,$M30-$A$15,BG$13)="",10^12,OFFSET(PLE!$G$15,$M30-$A$15,BG$13)))</f>
        <v>0</v>
      </c>
    </row>
    <row r="31" spans="1:59" ht="38.25" x14ac:dyDescent="0.2">
      <c r="A31" s="7" t="str">
        <f t="shared" ca="1" si="8"/>
        <v>15</v>
      </c>
      <c r="B31" s="7" t="str">
        <f ca="1">OFFSET(ORÇAMENTO!C$15,$L31,0)</f>
        <v>S</v>
      </c>
      <c r="C31" s="7" t="str">
        <f ca="1">OFFSET(ORÇAMENTO!L$15,$L31,0)</f>
        <v/>
      </c>
      <c r="D31" s="116" t="str">
        <f ca="1">OFFSET(ORÇAMENTO!N$15,$L31,0)</f>
        <v>Serviço</v>
      </c>
      <c r="E31" s="117" t="str">
        <f ca="1">OFFSET(ORÇAMENTO!O$15,$L31,0)</f>
        <v>-</v>
      </c>
      <c r="F31" s="163" t="str">
        <f ca="1">OFFSET(ORÇAMENTO!R$15,$L31,0)</f>
        <v>(Código não identificado nas referências)</v>
      </c>
      <c r="G31" s="164" t="str">
        <f ca="1">IF($D31&lt;&gt;"Serviço","",OFFSET(ORÇAMENTO!S$15,$L31,0))</f>
        <v>-</v>
      </c>
      <c r="H31" s="122" cm="1">
        <f t="array" aca="1" ref="H31" ca="1">IF($D31&lt;&gt;"Serviço",0,IF(ACOMPANHAMENTO="BM",ROUND(OFFSET(ORÇAMENTO!AJ$15,$L31,0),15-13*ORÇAMENTO!$AF$7),IF(IFERROR(CÁLCULO.FrentesPreenchidas,0)=0,0,SUM(ROUND(OFFSET($P31,0,1,1,CÁLCULO.FrentesPreenchidas),15-13*ORÇAMENTO!$AF$7)))))</f>
        <v>5.75</v>
      </c>
      <c r="I31" s="468"/>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c r="L31" s="165">
        <f t="shared" ca="1" si="9"/>
        <v>16</v>
      </c>
      <c r="M31" s="166">
        <f ca="1">IF($D31&lt;&gt;"Serviço","",
          IF(AUTOEVENTO="manual",$A31,
                IF(ISERROR(MATCH($A31,$A$15:OFFSET($A31,-1,0),0)),MAX($M$15:OFFSET(M31,-1,0))+1,
                      INDEX($M$15:OFFSET(M31,-1,0),MATCH($A31,$A$15:OFFSET($A31,-1,0),0)))))</f>
        <v>3</v>
      </c>
      <c r="N31" s="167" t="str">
        <f ca="1">IF($D31&lt;&gt;"Serviço","",
         IF(AUTOEVENTO="Manual",
                IF($A31=0,"&lt;-- defina o número do agrupador",
                       OFFSET(EVENTOS!$D$15,$A31-$A$15,0)),
                OFFSET($F$15,$A31,0)))</f>
        <v>RAMPA DE ACESSIBILIDADE</v>
      </c>
      <c r="O31" s="168"/>
      <c r="Q31" s="168"/>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1000000000000</v>
      </c>
      <c r="AN31" s="171">
        <f ca="1">IF(OR($D31&lt;&gt;"Serviço",AND(AUTOEVENTO="Manual",$M31=$A$15)),0,
         IF(OFFSET(CRONOPLE!$F$15,$M31-$A$15,AN$13)=0,10^12,OFFSET(CRONOPLE!$F$15,$M31-$A$15,AN$13)))</f>
        <v>1000000000000</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ht="25.5" x14ac:dyDescent="0.2">
      <c r="A32" s="7" t="str">
        <f t="shared" ca="1" si="8"/>
        <v>15</v>
      </c>
      <c r="B32" s="7" t="str">
        <f ca="1">OFFSET(ORÇAMENTO!C$15,$L32,0)</f>
        <v>S</v>
      </c>
      <c r="C32" s="7" t="str">
        <f ca="1">OFFSET(ORÇAMENTO!L$15,$L32,0)</f>
        <v/>
      </c>
      <c r="D32" s="116" t="str">
        <f ca="1">OFFSET(ORÇAMENTO!N$15,$L32,0)</f>
        <v>Serviço</v>
      </c>
      <c r="E32" s="117" t="str">
        <f ca="1">OFFSET(ORÇAMENTO!O$15,$L32,0)</f>
        <v>-</v>
      </c>
      <c r="F32" s="163" t="str">
        <f ca="1">OFFSET(ORÇAMENTO!R$15,$L32,0)</f>
        <v>(Código não identificado nas referências)</v>
      </c>
      <c r="G32" s="164" t="str">
        <f ca="1">IF($D32&lt;&gt;"Serviço","",OFFSET(ORÇAMENTO!S$15,$L32,0))</f>
        <v>-</v>
      </c>
      <c r="H32" s="122" cm="1">
        <f t="array" aca="1" ref="H32" ca="1">IF($D32&lt;&gt;"Serviço",0,IF(ACOMPANHAMENTO="BM",ROUND(OFFSET(ORÇAMENTO!AJ$15,$L32,0),15-13*ORÇAMENTO!$AF$7),IF(IFERROR(CÁLCULO.FrentesPreenchidas,0)=0,0,SUM(ROUND(OFFSET($P32,0,1,1,CÁLCULO.FrentesPreenchidas),15-13*ORÇAMENTO!$AF$7)))))</f>
        <v>5.99</v>
      </c>
      <c r="I32" s="468"/>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c r="L32" s="165">
        <f t="shared" ca="1" si="9"/>
        <v>17</v>
      </c>
      <c r="M32" s="166">
        <f ca="1">IF($D32&lt;&gt;"Serviço","",
          IF(AUTOEVENTO="manual",$A32,
                IF(ISERROR(MATCH($A32,$A$15:OFFSET($A32,-1,0),0)),MAX($M$15:OFFSET(M32,-1,0))+1,
                      INDEX($M$15:OFFSET(M32,-1,0),MATCH($A32,$A$15:OFFSET($A32,-1,0),0)))))</f>
        <v>3</v>
      </c>
      <c r="N32" s="167" t="str">
        <f ca="1">IF($D32&lt;&gt;"Serviço","",
         IF(AUTOEVENTO="Manual",
                IF($A32=0,"&lt;-- defina o número do agrupador",
                       OFFSET(EVENTOS!$D$15,$A32-$A$15,0)),
                OFFSET($F$15,$A32,0)))</f>
        <v>RAMPA DE ACESSIBILIDADE</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1000000000000</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12.75" x14ac:dyDescent="0.2">
      <c r="A33" s="7" t="str">
        <f t="shared" ca="1" si="8"/>
        <v>18.</v>
      </c>
      <c r="B33" s="7">
        <f ca="1">OFFSET(ORÇAMENTO!C$15,$L33,0)</f>
        <v>2</v>
      </c>
      <c r="C33" s="7" t="str">
        <f ca="1">OFFSET(ORÇAMENTO!L$15,$L33,0)</f>
        <v>F</v>
      </c>
      <c r="D33" s="116" t="str">
        <f ca="1">OFFSET(ORÇAMENTO!N$15,$L33,0)</f>
        <v>Nível 2</v>
      </c>
      <c r="E33" s="117" t="str">
        <f ca="1">OFFSET(ORÇAMENTO!O$15,$L33,0)</f>
        <v>1.4.</v>
      </c>
      <c r="F33" s="163" t="str">
        <f ca="1">OFFSET(ORÇAMENTO!R$15,$L33,0)</f>
        <v>GRADES EM CHAPA EXPANDIDA INCLUSO PORTAS</v>
      </c>
      <c r="G33" s="164" t="str">
        <f ca="1">IF($D33&lt;&gt;"Serviço","",OFFSET(ORÇAMENTO!S$15,$L33,0))</f>
        <v/>
      </c>
      <c r="H33" s="122" cm="1">
        <f t="array" aca="1" ref="H33" ca="1">IF($D33&lt;&gt;"Serviço",0,IF(ACOMPANHAMENTO="BM",ROUND(OFFSET(ORÇAMENTO!AJ$15,$L33,0),15-13*ORÇAMENTO!$AF$7),IF(IFERROR(CÁLCULO.FrentesPreenchidas,0)=0,0,SUM(ROUND(OFFSET($P33,0,1,1,CÁLCULO.FrentesPreenchidas),15-13*ORÇAMENTO!$AF$7)))))</f>
        <v>0</v>
      </c>
      <c r="I33" s="468"/>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t="shared" ca="1" si="9"/>
        <v>18</v>
      </c>
      <c r="M33" s="166" t="str">
        <f ca="1">IF($D33&lt;&gt;"Serviço","",
          IF(AUTOEVENTO="manual",$A33,
                IF(ISERROR(MATCH($A33,$A$15:OFFSET($A33,-1,0),0)),MAX($M$15:OFFSET(M33,-1,0))+1,
                      INDEX($M$15:OFFSET(M33,-1,0),MATCH($A33,$A$15:OFFSET($A33,-1,0),0)))))</f>
        <v/>
      </c>
      <c r="N33" s="167" t="str">
        <f ca="1">IF($D33&lt;&gt;"Serviço","",
         IF(AUTOEVENTO="Manual",
                IF($A33=0,"&lt;-- defina o número do agrupador",
                       OFFSET(EVENTOS!$D$15,$A33-$A$15,0)),
                OFFSET($F$15,$A33,0)))</f>
        <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0</v>
      </c>
      <c r="AN33" s="171">
        <f ca="1">IF(OR($D33&lt;&gt;"Serviço",AND(AUTOEVENTO="Manual",$M33=$A$15)),0,
         IF(OFFSET(CRONOPLE!$F$15,$M33-$A$15,AN$13)=0,10^12,OFFSET(CRONOPLE!$F$15,$M33-$A$15,AN$13)))</f>
        <v>0</v>
      </c>
      <c r="AO33" s="171">
        <f ca="1">IF(OR($D33&lt;&gt;"Serviço",AND(AUTOEVENTO="Manual",$M33=$A$15)),0,
         IF(OFFSET(CRONOPLE!$F$15,$M33-$A$15,AO$13)=0,10^12,OFFSET(CRONOPLE!$F$15,$M33-$A$15,AO$13)))</f>
        <v>0</v>
      </c>
      <c r="AP33" s="171">
        <f ca="1">IF(OR($D33&lt;&gt;"Serviço",AND(AUTOEVENTO="Manual",$M33=$A$15)),0,
         IF(OFFSET(CRONOPLE!$F$15,$M33-$A$15,AP$13)=0,10^12,OFFSET(CRONOPLE!$F$15,$M33-$A$15,AP$13)))</f>
        <v>0</v>
      </c>
      <c r="AQ33" s="171">
        <f ca="1">IF(OR($D33&lt;&gt;"Serviço",AND(AUTOEVENTO="Manual",$M33=$A$15)),0,
         IF(OFFSET(CRONOPLE!$F$15,$M33-$A$15,AQ$13)=0,10^12,OFFSET(CRONOPLE!$F$15,$M33-$A$15,AQ$13)))</f>
        <v>0</v>
      </c>
      <c r="AR33" s="171">
        <f ca="1">IF(OR($D33&lt;&gt;"Serviço",AND(AUTOEVENTO="Manual",$M33=$A$15)),0,
         IF(OFFSET(CRONOPLE!$F$15,$M33-$A$15,AR$13)=0,10^12,OFFSET(CRONOPLE!$F$15,$M33-$A$15,AR$13)))</f>
        <v>0</v>
      </c>
      <c r="AS33" s="171">
        <f ca="1">IF(OR($D33&lt;&gt;"Serviço",AND(AUTOEVENTO="Manual",$M33=$A$15)),0,
         IF(OFFSET(CRONOPLE!$F$15,$M33-$A$15,AS$13)=0,10^12,OFFSET(CRONOPLE!$F$15,$M33-$A$15,AS$13)))</f>
        <v>0</v>
      </c>
      <c r="AT33" s="171">
        <f ca="1">IF(OR($D33&lt;&gt;"Serviço",AND(AUTOEVENTO="Manual",$M33=$A$15)),0,
         IF(OFFSET(CRONOPLE!$F$15,$M33-$A$15,AT$13)=0,10^12,OFFSET(CRONOPLE!$F$15,$M33-$A$15,AT$13)))</f>
        <v>0</v>
      </c>
      <c r="AU33" s="171">
        <f ca="1">IF(OR($D33&lt;&gt;"Serviço",AND(AUTOEVENTO="Manual",$M33=$A$15)),0,
         IF(OFFSET(CRONOPLE!$F$15,$M33-$A$15,AU$13)=0,10^12,OFFSET(CRONOPLE!$F$15,$M33-$A$15,AU$13)))</f>
        <v>0</v>
      </c>
      <c r="AV33" s="171">
        <f ca="1">IF(OR($D33&lt;&gt;"Serviço",AND(AUTOEVENTO="Manual",$M33=$A$15)),0,
         IF(OFFSET(CRONOPLE!$F$15,$M33-$A$15,AV$13)=0,10^12,OFFSET(CRONOPLE!$F$15,$M33-$A$15,AV$13)))</f>
        <v>0</v>
      </c>
      <c r="AX33" s="172" cm="1">
        <f t="array" aca="1" ref="AX33" ca="1">IF(OR($D33&lt;&gt;"Serviço",AND(AUTOEVENTO="Manual",$M33=$A$15),$M33&gt;(ROW(PLE.lastrow)-ROW(PLE.firstrow))),0,
           IF(OFFSET(PLE!$G$15,$M33-$A$15,AX$13)="",10^12,OFFSET(PLE!$G$15,$M33-$A$15,AX$13)))</f>
        <v>0</v>
      </c>
      <c r="AY33" s="172" cm="1">
        <f t="array" aca="1" ref="AY33" ca="1">IF(OR($D33&lt;&gt;"Serviço",AND(AUTOEVENTO="Manual",$M33=$A$15),$M33&gt;(ROW(PLE.lastrow)-ROW(PLE.firstrow))),0,
           IF(OFFSET(PLE!$G$15,$M33-$A$15,AY$13)="",10^12,OFFSET(PLE!$G$15,$M33-$A$15,AY$13)))</f>
        <v>0</v>
      </c>
      <c r="AZ33" s="172" cm="1">
        <f t="array" aca="1" ref="AZ33" ca="1">IF(OR($D33&lt;&gt;"Serviço",AND(AUTOEVENTO="Manual",$M33=$A$15),$M33&gt;(ROW(PLE.lastrow)-ROW(PLE.firstrow))),0,
           IF(OFFSET(PLE!$G$15,$M33-$A$15,AZ$13)="",10^12,OFFSET(PLE!$G$15,$M33-$A$15,AZ$13)))</f>
        <v>0</v>
      </c>
      <c r="BA33" s="172" cm="1">
        <f t="array" aca="1" ref="BA33" ca="1">IF(OR($D33&lt;&gt;"Serviço",AND(AUTOEVENTO="Manual",$M33=$A$15),$M33&gt;(ROW(PLE.lastrow)-ROW(PLE.firstrow))),0,
           IF(OFFSET(PLE!$G$15,$M33-$A$15,BA$13)="",10^12,OFFSET(PLE!$G$15,$M33-$A$15,BA$13)))</f>
        <v>0</v>
      </c>
      <c r="BB33" s="172" cm="1">
        <f t="array" aca="1" ref="BB33" ca="1">IF(OR($D33&lt;&gt;"Serviço",AND(AUTOEVENTO="Manual",$M33=$A$15),$M33&gt;(ROW(PLE.lastrow)-ROW(PLE.firstrow))),0,
           IF(OFFSET(PLE!$G$15,$M33-$A$15,BB$13)="",10^12,OFFSET(PLE!$G$15,$M33-$A$15,BB$13)))</f>
        <v>0</v>
      </c>
      <c r="BC33" s="172" cm="1">
        <f t="array" aca="1" ref="BC33" ca="1">IF(OR($D33&lt;&gt;"Serviço",AND(AUTOEVENTO="Manual",$M33=$A$15),$M33&gt;(ROW(PLE.lastrow)-ROW(PLE.firstrow))),0,
           IF(OFFSET(PLE!$G$15,$M33-$A$15,BC$13)="",10^12,OFFSET(PLE!$G$15,$M33-$A$15,BC$13)))</f>
        <v>0</v>
      </c>
      <c r="BD33" s="172" cm="1">
        <f t="array" aca="1" ref="BD33" ca="1">IF(OR($D33&lt;&gt;"Serviço",AND(AUTOEVENTO="Manual",$M33=$A$15),$M33&gt;(ROW(PLE.lastrow)-ROW(PLE.firstrow))),0,
           IF(OFFSET(PLE!$G$15,$M33-$A$15,BD$13)="",10^12,OFFSET(PLE!$G$15,$M33-$A$15,BD$13)))</f>
        <v>0</v>
      </c>
      <c r="BE33" s="172" cm="1">
        <f t="array" aca="1" ref="BE33" ca="1">IF(OR($D33&lt;&gt;"Serviço",AND(AUTOEVENTO="Manual",$M33=$A$15),$M33&gt;(ROW(PLE.lastrow)-ROW(PLE.firstrow))),0,
           IF(OFFSET(PLE!$G$15,$M33-$A$15,BE$13)="",10^12,OFFSET(PLE!$G$15,$M33-$A$15,BE$13)))</f>
        <v>0</v>
      </c>
      <c r="BF33" s="172" cm="1">
        <f t="array" aca="1" ref="BF33" ca="1">IF(OR($D33&lt;&gt;"Serviço",AND(AUTOEVENTO="Manual",$M33=$A$15),$M33&gt;(ROW(PLE.lastrow)-ROW(PLE.firstrow))),0,
           IF(OFFSET(PLE!$G$15,$M33-$A$15,BF$13)="",10^12,OFFSET(PLE!$G$15,$M33-$A$15,BF$13)))</f>
        <v>0</v>
      </c>
      <c r="BG33" s="172" cm="1">
        <f t="array" aca="1" ref="BG33" ca="1">IF(OR($D33&lt;&gt;"Serviço",AND(AUTOEVENTO="Manual",$M33=$A$15),$M33&gt;(ROW(PLE.lastrow)-ROW(PLE.firstrow))),0,
           IF(OFFSET(PLE!$G$15,$M33-$A$15,BG$13)="",10^12,OFFSET(PLE!$G$15,$M33-$A$15,BG$13)))</f>
        <v>0</v>
      </c>
    </row>
    <row r="34" spans="1:59" ht="38.25" x14ac:dyDescent="0.2">
      <c r="A34" s="7" t="str">
        <f t="shared" ca="1" si="8"/>
        <v>18</v>
      </c>
      <c r="B34" s="7" t="str">
        <f ca="1">OFFSET(ORÇAMENTO!C$15,$L34,0)</f>
        <v>S</v>
      </c>
      <c r="C34" s="7" t="str">
        <f ca="1">OFFSET(ORÇAMENTO!L$15,$L34,0)</f>
        <v/>
      </c>
      <c r="D34" s="116" t="str">
        <f ca="1">OFFSET(ORÇAMENTO!N$15,$L34,0)</f>
        <v>Serviço</v>
      </c>
      <c r="E34" s="117" t="str">
        <f ca="1">OFFSET(ORÇAMENTO!O$15,$L34,0)</f>
        <v>-</v>
      </c>
      <c r="F34" s="163" t="str">
        <f ca="1">OFFSET(ORÇAMENTO!R$15,$L34,0)</f>
        <v>(Código não identificado nas referências)</v>
      </c>
      <c r="G34" s="164" t="str">
        <f ca="1">IF($D34&lt;&gt;"Serviço","",OFFSET(ORÇAMENTO!S$15,$L34,0))</f>
        <v>-</v>
      </c>
      <c r="H34" s="122" cm="1">
        <f t="array" aca="1" ref="H34" ca="1">IF($D34&lt;&gt;"Serviço",0,IF(ACOMPANHAMENTO="BM",ROUND(OFFSET(ORÇAMENTO!AJ$15,$L34,0),15-13*ORÇAMENTO!$AF$7),IF(IFERROR(CÁLCULO.FrentesPreenchidas,0)=0,0,SUM(ROUND(OFFSET($P34,0,1,1,CÁLCULO.FrentesPreenchidas),15-13*ORÇAMENTO!$AF$7)))))</f>
        <v>36</v>
      </c>
      <c r="I34" s="468"/>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c r="L34" s="165">
        <f t="shared" ca="1" si="9"/>
        <v>19</v>
      </c>
      <c r="M34" s="166">
        <f ca="1">IF($D34&lt;&gt;"Serviço","",
          IF(AUTOEVENTO="manual",$A34,
                IF(ISERROR(MATCH($A34,$A$15:OFFSET($A34,-1,0),0)),MAX($M$15:OFFSET(M34,-1,0))+1,
                      INDEX($M$15:OFFSET(M34,-1,0),MATCH($A34,$A$15:OFFSET($A34,-1,0),0)))))</f>
        <v>4</v>
      </c>
      <c r="N34" s="167" t="str">
        <f ca="1">IF($D34&lt;&gt;"Serviço","",
         IF(AUTOEVENTO="Manual",
                IF($A34=0,"&lt;-- defina o número do agrupador",
                       OFFSET(EVENTOS!$D$15,$A34-$A$15,0)),
                OFFSET($F$15,$A34,0)))</f>
        <v>GRADES EM CHAPA EXPANDIDA INCLUSO PORTAS</v>
      </c>
      <c r="O34" s="168"/>
      <c r="Q34" s="168"/>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1000000000000</v>
      </c>
      <c r="AN34" s="171">
        <f ca="1">IF(OR($D34&lt;&gt;"Serviço",AND(AUTOEVENTO="Manual",$M34=$A$15)),0,
         IF(OFFSET(CRONOPLE!$F$15,$M34-$A$15,AN$13)=0,10^12,OFFSET(CRONOPLE!$F$15,$M34-$A$15,AN$13)))</f>
        <v>1000000000000</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63.75" x14ac:dyDescent="0.2">
      <c r="A35" s="7" t="str">
        <f ca="1">IFERROR(IF(AUTOEVENTO="Manual",IF(K35&lt;&gt;"",MIN(VALUE(LEFT(K35,FIND(".",K35)-1)),COUNTA(EVENTOS.Lista)),0),IF(OR($B35&gt;AUTOEVENTO,$B35="S",$B35=0),SUBSTITUTE(OFFSET($A35,-1,0),IF($D35="Serviço",".",""),""),$L35&amp;".")),0)</f>
        <v>18</v>
      </c>
      <c r="B35" s="7" t="str">
        <f ca="1">OFFSET(ORÇAMENTO!C$15,$L35,0)</f>
        <v>S</v>
      </c>
      <c r="C35" s="7" t="str">
        <f ca="1">OFFSET(ORÇAMENTO!L$15,$L35,0)</f>
        <v/>
      </c>
      <c r="D35" s="116" t="str">
        <f ca="1">OFFSET(ORÇAMENTO!N$15,$L35,0)</f>
        <v>Serviço</v>
      </c>
      <c r="E35" s="117" t="str">
        <f ca="1">OFFSET(ORÇAMENTO!O$15,$L35,0)</f>
        <v>-</v>
      </c>
      <c r="F35" s="163" t="str">
        <f ca="1">OFFSET(ORÇAMENTO!R$15,$L35,0)</f>
        <v>(Código não identificado nas referências)</v>
      </c>
      <c r="G35" s="164" t="str">
        <f ca="1">IF($D35&lt;&gt;"Serviço","",OFFSET(ORÇAMENTO!S$15,$L35,0))</f>
        <v>-</v>
      </c>
      <c r="H35" s="122" cm="1">
        <f t="array" aca="1" ref="H35" ca="1">IF($D35&lt;&gt;"Serviço",0,IF(ACOMPANHAMENTO="BM",ROUND(OFFSET(ORÇAMENTO!AJ$15,$L35,0),15-13*ORÇAMENTO!$AF$7),IF(IFERROR(CÁLCULO.FrentesPreenchidas,0)=0,0,SUM(ROUND(OFFSET($P35,0,1,1,CÁLCULO.FrentesPreenchidas),15-13*ORÇAMENTO!$AF$7)))))</f>
        <v>25.2</v>
      </c>
      <c r="I35" s="468"/>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c r="L35" s="165">
        <f ca="1">OFFSET(L35,-1,0)+1</f>
        <v>20</v>
      </c>
      <c r="M35" s="166">
        <f ca="1">IF($D35&lt;&gt;"Serviço","",
          IF(AUTOEVENTO="manual",$A35,
                IF(ISERROR(MATCH($A35,$A$15:OFFSET($A35,-1,0),0)),MAX($M$15:OFFSET(M35,-1,0))+1,
                      INDEX($M$15:OFFSET(M35,-1,0),MATCH($A35,$A$15:OFFSET($A35,-1,0),0)))))</f>
        <v>4</v>
      </c>
      <c r="N35" s="167" t="str">
        <f ca="1">IF($D35&lt;&gt;"Serviço","",
         IF(AUTOEVENTO="Manual",
                IF($A35=0,"&lt;-- defina o número do agrupador",
                       OFFSET(EVENTOS!$D$15,$A35-$A$15,0)),
                OFFSET($F$15,$A35,0)))</f>
        <v>GRADES EM CHAPA EXPANDIDA INCLUSO PORTAS</v>
      </c>
      <c r="O35" s="168"/>
      <c r="Q35" s="168"/>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1000000000000</v>
      </c>
      <c r="AN35" s="171">
        <f ca="1">IF(OR($D35&lt;&gt;"Serviço",AND(AUTOEVENTO="Manual",$M35=$A$15)),0,
         IF(OFFSET(CRONOPLE!$F$15,$M35-$A$15,AN$13)=0,10^12,OFFSET(CRONOPLE!$F$15,$M35-$A$15,AN$13)))</f>
        <v>1000000000000</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ht="38.25" x14ac:dyDescent="0.2">
      <c r="A36" s="7" t="str">
        <f t="shared" ca="1" si="8"/>
        <v>18</v>
      </c>
      <c r="B36" s="7" t="str">
        <f ca="1">OFFSET(ORÇAMENTO!C$15,$L36,0)</f>
        <v>S</v>
      </c>
      <c r="C36" s="7" t="str">
        <f ca="1">OFFSET(ORÇAMENTO!L$15,$L36,0)</f>
        <v/>
      </c>
      <c r="D36" s="116" t="str">
        <f ca="1">OFFSET(ORÇAMENTO!N$15,$L36,0)</f>
        <v>Serviço</v>
      </c>
      <c r="E36" s="117" t="str">
        <f ca="1">OFFSET(ORÇAMENTO!O$15,$L36,0)</f>
        <v>-</v>
      </c>
      <c r="F36" s="163" t="str">
        <f ca="1">OFFSET(ORÇAMENTO!R$15,$L36,0)</f>
        <v>(Código não identificado nas referências)</v>
      </c>
      <c r="G36" s="164" t="str">
        <f ca="1">IF($D36&lt;&gt;"Serviço","",OFFSET(ORÇAMENTO!S$15,$L36,0))</f>
        <v>-</v>
      </c>
      <c r="H36" s="122" cm="1">
        <f t="array" aca="1" ref="H36" ca="1">IF($D36&lt;&gt;"Serviço",0,IF(ACOMPANHAMENTO="BM",ROUND(OFFSET(ORÇAMENTO!AJ$15,$L36,0),15-13*ORÇAMENTO!$AF$7),IF(IFERROR(CÁLCULO.FrentesPreenchidas,0)=0,0,SUM(ROUND(OFFSET($P36,0,1,1,CÁLCULO.FrentesPreenchidas),15-13*ORÇAMENTO!$AF$7)))))</f>
        <v>120</v>
      </c>
      <c r="I36" s="468"/>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t="shared" ca="1" si="9"/>
        <v>21</v>
      </c>
      <c r="M36" s="166">
        <f ca="1">IF($D36&lt;&gt;"Serviço","",
          IF(AUTOEVENTO="manual",$A36,
                IF(ISERROR(MATCH($A36,$A$15:OFFSET($A36,-1,0),0)),MAX($M$15:OFFSET(M36,-1,0))+1,
                      INDEX($M$15:OFFSET(M36,-1,0),MATCH($A36,$A$15:OFFSET($A36,-1,0),0)))))</f>
        <v>4</v>
      </c>
      <c r="N36" s="167" t="str">
        <f ca="1">IF($D36&lt;&gt;"Serviço","",
         IF(AUTOEVENTO="Manual",
                IF($A36=0,"&lt;-- defina o número do agrupador",
                       OFFSET(EVENTOS!$D$15,$A36-$A$15,0)),
                OFFSET($F$15,$A36,0)))</f>
        <v>GRADES EM CHAPA EXPANDIDA INCLUSO PORTAS</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1000000000000</v>
      </c>
      <c r="AN36" s="171">
        <f ca="1">IF(OR($D36&lt;&gt;"Serviço",AND(AUTOEVENTO="Manual",$M36=$A$15)),0,
         IF(OFFSET(CRONOPLE!$F$15,$M36-$A$15,AN$13)=0,10^12,OFFSET(CRONOPLE!$F$15,$M36-$A$15,AN$13)))</f>
        <v>1000000000000</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ht="38.25" x14ac:dyDescent="0.2">
      <c r="A37" s="7" t="str">
        <f t="shared" ca="1" si="8"/>
        <v>18</v>
      </c>
      <c r="B37" s="7" t="str">
        <f ca="1">OFFSET(ORÇAMENTO!C$15,$L37,0)</f>
        <v>S</v>
      </c>
      <c r="C37" s="7" t="str">
        <f ca="1">OFFSET(ORÇAMENTO!L$15,$L37,0)</f>
        <v/>
      </c>
      <c r="D37" s="116" t="str">
        <f ca="1">OFFSET(ORÇAMENTO!N$15,$L37,0)</f>
        <v>Serviço</v>
      </c>
      <c r="E37" s="117" t="str">
        <f ca="1">OFFSET(ORÇAMENTO!O$15,$L37,0)</f>
        <v>-</v>
      </c>
      <c r="F37" s="163" t="str">
        <f ca="1">OFFSET(ORÇAMENTO!R$15,$L37,0)</f>
        <v>(Código não identificado nas referências)</v>
      </c>
      <c r="G37" s="164" t="str">
        <f ca="1">IF($D37&lt;&gt;"Serviço","",OFFSET(ORÇAMENTO!S$15,$L37,0))</f>
        <v>-</v>
      </c>
      <c r="H37" s="122" cm="1">
        <f t="array" aca="1" ref="H37" ca="1">IF($D37&lt;&gt;"Serviço",0,IF(ACOMPANHAMENTO="BM",ROUND(OFFSET(ORÇAMENTO!AJ$15,$L37,0),15-13*ORÇAMENTO!$AF$7),IF(IFERROR(CÁLCULO.FrentesPreenchidas,0)=0,0,SUM(ROUND(OFFSET($P37,0,1,1,CÁLCULO.FrentesPreenchidas),15-13*ORÇAMENTO!$AF$7)))))</f>
        <v>206.12</v>
      </c>
      <c r="I37" s="468"/>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f t="shared" ca="1" si="9"/>
        <v>22</v>
      </c>
      <c r="M37" s="166">
        <f ca="1">IF($D37&lt;&gt;"Serviço","",
          IF(AUTOEVENTO="manual",$A37,
                IF(ISERROR(MATCH($A37,$A$15:OFFSET($A37,-1,0),0)),MAX($M$15:OFFSET(M37,-1,0))+1,
                      INDEX($M$15:OFFSET(M37,-1,0),MATCH($A37,$A$15:OFFSET($A37,-1,0),0)))))</f>
        <v>4</v>
      </c>
      <c r="N37" s="167" t="str">
        <f ca="1">IF($D37&lt;&gt;"Serviço","",
         IF(AUTOEVENTO="Manual",
                IF($A37=0,"&lt;-- defina o número do agrupador",
                       OFFSET(EVENTOS!$D$15,$A37-$A$15,0)),
                OFFSET($F$15,$A37,0)))</f>
        <v>GRADES EM CHAPA EXPANDIDA INCLUSO PORTAS</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1000000000000</v>
      </c>
      <c r="AN37" s="171">
        <f ca="1">IF(OR($D37&lt;&gt;"Serviço",AND(AUTOEVENTO="Manual",$M37=$A$15)),0,
         IF(OFFSET(CRONOPLE!$F$15,$M37-$A$15,AN$13)=0,10^12,OFFSET(CRONOPLE!$F$15,$M37-$A$15,AN$13)))</f>
        <v>1000000000000</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ht="38.25" x14ac:dyDescent="0.2">
      <c r="A38" s="7" t="str">
        <f t="shared" ca="1" si="8"/>
        <v>18</v>
      </c>
      <c r="B38" s="7" t="str">
        <f ca="1">OFFSET(ORÇAMENTO!C$15,$L38,0)</f>
        <v>S</v>
      </c>
      <c r="C38" s="7" t="str">
        <f ca="1">OFFSET(ORÇAMENTO!L$15,$L38,0)</f>
        <v/>
      </c>
      <c r="D38" s="116" t="str">
        <f ca="1">OFFSET(ORÇAMENTO!N$15,$L38,0)</f>
        <v>Serviço</v>
      </c>
      <c r="E38" s="117" t="str">
        <f ca="1">OFFSET(ORÇAMENTO!O$15,$L38,0)</f>
        <v>-</v>
      </c>
      <c r="F38" s="163" t="str">
        <f ca="1">OFFSET(ORÇAMENTO!R$15,$L38,0)</f>
        <v>(Código não identificado nas referências)</v>
      </c>
      <c r="G38" s="164" t="str">
        <f ca="1">IF($D38&lt;&gt;"Serviço","",OFFSET(ORÇAMENTO!S$15,$L38,0))</f>
        <v>-</v>
      </c>
      <c r="H38" s="122" cm="1">
        <f t="array" aca="1" ref="H38" ca="1">IF($D38&lt;&gt;"Serviço",0,IF(ACOMPANHAMENTO="BM",ROUND(OFFSET(ORÇAMENTO!AJ$15,$L38,0),15-13*ORÇAMENTO!$AF$7),IF(IFERROR(CÁLCULO.FrentesPreenchidas,0)=0,0,SUM(ROUND(OFFSET($P38,0,1,1,CÁLCULO.FrentesPreenchidas),15-13*ORÇAMENTO!$AF$7)))))</f>
        <v>4</v>
      </c>
      <c r="I38" s="468"/>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c r="L38" s="165">
        <f t="shared" ca="1" si="9"/>
        <v>23</v>
      </c>
      <c r="M38" s="166">
        <f ca="1">IF($D38&lt;&gt;"Serviço","",
          IF(AUTOEVENTO="manual",$A38,
                IF(ISERROR(MATCH($A38,$A$15:OFFSET($A38,-1,0),0)),MAX($M$15:OFFSET(M38,-1,0))+1,
                      INDEX($M$15:OFFSET(M38,-1,0),MATCH($A38,$A$15:OFFSET($A38,-1,0),0)))))</f>
        <v>4</v>
      </c>
      <c r="N38" s="167" t="str">
        <f ca="1">IF($D38&lt;&gt;"Serviço","",
         IF(AUTOEVENTO="Manual",
                IF($A38=0,"&lt;-- defina o número do agrupador",
                       OFFSET(EVENTOS!$D$15,$A38-$A$15,0)),
                OFFSET($F$15,$A38,0)))</f>
        <v>GRADES EM CHAPA EXPANDIDA INCLUSO PORTAS</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1000000000000</v>
      </c>
      <c r="AN38" s="171">
        <f ca="1">IF(OR($D38&lt;&gt;"Serviço",AND(AUTOEVENTO="Manual",$M38=$A$15)),0,
         IF(OFFSET(CRONOPLE!$F$15,$M38-$A$15,AN$13)=0,10^12,OFFSET(CRONOPLE!$F$15,$M38-$A$15,AN$13)))</f>
        <v>1000000000000</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38.25" x14ac:dyDescent="0.2">
      <c r="A39" s="7" t="str">
        <f t="shared" ca="1" si="8"/>
        <v>18</v>
      </c>
      <c r="B39" s="7" t="str">
        <f ca="1">OFFSET(ORÇAMENTO!C$15,$L39,0)</f>
        <v>S</v>
      </c>
      <c r="C39" s="7" t="str">
        <f ca="1">OFFSET(ORÇAMENTO!L$15,$L39,0)</f>
        <v/>
      </c>
      <c r="D39" s="116" t="str">
        <f ca="1">OFFSET(ORÇAMENTO!N$15,$L39,0)</f>
        <v>Serviço</v>
      </c>
      <c r="E39" s="117" t="str">
        <f ca="1">OFFSET(ORÇAMENTO!O$15,$L39,0)</f>
        <v>-</v>
      </c>
      <c r="F39" s="163" t="str">
        <f ca="1">OFFSET(ORÇAMENTO!R$15,$L39,0)</f>
        <v>(Código não identificado nas referências)</v>
      </c>
      <c r="G39" s="164" t="str">
        <f ca="1">IF($D39&lt;&gt;"Serviço","",OFFSET(ORÇAMENTO!S$15,$L39,0))</f>
        <v>-</v>
      </c>
      <c r="H39" s="122" cm="1">
        <f t="array" aca="1" ref="H39" ca="1">IF($D39&lt;&gt;"Serviço",0,IF(ACOMPANHAMENTO="BM",ROUND(OFFSET(ORÇAMENTO!AJ$15,$L39,0),15-13*ORÇAMENTO!$AF$7),IF(IFERROR(CÁLCULO.FrentesPreenchidas,0)=0,0,SUM(ROUND(OFFSET($P39,0,1,1,CÁLCULO.FrentesPreenchidas),15-13*ORÇAMENTO!$AF$7)))))</f>
        <v>10</v>
      </c>
      <c r="I39" s="468"/>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c r="L39" s="165">
        <f t="shared" ca="1" si="9"/>
        <v>24</v>
      </c>
      <c r="M39" s="166">
        <f ca="1">IF($D39&lt;&gt;"Serviço","",
          IF(AUTOEVENTO="manual",$A39,
                IF(ISERROR(MATCH($A39,$A$15:OFFSET($A39,-1,0),0)),MAX($M$15:OFFSET(M39,-1,0))+1,
                      INDEX($M$15:OFFSET(M39,-1,0),MATCH($A39,$A$15:OFFSET($A39,-1,0),0)))))</f>
        <v>4</v>
      </c>
      <c r="N39" s="167" t="str">
        <f ca="1">IF($D39&lt;&gt;"Serviço","",
         IF(AUTOEVENTO="Manual",
                IF($A39=0,"&lt;-- defina o número do agrupador",
                       OFFSET(EVENTOS!$D$15,$A39-$A$15,0)),
                OFFSET($F$15,$A39,0)))</f>
        <v>GRADES EM CHAPA EXPANDIDA INCLUSO PORTAS</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1000000000000</v>
      </c>
      <c r="AN39" s="171">
        <f ca="1">IF(OR($D39&lt;&gt;"Serviço",AND(AUTOEVENTO="Manual",$M39=$A$15)),0,
         IF(OFFSET(CRONOPLE!$F$15,$M39-$A$15,AN$13)=0,10^12,OFFSET(CRONOPLE!$F$15,$M39-$A$15,AN$13)))</f>
        <v>1000000000000</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ht="12.75" x14ac:dyDescent="0.2">
      <c r="A40" s="7" t="str">
        <f t="shared" ca="1" si="8"/>
        <v>25.</v>
      </c>
      <c r="B40" s="7">
        <f ca="1">OFFSET(ORÇAMENTO!C$15,$L40,0)</f>
        <v>1</v>
      </c>
      <c r="C40" s="7" t="str">
        <f ca="1">OFFSET(ORÇAMENTO!L$15,$L40,0)</f>
        <v>F</v>
      </c>
      <c r="D40" s="116" t="str">
        <f ca="1">OFFSET(ORÇAMENTO!N$15,$L40,0)</f>
        <v>Meta</v>
      </c>
      <c r="E40" s="117" t="str">
        <f ca="1">OFFSET(ORÇAMENTO!O$15,$L40,0)</f>
        <v>2.</v>
      </c>
      <c r="F40" s="163" t="str">
        <f ca="1">OFFSET(ORÇAMENTO!R$15,$L40,0)</f>
        <v>HALL DE ENTRADA</v>
      </c>
      <c r="G40" s="164" t="str">
        <f ca="1">IF($D40&lt;&gt;"Serviço","",OFFSET(ORÇAMENTO!S$15,$L40,0))</f>
        <v/>
      </c>
      <c r="H40" s="122" cm="1">
        <f t="array" aca="1" ref="H40" ca="1">IF($D40&lt;&gt;"Serviço",0,IF(ACOMPANHAMENTO="BM",ROUND(OFFSET(ORÇAMENTO!AJ$15,$L40,0),15-13*ORÇAMENTO!$AF$7),IF(IFERROR(CÁLCULO.FrentesPreenchidas,0)=0,0,SUM(ROUND(OFFSET($P40,0,1,1,CÁLCULO.FrentesPreenchidas),15-13*ORÇAMENTO!$AF$7)))))</f>
        <v>0</v>
      </c>
      <c r="I40" s="468"/>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c r="L40" s="165">
        <f t="shared" ca="1" si="9"/>
        <v>25</v>
      </c>
      <c r="M40" s="166" t="str">
        <f ca="1">IF($D40&lt;&gt;"Serviço","",
          IF(AUTOEVENTO="manual",$A40,
                IF(ISERROR(MATCH($A40,$A$15:OFFSET($A40,-1,0),0)),MAX($M$15:OFFSET(M40,-1,0))+1,
                      INDEX($M$15:OFFSET(M40,-1,0),MATCH($A40,$A$15:OFFSET($A40,-1,0),0)))))</f>
        <v/>
      </c>
      <c r="N40" s="167" t="str">
        <f ca="1">IF($D40&lt;&gt;"Serviço","",
         IF(AUTOEVENTO="Manual",
                IF($A40=0,"&lt;-- defina o número do agrupador",
                       OFFSET(EVENTOS!$D$15,$A40-$A$15,0)),
                OFFSET($F$15,$A40,0)))</f>
        <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0</v>
      </c>
      <c r="AN40" s="171">
        <f ca="1">IF(OR($D40&lt;&gt;"Serviço",AND(AUTOEVENTO="Manual",$M40=$A$15)),0,
         IF(OFFSET(CRONOPLE!$F$15,$M40-$A$15,AN$13)=0,10^12,OFFSET(CRONOPLE!$F$15,$M40-$A$15,AN$13)))</f>
        <v>0</v>
      </c>
      <c r="AO40" s="171">
        <f ca="1">IF(OR($D40&lt;&gt;"Serviço",AND(AUTOEVENTO="Manual",$M40=$A$15)),0,
         IF(OFFSET(CRONOPLE!$F$15,$M40-$A$15,AO$13)=0,10^12,OFFSET(CRONOPLE!$F$15,$M40-$A$15,AO$13)))</f>
        <v>0</v>
      </c>
      <c r="AP40" s="171">
        <f ca="1">IF(OR($D40&lt;&gt;"Serviço",AND(AUTOEVENTO="Manual",$M40=$A$15)),0,
         IF(OFFSET(CRONOPLE!$F$15,$M40-$A$15,AP$13)=0,10^12,OFFSET(CRONOPLE!$F$15,$M40-$A$15,AP$13)))</f>
        <v>0</v>
      </c>
      <c r="AQ40" s="171">
        <f ca="1">IF(OR($D40&lt;&gt;"Serviço",AND(AUTOEVENTO="Manual",$M40=$A$15)),0,
         IF(OFFSET(CRONOPLE!$F$15,$M40-$A$15,AQ$13)=0,10^12,OFFSET(CRONOPLE!$F$15,$M40-$A$15,AQ$13)))</f>
        <v>0</v>
      </c>
      <c r="AR40" s="171">
        <f ca="1">IF(OR($D40&lt;&gt;"Serviço",AND(AUTOEVENTO="Manual",$M40=$A$15)),0,
         IF(OFFSET(CRONOPLE!$F$15,$M40-$A$15,AR$13)=0,10^12,OFFSET(CRONOPLE!$F$15,$M40-$A$15,AR$13)))</f>
        <v>0</v>
      </c>
      <c r="AS40" s="171">
        <f ca="1">IF(OR($D40&lt;&gt;"Serviço",AND(AUTOEVENTO="Manual",$M40=$A$15)),0,
         IF(OFFSET(CRONOPLE!$F$15,$M40-$A$15,AS$13)=0,10^12,OFFSET(CRONOPLE!$F$15,$M40-$A$15,AS$13)))</f>
        <v>0</v>
      </c>
      <c r="AT40" s="171">
        <f ca="1">IF(OR($D40&lt;&gt;"Serviço",AND(AUTOEVENTO="Manual",$M40=$A$15)),0,
         IF(OFFSET(CRONOPLE!$F$15,$M40-$A$15,AT$13)=0,10^12,OFFSET(CRONOPLE!$F$15,$M40-$A$15,AT$13)))</f>
        <v>0</v>
      </c>
      <c r="AU40" s="171">
        <f ca="1">IF(OR($D40&lt;&gt;"Serviço",AND(AUTOEVENTO="Manual",$M40=$A$15)),0,
         IF(OFFSET(CRONOPLE!$F$15,$M40-$A$15,AU$13)=0,10^12,OFFSET(CRONOPLE!$F$15,$M40-$A$15,AU$13)))</f>
        <v>0</v>
      </c>
      <c r="AV40" s="171">
        <f ca="1">IF(OR($D40&lt;&gt;"Serviço",AND(AUTOEVENTO="Manual",$M40=$A$15)),0,
         IF(OFFSET(CRONOPLE!$F$15,$M40-$A$15,AV$13)=0,10^12,OFFSET(CRONOPLE!$F$15,$M40-$A$15,AV$13)))</f>
        <v>0</v>
      </c>
      <c r="AX40" s="172" cm="1">
        <f t="array" aca="1" ref="AX40" ca="1">IF(OR($D40&lt;&gt;"Serviço",AND(AUTOEVENTO="Manual",$M40=$A$15),$M40&gt;(ROW(PLE.lastrow)-ROW(PLE.firstrow))),0,
           IF(OFFSET(PLE!$G$15,$M40-$A$15,AX$13)="",10^12,OFFSET(PLE!$G$15,$M40-$A$15,AX$13)))</f>
        <v>0</v>
      </c>
      <c r="AY40" s="172" cm="1">
        <f t="array" aca="1" ref="AY40" ca="1">IF(OR($D40&lt;&gt;"Serviço",AND(AUTOEVENTO="Manual",$M40=$A$15),$M40&gt;(ROW(PLE.lastrow)-ROW(PLE.firstrow))),0,
           IF(OFFSET(PLE!$G$15,$M40-$A$15,AY$13)="",10^12,OFFSET(PLE!$G$15,$M40-$A$15,AY$13)))</f>
        <v>0</v>
      </c>
      <c r="AZ40" s="172" cm="1">
        <f t="array" aca="1" ref="AZ40" ca="1">IF(OR($D40&lt;&gt;"Serviço",AND(AUTOEVENTO="Manual",$M40=$A$15),$M40&gt;(ROW(PLE.lastrow)-ROW(PLE.firstrow))),0,
           IF(OFFSET(PLE!$G$15,$M40-$A$15,AZ$13)="",10^12,OFFSET(PLE!$G$15,$M40-$A$15,AZ$13)))</f>
        <v>0</v>
      </c>
      <c r="BA40" s="172" cm="1">
        <f t="array" aca="1" ref="BA40" ca="1">IF(OR($D40&lt;&gt;"Serviço",AND(AUTOEVENTO="Manual",$M40=$A$15),$M40&gt;(ROW(PLE.lastrow)-ROW(PLE.firstrow))),0,
           IF(OFFSET(PLE!$G$15,$M40-$A$15,BA$13)="",10^12,OFFSET(PLE!$G$15,$M40-$A$15,BA$13)))</f>
        <v>0</v>
      </c>
      <c r="BB40" s="172" cm="1">
        <f t="array" aca="1" ref="BB40" ca="1">IF(OR($D40&lt;&gt;"Serviço",AND(AUTOEVENTO="Manual",$M40=$A$15),$M40&gt;(ROW(PLE.lastrow)-ROW(PLE.firstrow))),0,
           IF(OFFSET(PLE!$G$15,$M40-$A$15,BB$13)="",10^12,OFFSET(PLE!$G$15,$M40-$A$15,BB$13)))</f>
        <v>0</v>
      </c>
      <c r="BC40" s="172" cm="1">
        <f t="array" aca="1" ref="BC40" ca="1">IF(OR($D40&lt;&gt;"Serviço",AND(AUTOEVENTO="Manual",$M40=$A$15),$M40&gt;(ROW(PLE.lastrow)-ROW(PLE.firstrow))),0,
           IF(OFFSET(PLE!$G$15,$M40-$A$15,BC$13)="",10^12,OFFSET(PLE!$G$15,$M40-$A$15,BC$13)))</f>
        <v>0</v>
      </c>
      <c r="BD40" s="172" cm="1">
        <f t="array" aca="1" ref="BD40" ca="1">IF(OR($D40&lt;&gt;"Serviço",AND(AUTOEVENTO="Manual",$M40=$A$15),$M40&gt;(ROW(PLE.lastrow)-ROW(PLE.firstrow))),0,
           IF(OFFSET(PLE!$G$15,$M40-$A$15,BD$13)="",10^12,OFFSET(PLE!$G$15,$M40-$A$15,BD$13)))</f>
        <v>0</v>
      </c>
      <c r="BE40" s="172" cm="1">
        <f t="array" aca="1" ref="BE40" ca="1">IF(OR($D40&lt;&gt;"Serviço",AND(AUTOEVENTO="Manual",$M40=$A$15),$M40&gt;(ROW(PLE.lastrow)-ROW(PLE.firstrow))),0,
           IF(OFFSET(PLE!$G$15,$M40-$A$15,BE$13)="",10^12,OFFSET(PLE!$G$15,$M40-$A$15,BE$13)))</f>
        <v>0</v>
      </c>
      <c r="BF40" s="172" cm="1">
        <f t="array" aca="1" ref="BF40" ca="1">IF(OR($D40&lt;&gt;"Serviço",AND(AUTOEVENTO="Manual",$M40=$A$15),$M40&gt;(ROW(PLE.lastrow)-ROW(PLE.firstrow))),0,
           IF(OFFSET(PLE!$G$15,$M40-$A$15,BF$13)="",10^12,OFFSET(PLE!$G$15,$M40-$A$15,BF$13)))</f>
        <v>0</v>
      </c>
      <c r="BG40" s="172" cm="1">
        <f t="array" aca="1" ref="BG40" ca="1">IF(OR($D40&lt;&gt;"Serviço",AND(AUTOEVENTO="Manual",$M40=$A$15),$M40&gt;(ROW(PLE.lastrow)-ROW(PLE.firstrow))),0,
           IF(OFFSET(PLE!$G$15,$M40-$A$15,BG$13)="",10^12,OFFSET(PLE!$G$15,$M40-$A$15,BG$13)))</f>
        <v>0</v>
      </c>
    </row>
    <row r="41" spans="1:59" ht="12.75" x14ac:dyDescent="0.2">
      <c r="A41" s="7" t="str">
        <f t="shared" ca="1" si="8"/>
        <v>26.</v>
      </c>
      <c r="B41" s="7">
        <f ca="1">OFFSET(ORÇAMENTO!C$15,$L41,0)</f>
        <v>2</v>
      </c>
      <c r="C41" s="7" t="str">
        <f ca="1">OFFSET(ORÇAMENTO!L$15,$L41,0)</f>
        <v>F</v>
      </c>
      <c r="D41" s="116" t="str">
        <f ca="1">OFFSET(ORÇAMENTO!N$15,$L41,0)</f>
        <v>Nível 2</v>
      </c>
      <c r="E41" s="117" t="str">
        <f ca="1">OFFSET(ORÇAMENTO!O$15,$L41,0)</f>
        <v>2.1.</v>
      </c>
      <c r="F41" s="163" t="str">
        <f ca="1">OFFSET(ORÇAMENTO!R$15,$L41,0)</f>
        <v>FUNDAÇÃO</v>
      </c>
      <c r="G41" s="164" t="str">
        <f ca="1">IF($D41&lt;&gt;"Serviço","",OFFSET(ORÇAMENTO!S$15,$L41,0))</f>
        <v/>
      </c>
      <c r="H41" s="122" cm="1">
        <f t="array" aca="1" ref="H41" ca="1">IF($D41&lt;&gt;"Serviço",0,IF(ACOMPANHAMENTO="BM",ROUND(OFFSET(ORÇAMENTO!AJ$15,$L41,0),15-13*ORÇAMENTO!$AF$7),IF(IFERROR(CÁLCULO.FrentesPreenchidas,0)=0,0,SUM(ROUND(OFFSET($P41,0,1,1,CÁLCULO.FrentesPreenchidas),15-13*ORÇAMENTO!$AF$7)))))</f>
        <v>0</v>
      </c>
      <c r="I41" s="468"/>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c r="L41" s="165">
        <f t="shared" ca="1" si="9"/>
        <v>26</v>
      </c>
      <c r="M41" s="166" t="str">
        <f ca="1">IF($D41&lt;&gt;"Serviço","",
          IF(AUTOEVENTO="manual",$A41,
                IF(ISERROR(MATCH($A41,$A$15:OFFSET($A41,-1,0),0)),MAX($M$15:OFFSET(M41,-1,0))+1,
                      INDEX($M$15:OFFSET(M41,-1,0),MATCH($A41,$A$15:OFFSET($A41,-1,0),0)))))</f>
        <v/>
      </c>
      <c r="N41" s="167" t="str">
        <f ca="1">IF($D41&lt;&gt;"Serviço","",
         IF(AUTOEVENTO="Manual",
                IF($A41=0,"&lt;-- defina o número do agrupador",
                       OFFSET(EVENTOS!$D$15,$A41-$A$15,0)),
                OFFSET($F$15,$A41,0)))</f>
        <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0</v>
      </c>
      <c r="AN41" s="171">
        <f ca="1">IF(OR($D41&lt;&gt;"Serviço",AND(AUTOEVENTO="Manual",$M41=$A$15)),0,
         IF(OFFSET(CRONOPLE!$F$15,$M41-$A$15,AN$13)=0,10^12,OFFSET(CRONOPLE!$F$15,$M41-$A$15,AN$13)))</f>
        <v>0</v>
      </c>
      <c r="AO41" s="171">
        <f ca="1">IF(OR($D41&lt;&gt;"Serviço",AND(AUTOEVENTO="Manual",$M41=$A$15)),0,
         IF(OFFSET(CRONOPLE!$F$15,$M41-$A$15,AO$13)=0,10^12,OFFSET(CRONOPLE!$F$15,$M41-$A$15,AO$13)))</f>
        <v>0</v>
      </c>
      <c r="AP41" s="171">
        <f ca="1">IF(OR($D41&lt;&gt;"Serviço",AND(AUTOEVENTO="Manual",$M41=$A$15)),0,
         IF(OFFSET(CRONOPLE!$F$15,$M41-$A$15,AP$13)=0,10^12,OFFSET(CRONOPLE!$F$15,$M41-$A$15,AP$13)))</f>
        <v>0</v>
      </c>
      <c r="AQ41" s="171">
        <f ca="1">IF(OR($D41&lt;&gt;"Serviço",AND(AUTOEVENTO="Manual",$M41=$A$15)),0,
         IF(OFFSET(CRONOPLE!$F$15,$M41-$A$15,AQ$13)=0,10^12,OFFSET(CRONOPLE!$F$15,$M41-$A$15,AQ$13)))</f>
        <v>0</v>
      </c>
      <c r="AR41" s="171">
        <f ca="1">IF(OR($D41&lt;&gt;"Serviço",AND(AUTOEVENTO="Manual",$M41=$A$15)),0,
         IF(OFFSET(CRONOPLE!$F$15,$M41-$A$15,AR$13)=0,10^12,OFFSET(CRONOPLE!$F$15,$M41-$A$15,AR$13)))</f>
        <v>0</v>
      </c>
      <c r="AS41" s="171">
        <f ca="1">IF(OR($D41&lt;&gt;"Serviço",AND(AUTOEVENTO="Manual",$M41=$A$15)),0,
         IF(OFFSET(CRONOPLE!$F$15,$M41-$A$15,AS$13)=0,10^12,OFFSET(CRONOPLE!$F$15,$M41-$A$15,AS$13)))</f>
        <v>0</v>
      </c>
      <c r="AT41" s="171">
        <f ca="1">IF(OR($D41&lt;&gt;"Serviço",AND(AUTOEVENTO="Manual",$M41=$A$15)),0,
         IF(OFFSET(CRONOPLE!$F$15,$M41-$A$15,AT$13)=0,10^12,OFFSET(CRONOPLE!$F$15,$M41-$A$15,AT$13)))</f>
        <v>0</v>
      </c>
      <c r="AU41" s="171">
        <f ca="1">IF(OR($D41&lt;&gt;"Serviço",AND(AUTOEVENTO="Manual",$M41=$A$15)),0,
         IF(OFFSET(CRONOPLE!$F$15,$M41-$A$15,AU$13)=0,10^12,OFFSET(CRONOPLE!$F$15,$M41-$A$15,AU$13)))</f>
        <v>0</v>
      </c>
      <c r="AV41" s="171">
        <f ca="1">IF(OR($D41&lt;&gt;"Serviço",AND(AUTOEVENTO="Manual",$M41=$A$15)),0,
         IF(OFFSET(CRONOPLE!$F$15,$M41-$A$15,AV$13)=0,10^12,OFFSET(CRONOPLE!$F$15,$M41-$A$15,AV$13)))</f>
        <v>0</v>
      </c>
      <c r="AX41" s="172" cm="1">
        <f t="array" aca="1" ref="AX41" ca="1">IF(OR($D41&lt;&gt;"Serviço",AND(AUTOEVENTO="Manual",$M41=$A$15),$M41&gt;(ROW(PLE.lastrow)-ROW(PLE.firstrow))),0,
           IF(OFFSET(PLE!$G$15,$M41-$A$15,AX$13)="",10^12,OFFSET(PLE!$G$15,$M41-$A$15,AX$13)))</f>
        <v>0</v>
      </c>
      <c r="AY41" s="172" cm="1">
        <f t="array" aca="1" ref="AY41" ca="1">IF(OR($D41&lt;&gt;"Serviço",AND(AUTOEVENTO="Manual",$M41=$A$15),$M41&gt;(ROW(PLE.lastrow)-ROW(PLE.firstrow))),0,
           IF(OFFSET(PLE!$G$15,$M41-$A$15,AY$13)="",10^12,OFFSET(PLE!$G$15,$M41-$A$15,AY$13)))</f>
        <v>0</v>
      </c>
      <c r="AZ41" s="172" cm="1">
        <f t="array" aca="1" ref="AZ41" ca="1">IF(OR($D41&lt;&gt;"Serviço",AND(AUTOEVENTO="Manual",$M41=$A$15),$M41&gt;(ROW(PLE.lastrow)-ROW(PLE.firstrow))),0,
           IF(OFFSET(PLE!$G$15,$M41-$A$15,AZ$13)="",10^12,OFFSET(PLE!$G$15,$M41-$A$15,AZ$13)))</f>
        <v>0</v>
      </c>
      <c r="BA41" s="172" cm="1">
        <f t="array" aca="1" ref="BA41" ca="1">IF(OR($D41&lt;&gt;"Serviço",AND(AUTOEVENTO="Manual",$M41=$A$15),$M41&gt;(ROW(PLE.lastrow)-ROW(PLE.firstrow))),0,
           IF(OFFSET(PLE!$G$15,$M41-$A$15,BA$13)="",10^12,OFFSET(PLE!$G$15,$M41-$A$15,BA$13)))</f>
        <v>0</v>
      </c>
      <c r="BB41" s="172" cm="1">
        <f t="array" aca="1" ref="BB41" ca="1">IF(OR($D41&lt;&gt;"Serviço",AND(AUTOEVENTO="Manual",$M41=$A$15),$M41&gt;(ROW(PLE.lastrow)-ROW(PLE.firstrow))),0,
           IF(OFFSET(PLE!$G$15,$M41-$A$15,BB$13)="",10^12,OFFSET(PLE!$G$15,$M41-$A$15,BB$13)))</f>
        <v>0</v>
      </c>
      <c r="BC41" s="172" cm="1">
        <f t="array" aca="1" ref="BC41" ca="1">IF(OR($D41&lt;&gt;"Serviço",AND(AUTOEVENTO="Manual",$M41=$A$15),$M41&gt;(ROW(PLE.lastrow)-ROW(PLE.firstrow))),0,
           IF(OFFSET(PLE!$G$15,$M41-$A$15,BC$13)="",10^12,OFFSET(PLE!$G$15,$M41-$A$15,BC$13)))</f>
        <v>0</v>
      </c>
      <c r="BD41" s="172" cm="1">
        <f t="array" aca="1" ref="BD41" ca="1">IF(OR($D41&lt;&gt;"Serviço",AND(AUTOEVENTO="Manual",$M41=$A$15),$M41&gt;(ROW(PLE.lastrow)-ROW(PLE.firstrow))),0,
           IF(OFFSET(PLE!$G$15,$M41-$A$15,BD$13)="",10^12,OFFSET(PLE!$G$15,$M41-$A$15,BD$13)))</f>
        <v>0</v>
      </c>
      <c r="BE41" s="172" cm="1">
        <f t="array" aca="1" ref="BE41" ca="1">IF(OR($D41&lt;&gt;"Serviço",AND(AUTOEVENTO="Manual",$M41=$A$15),$M41&gt;(ROW(PLE.lastrow)-ROW(PLE.firstrow))),0,
           IF(OFFSET(PLE!$G$15,$M41-$A$15,BE$13)="",10^12,OFFSET(PLE!$G$15,$M41-$A$15,BE$13)))</f>
        <v>0</v>
      </c>
      <c r="BF41" s="172" cm="1">
        <f t="array" aca="1" ref="BF41" ca="1">IF(OR($D41&lt;&gt;"Serviço",AND(AUTOEVENTO="Manual",$M41=$A$15),$M41&gt;(ROW(PLE.lastrow)-ROW(PLE.firstrow))),0,
           IF(OFFSET(PLE!$G$15,$M41-$A$15,BF$13)="",10^12,OFFSET(PLE!$G$15,$M41-$A$15,BF$13)))</f>
        <v>0</v>
      </c>
      <c r="BG41" s="172" cm="1">
        <f t="array" aca="1" ref="BG41" ca="1">IF(OR($D41&lt;&gt;"Serviço",AND(AUTOEVENTO="Manual",$M41=$A$15),$M41&gt;(ROW(PLE.lastrow)-ROW(PLE.firstrow))),0,
           IF(OFFSET(PLE!$G$15,$M41-$A$15,BG$13)="",10^12,OFFSET(PLE!$G$15,$M41-$A$15,BG$13)))</f>
        <v>0</v>
      </c>
    </row>
    <row r="42" spans="1:59" ht="63.75" x14ac:dyDescent="0.2">
      <c r="A42" s="7" t="str">
        <f t="shared" ca="1" si="8"/>
        <v>26</v>
      </c>
      <c r="B42" s="7" t="str">
        <f ca="1">OFFSET(ORÇAMENTO!C$15,$L42,0)</f>
        <v>S</v>
      </c>
      <c r="C42" s="7" t="str">
        <f ca="1">OFFSET(ORÇAMENTO!L$15,$L42,0)</f>
        <v/>
      </c>
      <c r="D42" s="116" t="str">
        <f ca="1">OFFSET(ORÇAMENTO!N$15,$L42,0)</f>
        <v>Serviço</v>
      </c>
      <c r="E42" s="117" t="str">
        <f ca="1">OFFSET(ORÇAMENTO!O$15,$L42,0)</f>
        <v>-</v>
      </c>
      <c r="F42" s="163" t="str">
        <f ca="1">OFFSET(ORÇAMENTO!R$15,$L42,0)</f>
        <v>(Código não identificado nas referências)</v>
      </c>
      <c r="G42" s="164" t="str">
        <f ca="1">IF($D42&lt;&gt;"Serviço","",OFFSET(ORÇAMENTO!S$15,$L42,0))</f>
        <v>-</v>
      </c>
      <c r="H42" s="122" cm="1">
        <f t="array" aca="1" ref="H42" ca="1">IF($D42&lt;&gt;"Serviço",0,IF(ACOMPANHAMENTO="BM",ROUND(OFFSET(ORÇAMENTO!AJ$15,$L42,0),15-13*ORÇAMENTO!$AF$7),IF(IFERROR(CÁLCULO.FrentesPreenchidas,0)=0,0,SUM(ROUND(OFFSET($P42,0,1,1,CÁLCULO.FrentesPreenchidas),15-13*ORÇAMENTO!$AF$7)))))</f>
        <v>2</v>
      </c>
      <c r="I42" s="468"/>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c r="L42" s="165">
        <f t="shared" ca="1" si="9"/>
        <v>27</v>
      </c>
      <c r="M42" s="166">
        <f ca="1">IF($D42&lt;&gt;"Serviço","",
          IF(AUTOEVENTO="manual",$A42,
                IF(ISERROR(MATCH($A42,$A$15:OFFSET($A42,-1,0),0)),MAX($M$15:OFFSET(M42,-1,0))+1,
                      INDEX($M$15:OFFSET(M42,-1,0),MATCH($A42,$A$15:OFFSET($A42,-1,0),0)))))</f>
        <v>5</v>
      </c>
      <c r="N42" s="167" t="str">
        <f ca="1">IF($D42&lt;&gt;"Serviço","",
         IF(AUTOEVENTO="Manual",
                IF($A42=0,"&lt;-- defina o número do agrupador",
                       OFFSET(EVENTOS!$D$15,$A42-$A$15,0)),
                OFFSET($F$15,$A42,0)))</f>
        <v>FUNDAÇÃO</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1000000000000</v>
      </c>
      <c r="AN42" s="171">
        <f ca="1">IF(OR($D42&lt;&gt;"Serviço",AND(AUTOEVENTO="Manual",$M42=$A$15)),0,
         IF(OFFSET(CRONOPLE!$F$15,$M42-$A$15,AN$13)=0,10^12,OFFSET(CRONOPLE!$F$15,$M42-$A$15,AN$13)))</f>
        <v>1000000000000</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ht="12.75" x14ac:dyDescent="0.2">
      <c r="A43" s="7" t="str">
        <f t="shared" ca="1" si="8"/>
        <v>28.</v>
      </c>
      <c r="B43" s="7">
        <f ca="1">OFFSET(ORÇAMENTO!C$15,$L43,0)</f>
        <v>2</v>
      </c>
      <c r="C43" s="7" t="str">
        <f ca="1">OFFSET(ORÇAMENTO!L$15,$L43,0)</f>
        <v>F</v>
      </c>
      <c r="D43" s="116" t="str">
        <f ca="1">OFFSET(ORÇAMENTO!N$15,$L43,0)</f>
        <v>Nível 2</v>
      </c>
      <c r="E43" s="117" t="str">
        <f ca="1">OFFSET(ORÇAMENTO!O$15,$L43,0)</f>
        <v>2.2.</v>
      </c>
      <c r="F43" s="163" t="str">
        <f ca="1">OFFSET(ORÇAMENTO!R$15,$L43,0)</f>
        <v>VIGA BALDRAME</v>
      </c>
      <c r="G43" s="164" t="str">
        <f ca="1">IF($D43&lt;&gt;"Serviço","",OFFSET(ORÇAMENTO!S$15,$L43,0))</f>
        <v/>
      </c>
      <c r="H43" s="122" cm="1">
        <f t="array" aca="1" ref="H43" ca="1">IF($D43&lt;&gt;"Serviço",0,IF(ACOMPANHAMENTO="BM",ROUND(OFFSET(ORÇAMENTO!AJ$15,$L43,0),15-13*ORÇAMENTO!$AF$7),IF(IFERROR(CÁLCULO.FrentesPreenchidas,0)=0,0,SUM(ROUND(OFFSET($P43,0,1,1,CÁLCULO.FrentesPreenchidas),15-13*ORÇAMENTO!$AF$7)))))</f>
        <v>0</v>
      </c>
      <c r="I43" s="468"/>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c r="L43" s="165">
        <f t="shared" ca="1" si="9"/>
        <v>28</v>
      </c>
      <c r="M43" s="166" t="str">
        <f ca="1">IF($D43&lt;&gt;"Serviço","",
          IF(AUTOEVENTO="manual",$A43,
                IF(ISERROR(MATCH($A43,$A$15:OFFSET($A43,-1,0),0)),MAX($M$15:OFFSET(M43,-1,0))+1,
                      INDEX($M$15:OFFSET(M43,-1,0),MATCH($A43,$A$15:OFFSET($A43,-1,0),0)))))</f>
        <v/>
      </c>
      <c r="N43" s="167" t="str">
        <f ca="1">IF($D43&lt;&gt;"Serviço","",
         IF(AUTOEVENTO="Manual",
                IF($A43=0,"&lt;-- defina o número do agrupador",
                       OFFSET(EVENTOS!$D$15,$A43-$A$15,0)),
                OFFSET($F$15,$A43,0)))</f>
        <v/>
      </c>
      <c r="O43" s="168"/>
      <c r="Q43" s="168"/>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0</v>
      </c>
      <c r="AN43" s="171">
        <f ca="1">IF(OR($D43&lt;&gt;"Serviço",AND(AUTOEVENTO="Manual",$M43=$A$15)),0,
         IF(OFFSET(CRONOPLE!$F$15,$M43-$A$15,AN$13)=0,10^12,OFFSET(CRONOPLE!$F$15,$M43-$A$15,AN$13)))</f>
        <v>0</v>
      </c>
      <c r="AO43" s="171">
        <f ca="1">IF(OR($D43&lt;&gt;"Serviço",AND(AUTOEVENTO="Manual",$M43=$A$15)),0,
         IF(OFFSET(CRONOPLE!$F$15,$M43-$A$15,AO$13)=0,10^12,OFFSET(CRONOPLE!$F$15,$M43-$A$15,AO$13)))</f>
        <v>0</v>
      </c>
      <c r="AP43" s="171">
        <f ca="1">IF(OR($D43&lt;&gt;"Serviço",AND(AUTOEVENTO="Manual",$M43=$A$15)),0,
         IF(OFFSET(CRONOPLE!$F$15,$M43-$A$15,AP$13)=0,10^12,OFFSET(CRONOPLE!$F$15,$M43-$A$15,AP$13)))</f>
        <v>0</v>
      </c>
      <c r="AQ43" s="171">
        <f ca="1">IF(OR($D43&lt;&gt;"Serviço",AND(AUTOEVENTO="Manual",$M43=$A$15)),0,
         IF(OFFSET(CRONOPLE!$F$15,$M43-$A$15,AQ$13)=0,10^12,OFFSET(CRONOPLE!$F$15,$M43-$A$15,AQ$13)))</f>
        <v>0</v>
      </c>
      <c r="AR43" s="171">
        <f ca="1">IF(OR($D43&lt;&gt;"Serviço",AND(AUTOEVENTO="Manual",$M43=$A$15)),0,
         IF(OFFSET(CRONOPLE!$F$15,$M43-$A$15,AR$13)=0,10^12,OFFSET(CRONOPLE!$F$15,$M43-$A$15,AR$13)))</f>
        <v>0</v>
      </c>
      <c r="AS43" s="171">
        <f ca="1">IF(OR($D43&lt;&gt;"Serviço",AND(AUTOEVENTO="Manual",$M43=$A$15)),0,
         IF(OFFSET(CRONOPLE!$F$15,$M43-$A$15,AS$13)=0,10^12,OFFSET(CRONOPLE!$F$15,$M43-$A$15,AS$13)))</f>
        <v>0</v>
      </c>
      <c r="AT43" s="171">
        <f ca="1">IF(OR($D43&lt;&gt;"Serviço",AND(AUTOEVENTO="Manual",$M43=$A$15)),0,
         IF(OFFSET(CRONOPLE!$F$15,$M43-$A$15,AT$13)=0,10^12,OFFSET(CRONOPLE!$F$15,$M43-$A$15,AT$13)))</f>
        <v>0</v>
      </c>
      <c r="AU43" s="171">
        <f ca="1">IF(OR($D43&lt;&gt;"Serviço",AND(AUTOEVENTO="Manual",$M43=$A$15)),0,
         IF(OFFSET(CRONOPLE!$F$15,$M43-$A$15,AU$13)=0,10^12,OFFSET(CRONOPLE!$F$15,$M43-$A$15,AU$13)))</f>
        <v>0</v>
      </c>
      <c r="AV43" s="171">
        <f ca="1">IF(OR($D43&lt;&gt;"Serviço",AND(AUTOEVENTO="Manual",$M43=$A$15)),0,
         IF(OFFSET(CRONOPLE!$F$15,$M43-$A$15,AV$13)=0,10^12,OFFSET(CRONOPLE!$F$15,$M43-$A$15,AV$13)))</f>
        <v>0</v>
      </c>
      <c r="AX43" s="172" cm="1">
        <f t="array" aca="1" ref="AX43" ca="1">IF(OR($D43&lt;&gt;"Serviço",AND(AUTOEVENTO="Manual",$M43=$A$15),$M43&gt;(ROW(PLE.lastrow)-ROW(PLE.firstrow))),0,
           IF(OFFSET(PLE!$G$15,$M43-$A$15,AX$13)="",10^12,OFFSET(PLE!$G$15,$M43-$A$15,AX$13)))</f>
        <v>0</v>
      </c>
      <c r="AY43" s="172" cm="1">
        <f t="array" aca="1" ref="AY43" ca="1">IF(OR($D43&lt;&gt;"Serviço",AND(AUTOEVENTO="Manual",$M43=$A$15),$M43&gt;(ROW(PLE.lastrow)-ROW(PLE.firstrow))),0,
           IF(OFFSET(PLE!$G$15,$M43-$A$15,AY$13)="",10^12,OFFSET(PLE!$G$15,$M43-$A$15,AY$13)))</f>
        <v>0</v>
      </c>
      <c r="AZ43" s="172" cm="1">
        <f t="array" aca="1" ref="AZ43" ca="1">IF(OR($D43&lt;&gt;"Serviço",AND(AUTOEVENTO="Manual",$M43=$A$15),$M43&gt;(ROW(PLE.lastrow)-ROW(PLE.firstrow))),0,
           IF(OFFSET(PLE!$G$15,$M43-$A$15,AZ$13)="",10^12,OFFSET(PLE!$G$15,$M43-$A$15,AZ$13)))</f>
        <v>0</v>
      </c>
      <c r="BA43" s="172" cm="1">
        <f t="array" aca="1" ref="BA43" ca="1">IF(OR($D43&lt;&gt;"Serviço",AND(AUTOEVENTO="Manual",$M43=$A$15),$M43&gt;(ROW(PLE.lastrow)-ROW(PLE.firstrow))),0,
           IF(OFFSET(PLE!$G$15,$M43-$A$15,BA$13)="",10^12,OFFSET(PLE!$G$15,$M43-$A$15,BA$13)))</f>
        <v>0</v>
      </c>
      <c r="BB43" s="172" cm="1">
        <f t="array" aca="1" ref="BB43" ca="1">IF(OR($D43&lt;&gt;"Serviço",AND(AUTOEVENTO="Manual",$M43=$A$15),$M43&gt;(ROW(PLE.lastrow)-ROW(PLE.firstrow))),0,
           IF(OFFSET(PLE!$G$15,$M43-$A$15,BB$13)="",10^12,OFFSET(PLE!$G$15,$M43-$A$15,BB$13)))</f>
        <v>0</v>
      </c>
      <c r="BC43" s="172" cm="1">
        <f t="array" aca="1" ref="BC43" ca="1">IF(OR($D43&lt;&gt;"Serviço",AND(AUTOEVENTO="Manual",$M43=$A$15),$M43&gt;(ROW(PLE.lastrow)-ROW(PLE.firstrow))),0,
           IF(OFFSET(PLE!$G$15,$M43-$A$15,BC$13)="",10^12,OFFSET(PLE!$G$15,$M43-$A$15,BC$13)))</f>
        <v>0</v>
      </c>
      <c r="BD43" s="172" cm="1">
        <f t="array" aca="1" ref="BD43" ca="1">IF(OR($D43&lt;&gt;"Serviço",AND(AUTOEVENTO="Manual",$M43=$A$15),$M43&gt;(ROW(PLE.lastrow)-ROW(PLE.firstrow))),0,
           IF(OFFSET(PLE!$G$15,$M43-$A$15,BD$13)="",10^12,OFFSET(PLE!$G$15,$M43-$A$15,BD$13)))</f>
        <v>0</v>
      </c>
      <c r="BE43" s="172" cm="1">
        <f t="array" aca="1" ref="BE43" ca="1">IF(OR($D43&lt;&gt;"Serviço",AND(AUTOEVENTO="Manual",$M43=$A$15),$M43&gt;(ROW(PLE.lastrow)-ROW(PLE.firstrow))),0,
           IF(OFFSET(PLE!$G$15,$M43-$A$15,BE$13)="",10^12,OFFSET(PLE!$G$15,$M43-$A$15,BE$13)))</f>
        <v>0</v>
      </c>
      <c r="BF43" s="172" cm="1">
        <f t="array" aca="1" ref="BF43" ca="1">IF(OR($D43&lt;&gt;"Serviço",AND(AUTOEVENTO="Manual",$M43=$A$15),$M43&gt;(ROW(PLE.lastrow)-ROW(PLE.firstrow))),0,
           IF(OFFSET(PLE!$G$15,$M43-$A$15,BF$13)="",10^12,OFFSET(PLE!$G$15,$M43-$A$15,BF$13)))</f>
        <v>0</v>
      </c>
      <c r="BG43" s="172" cm="1">
        <f t="array" aca="1" ref="BG43" ca="1">IF(OR($D43&lt;&gt;"Serviço",AND(AUTOEVENTO="Manual",$M43=$A$15),$M43&gt;(ROW(PLE.lastrow)-ROW(PLE.firstrow))),0,
           IF(OFFSET(PLE!$G$15,$M43-$A$15,BG$13)="",10^12,OFFSET(PLE!$G$15,$M43-$A$15,BG$13)))</f>
        <v>0</v>
      </c>
    </row>
    <row r="44" spans="1:59" ht="38.25" x14ac:dyDescent="0.2">
      <c r="A44" s="7" t="str">
        <f t="shared" ca="1" si="8"/>
        <v>28</v>
      </c>
      <c r="B44" s="7" t="str">
        <f ca="1">OFFSET(ORÇAMENTO!C$15,$L44,0)</f>
        <v>S</v>
      </c>
      <c r="C44" s="7" t="str">
        <f ca="1">OFFSET(ORÇAMENTO!L$15,$L44,0)</f>
        <v/>
      </c>
      <c r="D44" s="116" t="str">
        <f ca="1">OFFSET(ORÇAMENTO!N$15,$L44,0)</f>
        <v>Serviço</v>
      </c>
      <c r="E44" s="117" t="str">
        <f ca="1">OFFSET(ORÇAMENTO!O$15,$L44,0)</f>
        <v>-</v>
      </c>
      <c r="F44" s="163" t="str">
        <f ca="1">OFFSET(ORÇAMENTO!R$15,$L44,0)</f>
        <v>(Código não identificado nas referências)</v>
      </c>
      <c r="G44" s="164" t="str">
        <f ca="1">IF($D44&lt;&gt;"Serviço","",OFFSET(ORÇAMENTO!S$15,$L44,0))</f>
        <v>-</v>
      </c>
      <c r="H44" s="122" cm="1">
        <f t="array" aca="1" ref="H44" ca="1">IF($D44&lt;&gt;"Serviço",0,IF(ACOMPANHAMENTO="BM",ROUND(OFFSET(ORÇAMENTO!AJ$15,$L44,0),15-13*ORÇAMENTO!$AF$7),IF(IFERROR(CÁLCULO.FrentesPreenchidas,0)=0,0,SUM(ROUND(OFFSET($P44,0,1,1,CÁLCULO.FrentesPreenchidas),15-13*ORÇAMENTO!$AF$7)))))</f>
        <v>5.08</v>
      </c>
      <c r="I44" s="468"/>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c r="L44" s="165">
        <f t="shared" ca="1" si="9"/>
        <v>29</v>
      </c>
      <c r="M44" s="166">
        <f ca="1">IF($D44&lt;&gt;"Serviço","",
          IF(AUTOEVENTO="manual",$A44,
                IF(ISERROR(MATCH($A44,$A$15:OFFSET($A44,-1,0),0)),MAX($M$15:OFFSET(M44,-1,0))+1,
                      INDEX($M$15:OFFSET(M44,-1,0),MATCH($A44,$A$15:OFFSET($A44,-1,0),0)))))</f>
        <v>6</v>
      </c>
      <c r="N44" s="167" t="str">
        <f ca="1">IF($D44&lt;&gt;"Serviço","",
         IF(AUTOEVENTO="Manual",
                IF($A44=0,"&lt;-- defina o número do agrupador",
                       OFFSET(EVENTOS!$D$15,$A44-$A$15,0)),
                OFFSET($F$15,$A44,0)))</f>
        <v>VIGA BALDRAME</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1000000000000</v>
      </c>
      <c r="AN44" s="171">
        <f ca="1">IF(OR($D44&lt;&gt;"Serviço",AND(AUTOEVENTO="Manual",$M44=$A$15)),0,
         IF(OFFSET(CRONOPLE!$F$15,$M44-$A$15,AN$13)=0,10^12,OFFSET(CRONOPLE!$F$15,$M44-$A$15,AN$13)))</f>
        <v>1000000000000</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ht="38.25" x14ac:dyDescent="0.2">
      <c r="A45" s="7" t="str">
        <f t="shared" ca="1" si="8"/>
        <v>28</v>
      </c>
      <c r="B45" s="7" t="str">
        <f ca="1">OFFSET(ORÇAMENTO!C$15,$L45,0)</f>
        <v>S</v>
      </c>
      <c r="C45" s="7" t="str">
        <f ca="1">OFFSET(ORÇAMENTO!L$15,$L45,0)</f>
        <v/>
      </c>
      <c r="D45" s="116" t="str">
        <f ca="1">OFFSET(ORÇAMENTO!N$15,$L45,0)</f>
        <v>Serviço</v>
      </c>
      <c r="E45" s="117" t="str">
        <f ca="1">OFFSET(ORÇAMENTO!O$15,$L45,0)</f>
        <v>-</v>
      </c>
      <c r="F45" s="163" t="str">
        <f ca="1">OFFSET(ORÇAMENTO!R$15,$L45,0)</f>
        <v>(Código não identificado nas referências)</v>
      </c>
      <c r="G45" s="164" t="str">
        <f ca="1">IF($D45&lt;&gt;"Serviço","",OFFSET(ORÇAMENTO!S$15,$L45,0))</f>
        <v>-</v>
      </c>
      <c r="H45" s="122" cm="1">
        <f t="array" aca="1" ref="H45" ca="1">IF($D45&lt;&gt;"Serviço",0,IF(ACOMPANHAMENTO="BM",ROUND(OFFSET(ORÇAMENTO!AJ$15,$L45,0),15-13*ORÇAMENTO!$AF$7),IF(IFERROR(CÁLCULO.FrentesPreenchidas,0)=0,0,SUM(ROUND(OFFSET($P45,0,1,1,CÁLCULO.FrentesPreenchidas),15-13*ORÇAMENTO!$AF$7)))))</f>
        <v>6.81</v>
      </c>
      <c r="I45" s="468"/>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c r="L45" s="165">
        <f t="shared" ca="1" si="9"/>
        <v>30</v>
      </c>
      <c r="M45" s="166">
        <f ca="1">IF($D45&lt;&gt;"Serviço","",
          IF(AUTOEVENTO="manual",$A45,
                IF(ISERROR(MATCH($A45,$A$15:OFFSET($A45,-1,0),0)),MAX($M$15:OFFSET(M45,-1,0))+1,
                      INDEX($M$15:OFFSET(M45,-1,0),MATCH($A45,$A$15:OFFSET($A45,-1,0),0)))))</f>
        <v>6</v>
      </c>
      <c r="N45" s="167" t="str">
        <f ca="1">IF($D45&lt;&gt;"Serviço","",
         IF(AUTOEVENTO="Manual",
                IF($A45=0,"&lt;-- defina o número do agrupador",
                       OFFSET(EVENTOS!$D$15,$A45-$A$15,0)),
                OFFSET($F$15,$A45,0)))</f>
        <v>VIGA BALDRAME</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1000000000000</v>
      </c>
      <c r="AN45" s="171">
        <f ca="1">IF(OR($D45&lt;&gt;"Serviço",AND(AUTOEVENTO="Manual",$M45=$A$15)),0,
         IF(OFFSET(CRONOPLE!$F$15,$M45-$A$15,AN$13)=0,10^12,OFFSET(CRONOPLE!$F$15,$M45-$A$15,AN$13)))</f>
        <v>1000000000000</v>
      </c>
      <c r="AO45" s="171">
        <f ca="1">IF(OR($D45&lt;&gt;"Serviço",AND(AUTOEVENTO="Manual",$M45=$A$15)),0,
         IF(OFFSET(CRONOPLE!$F$15,$M45-$A$15,AO$13)=0,10^12,OFFSET(CRONOPLE!$F$15,$M45-$A$15,AO$13)))</f>
        <v>1000000000000</v>
      </c>
      <c r="AP45" s="171">
        <f ca="1">IF(OR($D45&lt;&gt;"Serviço",AND(AUTOEVENTO="Manual",$M45=$A$15)),0,
         IF(OFFSET(CRONOPLE!$F$15,$M45-$A$15,AP$13)=0,10^12,OFFSET(CRONOPLE!$F$15,$M45-$A$15,AP$13)))</f>
        <v>1000000000000</v>
      </c>
      <c r="AQ45" s="171">
        <f ca="1">IF(OR($D45&lt;&gt;"Serviço",AND(AUTOEVENTO="Manual",$M45=$A$15)),0,
         IF(OFFSET(CRONOPLE!$F$15,$M45-$A$15,AQ$13)=0,10^12,OFFSET(CRONOPLE!$F$15,$M45-$A$15,AQ$13)))</f>
        <v>1000000000000</v>
      </c>
      <c r="AR45" s="171">
        <f ca="1">IF(OR($D45&lt;&gt;"Serviço",AND(AUTOEVENTO="Manual",$M45=$A$15)),0,
         IF(OFFSET(CRONOPLE!$F$15,$M45-$A$15,AR$13)=0,10^12,OFFSET(CRONOPLE!$F$15,$M45-$A$15,AR$13)))</f>
        <v>1000000000000</v>
      </c>
      <c r="AS45" s="171">
        <f ca="1">IF(OR($D45&lt;&gt;"Serviço",AND(AUTOEVENTO="Manual",$M45=$A$15)),0,
         IF(OFFSET(CRONOPLE!$F$15,$M45-$A$15,AS$13)=0,10^12,OFFSET(CRONOPLE!$F$15,$M45-$A$15,AS$13)))</f>
        <v>1000000000000</v>
      </c>
      <c r="AT45" s="171">
        <f ca="1">IF(OR($D45&lt;&gt;"Serviço",AND(AUTOEVENTO="Manual",$M45=$A$15)),0,
         IF(OFFSET(CRONOPLE!$F$15,$M45-$A$15,AT$13)=0,10^12,OFFSET(CRONOPLE!$F$15,$M45-$A$15,AT$13)))</f>
        <v>1000000000000</v>
      </c>
      <c r="AU45" s="171">
        <f ca="1">IF(OR($D45&lt;&gt;"Serviço",AND(AUTOEVENTO="Manual",$M45=$A$15)),0,
         IF(OFFSET(CRONOPLE!$F$15,$M45-$A$15,AU$13)=0,10^12,OFFSET(CRONOPLE!$F$15,$M45-$A$15,AU$13)))</f>
        <v>1000000000000</v>
      </c>
      <c r="AV45" s="171">
        <f ca="1">IF(OR($D45&lt;&gt;"Serviço",AND(AUTOEVENTO="Manual",$M45=$A$15)),0,
         IF(OFFSET(CRONOPLE!$F$15,$M45-$A$15,AV$13)=0,10^12,OFFSET(CRONOPLE!$F$15,$M45-$A$15,AV$13)))</f>
        <v>1000000000000</v>
      </c>
      <c r="AX45" s="172" cm="1">
        <f t="array" aca="1" ref="AX45" ca="1">IF(OR($D45&lt;&gt;"Serviço",AND(AUTOEVENTO="Manual",$M45=$A$15),$M45&gt;(ROW(PLE.lastrow)-ROW(PLE.firstrow))),0,
           IF(OFFSET(PLE!$G$15,$M45-$A$15,AX$13)="",10^12,OFFSET(PLE!$G$15,$M45-$A$15,AX$13)))</f>
        <v>1000000000000</v>
      </c>
      <c r="AY45" s="172" cm="1">
        <f t="array" aca="1" ref="AY45" ca="1">IF(OR($D45&lt;&gt;"Serviço",AND(AUTOEVENTO="Manual",$M45=$A$15),$M45&gt;(ROW(PLE.lastrow)-ROW(PLE.firstrow))),0,
           IF(OFFSET(PLE!$G$15,$M45-$A$15,AY$13)="",10^12,OFFSET(PLE!$G$15,$M45-$A$15,AY$13)))</f>
        <v>1000000000000</v>
      </c>
      <c r="AZ45" s="172" cm="1">
        <f t="array" aca="1" ref="AZ45" ca="1">IF(OR($D45&lt;&gt;"Serviço",AND(AUTOEVENTO="Manual",$M45=$A$15),$M45&gt;(ROW(PLE.lastrow)-ROW(PLE.firstrow))),0,
           IF(OFFSET(PLE!$G$15,$M45-$A$15,AZ$13)="",10^12,OFFSET(PLE!$G$15,$M45-$A$15,AZ$13)))</f>
        <v>1000000000000</v>
      </c>
      <c r="BA45" s="172" cm="1">
        <f t="array" aca="1" ref="BA45" ca="1">IF(OR($D45&lt;&gt;"Serviço",AND(AUTOEVENTO="Manual",$M45=$A$15),$M45&gt;(ROW(PLE.lastrow)-ROW(PLE.firstrow))),0,
           IF(OFFSET(PLE!$G$15,$M45-$A$15,BA$13)="",10^12,OFFSET(PLE!$G$15,$M45-$A$15,BA$13)))</f>
        <v>1000000000000</v>
      </c>
      <c r="BB45" s="172" cm="1">
        <f t="array" aca="1" ref="BB45" ca="1">IF(OR($D45&lt;&gt;"Serviço",AND(AUTOEVENTO="Manual",$M45=$A$15),$M45&gt;(ROW(PLE.lastrow)-ROW(PLE.firstrow))),0,
           IF(OFFSET(PLE!$G$15,$M45-$A$15,BB$13)="",10^12,OFFSET(PLE!$G$15,$M45-$A$15,BB$13)))</f>
        <v>1000000000000</v>
      </c>
      <c r="BC45" s="172" cm="1">
        <f t="array" aca="1" ref="BC45" ca="1">IF(OR($D45&lt;&gt;"Serviço",AND(AUTOEVENTO="Manual",$M45=$A$15),$M45&gt;(ROW(PLE.lastrow)-ROW(PLE.firstrow))),0,
           IF(OFFSET(PLE!$G$15,$M45-$A$15,BC$13)="",10^12,OFFSET(PLE!$G$15,$M45-$A$15,BC$13)))</f>
        <v>1000000000000</v>
      </c>
      <c r="BD45" s="172" cm="1">
        <f t="array" aca="1" ref="BD45" ca="1">IF(OR($D45&lt;&gt;"Serviço",AND(AUTOEVENTO="Manual",$M45=$A$15),$M45&gt;(ROW(PLE.lastrow)-ROW(PLE.firstrow))),0,
           IF(OFFSET(PLE!$G$15,$M45-$A$15,BD$13)="",10^12,OFFSET(PLE!$G$15,$M45-$A$15,BD$13)))</f>
        <v>1000000000000</v>
      </c>
      <c r="BE45" s="172" cm="1">
        <f t="array" aca="1" ref="BE45" ca="1">IF(OR($D45&lt;&gt;"Serviço",AND(AUTOEVENTO="Manual",$M45=$A$15),$M45&gt;(ROW(PLE.lastrow)-ROW(PLE.firstrow))),0,
           IF(OFFSET(PLE!$G$15,$M45-$A$15,BE$13)="",10^12,OFFSET(PLE!$G$15,$M45-$A$15,BE$13)))</f>
        <v>1000000000000</v>
      </c>
      <c r="BF45" s="172" cm="1">
        <f t="array" aca="1" ref="BF45" ca="1">IF(OR($D45&lt;&gt;"Serviço",AND(AUTOEVENTO="Manual",$M45=$A$15),$M45&gt;(ROW(PLE.lastrow)-ROW(PLE.firstrow))),0,
           IF(OFFSET(PLE!$G$15,$M45-$A$15,BF$13)="",10^12,OFFSET(PLE!$G$15,$M45-$A$15,BF$13)))</f>
        <v>1000000000000</v>
      </c>
      <c r="BG45" s="172" cm="1">
        <f t="array" aca="1" ref="BG45" ca="1">IF(OR($D45&lt;&gt;"Serviço",AND(AUTOEVENTO="Manual",$M45=$A$15),$M45&gt;(ROW(PLE.lastrow)-ROW(PLE.firstrow))),0,
           IF(OFFSET(PLE!$G$15,$M45-$A$15,BG$13)="",10^12,OFFSET(PLE!$G$15,$M45-$A$15,BG$13)))</f>
        <v>1000000000000</v>
      </c>
    </row>
    <row r="46" spans="1:59" ht="25.5" x14ac:dyDescent="0.2">
      <c r="A46" s="7" t="str">
        <f t="shared" ca="1" si="8"/>
        <v>28</v>
      </c>
      <c r="B46" s="7" t="str">
        <f ca="1">OFFSET(ORÇAMENTO!C$15,$L46,0)</f>
        <v>S</v>
      </c>
      <c r="C46" s="7" t="str">
        <f ca="1">OFFSET(ORÇAMENTO!L$15,$L46,0)</f>
        <v/>
      </c>
      <c r="D46" s="116" t="str">
        <f ca="1">OFFSET(ORÇAMENTO!N$15,$L46,0)</f>
        <v>Serviço</v>
      </c>
      <c r="E46" s="117" t="str">
        <f ca="1">OFFSET(ORÇAMENTO!O$15,$L46,0)</f>
        <v>-</v>
      </c>
      <c r="F46" s="163" t="str">
        <f ca="1">OFFSET(ORÇAMENTO!R$15,$L46,0)</f>
        <v>(Código não identificado nas referências)</v>
      </c>
      <c r="G46" s="164" t="str">
        <f ca="1">IF($D46&lt;&gt;"Serviço","",OFFSET(ORÇAMENTO!S$15,$L46,0))</f>
        <v>-</v>
      </c>
      <c r="H46" s="122" cm="1">
        <f t="array" aca="1" ref="H46" ca="1">IF($D46&lt;&gt;"Serviço",0,IF(ACOMPANHAMENTO="BM",ROUND(OFFSET(ORÇAMENTO!AJ$15,$L46,0),15-13*ORÇAMENTO!$AF$7),IF(IFERROR(CÁLCULO.FrentesPreenchidas,0)=0,0,SUM(ROUND(OFFSET($P46,0,1,1,CÁLCULO.FrentesPreenchidas),15-13*ORÇAMENTO!$AF$7)))))</f>
        <v>3.48</v>
      </c>
      <c r="I46" s="468"/>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c r="L46" s="165">
        <f t="shared" ca="1" si="9"/>
        <v>31</v>
      </c>
      <c r="M46" s="166">
        <f ca="1">IF($D46&lt;&gt;"Serviço","",
          IF(AUTOEVENTO="manual",$A46,
                IF(ISERROR(MATCH($A46,$A$15:OFFSET($A46,-1,0),0)),MAX($M$15:OFFSET(M46,-1,0))+1,
                      INDEX($M$15:OFFSET(M46,-1,0),MATCH($A46,$A$15:OFFSET($A46,-1,0),0)))))</f>
        <v>6</v>
      </c>
      <c r="N46" s="167" t="str">
        <f ca="1">IF($D46&lt;&gt;"Serviço","",
         IF(AUTOEVENTO="Manual",
                IF($A46=0,"&lt;-- defina o número do agrupador",
                       OFFSET(EVENTOS!$D$15,$A46-$A$15,0)),
                OFFSET($F$15,$A46,0)))</f>
        <v>VIGA BALDRAME</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1000000000000</v>
      </c>
      <c r="AN46" s="171">
        <f ca="1">IF(OR($D46&lt;&gt;"Serviço",AND(AUTOEVENTO="Manual",$M46=$A$15)),0,
         IF(OFFSET(CRONOPLE!$F$15,$M46-$A$15,AN$13)=0,10^12,OFFSET(CRONOPLE!$F$15,$M46-$A$15,AN$13)))</f>
        <v>1000000000000</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ht="38.25" x14ac:dyDescent="0.2">
      <c r="A47" s="7" t="str">
        <f t="shared" ca="1" si="8"/>
        <v>28</v>
      </c>
      <c r="B47" s="7" t="str">
        <f ca="1">OFFSET(ORÇAMENTO!C$15,$L47,0)</f>
        <v>S</v>
      </c>
      <c r="C47" s="7" t="str">
        <f ca="1">OFFSET(ORÇAMENTO!L$15,$L47,0)</f>
        <v/>
      </c>
      <c r="D47" s="116" t="str">
        <f ca="1">OFFSET(ORÇAMENTO!N$15,$L47,0)</f>
        <v>Serviço</v>
      </c>
      <c r="E47" s="117" t="str">
        <f ca="1">OFFSET(ORÇAMENTO!O$15,$L47,0)</f>
        <v>-</v>
      </c>
      <c r="F47" s="163" t="str">
        <f ca="1">OFFSET(ORÇAMENTO!R$15,$L47,0)</f>
        <v>(Código não identificado nas referências)</v>
      </c>
      <c r="G47" s="164" t="str">
        <f ca="1">IF($D47&lt;&gt;"Serviço","",OFFSET(ORÇAMENTO!S$15,$L47,0))</f>
        <v>-</v>
      </c>
      <c r="H47" s="122" cm="1">
        <f t="array" aca="1" ref="H47" ca="1">IF($D47&lt;&gt;"Serviço",0,IF(ACOMPANHAMENTO="BM",ROUND(OFFSET(ORÇAMENTO!AJ$15,$L47,0),15-13*ORÇAMENTO!$AF$7),IF(IFERROR(CÁLCULO.FrentesPreenchidas,0)=0,0,SUM(ROUND(OFFSET($P47,0,1,1,CÁLCULO.FrentesPreenchidas),15-13*ORÇAMENTO!$AF$7)))))</f>
        <v>0.26</v>
      </c>
      <c r="I47" s="468"/>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2"/>
      <c r="L47" s="165">
        <f t="shared" ca="1" si="9"/>
        <v>32</v>
      </c>
      <c r="M47" s="166">
        <f ca="1">IF($D47&lt;&gt;"Serviço","",
          IF(AUTOEVENTO="manual",$A47,
                IF(ISERROR(MATCH($A47,$A$15:OFFSET($A47,-1,0),0)),MAX($M$15:OFFSET(M47,-1,0))+1,
                      INDEX($M$15:OFFSET(M47,-1,0),MATCH($A47,$A$15:OFFSET($A47,-1,0),0)))))</f>
        <v>6</v>
      </c>
      <c r="N47" s="167" t="str">
        <f ca="1">IF($D47&lt;&gt;"Serviço","",
         IF(AUTOEVENTO="Manual",
                IF($A47=0,"&lt;-- defina o número do agrupador",
                       OFFSET(EVENTOS!$D$15,$A47-$A$15,0)),
                OFFSET($F$15,$A47,0)))</f>
        <v>VIGA BALDRAME</v>
      </c>
      <c r="O47" s="168"/>
      <c r="Q47" s="168"/>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1000000000000</v>
      </c>
      <c r="AN47" s="171">
        <f ca="1">IF(OR($D47&lt;&gt;"Serviço",AND(AUTOEVENTO="Manual",$M47=$A$15)),0,
         IF(OFFSET(CRONOPLE!$F$15,$M47-$A$15,AN$13)=0,10^12,OFFSET(CRONOPLE!$F$15,$M47-$A$15,AN$13)))</f>
        <v>1000000000000</v>
      </c>
      <c r="AO47" s="171">
        <f ca="1">IF(OR($D47&lt;&gt;"Serviço",AND(AUTOEVENTO="Manual",$M47=$A$15)),0,
         IF(OFFSET(CRONOPLE!$F$15,$M47-$A$15,AO$13)=0,10^12,OFFSET(CRONOPLE!$F$15,$M47-$A$15,AO$13)))</f>
        <v>1000000000000</v>
      </c>
      <c r="AP47" s="171">
        <f ca="1">IF(OR($D47&lt;&gt;"Serviço",AND(AUTOEVENTO="Manual",$M47=$A$15)),0,
         IF(OFFSET(CRONOPLE!$F$15,$M47-$A$15,AP$13)=0,10^12,OFFSET(CRONOPLE!$F$15,$M47-$A$15,AP$13)))</f>
        <v>1000000000000</v>
      </c>
      <c r="AQ47" s="171">
        <f ca="1">IF(OR($D47&lt;&gt;"Serviço",AND(AUTOEVENTO="Manual",$M47=$A$15)),0,
         IF(OFFSET(CRONOPLE!$F$15,$M47-$A$15,AQ$13)=0,10^12,OFFSET(CRONOPLE!$F$15,$M47-$A$15,AQ$13)))</f>
        <v>1000000000000</v>
      </c>
      <c r="AR47" s="171">
        <f ca="1">IF(OR($D47&lt;&gt;"Serviço",AND(AUTOEVENTO="Manual",$M47=$A$15)),0,
         IF(OFFSET(CRONOPLE!$F$15,$M47-$A$15,AR$13)=0,10^12,OFFSET(CRONOPLE!$F$15,$M47-$A$15,AR$13)))</f>
        <v>1000000000000</v>
      </c>
      <c r="AS47" s="171">
        <f ca="1">IF(OR($D47&lt;&gt;"Serviço",AND(AUTOEVENTO="Manual",$M47=$A$15)),0,
         IF(OFFSET(CRONOPLE!$F$15,$M47-$A$15,AS$13)=0,10^12,OFFSET(CRONOPLE!$F$15,$M47-$A$15,AS$13)))</f>
        <v>1000000000000</v>
      </c>
      <c r="AT47" s="171">
        <f ca="1">IF(OR($D47&lt;&gt;"Serviço",AND(AUTOEVENTO="Manual",$M47=$A$15)),0,
         IF(OFFSET(CRONOPLE!$F$15,$M47-$A$15,AT$13)=0,10^12,OFFSET(CRONOPLE!$F$15,$M47-$A$15,AT$13)))</f>
        <v>1000000000000</v>
      </c>
      <c r="AU47" s="171">
        <f ca="1">IF(OR($D47&lt;&gt;"Serviço",AND(AUTOEVENTO="Manual",$M47=$A$15)),0,
         IF(OFFSET(CRONOPLE!$F$15,$M47-$A$15,AU$13)=0,10^12,OFFSET(CRONOPLE!$F$15,$M47-$A$15,AU$13)))</f>
        <v>1000000000000</v>
      </c>
      <c r="AV47" s="171">
        <f ca="1">IF(OR($D47&lt;&gt;"Serviço",AND(AUTOEVENTO="Manual",$M47=$A$15)),0,
         IF(OFFSET(CRONOPLE!$F$15,$M47-$A$15,AV$13)=0,10^12,OFFSET(CRONOPLE!$F$15,$M47-$A$15,AV$13)))</f>
        <v>1000000000000</v>
      </c>
      <c r="AX47" s="172" cm="1">
        <f t="array" aca="1" ref="AX47" ca="1">IF(OR($D47&lt;&gt;"Serviço",AND(AUTOEVENTO="Manual",$M47=$A$15),$M47&gt;(ROW(PLE.lastrow)-ROW(PLE.firstrow))),0,
           IF(OFFSET(PLE!$G$15,$M47-$A$15,AX$13)="",10^12,OFFSET(PLE!$G$15,$M47-$A$15,AX$13)))</f>
        <v>1000000000000</v>
      </c>
      <c r="AY47" s="172" cm="1">
        <f t="array" aca="1" ref="AY47" ca="1">IF(OR($D47&lt;&gt;"Serviço",AND(AUTOEVENTO="Manual",$M47=$A$15),$M47&gt;(ROW(PLE.lastrow)-ROW(PLE.firstrow))),0,
           IF(OFFSET(PLE!$G$15,$M47-$A$15,AY$13)="",10^12,OFFSET(PLE!$G$15,$M47-$A$15,AY$13)))</f>
        <v>1000000000000</v>
      </c>
      <c r="AZ47" s="172" cm="1">
        <f t="array" aca="1" ref="AZ47" ca="1">IF(OR($D47&lt;&gt;"Serviço",AND(AUTOEVENTO="Manual",$M47=$A$15),$M47&gt;(ROW(PLE.lastrow)-ROW(PLE.firstrow))),0,
           IF(OFFSET(PLE!$G$15,$M47-$A$15,AZ$13)="",10^12,OFFSET(PLE!$G$15,$M47-$A$15,AZ$13)))</f>
        <v>1000000000000</v>
      </c>
      <c r="BA47" s="172" cm="1">
        <f t="array" aca="1" ref="BA47" ca="1">IF(OR($D47&lt;&gt;"Serviço",AND(AUTOEVENTO="Manual",$M47=$A$15),$M47&gt;(ROW(PLE.lastrow)-ROW(PLE.firstrow))),0,
           IF(OFFSET(PLE!$G$15,$M47-$A$15,BA$13)="",10^12,OFFSET(PLE!$G$15,$M47-$A$15,BA$13)))</f>
        <v>1000000000000</v>
      </c>
      <c r="BB47" s="172" cm="1">
        <f t="array" aca="1" ref="BB47" ca="1">IF(OR($D47&lt;&gt;"Serviço",AND(AUTOEVENTO="Manual",$M47=$A$15),$M47&gt;(ROW(PLE.lastrow)-ROW(PLE.firstrow))),0,
           IF(OFFSET(PLE!$G$15,$M47-$A$15,BB$13)="",10^12,OFFSET(PLE!$G$15,$M47-$A$15,BB$13)))</f>
        <v>1000000000000</v>
      </c>
      <c r="BC47" s="172" cm="1">
        <f t="array" aca="1" ref="BC47" ca="1">IF(OR($D47&lt;&gt;"Serviço",AND(AUTOEVENTO="Manual",$M47=$A$15),$M47&gt;(ROW(PLE.lastrow)-ROW(PLE.firstrow))),0,
           IF(OFFSET(PLE!$G$15,$M47-$A$15,BC$13)="",10^12,OFFSET(PLE!$G$15,$M47-$A$15,BC$13)))</f>
        <v>1000000000000</v>
      </c>
      <c r="BD47" s="172" cm="1">
        <f t="array" aca="1" ref="BD47" ca="1">IF(OR($D47&lt;&gt;"Serviço",AND(AUTOEVENTO="Manual",$M47=$A$15),$M47&gt;(ROW(PLE.lastrow)-ROW(PLE.firstrow))),0,
           IF(OFFSET(PLE!$G$15,$M47-$A$15,BD$13)="",10^12,OFFSET(PLE!$G$15,$M47-$A$15,BD$13)))</f>
        <v>1000000000000</v>
      </c>
      <c r="BE47" s="172" cm="1">
        <f t="array" aca="1" ref="BE47" ca="1">IF(OR($D47&lt;&gt;"Serviço",AND(AUTOEVENTO="Manual",$M47=$A$15),$M47&gt;(ROW(PLE.lastrow)-ROW(PLE.firstrow))),0,
           IF(OFFSET(PLE!$G$15,$M47-$A$15,BE$13)="",10^12,OFFSET(PLE!$G$15,$M47-$A$15,BE$13)))</f>
        <v>1000000000000</v>
      </c>
      <c r="BF47" s="172" cm="1">
        <f t="array" aca="1" ref="BF47" ca="1">IF(OR($D47&lt;&gt;"Serviço",AND(AUTOEVENTO="Manual",$M47=$A$15),$M47&gt;(ROW(PLE.lastrow)-ROW(PLE.firstrow))),0,
           IF(OFFSET(PLE!$G$15,$M47-$A$15,BF$13)="",10^12,OFFSET(PLE!$G$15,$M47-$A$15,BF$13)))</f>
        <v>1000000000000</v>
      </c>
      <c r="BG47" s="172" cm="1">
        <f t="array" aca="1" ref="BG47" ca="1">IF(OR($D47&lt;&gt;"Serviço",AND(AUTOEVENTO="Manual",$M47=$A$15),$M47&gt;(ROW(PLE.lastrow)-ROW(PLE.firstrow))),0,
           IF(OFFSET(PLE!$G$15,$M47-$A$15,BG$13)="",10^12,OFFSET(PLE!$G$15,$M47-$A$15,BG$13)))</f>
        <v>1000000000000</v>
      </c>
    </row>
    <row r="48" spans="1:59" ht="12.75" x14ac:dyDescent="0.2">
      <c r="A48" s="7" t="str">
        <f t="shared" ca="1" si="8"/>
        <v>33.</v>
      </c>
      <c r="B48" s="7">
        <f ca="1">OFFSET(ORÇAMENTO!C$15,$L48,0)</f>
        <v>2</v>
      </c>
      <c r="C48" s="7" t="str">
        <f ca="1">OFFSET(ORÇAMENTO!L$15,$L48,0)</f>
        <v>F</v>
      </c>
      <c r="D48" s="116" t="str">
        <f ca="1">OFFSET(ORÇAMENTO!N$15,$L48,0)</f>
        <v>Nível 2</v>
      </c>
      <c r="E48" s="117" t="str">
        <f ca="1">OFFSET(ORÇAMENTO!O$15,$L48,0)</f>
        <v>2.3.</v>
      </c>
      <c r="F48" s="163" t="str">
        <f ca="1">OFFSET(ORÇAMENTO!R$15,$L48,0)</f>
        <v>PILARES</v>
      </c>
      <c r="G48" s="164" t="str">
        <f ca="1">IF($D48&lt;&gt;"Serviço","",OFFSET(ORÇAMENTO!S$15,$L48,0))</f>
        <v/>
      </c>
      <c r="H48" s="122" cm="1">
        <f t="array" aca="1" ref="H48" ca="1">IF($D48&lt;&gt;"Serviço",0,IF(ACOMPANHAMENTO="BM",ROUND(OFFSET(ORÇAMENTO!AJ$15,$L48,0),15-13*ORÇAMENTO!$AF$7),IF(IFERROR(CÁLCULO.FrentesPreenchidas,0)=0,0,SUM(ROUND(OFFSET($P48,0,1,1,CÁLCULO.FrentesPreenchidas),15-13*ORÇAMENTO!$AF$7)))))</f>
        <v>0</v>
      </c>
      <c r="I48" s="468"/>
      <c r="J48" s="651"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2"/>
      <c r="L48" s="165">
        <f t="shared" ca="1" si="9"/>
        <v>33</v>
      </c>
      <c r="M48" s="166" t="str">
        <f ca="1">IF($D48&lt;&gt;"Serviço","",
          IF(AUTOEVENTO="manual",$A48,
                IF(ISERROR(MATCH($A48,$A$15:OFFSET($A48,-1,0),0)),MAX($M$15:OFFSET(M48,-1,0))+1,
                      INDEX($M$15:OFFSET(M48,-1,0),MATCH($A48,$A$15:OFFSET($A48,-1,0),0)))))</f>
        <v/>
      </c>
      <c r="N48" s="167" t="str">
        <f ca="1">IF($D48&lt;&gt;"Serviço","",
         IF(AUTOEVENTO="Manual",
                IF($A48=0,"&lt;-- defina o número do agrupador",
                       OFFSET(EVENTOS!$D$15,$A48-$A$15,0)),
                OFFSET($F$15,$A48,0)))</f>
        <v/>
      </c>
      <c r="O48" s="168"/>
      <c r="Q48" s="168"/>
      <c r="R48" s="169"/>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0</v>
      </c>
      <c r="AN48" s="171">
        <f ca="1">IF(OR($D48&lt;&gt;"Serviço",AND(AUTOEVENTO="Manual",$M48=$A$15)),0,
         IF(OFFSET(CRONOPLE!$F$15,$M48-$A$15,AN$13)=0,10^12,OFFSET(CRONOPLE!$F$15,$M48-$A$15,AN$13)))</f>
        <v>0</v>
      </c>
      <c r="AO48" s="171">
        <f ca="1">IF(OR($D48&lt;&gt;"Serviço",AND(AUTOEVENTO="Manual",$M48=$A$15)),0,
         IF(OFFSET(CRONOPLE!$F$15,$M48-$A$15,AO$13)=0,10^12,OFFSET(CRONOPLE!$F$15,$M48-$A$15,AO$13)))</f>
        <v>0</v>
      </c>
      <c r="AP48" s="171">
        <f ca="1">IF(OR($D48&lt;&gt;"Serviço",AND(AUTOEVENTO="Manual",$M48=$A$15)),0,
         IF(OFFSET(CRONOPLE!$F$15,$M48-$A$15,AP$13)=0,10^12,OFFSET(CRONOPLE!$F$15,$M48-$A$15,AP$13)))</f>
        <v>0</v>
      </c>
      <c r="AQ48" s="171">
        <f ca="1">IF(OR($D48&lt;&gt;"Serviço",AND(AUTOEVENTO="Manual",$M48=$A$15)),0,
         IF(OFFSET(CRONOPLE!$F$15,$M48-$A$15,AQ$13)=0,10^12,OFFSET(CRONOPLE!$F$15,$M48-$A$15,AQ$13)))</f>
        <v>0</v>
      </c>
      <c r="AR48" s="171">
        <f ca="1">IF(OR($D48&lt;&gt;"Serviço",AND(AUTOEVENTO="Manual",$M48=$A$15)),0,
         IF(OFFSET(CRONOPLE!$F$15,$M48-$A$15,AR$13)=0,10^12,OFFSET(CRONOPLE!$F$15,$M48-$A$15,AR$13)))</f>
        <v>0</v>
      </c>
      <c r="AS48" s="171">
        <f ca="1">IF(OR($D48&lt;&gt;"Serviço",AND(AUTOEVENTO="Manual",$M48=$A$15)),0,
         IF(OFFSET(CRONOPLE!$F$15,$M48-$A$15,AS$13)=0,10^12,OFFSET(CRONOPLE!$F$15,$M48-$A$15,AS$13)))</f>
        <v>0</v>
      </c>
      <c r="AT48" s="171">
        <f ca="1">IF(OR($D48&lt;&gt;"Serviço",AND(AUTOEVENTO="Manual",$M48=$A$15)),0,
         IF(OFFSET(CRONOPLE!$F$15,$M48-$A$15,AT$13)=0,10^12,OFFSET(CRONOPLE!$F$15,$M48-$A$15,AT$13)))</f>
        <v>0</v>
      </c>
      <c r="AU48" s="171">
        <f ca="1">IF(OR($D48&lt;&gt;"Serviço",AND(AUTOEVENTO="Manual",$M48=$A$15)),0,
         IF(OFFSET(CRONOPLE!$F$15,$M48-$A$15,AU$13)=0,10^12,OFFSET(CRONOPLE!$F$15,$M48-$A$15,AU$13)))</f>
        <v>0</v>
      </c>
      <c r="AV48" s="171">
        <f ca="1">IF(OR($D48&lt;&gt;"Serviço",AND(AUTOEVENTO="Manual",$M48=$A$15)),0,
         IF(OFFSET(CRONOPLE!$F$15,$M48-$A$15,AV$13)=0,10^12,OFFSET(CRONOPLE!$F$15,$M48-$A$15,AV$13)))</f>
        <v>0</v>
      </c>
      <c r="AX48" s="172" cm="1">
        <f t="array" aca="1" ref="AX48" ca="1">IF(OR($D48&lt;&gt;"Serviço",AND(AUTOEVENTO="Manual",$M48=$A$15),$M48&gt;(ROW(PLE.lastrow)-ROW(PLE.firstrow))),0,
           IF(OFFSET(PLE!$G$15,$M48-$A$15,AX$13)="",10^12,OFFSET(PLE!$G$15,$M48-$A$15,AX$13)))</f>
        <v>0</v>
      </c>
      <c r="AY48" s="172" cm="1">
        <f t="array" aca="1" ref="AY48" ca="1">IF(OR($D48&lt;&gt;"Serviço",AND(AUTOEVENTO="Manual",$M48=$A$15),$M48&gt;(ROW(PLE.lastrow)-ROW(PLE.firstrow))),0,
           IF(OFFSET(PLE!$G$15,$M48-$A$15,AY$13)="",10^12,OFFSET(PLE!$G$15,$M48-$A$15,AY$13)))</f>
        <v>0</v>
      </c>
      <c r="AZ48" s="172" cm="1">
        <f t="array" aca="1" ref="AZ48" ca="1">IF(OR($D48&lt;&gt;"Serviço",AND(AUTOEVENTO="Manual",$M48=$A$15),$M48&gt;(ROW(PLE.lastrow)-ROW(PLE.firstrow))),0,
           IF(OFFSET(PLE!$G$15,$M48-$A$15,AZ$13)="",10^12,OFFSET(PLE!$G$15,$M48-$A$15,AZ$13)))</f>
        <v>0</v>
      </c>
      <c r="BA48" s="172" cm="1">
        <f t="array" aca="1" ref="BA48" ca="1">IF(OR($D48&lt;&gt;"Serviço",AND(AUTOEVENTO="Manual",$M48=$A$15),$M48&gt;(ROW(PLE.lastrow)-ROW(PLE.firstrow))),0,
           IF(OFFSET(PLE!$G$15,$M48-$A$15,BA$13)="",10^12,OFFSET(PLE!$G$15,$M48-$A$15,BA$13)))</f>
        <v>0</v>
      </c>
      <c r="BB48" s="172" cm="1">
        <f t="array" aca="1" ref="BB48" ca="1">IF(OR($D48&lt;&gt;"Serviço",AND(AUTOEVENTO="Manual",$M48=$A$15),$M48&gt;(ROW(PLE.lastrow)-ROW(PLE.firstrow))),0,
           IF(OFFSET(PLE!$G$15,$M48-$A$15,BB$13)="",10^12,OFFSET(PLE!$G$15,$M48-$A$15,BB$13)))</f>
        <v>0</v>
      </c>
      <c r="BC48" s="172" cm="1">
        <f t="array" aca="1" ref="BC48" ca="1">IF(OR($D48&lt;&gt;"Serviço",AND(AUTOEVENTO="Manual",$M48=$A$15),$M48&gt;(ROW(PLE.lastrow)-ROW(PLE.firstrow))),0,
           IF(OFFSET(PLE!$G$15,$M48-$A$15,BC$13)="",10^12,OFFSET(PLE!$G$15,$M48-$A$15,BC$13)))</f>
        <v>0</v>
      </c>
      <c r="BD48" s="172" cm="1">
        <f t="array" aca="1" ref="BD48" ca="1">IF(OR($D48&lt;&gt;"Serviço",AND(AUTOEVENTO="Manual",$M48=$A$15),$M48&gt;(ROW(PLE.lastrow)-ROW(PLE.firstrow))),0,
           IF(OFFSET(PLE!$G$15,$M48-$A$15,BD$13)="",10^12,OFFSET(PLE!$G$15,$M48-$A$15,BD$13)))</f>
        <v>0</v>
      </c>
      <c r="BE48" s="172" cm="1">
        <f t="array" aca="1" ref="BE48" ca="1">IF(OR($D48&lt;&gt;"Serviço",AND(AUTOEVENTO="Manual",$M48=$A$15),$M48&gt;(ROW(PLE.lastrow)-ROW(PLE.firstrow))),0,
           IF(OFFSET(PLE!$G$15,$M48-$A$15,BE$13)="",10^12,OFFSET(PLE!$G$15,$M48-$A$15,BE$13)))</f>
        <v>0</v>
      </c>
      <c r="BF48" s="172" cm="1">
        <f t="array" aca="1" ref="BF48" ca="1">IF(OR($D48&lt;&gt;"Serviço",AND(AUTOEVENTO="Manual",$M48=$A$15),$M48&gt;(ROW(PLE.lastrow)-ROW(PLE.firstrow))),0,
           IF(OFFSET(PLE!$G$15,$M48-$A$15,BF$13)="",10^12,OFFSET(PLE!$G$15,$M48-$A$15,BF$13)))</f>
        <v>0</v>
      </c>
      <c r="BG48" s="172" cm="1">
        <f t="array" aca="1" ref="BG48" ca="1">IF(OR($D48&lt;&gt;"Serviço",AND(AUTOEVENTO="Manual",$M48=$A$15),$M48&gt;(ROW(PLE.lastrow)-ROW(PLE.firstrow))),0,
           IF(OFFSET(PLE!$G$15,$M48-$A$15,BG$13)="",10^12,OFFSET(PLE!$G$15,$M48-$A$15,BG$13)))</f>
        <v>0</v>
      </c>
    </row>
    <row r="49" spans="1:59" ht="38.25" x14ac:dyDescent="0.2">
      <c r="A49" s="7" t="str">
        <f t="shared" ca="1" si="8"/>
        <v>33</v>
      </c>
      <c r="B49" s="7" t="str">
        <f ca="1">OFFSET(ORÇAMENTO!C$15,$L49,0)</f>
        <v>S</v>
      </c>
      <c r="C49" s="7" t="str">
        <f ca="1">OFFSET(ORÇAMENTO!L$15,$L49,0)</f>
        <v/>
      </c>
      <c r="D49" s="116" t="str">
        <f ca="1">OFFSET(ORÇAMENTO!N$15,$L49,0)</f>
        <v>Serviço</v>
      </c>
      <c r="E49" s="117" t="str">
        <f ca="1">OFFSET(ORÇAMENTO!O$15,$L49,0)</f>
        <v>-</v>
      </c>
      <c r="F49" s="163" t="str">
        <f ca="1">OFFSET(ORÇAMENTO!R$15,$L49,0)</f>
        <v>(Código não identificado nas referências)</v>
      </c>
      <c r="G49" s="164" t="str">
        <f ca="1">IF($D49&lt;&gt;"Serviço","",OFFSET(ORÇAMENTO!S$15,$L49,0))</f>
        <v>-</v>
      </c>
      <c r="H49" s="122" cm="1">
        <f t="array" aca="1" ref="H49" ca="1">IF($D49&lt;&gt;"Serviço",0,IF(ACOMPANHAMENTO="BM",ROUND(OFFSET(ORÇAMENTO!AJ$15,$L49,0),15-13*ORÇAMENTO!$AF$7),IF(IFERROR(CÁLCULO.FrentesPreenchidas,0)=0,0,SUM(ROUND(OFFSET($P49,0,1,1,CÁLCULO.FrentesPreenchidas),15-13*ORÇAMENTO!$AF$7)))))</f>
        <v>5.01</v>
      </c>
      <c r="I49" s="468"/>
      <c r="J49" s="651"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2"/>
      <c r="L49" s="165">
        <f t="shared" ca="1" si="9"/>
        <v>34</v>
      </c>
      <c r="M49" s="166">
        <f ca="1">IF($D49&lt;&gt;"Serviço","",
          IF(AUTOEVENTO="manual",$A49,
                IF(ISERROR(MATCH($A49,$A$15:OFFSET($A49,-1,0),0)),MAX($M$15:OFFSET(M49,-1,0))+1,
                      INDEX($M$15:OFFSET(M49,-1,0),MATCH($A49,$A$15:OFFSET($A49,-1,0),0)))))</f>
        <v>7</v>
      </c>
      <c r="N49" s="167" t="str">
        <f ca="1">IF($D49&lt;&gt;"Serviço","",
         IF(AUTOEVENTO="Manual",
                IF($A49=0,"&lt;-- defina o número do agrupador",
                       OFFSET(EVENTOS!$D$15,$A49-$A$15,0)),
                OFFSET($F$15,$A49,0)))</f>
        <v>PILARES</v>
      </c>
      <c r="O49" s="168"/>
      <c r="Q49" s="168"/>
      <c r="R49" s="169"/>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1000000000000</v>
      </c>
      <c r="AN49" s="171">
        <f ca="1">IF(OR($D49&lt;&gt;"Serviço",AND(AUTOEVENTO="Manual",$M49=$A$15)),0,
         IF(OFFSET(CRONOPLE!$F$15,$M49-$A$15,AN$13)=0,10^12,OFFSET(CRONOPLE!$F$15,$M49-$A$15,AN$13)))</f>
        <v>1000000000000</v>
      </c>
      <c r="AO49" s="171">
        <f ca="1">IF(OR($D49&lt;&gt;"Serviço",AND(AUTOEVENTO="Manual",$M49=$A$15)),0,
         IF(OFFSET(CRONOPLE!$F$15,$M49-$A$15,AO$13)=0,10^12,OFFSET(CRONOPLE!$F$15,$M49-$A$15,AO$13)))</f>
        <v>1000000000000</v>
      </c>
      <c r="AP49" s="171">
        <f ca="1">IF(OR($D49&lt;&gt;"Serviço",AND(AUTOEVENTO="Manual",$M49=$A$15)),0,
         IF(OFFSET(CRONOPLE!$F$15,$M49-$A$15,AP$13)=0,10^12,OFFSET(CRONOPLE!$F$15,$M49-$A$15,AP$13)))</f>
        <v>1000000000000</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cm="1">
        <f t="array" aca="1" ref="AX49" ca="1">IF(OR($D49&lt;&gt;"Serviço",AND(AUTOEVENTO="Manual",$M49=$A$15),$M49&gt;(ROW(PLE.lastrow)-ROW(PLE.firstrow))),0,
           IF(OFFSET(PLE!$G$15,$M49-$A$15,AX$13)="",10^12,OFFSET(PLE!$G$15,$M49-$A$15,AX$13)))</f>
        <v>1000000000000</v>
      </c>
      <c r="AY49" s="172" cm="1">
        <f t="array" aca="1" ref="AY49" ca="1">IF(OR($D49&lt;&gt;"Serviço",AND(AUTOEVENTO="Manual",$M49=$A$15),$M49&gt;(ROW(PLE.lastrow)-ROW(PLE.firstrow))),0,
           IF(OFFSET(PLE!$G$15,$M49-$A$15,AY$13)="",10^12,OFFSET(PLE!$G$15,$M49-$A$15,AY$13)))</f>
        <v>1000000000000</v>
      </c>
      <c r="AZ49" s="172" cm="1">
        <f t="array" aca="1" ref="AZ49" ca="1">IF(OR($D49&lt;&gt;"Serviço",AND(AUTOEVENTO="Manual",$M49=$A$15),$M49&gt;(ROW(PLE.lastrow)-ROW(PLE.firstrow))),0,
           IF(OFFSET(PLE!$G$15,$M49-$A$15,AZ$13)="",10^12,OFFSET(PLE!$G$15,$M49-$A$15,AZ$13)))</f>
        <v>1000000000000</v>
      </c>
      <c r="BA49" s="172" cm="1">
        <f t="array" aca="1" ref="BA49" ca="1">IF(OR($D49&lt;&gt;"Serviço",AND(AUTOEVENTO="Manual",$M49=$A$15),$M49&gt;(ROW(PLE.lastrow)-ROW(PLE.firstrow))),0,
           IF(OFFSET(PLE!$G$15,$M49-$A$15,BA$13)="",10^12,OFFSET(PLE!$G$15,$M49-$A$15,BA$13)))</f>
        <v>1000000000000</v>
      </c>
      <c r="BB49" s="172" cm="1">
        <f t="array" aca="1" ref="BB49" ca="1">IF(OR($D49&lt;&gt;"Serviço",AND(AUTOEVENTO="Manual",$M49=$A$15),$M49&gt;(ROW(PLE.lastrow)-ROW(PLE.firstrow))),0,
           IF(OFFSET(PLE!$G$15,$M49-$A$15,BB$13)="",10^12,OFFSET(PLE!$G$15,$M49-$A$15,BB$13)))</f>
        <v>1000000000000</v>
      </c>
      <c r="BC49" s="172" cm="1">
        <f t="array" aca="1" ref="BC49" ca="1">IF(OR($D49&lt;&gt;"Serviço",AND(AUTOEVENTO="Manual",$M49=$A$15),$M49&gt;(ROW(PLE.lastrow)-ROW(PLE.firstrow))),0,
           IF(OFFSET(PLE!$G$15,$M49-$A$15,BC$13)="",10^12,OFFSET(PLE!$G$15,$M49-$A$15,BC$13)))</f>
        <v>1000000000000</v>
      </c>
      <c r="BD49" s="172" cm="1">
        <f t="array" aca="1" ref="BD49" ca="1">IF(OR($D49&lt;&gt;"Serviço",AND(AUTOEVENTO="Manual",$M49=$A$15),$M49&gt;(ROW(PLE.lastrow)-ROW(PLE.firstrow))),0,
           IF(OFFSET(PLE!$G$15,$M49-$A$15,BD$13)="",10^12,OFFSET(PLE!$G$15,$M49-$A$15,BD$13)))</f>
        <v>1000000000000</v>
      </c>
      <c r="BE49" s="172" cm="1">
        <f t="array" aca="1" ref="BE49" ca="1">IF(OR($D49&lt;&gt;"Serviço",AND(AUTOEVENTO="Manual",$M49=$A$15),$M49&gt;(ROW(PLE.lastrow)-ROW(PLE.firstrow))),0,
           IF(OFFSET(PLE!$G$15,$M49-$A$15,BE$13)="",10^12,OFFSET(PLE!$G$15,$M49-$A$15,BE$13)))</f>
        <v>1000000000000</v>
      </c>
      <c r="BF49" s="172" cm="1">
        <f t="array" aca="1" ref="BF49" ca="1">IF(OR($D49&lt;&gt;"Serviço",AND(AUTOEVENTO="Manual",$M49=$A$15),$M49&gt;(ROW(PLE.lastrow)-ROW(PLE.firstrow))),0,
           IF(OFFSET(PLE!$G$15,$M49-$A$15,BF$13)="",10^12,OFFSET(PLE!$G$15,$M49-$A$15,BF$13)))</f>
        <v>1000000000000</v>
      </c>
      <c r="BG49" s="172" cm="1">
        <f t="array" aca="1" ref="BG49" ca="1">IF(OR($D49&lt;&gt;"Serviço",AND(AUTOEVENTO="Manual",$M49=$A$15),$M49&gt;(ROW(PLE.lastrow)-ROW(PLE.firstrow))),0,
           IF(OFFSET(PLE!$G$15,$M49-$A$15,BG$13)="",10^12,OFFSET(PLE!$G$15,$M49-$A$15,BG$13)))</f>
        <v>1000000000000</v>
      </c>
    </row>
    <row r="50" spans="1:59" ht="38.25" x14ac:dyDescent="0.2">
      <c r="A50" s="7" t="str">
        <f t="shared" ca="1" si="8"/>
        <v>33</v>
      </c>
      <c r="B50" s="7" t="str">
        <f ca="1">OFFSET(ORÇAMENTO!C$15,$L50,0)</f>
        <v>S</v>
      </c>
      <c r="C50" s="7" t="str">
        <f ca="1">OFFSET(ORÇAMENTO!L$15,$L50,0)</f>
        <v/>
      </c>
      <c r="D50" s="116" t="str">
        <f ca="1">OFFSET(ORÇAMENTO!N$15,$L50,0)</f>
        <v>Serviço</v>
      </c>
      <c r="E50" s="117" t="str">
        <f ca="1">OFFSET(ORÇAMENTO!O$15,$L50,0)</f>
        <v>-</v>
      </c>
      <c r="F50" s="163" t="str">
        <f ca="1">OFFSET(ORÇAMENTO!R$15,$L50,0)</f>
        <v>(Código não identificado nas referências)</v>
      </c>
      <c r="G50" s="164" t="str">
        <f ca="1">IF($D50&lt;&gt;"Serviço","",OFFSET(ORÇAMENTO!S$15,$L50,0))</f>
        <v>-</v>
      </c>
      <c r="H50" s="122" cm="1">
        <f t="array" aca="1" ref="H50" ca="1">IF($D50&lt;&gt;"Serviço",0,IF(ACOMPANHAMENTO="BM",ROUND(OFFSET(ORÇAMENTO!AJ$15,$L50,0),15-13*ORÇAMENTO!$AF$7),IF(IFERROR(CÁLCULO.FrentesPreenchidas,0)=0,0,SUM(ROUND(OFFSET($P50,0,1,1,CÁLCULO.FrentesPreenchidas),15-13*ORÇAMENTO!$AF$7)))))</f>
        <v>14.81</v>
      </c>
      <c r="I50" s="468"/>
      <c r="J50" s="651"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2"/>
      <c r="L50" s="165">
        <f t="shared" ca="1" si="9"/>
        <v>35</v>
      </c>
      <c r="M50" s="166">
        <f ca="1">IF($D50&lt;&gt;"Serviço","",
          IF(AUTOEVENTO="manual",$A50,
                IF(ISERROR(MATCH($A50,$A$15:OFFSET($A50,-1,0),0)),MAX($M$15:OFFSET(M50,-1,0))+1,
                      INDEX($M$15:OFFSET(M50,-1,0),MATCH($A50,$A$15:OFFSET($A50,-1,0),0)))))</f>
        <v>7</v>
      </c>
      <c r="N50" s="167" t="str">
        <f ca="1">IF($D50&lt;&gt;"Serviço","",
         IF(AUTOEVENTO="Manual",
                IF($A50=0,"&lt;-- defina o número do agrupador",
                       OFFSET(EVENTOS!$D$15,$A50-$A$15,0)),
                OFFSET($F$15,$A50,0)))</f>
        <v>PILARES</v>
      </c>
      <c r="O50" s="168"/>
      <c r="Q50" s="168"/>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1000000000000</v>
      </c>
      <c r="AN50" s="171">
        <f ca="1">IF(OR($D50&lt;&gt;"Serviço",AND(AUTOEVENTO="Manual",$M50=$A$15)),0,
         IF(OFFSET(CRONOPLE!$F$15,$M50-$A$15,AN$13)=0,10^12,OFFSET(CRONOPLE!$F$15,$M50-$A$15,AN$13)))</f>
        <v>1000000000000</v>
      </c>
      <c r="AO50" s="171">
        <f ca="1">IF(OR($D50&lt;&gt;"Serviço",AND(AUTOEVENTO="Manual",$M50=$A$15)),0,
         IF(OFFSET(CRONOPLE!$F$15,$M50-$A$15,AO$13)=0,10^12,OFFSET(CRONOPLE!$F$15,$M50-$A$15,AO$13)))</f>
        <v>1000000000000</v>
      </c>
      <c r="AP50" s="171">
        <f ca="1">IF(OR($D50&lt;&gt;"Serviço",AND(AUTOEVENTO="Manual",$M50=$A$15)),0,
         IF(OFFSET(CRONOPLE!$F$15,$M50-$A$15,AP$13)=0,10^12,OFFSET(CRONOPLE!$F$15,$M50-$A$15,AP$13)))</f>
        <v>1000000000000</v>
      </c>
      <c r="AQ50" s="171">
        <f ca="1">IF(OR($D50&lt;&gt;"Serviço",AND(AUTOEVENTO="Manual",$M50=$A$15)),0,
         IF(OFFSET(CRONOPLE!$F$15,$M50-$A$15,AQ$13)=0,10^12,OFFSET(CRONOPLE!$F$15,$M50-$A$15,AQ$13)))</f>
        <v>1000000000000</v>
      </c>
      <c r="AR50" s="171">
        <f ca="1">IF(OR($D50&lt;&gt;"Serviço",AND(AUTOEVENTO="Manual",$M50=$A$15)),0,
         IF(OFFSET(CRONOPLE!$F$15,$M50-$A$15,AR$13)=0,10^12,OFFSET(CRONOPLE!$F$15,$M50-$A$15,AR$13)))</f>
        <v>1000000000000</v>
      </c>
      <c r="AS50" s="171">
        <f ca="1">IF(OR($D50&lt;&gt;"Serviço",AND(AUTOEVENTO="Manual",$M50=$A$15)),0,
         IF(OFFSET(CRONOPLE!$F$15,$M50-$A$15,AS$13)=0,10^12,OFFSET(CRONOPLE!$F$15,$M50-$A$15,AS$13)))</f>
        <v>1000000000000</v>
      </c>
      <c r="AT50" s="171">
        <f ca="1">IF(OR($D50&lt;&gt;"Serviço",AND(AUTOEVENTO="Manual",$M50=$A$15)),0,
         IF(OFFSET(CRONOPLE!$F$15,$M50-$A$15,AT$13)=0,10^12,OFFSET(CRONOPLE!$F$15,$M50-$A$15,AT$13)))</f>
        <v>1000000000000</v>
      </c>
      <c r="AU50" s="171">
        <f ca="1">IF(OR($D50&lt;&gt;"Serviço",AND(AUTOEVENTO="Manual",$M50=$A$15)),0,
         IF(OFFSET(CRONOPLE!$F$15,$M50-$A$15,AU$13)=0,10^12,OFFSET(CRONOPLE!$F$15,$M50-$A$15,AU$13)))</f>
        <v>1000000000000</v>
      </c>
      <c r="AV50" s="171">
        <f ca="1">IF(OR($D50&lt;&gt;"Serviço",AND(AUTOEVENTO="Manual",$M50=$A$15)),0,
         IF(OFFSET(CRONOPLE!$F$15,$M50-$A$15,AV$13)=0,10^12,OFFSET(CRONOPLE!$F$15,$M50-$A$15,AV$13)))</f>
        <v>1000000000000</v>
      </c>
      <c r="AX50" s="172" cm="1">
        <f t="array" aca="1" ref="AX50" ca="1">IF(OR($D50&lt;&gt;"Serviço",AND(AUTOEVENTO="Manual",$M50=$A$15),$M50&gt;(ROW(PLE.lastrow)-ROW(PLE.firstrow))),0,
           IF(OFFSET(PLE!$G$15,$M50-$A$15,AX$13)="",10^12,OFFSET(PLE!$G$15,$M50-$A$15,AX$13)))</f>
        <v>1000000000000</v>
      </c>
      <c r="AY50" s="172" cm="1">
        <f t="array" aca="1" ref="AY50" ca="1">IF(OR($D50&lt;&gt;"Serviço",AND(AUTOEVENTO="Manual",$M50=$A$15),$M50&gt;(ROW(PLE.lastrow)-ROW(PLE.firstrow))),0,
           IF(OFFSET(PLE!$G$15,$M50-$A$15,AY$13)="",10^12,OFFSET(PLE!$G$15,$M50-$A$15,AY$13)))</f>
        <v>1000000000000</v>
      </c>
      <c r="AZ50" s="172" cm="1">
        <f t="array" aca="1" ref="AZ50" ca="1">IF(OR($D50&lt;&gt;"Serviço",AND(AUTOEVENTO="Manual",$M50=$A$15),$M50&gt;(ROW(PLE.lastrow)-ROW(PLE.firstrow))),0,
           IF(OFFSET(PLE!$G$15,$M50-$A$15,AZ$13)="",10^12,OFFSET(PLE!$G$15,$M50-$A$15,AZ$13)))</f>
        <v>1000000000000</v>
      </c>
      <c r="BA50" s="172" cm="1">
        <f t="array" aca="1" ref="BA50" ca="1">IF(OR($D50&lt;&gt;"Serviço",AND(AUTOEVENTO="Manual",$M50=$A$15),$M50&gt;(ROW(PLE.lastrow)-ROW(PLE.firstrow))),0,
           IF(OFFSET(PLE!$G$15,$M50-$A$15,BA$13)="",10^12,OFFSET(PLE!$G$15,$M50-$A$15,BA$13)))</f>
        <v>1000000000000</v>
      </c>
      <c r="BB50" s="172" cm="1">
        <f t="array" aca="1" ref="BB50" ca="1">IF(OR($D50&lt;&gt;"Serviço",AND(AUTOEVENTO="Manual",$M50=$A$15),$M50&gt;(ROW(PLE.lastrow)-ROW(PLE.firstrow))),0,
           IF(OFFSET(PLE!$G$15,$M50-$A$15,BB$13)="",10^12,OFFSET(PLE!$G$15,$M50-$A$15,BB$13)))</f>
        <v>1000000000000</v>
      </c>
      <c r="BC50" s="172" cm="1">
        <f t="array" aca="1" ref="BC50" ca="1">IF(OR($D50&lt;&gt;"Serviço",AND(AUTOEVENTO="Manual",$M50=$A$15),$M50&gt;(ROW(PLE.lastrow)-ROW(PLE.firstrow))),0,
           IF(OFFSET(PLE!$G$15,$M50-$A$15,BC$13)="",10^12,OFFSET(PLE!$G$15,$M50-$A$15,BC$13)))</f>
        <v>1000000000000</v>
      </c>
      <c r="BD50" s="172" cm="1">
        <f t="array" aca="1" ref="BD50" ca="1">IF(OR($D50&lt;&gt;"Serviço",AND(AUTOEVENTO="Manual",$M50=$A$15),$M50&gt;(ROW(PLE.lastrow)-ROW(PLE.firstrow))),0,
           IF(OFFSET(PLE!$G$15,$M50-$A$15,BD$13)="",10^12,OFFSET(PLE!$G$15,$M50-$A$15,BD$13)))</f>
        <v>1000000000000</v>
      </c>
      <c r="BE50" s="172" cm="1">
        <f t="array" aca="1" ref="BE50" ca="1">IF(OR($D50&lt;&gt;"Serviço",AND(AUTOEVENTO="Manual",$M50=$A$15),$M50&gt;(ROW(PLE.lastrow)-ROW(PLE.firstrow))),0,
           IF(OFFSET(PLE!$G$15,$M50-$A$15,BE$13)="",10^12,OFFSET(PLE!$G$15,$M50-$A$15,BE$13)))</f>
        <v>1000000000000</v>
      </c>
      <c r="BF50" s="172" cm="1">
        <f t="array" aca="1" ref="BF50" ca="1">IF(OR($D50&lt;&gt;"Serviço",AND(AUTOEVENTO="Manual",$M50=$A$15),$M50&gt;(ROW(PLE.lastrow)-ROW(PLE.firstrow))),0,
           IF(OFFSET(PLE!$G$15,$M50-$A$15,BF$13)="",10^12,OFFSET(PLE!$G$15,$M50-$A$15,BF$13)))</f>
        <v>1000000000000</v>
      </c>
      <c r="BG50" s="172" cm="1">
        <f t="array" aca="1" ref="BG50" ca="1">IF(OR($D50&lt;&gt;"Serviço",AND(AUTOEVENTO="Manual",$M50=$A$15),$M50&gt;(ROW(PLE.lastrow)-ROW(PLE.firstrow))),0,
           IF(OFFSET(PLE!$G$15,$M50-$A$15,BG$13)="",10^12,OFFSET(PLE!$G$15,$M50-$A$15,BG$13)))</f>
        <v>1000000000000</v>
      </c>
    </row>
    <row r="51" spans="1:59" ht="25.5" x14ac:dyDescent="0.2">
      <c r="A51" s="7" t="str">
        <f t="shared" ca="1" si="8"/>
        <v>33</v>
      </c>
      <c r="B51" s="7" t="str">
        <f ca="1">OFFSET(ORÇAMENTO!C$15,$L51,0)</f>
        <v>S</v>
      </c>
      <c r="C51" s="7" t="str">
        <f ca="1">OFFSET(ORÇAMENTO!L$15,$L51,0)</f>
        <v/>
      </c>
      <c r="D51" s="116" t="str">
        <f ca="1">OFFSET(ORÇAMENTO!N$15,$L51,0)</f>
        <v>Serviço</v>
      </c>
      <c r="E51" s="117" t="str">
        <f ca="1">OFFSET(ORÇAMENTO!O$15,$L51,0)</f>
        <v>-</v>
      </c>
      <c r="F51" s="163" t="str">
        <f ca="1">OFFSET(ORÇAMENTO!R$15,$L51,0)</f>
        <v>(Código não identificado nas referências)</v>
      </c>
      <c r="G51" s="164" t="str">
        <f ca="1">IF($D51&lt;&gt;"Serviço","",OFFSET(ORÇAMENTO!S$15,$L51,0))</f>
        <v>-</v>
      </c>
      <c r="H51" s="122" cm="1">
        <f t="array" aca="1" ref="H51" ca="1">IF($D51&lt;&gt;"Serviço",0,IF(ACOMPANHAMENTO="BM",ROUND(OFFSET(ORÇAMENTO!AJ$15,$L51,0),15-13*ORÇAMENTO!$AF$7),IF(IFERROR(CÁLCULO.FrentesPreenchidas,0)=0,0,SUM(ROUND(OFFSET($P51,0,1,1,CÁLCULO.FrentesPreenchidas),15-13*ORÇAMENTO!$AF$7)))))</f>
        <v>6</v>
      </c>
      <c r="I51" s="468"/>
      <c r="J51" s="651"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2"/>
      <c r="L51" s="165">
        <f t="shared" ca="1" si="9"/>
        <v>36</v>
      </c>
      <c r="M51" s="166">
        <f ca="1">IF($D51&lt;&gt;"Serviço","",
          IF(AUTOEVENTO="manual",$A51,
                IF(ISERROR(MATCH($A51,$A$15:OFFSET($A51,-1,0),0)),MAX($M$15:OFFSET(M51,-1,0))+1,
                      INDEX($M$15:OFFSET(M51,-1,0),MATCH($A51,$A$15:OFFSET($A51,-1,0),0)))))</f>
        <v>7</v>
      </c>
      <c r="N51" s="167" t="str">
        <f ca="1">IF($D51&lt;&gt;"Serviço","",
         IF(AUTOEVENTO="Manual",
                IF($A51=0,"&lt;-- defina o número do agrupador",
                       OFFSET(EVENTOS!$D$15,$A51-$A$15,0)),
                OFFSET($F$15,$A51,0)))</f>
        <v>PILARES</v>
      </c>
      <c r="O51" s="168"/>
      <c r="Q51" s="168"/>
      <c r="R51" s="169"/>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1000000000000</v>
      </c>
      <c r="AN51" s="171">
        <f ca="1">IF(OR($D51&lt;&gt;"Serviço",AND(AUTOEVENTO="Manual",$M51=$A$15)),0,
         IF(OFFSET(CRONOPLE!$F$15,$M51-$A$15,AN$13)=0,10^12,OFFSET(CRONOPLE!$F$15,$M51-$A$15,AN$13)))</f>
        <v>1000000000000</v>
      </c>
      <c r="AO51" s="171">
        <f ca="1">IF(OR($D51&lt;&gt;"Serviço",AND(AUTOEVENTO="Manual",$M51=$A$15)),0,
         IF(OFFSET(CRONOPLE!$F$15,$M51-$A$15,AO$13)=0,10^12,OFFSET(CRONOPLE!$F$15,$M51-$A$15,AO$13)))</f>
        <v>1000000000000</v>
      </c>
      <c r="AP51" s="171">
        <f ca="1">IF(OR($D51&lt;&gt;"Serviço",AND(AUTOEVENTO="Manual",$M51=$A$15)),0,
         IF(OFFSET(CRONOPLE!$F$15,$M51-$A$15,AP$13)=0,10^12,OFFSET(CRONOPLE!$F$15,$M51-$A$15,AP$13)))</f>
        <v>1000000000000</v>
      </c>
      <c r="AQ51" s="171">
        <f ca="1">IF(OR($D51&lt;&gt;"Serviço",AND(AUTOEVENTO="Manual",$M51=$A$15)),0,
         IF(OFFSET(CRONOPLE!$F$15,$M51-$A$15,AQ$13)=0,10^12,OFFSET(CRONOPLE!$F$15,$M51-$A$15,AQ$13)))</f>
        <v>1000000000000</v>
      </c>
      <c r="AR51" s="171">
        <f ca="1">IF(OR($D51&lt;&gt;"Serviço",AND(AUTOEVENTO="Manual",$M51=$A$15)),0,
         IF(OFFSET(CRONOPLE!$F$15,$M51-$A$15,AR$13)=0,10^12,OFFSET(CRONOPLE!$F$15,$M51-$A$15,AR$13)))</f>
        <v>1000000000000</v>
      </c>
      <c r="AS51" s="171">
        <f ca="1">IF(OR($D51&lt;&gt;"Serviço",AND(AUTOEVENTO="Manual",$M51=$A$15)),0,
         IF(OFFSET(CRONOPLE!$F$15,$M51-$A$15,AS$13)=0,10^12,OFFSET(CRONOPLE!$F$15,$M51-$A$15,AS$13)))</f>
        <v>1000000000000</v>
      </c>
      <c r="AT51" s="171">
        <f ca="1">IF(OR($D51&lt;&gt;"Serviço",AND(AUTOEVENTO="Manual",$M51=$A$15)),0,
         IF(OFFSET(CRONOPLE!$F$15,$M51-$A$15,AT$13)=0,10^12,OFFSET(CRONOPLE!$F$15,$M51-$A$15,AT$13)))</f>
        <v>1000000000000</v>
      </c>
      <c r="AU51" s="171">
        <f ca="1">IF(OR($D51&lt;&gt;"Serviço",AND(AUTOEVENTO="Manual",$M51=$A$15)),0,
         IF(OFFSET(CRONOPLE!$F$15,$M51-$A$15,AU$13)=0,10^12,OFFSET(CRONOPLE!$F$15,$M51-$A$15,AU$13)))</f>
        <v>1000000000000</v>
      </c>
      <c r="AV51" s="171">
        <f ca="1">IF(OR($D51&lt;&gt;"Serviço",AND(AUTOEVENTO="Manual",$M51=$A$15)),0,
         IF(OFFSET(CRONOPLE!$F$15,$M51-$A$15,AV$13)=0,10^12,OFFSET(CRONOPLE!$F$15,$M51-$A$15,AV$13)))</f>
        <v>1000000000000</v>
      </c>
      <c r="AX51" s="172" cm="1">
        <f t="array" aca="1" ref="AX51" ca="1">IF(OR($D51&lt;&gt;"Serviço",AND(AUTOEVENTO="Manual",$M51=$A$15),$M51&gt;(ROW(PLE.lastrow)-ROW(PLE.firstrow))),0,
           IF(OFFSET(PLE!$G$15,$M51-$A$15,AX$13)="",10^12,OFFSET(PLE!$G$15,$M51-$A$15,AX$13)))</f>
        <v>1000000000000</v>
      </c>
      <c r="AY51" s="172" cm="1">
        <f t="array" aca="1" ref="AY51" ca="1">IF(OR($D51&lt;&gt;"Serviço",AND(AUTOEVENTO="Manual",$M51=$A$15),$M51&gt;(ROW(PLE.lastrow)-ROW(PLE.firstrow))),0,
           IF(OFFSET(PLE!$G$15,$M51-$A$15,AY$13)="",10^12,OFFSET(PLE!$G$15,$M51-$A$15,AY$13)))</f>
        <v>1000000000000</v>
      </c>
      <c r="AZ51" s="172" cm="1">
        <f t="array" aca="1" ref="AZ51" ca="1">IF(OR($D51&lt;&gt;"Serviço",AND(AUTOEVENTO="Manual",$M51=$A$15),$M51&gt;(ROW(PLE.lastrow)-ROW(PLE.firstrow))),0,
           IF(OFFSET(PLE!$G$15,$M51-$A$15,AZ$13)="",10^12,OFFSET(PLE!$G$15,$M51-$A$15,AZ$13)))</f>
        <v>1000000000000</v>
      </c>
      <c r="BA51" s="172" cm="1">
        <f t="array" aca="1" ref="BA51" ca="1">IF(OR($D51&lt;&gt;"Serviço",AND(AUTOEVENTO="Manual",$M51=$A$15),$M51&gt;(ROW(PLE.lastrow)-ROW(PLE.firstrow))),0,
           IF(OFFSET(PLE!$G$15,$M51-$A$15,BA$13)="",10^12,OFFSET(PLE!$G$15,$M51-$A$15,BA$13)))</f>
        <v>1000000000000</v>
      </c>
      <c r="BB51" s="172" cm="1">
        <f t="array" aca="1" ref="BB51" ca="1">IF(OR($D51&lt;&gt;"Serviço",AND(AUTOEVENTO="Manual",$M51=$A$15),$M51&gt;(ROW(PLE.lastrow)-ROW(PLE.firstrow))),0,
           IF(OFFSET(PLE!$G$15,$M51-$A$15,BB$13)="",10^12,OFFSET(PLE!$G$15,$M51-$A$15,BB$13)))</f>
        <v>1000000000000</v>
      </c>
      <c r="BC51" s="172" cm="1">
        <f t="array" aca="1" ref="BC51" ca="1">IF(OR($D51&lt;&gt;"Serviço",AND(AUTOEVENTO="Manual",$M51=$A$15),$M51&gt;(ROW(PLE.lastrow)-ROW(PLE.firstrow))),0,
           IF(OFFSET(PLE!$G$15,$M51-$A$15,BC$13)="",10^12,OFFSET(PLE!$G$15,$M51-$A$15,BC$13)))</f>
        <v>1000000000000</v>
      </c>
      <c r="BD51" s="172" cm="1">
        <f t="array" aca="1" ref="BD51" ca="1">IF(OR($D51&lt;&gt;"Serviço",AND(AUTOEVENTO="Manual",$M51=$A$15),$M51&gt;(ROW(PLE.lastrow)-ROW(PLE.firstrow))),0,
           IF(OFFSET(PLE!$G$15,$M51-$A$15,BD$13)="",10^12,OFFSET(PLE!$G$15,$M51-$A$15,BD$13)))</f>
        <v>1000000000000</v>
      </c>
      <c r="BE51" s="172" cm="1">
        <f t="array" aca="1" ref="BE51" ca="1">IF(OR($D51&lt;&gt;"Serviço",AND(AUTOEVENTO="Manual",$M51=$A$15),$M51&gt;(ROW(PLE.lastrow)-ROW(PLE.firstrow))),0,
           IF(OFFSET(PLE!$G$15,$M51-$A$15,BE$13)="",10^12,OFFSET(PLE!$G$15,$M51-$A$15,BE$13)))</f>
        <v>1000000000000</v>
      </c>
      <c r="BF51" s="172" cm="1">
        <f t="array" aca="1" ref="BF51" ca="1">IF(OR($D51&lt;&gt;"Serviço",AND(AUTOEVENTO="Manual",$M51=$A$15),$M51&gt;(ROW(PLE.lastrow)-ROW(PLE.firstrow))),0,
           IF(OFFSET(PLE!$G$15,$M51-$A$15,BF$13)="",10^12,OFFSET(PLE!$G$15,$M51-$A$15,BF$13)))</f>
        <v>1000000000000</v>
      </c>
      <c r="BG51" s="172" cm="1">
        <f t="array" aca="1" ref="BG51" ca="1">IF(OR($D51&lt;&gt;"Serviço",AND(AUTOEVENTO="Manual",$M51=$A$15),$M51&gt;(ROW(PLE.lastrow)-ROW(PLE.firstrow))),0,
           IF(OFFSET(PLE!$G$15,$M51-$A$15,BG$13)="",10^12,OFFSET(PLE!$G$15,$M51-$A$15,BG$13)))</f>
        <v>1000000000000</v>
      </c>
    </row>
    <row r="52" spans="1:59" ht="25.5" x14ac:dyDescent="0.2">
      <c r="A52" s="7" t="str">
        <f t="shared" ca="1" si="8"/>
        <v>33</v>
      </c>
      <c r="B52" s="7" t="str">
        <f ca="1">OFFSET(ORÇAMENTO!C$15,$L52,0)</f>
        <v>S</v>
      </c>
      <c r="C52" s="7" t="str">
        <f ca="1">OFFSET(ORÇAMENTO!L$15,$L52,0)</f>
        <v/>
      </c>
      <c r="D52" s="116" t="str">
        <f ca="1">OFFSET(ORÇAMENTO!N$15,$L52,0)</f>
        <v>Serviço</v>
      </c>
      <c r="E52" s="117" t="str">
        <f ca="1">OFFSET(ORÇAMENTO!O$15,$L52,0)</f>
        <v>-</v>
      </c>
      <c r="F52" s="163" t="str">
        <f ca="1">OFFSET(ORÇAMENTO!R$15,$L52,0)</f>
        <v>(Código não identificado nas referências)</v>
      </c>
      <c r="G52" s="164" t="str">
        <f ca="1">IF($D52&lt;&gt;"Serviço","",OFFSET(ORÇAMENTO!S$15,$L52,0))</f>
        <v>-</v>
      </c>
      <c r="H52" s="122" cm="1">
        <f t="array" aca="1" ref="H52" ca="1">IF($D52&lt;&gt;"Serviço",0,IF(ACOMPANHAMENTO="BM",ROUND(OFFSET(ORÇAMENTO!AJ$15,$L52,0),15-13*ORÇAMENTO!$AF$7),IF(IFERROR(CÁLCULO.FrentesPreenchidas,0)=0,0,SUM(ROUND(OFFSET($P52,0,1,1,CÁLCULO.FrentesPreenchidas),15-13*ORÇAMENTO!$AF$7)))))</f>
        <v>0.38</v>
      </c>
      <c r="I52" s="468"/>
      <c r="J52" s="651"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2"/>
      <c r="L52" s="165">
        <f t="shared" ca="1" si="9"/>
        <v>37</v>
      </c>
      <c r="M52" s="166">
        <f ca="1">IF($D52&lt;&gt;"Serviço","",
          IF(AUTOEVENTO="manual",$A52,
                IF(ISERROR(MATCH($A52,$A$15:OFFSET($A52,-1,0),0)),MAX($M$15:OFFSET(M52,-1,0))+1,
                      INDEX($M$15:OFFSET(M52,-1,0),MATCH($A52,$A$15:OFFSET($A52,-1,0),0)))))</f>
        <v>7</v>
      </c>
      <c r="N52" s="167" t="str">
        <f ca="1">IF($D52&lt;&gt;"Serviço","",
         IF(AUTOEVENTO="Manual",
                IF($A52=0,"&lt;-- defina o número do agrupador",
                       OFFSET(EVENTOS!$D$15,$A52-$A$15,0)),
                OFFSET($F$15,$A52,0)))</f>
        <v>PILARES</v>
      </c>
      <c r="O52" s="168"/>
      <c r="Q52" s="168"/>
      <c r="R52" s="169"/>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1000000000000</v>
      </c>
      <c r="AN52" s="171">
        <f ca="1">IF(OR($D52&lt;&gt;"Serviço",AND(AUTOEVENTO="Manual",$M52=$A$15)),0,
         IF(OFFSET(CRONOPLE!$F$15,$M52-$A$15,AN$13)=0,10^12,OFFSET(CRONOPLE!$F$15,$M52-$A$15,AN$13)))</f>
        <v>1000000000000</v>
      </c>
      <c r="AO52" s="171">
        <f ca="1">IF(OR($D52&lt;&gt;"Serviço",AND(AUTOEVENTO="Manual",$M52=$A$15)),0,
         IF(OFFSET(CRONOPLE!$F$15,$M52-$A$15,AO$13)=0,10^12,OFFSET(CRONOPLE!$F$15,$M52-$A$15,AO$13)))</f>
        <v>1000000000000</v>
      </c>
      <c r="AP52" s="171">
        <f ca="1">IF(OR($D52&lt;&gt;"Serviço",AND(AUTOEVENTO="Manual",$M52=$A$15)),0,
         IF(OFFSET(CRONOPLE!$F$15,$M52-$A$15,AP$13)=0,10^12,OFFSET(CRONOPLE!$F$15,$M52-$A$15,AP$13)))</f>
        <v>1000000000000</v>
      </c>
      <c r="AQ52" s="171">
        <f ca="1">IF(OR($D52&lt;&gt;"Serviço",AND(AUTOEVENTO="Manual",$M52=$A$15)),0,
         IF(OFFSET(CRONOPLE!$F$15,$M52-$A$15,AQ$13)=0,10^12,OFFSET(CRONOPLE!$F$15,$M52-$A$15,AQ$13)))</f>
        <v>1000000000000</v>
      </c>
      <c r="AR52" s="171">
        <f ca="1">IF(OR($D52&lt;&gt;"Serviço",AND(AUTOEVENTO="Manual",$M52=$A$15)),0,
         IF(OFFSET(CRONOPLE!$F$15,$M52-$A$15,AR$13)=0,10^12,OFFSET(CRONOPLE!$F$15,$M52-$A$15,AR$13)))</f>
        <v>1000000000000</v>
      </c>
      <c r="AS52" s="171">
        <f ca="1">IF(OR($D52&lt;&gt;"Serviço",AND(AUTOEVENTO="Manual",$M52=$A$15)),0,
         IF(OFFSET(CRONOPLE!$F$15,$M52-$A$15,AS$13)=0,10^12,OFFSET(CRONOPLE!$F$15,$M52-$A$15,AS$13)))</f>
        <v>1000000000000</v>
      </c>
      <c r="AT52" s="171">
        <f ca="1">IF(OR($D52&lt;&gt;"Serviço",AND(AUTOEVENTO="Manual",$M52=$A$15)),0,
         IF(OFFSET(CRONOPLE!$F$15,$M52-$A$15,AT$13)=0,10^12,OFFSET(CRONOPLE!$F$15,$M52-$A$15,AT$13)))</f>
        <v>1000000000000</v>
      </c>
      <c r="AU52" s="171">
        <f ca="1">IF(OR($D52&lt;&gt;"Serviço",AND(AUTOEVENTO="Manual",$M52=$A$15)),0,
         IF(OFFSET(CRONOPLE!$F$15,$M52-$A$15,AU$13)=0,10^12,OFFSET(CRONOPLE!$F$15,$M52-$A$15,AU$13)))</f>
        <v>1000000000000</v>
      </c>
      <c r="AV52" s="171">
        <f ca="1">IF(OR($D52&lt;&gt;"Serviço",AND(AUTOEVENTO="Manual",$M52=$A$15)),0,
         IF(OFFSET(CRONOPLE!$F$15,$M52-$A$15,AV$13)=0,10^12,OFFSET(CRONOPLE!$F$15,$M52-$A$15,AV$13)))</f>
        <v>1000000000000</v>
      </c>
      <c r="AX52" s="172" cm="1">
        <f t="array" aca="1" ref="AX52" ca="1">IF(OR($D52&lt;&gt;"Serviço",AND(AUTOEVENTO="Manual",$M52=$A$15),$M52&gt;(ROW(PLE.lastrow)-ROW(PLE.firstrow))),0,
           IF(OFFSET(PLE!$G$15,$M52-$A$15,AX$13)="",10^12,OFFSET(PLE!$G$15,$M52-$A$15,AX$13)))</f>
        <v>1000000000000</v>
      </c>
      <c r="AY52" s="172" cm="1">
        <f t="array" aca="1" ref="AY52" ca="1">IF(OR($D52&lt;&gt;"Serviço",AND(AUTOEVENTO="Manual",$M52=$A$15),$M52&gt;(ROW(PLE.lastrow)-ROW(PLE.firstrow))),0,
           IF(OFFSET(PLE!$G$15,$M52-$A$15,AY$13)="",10^12,OFFSET(PLE!$G$15,$M52-$A$15,AY$13)))</f>
        <v>1000000000000</v>
      </c>
      <c r="AZ52" s="172" cm="1">
        <f t="array" aca="1" ref="AZ52" ca="1">IF(OR($D52&lt;&gt;"Serviço",AND(AUTOEVENTO="Manual",$M52=$A$15),$M52&gt;(ROW(PLE.lastrow)-ROW(PLE.firstrow))),0,
           IF(OFFSET(PLE!$G$15,$M52-$A$15,AZ$13)="",10^12,OFFSET(PLE!$G$15,$M52-$A$15,AZ$13)))</f>
        <v>1000000000000</v>
      </c>
      <c r="BA52" s="172" cm="1">
        <f t="array" aca="1" ref="BA52" ca="1">IF(OR($D52&lt;&gt;"Serviço",AND(AUTOEVENTO="Manual",$M52=$A$15),$M52&gt;(ROW(PLE.lastrow)-ROW(PLE.firstrow))),0,
           IF(OFFSET(PLE!$G$15,$M52-$A$15,BA$13)="",10^12,OFFSET(PLE!$G$15,$M52-$A$15,BA$13)))</f>
        <v>1000000000000</v>
      </c>
      <c r="BB52" s="172" cm="1">
        <f t="array" aca="1" ref="BB52" ca="1">IF(OR($D52&lt;&gt;"Serviço",AND(AUTOEVENTO="Manual",$M52=$A$15),$M52&gt;(ROW(PLE.lastrow)-ROW(PLE.firstrow))),0,
           IF(OFFSET(PLE!$G$15,$M52-$A$15,BB$13)="",10^12,OFFSET(PLE!$G$15,$M52-$A$15,BB$13)))</f>
        <v>1000000000000</v>
      </c>
      <c r="BC52" s="172" cm="1">
        <f t="array" aca="1" ref="BC52" ca="1">IF(OR($D52&lt;&gt;"Serviço",AND(AUTOEVENTO="Manual",$M52=$A$15),$M52&gt;(ROW(PLE.lastrow)-ROW(PLE.firstrow))),0,
           IF(OFFSET(PLE!$G$15,$M52-$A$15,BC$13)="",10^12,OFFSET(PLE!$G$15,$M52-$A$15,BC$13)))</f>
        <v>1000000000000</v>
      </c>
      <c r="BD52" s="172" cm="1">
        <f t="array" aca="1" ref="BD52" ca="1">IF(OR($D52&lt;&gt;"Serviço",AND(AUTOEVENTO="Manual",$M52=$A$15),$M52&gt;(ROW(PLE.lastrow)-ROW(PLE.firstrow))),0,
           IF(OFFSET(PLE!$G$15,$M52-$A$15,BD$13)="",10^12,OFFSET(PLE!$G$15,$M52-$A$15,BD$13)))</f>
        <v>1000000000000</v>
      </c>
      <c r="BE52" s="172" cm="1">
        <f t="array" aca="1" ref="BE52" ca="1">IF(OR($D52&lt;&gt;"Serviço",AND(AUTOEVENTO="Manual",$M52=$A$15),$M52&gt;(ROW(PLE.lastrow)-ROW(PLE.firstrow))),0,
           IF(OFFSET(PLE!$G$15,$M52-$A$15,BE$13)="",10^12,OFFSET(PLE!$G$15,$M52-$A$15,BE$13)))</f>
        <v>1000000000000</v>
      </c>
      <c r="BF52" s="172" cm="1">
        <f t="array" aca="1" ref="BF52" ca="1">IF(OR($D52&lt;&gt;"Serviço",AND(AUTOEVENTO="Manual",$M52=$A$15),$M52&gt;(ROW(PLE.lastrow)-ROW(PLE.firstrow))),0,
           IF(OFFSET(PLE!$G$15,$M52-$A$15,BF$13)="",10^12,OFFSET(PLE!$G$15,$M52-$A$15,BF$13)))</f>
        <v>1000000000000</v>
      </c>
      <c r="BG52" s="172" cm="1">
        <f t="array" aca="1" ref="BG52" ca="1">IF(OR($D52&lt;&gt;"Serviço",AND(AUTOEVENTO="Manual",$M52=$A$15),$M52&gt;(ROW(PLE.lastrow)-ROW(PLE.firstrow))),0,
           IF(OFFSET(PLE!$G$15,$M52-$A$15,BG$13)="",10^12,OFFSET(PLE!$G$15,$M52-$A$15,BG$13)))</f>
        <v>1000000000000</v>
      </c>
    </row>
    <row r="53" spans="1:59" ht="25.5" x14ac:dyDescent="0.2">
      <c r="A53" s="7" t="str">
        <f t="shared" ca="1" si="8"/>
        <v>38.</v>
      </c>
      <c r="B53" s="7">
        <f ca="1">OFFSET(ORÇAMENTO!C$15,$L53,0)</f>
        <v>2</v>
      </c>
      <c r="C53" s="7" t="str">
        <f ca="1">OFFSET(ORÇAMENTO!L$15,$L53,0)</f>
        <v>F</v>
      </c>
      <c r="D53" s="116" t="str">
        <f ca="1">OFFSET(ORÇAMENTO!N$15,$L53,0)</f>
        <v>Nível 2</v>
      </c>
      <c r="E53" s="117" t="str">
        <f ca="1">OFFSET(ORÇAMENTO!O$15,$L53,0)</f>
        <v>2.4.</v>
      </c>
      <c r="F53" s="163" t="str">
        <f ca="1">OFFSET(ORÇAMENTO!R$15,$L53,0)</f>
        <v>VIGAS CINTAMENTO - REAPROVEITAMENTO DE FORMA DAS BALDRAMES</v>
      </c>
      <c r="G53" s="164" t="str">
        <f ca="1">IF($D53&lt;&gt;"Serviço","",OFFSET(ORÇAMENTO!S$15,$L53,0))</f>
        <v/>
      </c>
      <c r="H53" s="122" cm="1">
        <f t="array" aca="1" ref="H53" ca="1">IF($D53&lt;&gt;"Serviço",0,IF(ACOMPANHAMENTO="BM",ROUND(OFFSET(ORÇAMENTO!AJ$15,$L53,0),15-13*ORÇAMENTO!$AF$7),IF(IFERROR(CÁLCULO.FrentesPreenchidas,0)=0,0,SUM(ROUND(OFFSET($P53,0,1,1,CÁLCULO.FrentesPreenchidas),15-13*ORÇAMENTO!$AF$7)))))</f>
        <v>0</v>
      </c>
      <c r="I53" s="468"/>
      <c r="J53" s="651"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2"/>
      <c r="L53" s="165">
        <f t="shared" ca="1" si="9"/>
        <v>38</v>
      </c>
      <c r="M53" s="166" t="str">
        <f ca="1">IF($D53&lt;&gt;"Serviço","",
          IF(AUTOEVENTO="manual",$A53,
                IF(ISERROR(MATCH($A53,$A$15:OFFSET($A53,-1,0),0)),MAX($M$15:OFFSET(M53,-1,0))+1,
                      INDEX($M$15:OFFSET(M53,-1,0),MATCH($A53,$A$15:OFFSET($A53,-1,0),0)))))</f>
        <v/>
      </c>
      <c r="N53" s="167" t="str">
        <f ca="1">IF($D53&lt;&gt;"Serviço","",
         IF(AUTOEVENTO="Manual",
                IF($A53=0,"&lt;-- defina o número do agrupador",
                       OFFSET(EVENTOS!$D$15,$A53-$A$15,0)),
                OFFSET($F$15,$A53,0)))</f>
        <v/>
      </c>
      <c r="O53" s="168"/>
      <c r="Q53" s="168"/>
      <c r="R53" s="169"/>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0</v>
      </c>
      <c r="AN53" s="171">
        <f ca="1">IF(OR($D53&lt;&gt;"Serviço",AND(AUTOEVENTO="Manual",$M53=$A$15)),0,
         IF(OFFSET(CRONOPLE!$F$15,$M53-$A$15,AN$13)=0,10^12,OFFSET(CRONOPLE!$F$15,$M53-$A$15,AN$13)))</f>
        <v>0</v>
      </c>
      <c r="AO53" s="171">
        <f ca="1">IF(OR($D53&lt;&gt;"Serviço",AND(AUTOEVENTO="Manual",$M53=$A$15)),0,
         IF(OFFSET(CRONOPLE!$F$15,$M53-$A$15,AO$13)=0,10^12,OFFSET(CRONOPLE!$F$15,$M53-$A$15,AO$13)))</f>
        <v>0</v>
      </c>
      <c r="AP53" s="171">
        <f ca="1">IF(OR($D53&lt;&gt;"Serviço",AND(AUTOEVENTO="Manual",$M53=$A$15)),0,
         IF(OFFSET(CRONOPLE!$F$15,$M53-$A$15,AP$13)=0,10^12,OFFSET(CRONOPLE!$F$15,$M53-$A$15,AP$13)))</f>
        <v>0</v>
      </c>
      <c r="AQ53" s="171">
        <f ca="1">IF(OR($D53&lt;&gt;"Serviço",AND(AUTOEVENTO="Manual",$M53=$A$15)),0,
         IF(OFFSET(CRONOPLE!$F$15,$M53-$A$15,AQ$13)=0,10^12,OFFSET(CRONOPLE!$F$15,$M53-$A$15,AQ$13)))</f>
        <v>0</v>
      </c>
      <c r="AR53" s="171">
        <f ca="1">IF(OR($D53&lt;&gt;"Serviço",AND(AUTOEVENTO="Manual",$M53=$A$15)),0,
         IF(OFFSET(CRONOPLE!$F$15,$M53-$A$15,AR$13)=0,10^12,OFFSET(CRONOPLE!$F$15,$M53-$A$15,AR$13)))</f>
        <v>0</v>
      </c>
      <c r="AS53" s="171">
        <f ca="1">IF(OR($D53&lt;&gt;"Serviço",AND(AUTOEVENTO="Manual",$M53=$A$15)),0,
         IF(OFFSET(CRONOPLE!$F$15,$M53-$A$15,AS$13)=0,10^12,OFFSET(CRONOPLE!$F$15,$M53-$A$15,AS$13)))</f>
        <v>0</v>
      </c>
      <c r="AT53" s="171">
        <f ca="1">IF(OR($D53&lt;&gt;"Serviço",AND(AUTOEVENTO="Manual",$M53=$A$15)),0,
         IF(OFFSET(CRONOPLE!$F$15,$M53-$A$15,AT$13)=0,10^12,OFFSET(CRONOPLE!$F$15,$M53-$A$15,AT$13)))</f>
        <v>0</v>
      </c>
      <c r="AU53" s="171">
        <f ca="1">IF(OR($D53&lt;&gt;"Serviço",AND(AUTOEVENTO="Manual",$M53=$A$15)),0,
         IF(OFFSET(CRONOPLE!$F$15,$M53-$A$15,AU$13)=0,10^12,OFFSET(CRONOPLE!$F$15,$M53-$A$15,AU$13)))</f>
        <v>0</v>
      </c>
      <c r="AV53" s="171">
        <f ca="1">IF(OR($D53&lt;&gt;"Serviço",AND(AUTOEVENTO="Manual",$M53=$A$15)),0,
         IF(OFFSET(CRONOPLE!$F$15,$M53-$A$15,AV$13)=0,10^12,OFFSET(CRONOPLE!$F$15,$M53-$A$15,AV$13)))</f>
        <v>0</v>
      </c>
      <c r="AX53" s="172" cm="1">
        <f t="array" aca="1" ref="AX53" ca="1">IF(OR($D53&lt;&gt;"Serviço",AND(AUTOEVENTO="Manual",$M53=$A$15),$M53&gt;(ROW(PLE.lastrow)-ROW(PLE.firstrow))),0,
           IF(OFFSET(PLE!$G$15,$M53-$A$15,AX$13)="",10^12,OFFSET(PLE!$G$15,$M53-$A$15,AX$13)))</f>
        <v>0</v>
      </c>
      <c r="AY53" s="172" cm="1">
        <f t="array" aca="1" ref="AY53" ca="1">IF(OR($D53&lt;&gt;"Serviço",AND(AUTOEVENTO="Manual",$M53=$A$15),$M53&gt;(ROW(PLE.lastrow)-ROW(PLE.firstrow))),0,
           IF(OFFSET(PLE!$G$15,$M53-$A$15,AY$13)="",10^12,OFFSET(PLE!$G$15,$M53-$A$15,AY$13)))</f>
        <v>0</v>
      </c>
      <c r="AZ53" s="172" cm="1">
        <f t="array" aca="1" ref="AZ53" ca="1">IF(OR($D53&lt;&gt;"Serviço",AND(AUTOEVENTO="Manual",$M53=$A$15),$M53&gt;(ROW(PLE.lastrow)-ROW(PLE.firstrow))),0,
           IF(OFFSET(PLE!$G$15,$M53-$A$15,AZ$13)="",10^12,OFFSET(PLE!$G$15,$M53-$A$15,AZ$13)))</f>
        <v>0</v>
      </c>
      <c r="BA53" s="172" cm="1">
        <f t="array" aca="1" ref="BA53" ca="1">IF(OR($D53&lt;&gt;"Serviço",AND(AUTOEVENTO="Manual",$M53=$A$15),$M53&gt;(ROW(PLE.lastrow)-ROW(PLE.firstrow))),0,
           IF(OFFSET(PLE!$G$15,$M53-$A$15,BA$13)="",10^12,OFFSET(PLE!$G$15,$M53-$A$15,BA$13)))</f>
        <v>0</v>
      </c>
      <c r="BB53" s="172" cm="1">
        <f t="array" aca="1" ref="BB53" ca="1">IF(OR($D53&lt;&gt;"Serviço",AND(AUTOEVENTO="Manual",$M53=$A$15),$M53&gt;(ROW(PLE.lastrow)-ROW(PLE.firstrow))),0,
           IF(OFFSET(PLE!$G$15,$M53-$A$15,BB$13)="",10^12,OFFSET(PLE!$G$15,$M53-$A$15,BB$13)))</f>
        <v>0</v>
      </c>
      <c r="BC53" s="172" cm="1">
        <f t="array" aca="1" ref="BC53" ca="1">IF(OR($D53&lt;&gt;"Serviço",AND(AUTOEVENTO="Manual",$M53=$A$15),$M53&gt;(ROW(PLE.lastrow)-ROW(PLE.firstrow))),0,
           IF(OFFSET(PLE!$G$15,$M53-$A$15,BC$13)="",10^12,OFFSET(PLE!$G$15,$M53-$A$15,BC$13)))</f>
        <v>0</v>
      </c>
      <c r="BD53" s="172" cm="1">
        <f t="array" aca="1" ref="BD53" ca="1">IF(OR($D53&lt;&gt;"Serviço",AND(AUTOEVENTO="Manual",$M53=$A$15),$M53&gt;(ROW(PLE.lastrow)-ROW(PLE.firstrow))),0,
           IF(OFFSET(PLE!$G$15,$M53-$A$15,BD$13)="",10^12,OFFSET(PLE!$G$15,$M53-$A$15,BD$13)))</f>
        <v>0</v>
      </c>
      <c r="BE53" s="172" cm="1">
        <f t="array" aca="1" ref="BE53" ca="1">IF(OR($D53&lt;&gt;"Serviço",AND(AUTOEVENTO="Manual",$M53=$A$15),$M53&gt;(ROW(PLE.lastrow)-ROW(PLE.firstrow))),0,
           IF(OFFSET(PLE!$G$15,$M53-$A$15,BE$13)="",10^12,OFFSET(PLE!$G$15,$M53-$A$15,BE$13)))</f>
        <v>0</v>
      </c>
      <c r="BF53" s="172" cm="1">
        <f t="array" aca="1" ref="BF53" ca="1">IF(OR($D53&lt;&gt;"Serviço",AND(AUTOEVENTO="Manual",$M53=$A$15),$M53&gt;(ROW(PLE.lastrow)-ROW(PLE.firstrow))),0,
           IF(OFFSET(PLE!$G$15,$M53-$A$15,BF$13)="",10^12,OFFSET(PLE!$G$15,$M53-$A$15,BF$13)))</f>
        <v>0</v>
      </c>
      <c r="BG53" s="172" cm="1">
        <f t="array" aca="1" ref="BG53" ca="1">IF(OR($D53&lt;&gt;"Serviço",AND(AUTOEVENTO="Manual",$M53=$A$15),$M53&gt;(ROW(PLE.lastrow)-ROW(PLE.firstrow))),0,
           IF(OFFSET(PLE!$G$15,$M53-$A$15,BG$13)="",10^12,OFFSET(PLE!$G$15,$M53-$A$15,BG$13)))</f>
        <v>0</v>
      </c>
    </row>
    <row r="54" spans="1:59" ht="38.25" x14ac:dyDescent="0.2">
      <c r="A54" s="7" t="str">
        <f t="shared" ca="1" si="8"/>
        <v>38</v>
      </c>
      <c r="B54" s="7" t="str">
        <f ca="1">OFFSET(ORÇAMENTO!C$15,$L54,0)</f>
        <v>S</v>
      </c>
      <c r="C54" s="7" t="str">
        <f ca="1">OFFSET(ORÇAMENTO!L$15,$L54,0)</f>
        <v/>
      </c>
      <c r="D54" s="116" t="str">
        <f ca="1">OFFSET(ORÇAMENTO!N$15,$L54,0)</f>
        <v>Serviço</v>
      </c>
      <c r="E54" s="117" t="str">
        <f ca="1">OFFSET(ORÇAMENTO!O$15,$L54,0)</f>
        <v>-</v>
      </c>
      <c r="F54" s="163" t="str">
        <f ca="1">OFFSET(ORÇAMENTO!R$15,$L54,0)</f>
        <v>(Código não identificado nas referências)</v>
      </c>
      <c r="G54" s="164" t="str">
        <f ca="1">IF($D54&lt;&gt;"Serviço","",OFFSET(ORÇAMENTO!S$15,$L54,0))</f>
        <v>-</v>
      </c>
      <c r="H54" s="122" cm="1">
        <f t="array" aca="1" ref="H54" ca="1">IF($D54&lt;&gt;"Serviço",0,IF(ACOMPANHAMENTO="BM",ROUND(OFFSET(ORÇAMENTO!AJ$15,$L54,0),15-13*ORÇAMENTO!$AF$7),IF(IFERROR(CÁLCULO.FrentesPreenchidas,0)=0,0,SUM(ROUND(OFFSET($P54,0,1,1,CÁLCULO.FrentesPreenchidas),15-13*ORÇAMENTO!$AF$7)))))</f>
        <v>5.08</v>
      </c>
      <c r="I54" s="468"/>
      <c r="J54" s="651"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2"/>
      <c r="L54" s="165">
        <f t="shared" ca="1" si="9"/>
        <v>39</v>
      </c>
      <c r="M54" s="166">
        <f ca="1">IF($D54&lt;&gt;"Serviço","",
          IF(AUTOEVENTO="manual",$A54,
                IF(ISERROR(MATCH($A54,$A$15:OFFSET($A54,-1,0),0)),MAX($M$15:OFFSET(M54,-1,0))+1,
                      INDEX($M$15:OFFSET(M54,-1,0),MATCH($A54,$A$15:OFFSET($A54,-1,0),0)))))</f>
        <v>8</v>
      </c>
      <c r="N54" s="167" t="str">
        <f ca="1">IF($D54&lt;&gt;"Serviço","",
         IF(AUTOEVENTO="Manual",
                IF($A54=0,"&lt;-- defina o número do agrupador",
                       OFFSET(EVENTOS!$D$15,$A54-$A$15,0)),
                OFFSET($F$15,$A54,0)))</f>
        <v>VIGAS CINTAMENTO - REAPROVEITAMENTO DE FORMA DAS BALDRAMES</v>
      </c>
      <c r="O54" s="168"/>
      <c r="Q54" s="168"/>
      <c r="R54" s="169"/>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1000000000000</v>
      </c>
      <c r="AN54" s="171">
        <f ca="1">IF(OR($D54&lt;&gt;"Serviço",AND(AUTOEVENTO="Manual",$M54=$A$15)),0,
         IF(OFFSET(CRONOPLE!$F$15,$M54-$A$15,AN$13)=0,10^12,OFFSET(CRONOPLE!$F$15,$M54-$A$15,AN$13)))</f>
        <v>1000000000000</v>
      </c>
      <c r="AO54" s="171">
        <f ca="1">IF(OR($D54&lt;&gt;"Serviço",AND(AUTOEVENTO="Manual",$M54=$A$15)),0,
         IF(OFFSET(CRONOPLE!$F$15,$M54-$A$15,AO$13)=0,10^12,OFFSET(CRONOPLE!$F$15,$M54-$A$15,AO$13)))</f>
        <v>1000000000000</v>
      </c>
      <c r="AP54" s="171">
        <f ca="1">IF(OR($D54&lt;&gt;"Serviço",AND(AUTOEVENTO="Manual",$M54=$A$15)),0,
         IF(OFFSET(CRONOPLE!$F$15,$M54-$A$15,AP$13)=0,10^12,OFFSET(CRONOPLE!$F$15,$M54-$A$15,AP$13)))</f>
        <v>1000000000000</v>
      </c>
      <c r="AQ54" s="171">
        <f ca="1">IF(OR($D54&lt;&gt;"Serviço",AND(AUTOEVENTO="Manual",$M54=$A$15)),0,
         IF(OFFSET(CRONOPLE!$F$15,$M54-$A$15,AQ$13)=0,10^12,OFFSET(CRONOPLE!$F$15,$M54-$A$15,AQ$13)))</f>
        <v>1000000000000</v>
      </c>
      <c r="AR54" s="171">
        <f ca="1">IF(OR($D54&lt;&gt;"Serviço",AND(AUTOEVENTO="Manual",$M54=$A$15)),0,
         IF(OFFSET(CRONOPLE!$F$15,$M54-$A$15,AR$13)=0,10^12,OFFSET(CRONOPLE!$F$15,$M54-$A$15,AR$13)))</f>
        <v>1000000000000</v>
      </c>
      <c r="AS54" s="171">
        <f ca="1">IF(OR($D54&lt;&gt;"Serviço",AND(AUTOEVENTO="Manual",$M54=$A$15)),0,
         IF(OFFSET(CRONOPLE!$F$15,$M54-$A$15,AS$13)=0,10^12,OFFSET(CRONOPLE!$F$15,$M54-$A$15,AS$13)))</f>
        <v>1000000000000</v>
      </c>
      <c r="AT54" s="171">
        <f ca="1">IF(OR($D54&lt;&gt;"Serviço",AND(AUTOEVENTO="Manual",$M54=$A$15)),0,
         IF(OFFSET(CRONOPLE!$F$15,$M54-$A$15,AT$13)=0,10^12,OFFSET(CRONOPLE!$F$15,$M54-$A$15,AT$13)))</f>
        <v>1000000000000</v>
      </c>
      <c r="AU54" s="171">
        <f ca="1">IF(OR($D54&lt;&gt;"Serviço",AND(AUTOEVENTO="Manual",$M54=$A$15)),0,
         IF(OFFSET(CRONOPLE!$F$15,$M54-$A$15,AU$13)=0,10^12,OFFSET(CRONOPLE!$F$15,$M54-$A$15,AU$13)))</f>
        <v>1000000000000</v>
      </c>
      <c r="AV54" s="171">
        <f ca="1">IF(OR($D54&lt;&gt;"Serviço",AND(AUTOEVENTO="Manual",$M54=$A$15)),0,
         IF(OFFSET(CRONOPLE!$F$15,$M54-$A$15,AV$13)=0,10^12,OFFSET(CRONOPLE!$F$15,$M54-$A$15,AV$13)))</f>
        <v>1000000000000</v>
      </c>
      <c r="AX54" s="172" cm="1">
        <f t="array" aca="1" ref="AX54" ca="1">IF(OR($D54&lt;&gt;"Serviço",AND(AUTOEVENTO="Manual",$M54=$A$15),$M54&gt;(ROW(PLE.lastrow)-ROW(PLE.firstrow))),0,
           IF(OFFSET(PLE!$G$15,$M54-$A$15,AX$13)="",10^12,OFFSET(PLE!$G$15,$M54-$A$15,AX$13)))</f>
        <v>1000000000000</v>
      </c>
      <c r="AY54" s="172" cm="1">
        <f t="array" aca="1" ref="AY54" ca="1">IF(OR($D54&lt;&gt;"Serviço",AND(AUTOEVENTO="Manual",$M54=$A$15),$M54&gt;(ROW(PLE.lastrow)-ROW(PLE.firstrow))),0,
           IF(OFFSET(PLE!$G$15,$M54-$A$15,AY$13)="",10^12,OFFSET(PLE!$G$15,$M54-$A$15,AY$13)))</f>
        <v>1000000000000</v>
      </c>
      <c r="AZ54" s="172" cm="1">
        <f t="array" aca="1" ref="AZ54" ca="1">IF(OR($D54&lt;&gt;"Serviço",AND(AUTOEVENTO="Manual",$M54=$A$15),$M54&gt;(ROW(PLE.lastrow)-ROW(PLE.firstrow))),0,
           IF(OFFSET(PLE!$G$15,$M54-$A$15,AZ$13)="",10^12,OFFSET(PLE!$G$15,$M54-$A$15,AZ$13)))</f>
        <v>1000000000000</v>
      </c>
      <c r="BA54" s="172" cm="1">
        <f t="array" aca="1" ref="BA54" ca="1">IF(OR($D54&lt;&gt;"Serviço",AND(AUTOEVENTO="Manual",$M54=$A$15),$M54&gt;(ROW(PLE.lastrow)-ROW(PLE.firstrow))),0,
           IF(OFFSET(PLE!$G$15,$M54-$A$15,BA$13)="",10^12,OFFSET(PLE!$G$15,$M54-$A$15,BA$13)))</f>
        <v>1000000000000</v>
      </c>
      <c r="BB54" s="172" cm="1">
        <f t="array" aca="1" ref="BB54" ca="1">IF(OR($D54&lt;&gt;"Serviço",AND(AUTOEVENTO="Manual",$M54=$A$15),$M54&gt;(ROW(PLE.lastrow)-ROW(PLE.firstrow))),0,
           IF(OFFSET(PLE!$G$15,$M54-$A$15,BB$13)="",10^12,OFFSET(PLE!$G$15,$M54-$A$15,BB$13)))</f>
        <v>1000000000000</v>
      </c>
      <c r="BC54" s="172" cm="1">
        <f t="array" aca="1" ref="BC54" ca="1">IF(OR($D54&lt;&gt;"Serviço",AND(AUTOEVENTO="Manual",$M54=$A$15),$M54&gt;(ROW(PLE.lastrow)-ROW(PLE.firstrow))),0,
           IF(OFFSET(PLE!$G$15,$M54-$A$15,BC$13)="",10^12,OFFSET(PLE!$G$15,$M54-$A$15,BC$13)))</f>
        <v>1000000000000</v>
      </c>
      <c r="BD54" s="172" cm="1">
        <f t="array" aca="1" ref="BD54" ca="1">IF(OR($D54&lt;&gt;"Serviço",AND(AUTOEVENTO="Manual",$M54=$A$15),$M54&gt;(ROW(PLE.lastrow)-ROW(PLE.firstrow))),0,
           IF(OFFSET(PLE!$G$15,$M54-$A$15,BD$13)="",10^12,OFFSET(PLE!$G$15,$M54-$A$15,BD$13)))</f>
        <v>1000000000000</v>
      </c>
      <c r="BE54" s="172" cm="1">
        <f t="array" aca="1" ref="BE54" ca="1">IF(OR($D54&lt;&gt;"Serviço",AND(AUTOEVENTO="Manual",$M54=$A$15),$M54&gt;(ROW(PLE.lastrow)-ROW(PLE.firstrow))),0,
           IF(OFFSET(PLE!$G$15,$M54-$A$15,BE$13)="",10^12,OFFSET(PLE!$G$15,$M54-$A$15,BE$13)))</f>
        <v>1000000000000</v>
      </c>
      <c r="BF54" s="172" cm="1">
        <f t="array" aca="1" ref="BF54" ca="1">IF(OR($D54&lt;&gt;"Serviço",AND(AUTOEVENTO="Manual",$M54=$A$15),$M54&gt;(ROW(PLE.lastrow)-ROW(PLE.firstrow))),0,
           IF(OFFSET(PLE!$G$15,$M54-$A$15,BF$13)="",10^12,OFFSET(PLE!$G$15,$M54-$A$15,BF$13)))</f>
        <v>1000000000000</v>
      </c>
      <c r="BG54" s="172" cm="1">
        <f t="array" aca="1" ref="BG54" ca="1">IF(OR($D54&lt;&gt;"Serviço",AND(AUTOEVENTO="Manual",$M54=$A$15),$M54&gt;(ROW(PLE.lastrow)-ROW(PLE.firstrow))),0,
           IF(OFFSET(PLE!$G$15,$M54-$A$15,BG$13)="",10^12,OFFSET(PLE!$G$15,$M54-$A$15,BG$13)))</f>
        <v>1000000000000</v>
      </c>
    </row>
    <row r="55" spans="1:59" ht="38.25" x14ac:dyDescent="0.2">
      <c r="A55" s="7" t="str">
        <f t="shared" ca="1" si="8"/>
        <v>38</v>
      </c>
      <c r="B55" s="7" t="str">
        <f ca="1">OFFSET(ORÇAMENTO!C$15,$L55,0)</f>
        <v>S</v>
      </c>
      <c r="C55" s="7" t="str">
        <f ca="1">OFFSET(ORÇAMENTO!L$15,$L55,0)</f>
        <v/>
      </c>
      <c r="D55" s="116" t="str">
        <f ca="1">OFFSET(ORÇAMENTO!N$15,$L55,0)</f>
        <v>Serviço</v>
      </c>
      <c r="E55" s="117" t="str">
        <f ca="1">OFFSET(ORÇAMENTO!O$15,$L55,0)</f>
        <v>-</v>
      </c>
      <c r="F55" s="163" t="str">
        <f ca="1">OFFSET(ORÇAMENTO!R$15,$L55,0)</f>
        <v>(Código não identificado nas referências)</v>
      </c>
      <c r="G55" s="164" t="str">
        <f ca="1">IF($D55&lt;&gt;"Serviço","",OFFSET(ORÇAMENTO!S$15,$L55,0))</f>
        <v>-</v>
      </c>
      <c r="H55" s="122" cm="1">
        <f t="array" aca="1" ref="H55" ca="1">IF($D55&lt;&gt;"Serviço",0,IF(ACOMPANHAMENTO="BM",ROUND(OFFSET(ORÇAMENTO!AJ$15,$L55,0),15-13*ORÇAMENTO!$AF$7),IF(IFERROR(CÁLCULO.FrentesPreenchidas,0)=0,0,SUM(ROUND(OFFSET($P55,0,1,1,CÁLCULO.FrentesPreenchidas),15-13*ORÇAMENTO!$AF$7)))))</f>
        <v>6.81</v>
      </c>
      <c r="I55" s="468"/>
      <c r="J55" s="651"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2"/>
      <c r="L55" s="165">
        <f t="shared" ca="1" si="9"/>
        <v>40</v>
      </c>
      <c r="M55" s="166">
        <f ca="1">IF($D55&lt;&gt;"Serviço","",
          IF(AUTOEVENTO="manual",$A55,
                IF(ISERROR(MATCH($A55,$A$15:OFFSET($A55,-1,0),0)),MAX($M$15:OFFSET(M55,-1,0))+1,
                      INDEX($M$15:OFFSET(M55,-1,0),MATCH($A55,$A$15:OFFSET($A55,-1,0),0)))))</f>
        <v>8</v>
      </c>
      <c r="N55" s="167" t="str">
        <f ca="1">IF($D55&lt;&gt;"Serviço","",
         IF(AUTOEVENTO="Manual",
                IF($A55=0,"&lt;-- defina o número do agrupador",
                       OFFSET(EVENTOS!$D$15,$A55-$A$15,0)),
                OFFSET($F$15,$A55,0)))</f>
        <v>VIGAS CINTAMENTO - REAPROVEITAMENTO DE FORMA DAS BALDRAMES</v>
      </c>
      <c r="O55" s="168"/>
      <c r="Q55" s="168"/>
      <c r="R55" s="169"/>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1000000000000</v>
      </c>
      <c r="AN55" s="171">
        <f ca="1">IF(OR($D55&lt;&gt;"Serviço",AND(AUTOEVENTO="Manual",$M55=$A$15)),0,
         IF(OFFSET(CRONOPLE!$F$15,$M55-$A$15,AN$13)=0,10^12,OFFSET(CRONOPLE!$F$15,$M55-$A$15,AN$13)))</f>
        <v>1000000000000</v>
      </c>
      <c r="AO55" s="171">
        <f ca="1">IF(OR($D55&lt;&gt;"Serviço",AND(AUTOEVENTO="Manual",$M55=$A$15)),0,
         IF(OFFSET(CRONOPLE!$F$15,$M55-$A$15,AO$13)=0,10^12,OFFSET(CRONOPLE!$F$15,$M55-$A$15,AO$13)))</f>
        <v>1000000000000</v>
      </c>
      <c r="AP55" s="171">
        <f ca="1">IF(OR($D55&lt;&gt;"Serviço",AND(AUTOEVENTO="Manual",$M55=$A$15)),0,
         IF(OFFSET(CRONOPLE!$F$15,$M55-$A$15,AP$13)=0,10^12,OFFSET(CRONOPLE!$F$15,$M55-$A$15,AP$13)))</f>
        <v>1000000000000</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cm="1">
        <f t="array" aca="1" ref="AX55" ca="1">IF(OR($D55&lt;&gt;"Serviço",AND(AUTOEVENTO="Manual",$M55=$A$15),$M55&gt;(ROW(PLE.lastrow)-ROW(PLE.firstrow))),0,
           IF(OFFSET(PLE!$G$15,$M55-$A$15,AX$13)="",10^12,OFFSET(PLE!$G$15,$M55-$A$15,AX$13)))</f>
        <v>1000000000000</v>
      </c>
      <c r="AY55" s="172" cm="1">
        <f t="array" aca="1" ref="AY55" ca="1">IF(OR($D55&lt;&gt;"Serviço",AND(AUTOEVENTO="Manual",$M55=$A$15),$M55&gt;(ROW(PLE.lastrow)-ROW(PLE.firstrow))),0,
           IF(OFFSET(PLE!$G$15,$M55-$A$15,AY$13)="",10^12,OFFSET(PLE!$G$15,$M55-$A$15,AY$13)))</f>
        <v>1000000000000</v>
      </c>
      <c r="AZ55" s="172" cm="1">
        <f t="array" aca="1" ref="AZ55" ca="1">IF(OR($D55&lt;&gt;"Serviço",AND(AUTOEVENTO="Manual",$M55=$A$15),$M55&gt;(ROW(PLE.lastrow)-ROW(PLE.firstrow))),0,
           IF(OFFSET(PLE!$G$15,$M55-$A$15,AZ$13)="",10^12,OFFSET(PLE!$G$15,$M55-$A$15,AZ$13)))</f>
        <v>1000000000000</v>
      </c>
      <c r="BA55" s="172" cm="1">
        <f t="array" aca="1" ref="BA55" ca="1">IF(OR($D55&lt;&gt;"Serviço",AND(AUTOEVENTO="Manual",$M55=$A$15),$M55&gt;(ROW(PLE.lastrow)-ROW(PLE.firstrow))),0,
           IF(OFFSET(PLE!$G$15,$M55-$A$15,BA$13)="",10^12,OFFSET(PLE!$G$15,$M55-$A$15,BA$13)))</f>
        <v>1000000000000</v>
      </c>
      <c r="BB55" s="172" cm="1">
        <f t="array" aca="1" ref="BB55" ca="1">IF(OR($D55&lt;&gt;"Serviço",AND(AUTOEVENTO="Manual",$M55=$A$15),$M55&gt;(ROW(PLE.lastrow)-ROW(PLE.firstrow))),0,
           IF(OFFSET(PLE!$G$15,$M55-$A$15,BB$13)="",10^12,OFFSET(PLE!$G$15,$M55-$A$15,BB$13)))</f>
        <v>1000000000000</v>
      </c>
      <c r="BC55" s="172" cm="1">
        <f t="array" aca="1" ref="BC55" ca="1">IF(OR($D55&lt;&gt;"Serviço",AND(AUTOEVENTO="Manual",$M55=$A$15),$M55&gt;(ROW(PLE.lastrow)-ROW(PLE.firstrow))),0,
           IF(OFFSET(PLE!$G$15,$M55-$A$15,BC$13)="",10^12,OFFSET(PLE!$G$15,$M55-$A$15,BC$13)))</f>
        <v>1000000000000</v>
      </c>
      <c r="BD55" s="172" cm="1">
        <f t="array" aca="1" ref="BD55" ca="1">IF(OR($D55&lt;&gt;"Serviço",AND(AUTOEVENTO="Manual",$M55=$A$15),$M55&gt;(ROW(PLE.lastrow)-ROW(PLE.firstrow))),0,
           IF(OFFSET(PLE!$G$15,$M55-$A$15,BD$13)="",10^12,OFFSET(PLE!$G$15,$M55-$A$15,BD$13)))</f>
        <v>1000000000000</v>
      </c>
      <c r="BE55" s="172" cm="1">
        <f t="array" aca="1" ref="BE55" ca="1">IF(OR($D55&lt;&gt;"Serviço",AND(AUTOEVENTO="Manual",$M55=$A$15),$M55&gt;(ROW(PLE.lastrow)-ROW(PLE.firstrow))),0,
           IF(OFFSET(PLE!$G$15,$M55-$A$15,BE$13)="",10^12,OFFSET(PLE!$G$15,$M55-$A$15,BE$13)))</f>
        <v>1000000000000</v>
      </c>
      <c r="BF55" s="172" cm="1">
        <f t="array" aca="1" ref="BF55" ca="1">IF(OR($D55&lt;&gt;"Serviço",AND(AUTOEVENTO="Manual",$M55=$A$15),$M55&gt;(ROW(PLE.lastrow)-ROW(PLE.firstrow))),0,
           IF(OFFSET(PLE!$G$15,$M55-$A$15,BF$13)="",10^12,OFFSET(PLE!$G$15,$M55-$A$15,BF$13)))</f>
        <v>1000000000000</v>
      </c>
      <c r="BG55" s="172" cm="1">
        <f t="array" aca="1" ref="BG55" ca="1">IF(OR($D55&lt;&gt;"Serviço",AND(AUTOEVENTO="Manual",$M55=$A$15),$M55&gt;(ROW(PLE.lastrow)-ROW(PLE.firstrow))),0,
           IF(OFFSET(PLE!$G$15,$M55-$A$15,BG$13)="",10^12,OFFSET(PLE!$G$15,$M55-$A$15,BG$13)))</f>
        <v>1000000000000</v>
      </c>
    </row>
    <row r="56" spans="1:59" ht="38.25" x14ac:dyDescent="0.2">
      <c r="A56" s="7" t="str">
        <f t="shared" ca="1" si="8"/>
        <v>38</v>
      </c>
      <c r="B56" s="7" t="str">
        <f ca="1">OFFSET(ORÇAMENTO!C$15,$L56,0)</f>
        <v>S</v>
      </c>
      <c r="C56" s="7" t="str">
        <f ca="1">OFFSET(ORÇAMENTO!L$15,$L56,0)</f>
        <v/>
      </c>
      <c r="D56" s="116" t="str">
        <f ca="1">OFFSET(ORÇAMENTO!N$15,$L56,0)</f>
        <v>Serviço</v>
      </c>
      <c r="E56" s="117" t="str">
        <f ca="1">OFFSET(ORÇAMENTO!O$15,$L56,0)</f>
        <v>-</v>
      </c>
      <c r="F56" s="163" t="str">
        <f ca="1">OFFSET(ORÇAMENTO!R$15,$L56,0)</f>
        <v>(Código não identificado nas referências)</v>
      </c>
      <c r="G56" s="164" t="str">
        <f ca="1">IF($D56&lt;&gt;"Serviço","",OFFSET(ORÇAMENTO!S$15,$L56,0))</f>
        <v>-</v>
      </c>
      <c r="H56" s="122" cm="1">
        <f t="array" aca="1" ref="H56" ca="1">IF($D56&lt;&gt;"Serviço",0,IF(ACOMPANHAMENTO="BM",ROUND(OFFSET(ORÇAMENTO!AJ$15,$L56,0),15-13*ORÇAMENTO!$AF$7),IF(IFERROR(CÁLCULO.FrentesPreenchidas,0)=0,0,SUM(ROUND(OFFSET($P56,0,1,1,CÁLCULO.FrentesPreenchidas),15-13*ORÇAMENTO!$AF$7)))))</f>
        <v>0.26</v>
      </c>
      <c r="I56" s="468"/>
      <c r="J56" s="651"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2"/>
      <c r="L56" s="165">
        <f t="shared" ca="1" si="9"/>
        <v>41</v>
      </c>
      <c r="M56" s="166">
        <f ca="1">IF($D56&lt;&gt;"Serviço","",
          IF(AUTOEVENTO="manual",$A56,
                IF(ISERROR(MATCH($A56,$A$15:OFFSET($A56,-1,0),0)),MAX($M$15:OFFSET(M56,-1,0))+1,
                      INDEX($M$15:OFFSET(M56,-1,0),MATCH($A56,$A$15:OFFSET($A56,-1,0),0)))))</f>
        <v>8</v>
      </c>
      <c r="N56" s="167" t="str">
        <f ca="1">IF($D56&lt;&gt;"Serviço","",
         IF(AUTOEVENTO="Manual",
                IF($A56=0,"&lt;-- defina o número do agrupador",
                       OFFSET(EVENTOS!$D$15,$A56-$A$15,0)),
                OFFSET($F$15,$A56,0)))</f>
        <v>VIGAS CINTAMENTO - REAPROVEITAMENTO DE FORMA DAS BALDRAMES</v>
      </c>
      <c r="O56" s="168"/>
      <c r="Q56" s="168"/>
      <c r="R56" s="169"/>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1000000000000</v>
      </c>
      <c r="AN56" s="171">
        <f ca="1">IF(OR($D56&lt;&gt;"Serviço",AND(AUTOEVENTO="Manual",$M56=$A$15)),0,
         IF(OFFSET(CRONOPLE!$F$15,$M56-$A$15,AN$13)=0,10^12,OFFSET(CRONOPLE!$F$15,$M56-$A$15,AN$13)))</f>
        <v>1000000000000</v>
      </c>
      <c r="AO56" s="171">
        <f ca="1">IF(OR($D56&lt;&gt;"Serviço",AND(AUTOEVENTO="Manual",$M56=$A$15)),0,
         IF(OFFSET(CRONOPLE!$F$15,$M56-$A$15,AO$13)=0,10^12,OFFSET(CRONOPLE!$F$15,$M56-$A$15,AO$13)))</f>
        <v>1000000000000</v>
      </c>
      <c r="AP56" s="171">
        <f ca="1">IF(OR($D56&lt;&gt;"Serviço",AND(AUTOEVENTO="Manual",$M56=$A$15)),0,
         IF(OFFSET(CRONOPLE!$F$15,$M56-$A$15,AP$13)=0,10^12,OFFSET(CRONOPLE!$F$15,$M56-$A$15,AP$13)))</f>
        <v>1000000000000</v>
      </c>
      <c r="AQ56" s="171">
        <f ca="1">IF(OR($D56&lt;&gt;"Serviço",AND(AUTOEVENTO="Manual",$M56=$A$15)),0,
         IF(OFFSET(CRONOPLE!$F$15,$M56-$A$15,AQ$13)=0,10^12,OFFSET(CRONOPLE!$F$15,$M56-$A$15,AQ$13)))</f>
        <v>1000000000000</v>
      </c>
      <c r="AR56" s="171">
        <f ca="1">IF(OR($D56&lt;&gt;"Serviço",AND(AUTOEVENTO="Manual",$M56=$A$15)),0,
         IF(OFFSET(CRONOPLE!$F$15,$M56-$A$15,AR$13)=0,10^12,OFFSET(CRONOPLE!$F$15,$M56-$A$15,AR$13)))</f>
        <v>1000000000000</v>
      </c>
      <c r="AS56" s="171">
        <f ca="1">IF(OR($D56&lt;&gt;"Serviço",AND(AUTOEVENTO="Manual",$M56=$A$15)),0,
         IF(OFFSET(CRONOPLE!$F$15,$M56-$A$15,AS$13)=0,10^12,OFFSET(CRONOPLE!$F$15,$M56-$A$15,AS$13)))</f>
        <v>1000000000000</v>
      </c>
      <c r="AT56" s="171">
        <f ca="1">IF(OR($D56&lt;&gt;"Serviço",AND(AUTOEVENTO="Manual",$M56=$A$15)),0,
         IF(OFFSET(CRONOPLE!$F$15,$M56-$A$15,AT$13)=0,10^12,OFFSET(CRONOPLE!$F$15,$M56-$A$15,AT$13)))</f>
        <v>1000000000000</v>
      </c>
      <c r="AU56" s="171">
        <f ca="1">IF(OR($D56&lt;&gt;"Serviço",AND(AUTOEVENTO="Manual",$M56=$A$15)),0,
         IF(OFFSET(CRONOPLE!$F$15,$M56-$A$15,AU$13)=0,10^12,OFFSET(CRONOPLE!$F$15,$M56-$A$15,AU$13)))</f>
        <v>1000000000000</v>
      </c>
      <c r="AV56" s="171">
        <f ca="1">IF(OR($D56&lt;&gt;"Serviço",AND(AUTOEVENTO="Manual",$M56=$A$15)),0,
         IF(OFFSET(CRONOPLE!$F$15,$M56-$A$15,AV$13)=0,10^12,OFFSET(CRONOPLE!$F$15,$M56-$A$15,AV$13)))</f>
        <v>1000000000000</v>
      </c>
      <c r="AX56" s="172" cm="1">
        <f t="array" aca="1" ref="AX56" ca="1">IF(OR($D56&lt;&gt;"Serviço",AND(AUTOEVENTO="Manual",$M56=$A$15),$M56&gt;(ROW(PLE.lastrow)-ROW(PLE.firstrow))),0,
           IF(OFFSET(PLE!$G$15,$M56-$A$15,AX$13)="",10^12,OFFSET(PLE!$G$15,$M56-$A$15,AX$13)))</f>
        <v>1000000000000</v>
      </c>
      <c r="AY56" s="172" cm="1">
        <f t="array" aca="1" ref="AY56" ca="1">IF(OR($D56&lt;&gt;"Serviço",AND(AUTOEVENTO="Manual",$M56=$A$15),$M56&gt;(ROW(PLE.lastrow)-ROW(PLE.firstrow))),0,
           IF(OFFSET(PLE!$G$15,$M56-$A$15,AY$13)="",10^12,OFFSET(PLE!$G$15,$M56-$A$15,AY$13)))</f>
        <v>1000000000000</v>
      </c>
      <c r="AZ56" s="172" cm="1">
        <f t="array" aca="1" ref="AZ56" ca="1">IF(OR($D56&lt;&gt;"Serviço",AND(AUTOEVENTO="Manual",$M56=$A$15),$M56&gt;(ROW(PLE.lastrow)-ROW(PLE.firstrow))),0,
           IF(OFFSET(PLE!$G$15,$M56-$A$15,AZ$13)="",10^12,OFFSET(PLE!$G$15,$M56-$A$15,AZ$13)))</f>
        <v>1000000000000</v>
      </c>
      <c r="BA56" s="172" cm="1">
        <f t="array" aca="1" ref="BA56" ca="1">IF(OR($D56&lt;&gt;"Serviço",AND(AUTOEVENTO="Manual",$M56=$A$15),$M56&gt;(ROW(PLE.lastrow)-ROW(PLE.firstrow))),0,
           IF(OFFSET(PLE!$G$15,$M56-$A$15,BA$13)="",10^12,OFFSET(PLE!$G$15,$M56-$A$15,BA$13)))</f>
        <v>1000000000000</v>
      </c>
      <c r="BB56" s="172" cm="1">
        <f t="array" aca="1" ref="BB56" ca="1">IF(OR($D56&lt;&gt;"Serviço",AND(AUTOEVENTO="Manual",$M56=$A$15),$M56&gt;(ROW(PLE.lastrow)-ROW(PLE.firstrow))),0,
           IF(OFFSET(PLE!$G$15,$M56-$A$15,BB$13)="",10^12,OFFSET(PLE!$G$15,$M56-$A$15,BB$13)))</f>
        <v>1000000000000</v>
      </c>
      <c r="BC56" s="172" cm="1">
        <f t="array" aca="1" ref="BC56" ca="1">IF(OR($D56&lt;&gt;"Serviço",AND(AUTOEVENTO="Manual",$M56=$A$15),$M56&gt;(ROW(PLE.lastrow)-ROW(PLE.firstrow))),0,
           IF(OFFSET(PLE!$G$15,$M56-$A$15,BC$13)="",10^12,OFFSET(PLE!$G$15,$M56-$A$15,BC$13)))</f>
        <v>1000000000000</v>
      </c>
      <c r="BD56" s="172" cm="1">
        <f t="array" aca="1" ref="BD56" ca="1">IF(OR($D56&lt;&gt;"Serviço",AND(AUTOEVENTO="Manual",$M56=$A$15),$M56&gt;(ROW(PLE.lastrow)-ROW(PLE.firstrow))),0,
           IF(OFFSET(PLE!$G$15,$M56-$A$15,BD$13)="",10^12,OFFSET(PLE!$G$15,$M56-$A$15,BD$13)))</f>
        <v>1000000000000</v>
      </c>
      <c r="BE56" s="172" cm="1">
        <f t="array" aca="1" ref="BE56" ca="1">IF(OR($D56&lt;&gt;"Serviço",AND(AUTOEVENTO="Manual",$M56=$A$15),$M56&gt;(ROW(PLE.lastrow)-ROW(PLE.firstrow))),0,
           IF(OFFSET(PLE!$G$15,$M56-$A$15,BE$13)="",10^12,OFFSET(PLE!$G$15,$M56-$A$15,BE$13)))</f>
        <v>1000000000000</v>
      </c>
      <c r="BF56" s="172" cm="1">
        <f t="array" aca="1" ref="BF56" ca="1">IF(OR($D56&lt;&gt;"Serviço",AND(AUTOEVENTO="Manual",$M56=$A$15),$M56&gt;(ROW(PLE.lastrow)-ROW(PLE.firstrow))),0,
           IF(OFFSET(PLE!$G$15,$M56-$A$15,BF$13)="",10^12,OFFSET(PLE!$G$15,$M56-$A$15,BF$13)))</f>
        <v>1000000000000</v>
      </c>
      <c r="BG56" s="172" cm="1">
        <f t="array" aca="1" ref="BG56" ca="1">IF(OR($D56&lt;&gt;"Serviço",AND(AUTOEVENTO="Manual",$M56=$A$15),$M56&gt;(ROW(PLE.lastrow)-ROW(PLE.firstrow))),0,
           IF(OFFSET(PLE!$G$15,$M56-$A$15,BG$13)="",10^12,OFFSET(PLE!$G$15,$M56-$A$15,BG$13)))</f>
        <v>1000000000000</v>
      </c>
    </row>
    <row r="57" spans="1:59" ht="12.75" x14ac:dyDescent="0.2">
      <c r="A57" s="7" t="str">
        <f t="shared" ca="1" si="8"/>
        <v>42.</v>
      </c>
      <c r="B57" s="7">
        <f ca="1">OFFSET(ORÇAMENTO!C$15,$L57,0)</f>
        <v>2</v>
      </c>
      <c r="C57" s="7" t="str">
        <f ca="1">OFFSET(ORÇAMENTO!L$15,$L57,0)</f>
        <v>F</v>
      </c>
      <c r="D57" s="116" t="str">
        <f ca="1">OFFSET(ORÇAMENTO!N$15,$L57,0)</f>
        <v>Nível 2</v>
      </c>
      <c r="E57" s="117" t="str">
        <f ca="1">OFFSET(ORÇAMENTO!O$15,$L57,0)</f>
        <v>2.5.</v>
      </c>
      <c r="F57" s="163" t="str">
        <f ca="1">OFFSET(ORÇAMENTO!R$15,$L57,0)</f>
        <v>OITÃO EM ALVENARIA</v>
      </c>
      <c r="G57" s="164" t="str">
        <f ca="1">IF($D57&lt;&gt;"Serviço","",OFFSET(ORÇAMENTO!S$15,$L57,0))</f>
        <v/>
      </c>
      <c r="H57" s="122" cm="1">
        <f t="array" aca="1" ref="H57" ca="1">IF($D57&lt;&gt;"Serviço",0,IF(ACOMPANHAMENTO="BM",ROUND(OFFSET(ORÇAMENTO!AJ$15,$L57,0),15-13*ORÇAMENTO!$AF$7),IF(IFERROR(CÁLCULO.FrentesPreenchidas,0)=0,0,SUM(ROUND(OFFSET($P57,0,1,1,CÁLCULO.FrentesPreenchidas),15-13*ORÇAMENTO!$AF$7)))))</f>
        <v>0</v>
      </c>
      <c r="I57" s="468"/>
      <c r="J57" s="651"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2"/>
      <c r="L57" s="165">
        <f t="shared" ca="1" si="9"/>
        <v>42</v>
      </c>
      <c r="M57" s="166" t="str">
        <f ca="1">IF($D57&lt;&gt;"Serviço","",
          IF(AUTOEVENTO="manual",$A57,
                IF(ISERROR(MATCH($A57,$A$15:OFFSET($A57,-1,0),0)),MAX($M$15:OFFSET(M57,-1,0))+1,
                      INDEX($M$15:OFFSET(M57,-1,0),MATCH($A57,$A$15:OFFSET($A57,-1,0),0)))))</f>
        <v/>
      </c>
      <c r="N57" s="167" t="str">
        <f ca="1">IF($D57&lt;&gt;"Serviço","",
         IF(AUTOEVENTO="Manual",
                IF($A57=0,"&lt;-- defina o número do agrupador",
                       OFFSET(EVENTOS!$D$15,$A57-$A$15,0)),
                OFFSET($F$15,$A57,0)))</f>
        <v/>
      </c>
      <c r="O57" s="168"/>
      <c r="Q57" s="168"/>
      <c r="R57" s="169"/>
      <c r="S57" s="169"/>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0</v>
      </c>
      <c r="AN57" s="171">
        <f ca="1">IF(OR($D57&lt;&gt;"Serviço",AND(AUTOEVENTO="Manual",$M57=$A$15)),0,
         IF(OFFSET(CRONOPLE!$F$15,$M57-$A$15,AN$13)=0,10^12,OFFSET(CRONOPLE!$F$15,$M57-$A$15,AN$13)))</f>
        <v>0</v>
      </c>
      <c r="AO57" s="171">
        <f ca="1">IF(OR($D57&lt;&gt;"Serviço",AND(AUTOEVENTO="Manual",$M57=$A$15)),0,
         IF(OFFSET(CRONOPLE!$F$15,$M57-$A$15,AO$13)=0,10^12,OFFSET(CRONOPLE!$F$15,$M57-$A$15,AO$13)))</f>
        <v>0</v>
      </c>
      <c r="AP57" s="171">
        <f ca="1">IF(OR($D57&lt;&gt;"Serviço",AND(AUTOEVENTO="Manual",$M57=$A$15)),0,
         IF(OFFSET(CRONOPLE!$F$15,$M57-$A$15,AP$13)=0,10^12,OFFSET(CRONOPLE!$F$15,$M57-$A$15,AP$13)))</f>
        <v>0</v>
      </c>
      <c r="AQ57" s="171">
        <f ca="1">IF(OR($D57&lt;&gt;"Serviço",AND(AUTOEVENTO="Manual",$M57=$A$15)),0,
         IF(OFFSET(CRONOPLE!$F$15,$M57-$A$15,AQ$13)=0,10^12,OFFSET(CRONOPLE!$F$15,$M57-$A$15,AQ$13)))</f>
        <v>0</v>
      </c>
      <c r="AR57" s="171">
        <f ca="1">IF(OR($D57&lt;&gt;"Serviço",AND(AUTOEVENTO="Manual",$M57=$A$15)),0,
         IF(OFFSET(CRONOPLE!$F$15,$M57-$A$15,AR$13)=0,10^12,OFFSET(CRONOPLE!$F$15,$M57-$A$15,AR$13)))</f>
        <v>0</v>
      </c>
      <c r="AS57" s="171">
        <f ca="1">IF(OR($D57&lt;&gt;"Serviço",AND(AUTOEVENTO="Manual",$M57=$A$15)),0,
         IF(OFFSET(CRONOPLE!$F$15,$M57-$A$15,AS$13)=0,10^12,OFFSET(CRONOPLE!$F$15,$M57-$A$15,AS$13)))</f>
        <v>0</v>
      </c>
      <c r="AT57" s="171">
        <f ca="1">IF(OR($D57&lt;&gt;"Serviço",AND(AUTOEVENTO="Manual",$M57=$A$15)),0,
         IF(OFFSET(CRONOPLE!$F$15,$M57-$A$15,AT$13)=0,10^12,OFFSET(CRONOPLE!$F$15,$M57-$A$15,AT$13)))</f>
        <v>0</v>
      </c>
      <c r="AU57" s="171">
        <f ca="1">IF(OR($D57&lt;&gt;"Serviço",AND(AUTOEVENTO="Manual",$M57=$A$15)),0,
         IF(OFFSET(CRONOPLE!$F$15,$M57-$A$15,AU$13)=0,10^12,OFFSET(CRONOPLE!$F$15,$M57-$A$15,AU$13)))</f>
        <v>0</v>
      </c>
      <c r="AV57" s="171">
        <f ca="1">IF(OR($D57&lt;&gt;"Serviço",AND(AUTOEVENTO="Manual",$M57=$A$15)),0,
         IF(OFFSET(CRONOPLE!$F$15,$M57-$A$15,AV$13)=0,10^12,OFFSET(CRONOPLE!$F$15,$M57-$A$15,AV$13)))</f>
        <v>0</v>
      </c>
      <c r="AX57" s="172" cm="1">
        <f t="array" aca="1" ref="AX57" ca="1">IF(OR($D57&lt;&gt;"Serviço",AND(AUTOEVENTO="Manual",$M57=$A$15),$M57&gt;(ROW(PLE.lastrow)-ROW(PLE.firstrow))),0,
           IF(OFFSET(PLE!$G$15,$M57-$A$15,AX$13)="",10^12,OFFSET(PLE!$G$15,$M57-$A$15,AX$13)))</f>
        <v>0</v>
      </c>
      <c r="AY57" s="172" cm="1">
        <f t="array" aca="1" ref="AY57" ca="1">IF(OR($D57&lt;&gt;"Serviço",AND(AUTOEVENTO="Manual",$M57=$A$15),$M57&gt;(ROW(PLE.lastrow)-ROW(PLE.firstrow))),0,
           IF(OFFSET(PLE!$G$15,$M57-$A$15,AY$13)="",10^12,OFFSET(PLE!$G$15,$M57-$A$15,AY$13)))</f>
        <v>0</v>
      </c>
      <c r="AZ57" s="172" cm="1">
        <f t="array" aca="1" ref="AZ57" ca="1">IF(OR($D57&lt;&gt;"Serviço",AND(AUTOEVENTO="Manual",$M57=$A$15),$M57&gt;(ROW(PLE.lastrow)-ROW(PLE.firstrow))),0,
           IF(OFFSET(PLE!$G$15,$M57-$A$15,AZ$13)="",10^12,OFFSET(PLE!$G$15,$M57-$A$15,AZ$13)))</f>
        <v>0</v>
      </c>
      <c r="BA57" s="172" cm="1">
        <f t="array" aca="1" ref="BA57" ca="1">IF(OR($D57&lt;&gt;"Serviço",AND(AUTOEVENTO="Manual",$M57=$A$15),$M57&gt;(ROW(PLE.lastrow)-ROW(PLE.firstrow))),0,
           IF(OFFSET(PLE!$G$15,$M57-$A$15,BA$13)="",10^12,OFFSET(PLE!$G$15,$M57-$A$15,BA$13)))</f>
        <v>0</v>
      </c>
      <c r="BB57" s="172" cm="1">
        <f t="array" aca="1" ref="BB57" ca="1">IF(OR($D57&lt;&gt;"Serviço",AND(AUTOEVENTO="Manual",$M57=$A$15),$M57&gt;(ROW(PLE.lastrow)-ROW(PLE.firstrow))),0,
           IF(OFFSET(PLE!$G$15,$M57-$A$15,BB$13)="",10^12,OFFSET(PLE!$G$15,$M57-$A$15,BB$13)))</f>
        <v>0</v>
      </c>
      <c r="BC57" s="172" cm="1">
        <f t="array" aca="1" ref="BC57" ca="1">IF(OR($D57&lt;&gt;"Serviço",AND(AUTOEVENTO="Manual",$M57=$A$15),$M57&gt;(ROW(PLE.lastrow)-ROW(PLE.firstrow))),0,
           IF(OFFSET(PLE!$G$15,$M57-$A$15,BC$13)="",10^12,OFFSET(PLE!$G$15,$M57-$A$15,BC$13)))</f>
        <v>0</v>
      </c>
      <c r="BD57" s="172" cm="1">
        <f t="array" aca="1" ref="BD57" ca="1">IF(OR($D57&lt;&gt;"Serviço",AND(AUTOEVENTO="Manual",$M57=$A$15),$M57&gt;(ROW(PLE.lastrow)-ROW(PLE.firstrow))),0,
           IF(OFFSET(PLE!$G$15,$M57-$A$15,BD$13)="",10^12,OFFSET(PLE!$G$15,$M57-$A$15,BD$13)))</f>
        <v>0</v>
      </c>
      <c r="BE57" s="172" cm="1">
        <f t="array" aca="1" ref="BE57" ca="1">IF(OR($D57&lt;&gt;"Serviço",AND(AUTOEVENTO="Manual",$M57=$A$15),$M57&gt;(ROW(PLE.lastrow)-ROW(PLE.firstrow))),0,
           IF(OFFSET(PLE!$G$15,$M57-$A$15,BE$13)="",10^12,OFFSET(PLE!$G$15,$M57-$A$15,BE$13)))</f>
        <v>0</v>
      </c>
      <c r="BF57" s="172" cm="1">
        <f t="array" aca="1" ref="BF57" ca="1">IF(OR($D57&lt;&gt;"Serviço",AND(AUTOEVENTO="Manual",$M57=$A$15),$M57&gt;(ROW(PLE.lastrow)-ROW(PLE.firstrow))),0,
           IF(OFFSET(PLE!$G$15,$M57-$A$15,BF$13)="",10^12,OFFSET(PLE!$G$15,$M57-$A$15,BF$13)))</f>
        <v>0</v>
      </c>
      <c r="BG57" s="172" cm="1">
        <f t="array" aca="1" ref="BG57" ca="1">IF(OR($D57&lt;&gt;"Serviço",AND(AUTOEVENTO="Manual",$M57=$A$15),$M57&gt;(ROW(PLE.lastrow)-ROW(PLE.firstrow))),0,
           IF(OFFSET(PLE!$G$15,$M57-$A$15,BG$13)="",10^12,OFFSET(PLE!$G$15,$M57-$A$15,BG$13)))</f>
        <v>0</v>
      </c>
    </row>
    <row r="58" spans="1:59" ht="51" x14ac:dyDescent="0.2">
      <c r="A58" s="7" t="str">
        <f t="shared" ca="1" si="8"/>
        <v>42</v>
      </c>
      <c r="B58" s="7" t="str">
        <f ca="1">OFFSET(ORÇAMENTO!C$15,$L58,0)</f>
        <v>S</v>
      </c>
      <c r="C58" s="7" t="str">
        <f ca="1">OFFSET(ORÇAMENTO!L$15,$L58,0)</f>
        <v/>
      </c>
      <c r="D58" s="116" t="str">
        <f ca="1">OFFSET(ORÇAMENTO!N$15,$L58,0)</f>
        <v>Serviço</v>
      </c>
      <c r="E58" s="117" t="str">
        <f ca="1">OFFSET(ORÇAMENTO!O$15,$L58,0)</f>
        <v>-</v>
      </c>
      <c r="F58" s="163" t="str">
        <f ca="1">OFFSET(ORÇAMENTO!R$15,$L58,0)</f>
        <v>(Código não identificado nas referências)</v>
      </c>
      <c r="G58" s="164" t="str">
        <f ca="1">IF($D58&lt;&gt;"Serviço","",OFFSET(ORÇAMENTO!S$15,$L58,0))</f>
        <v>-</v>
      </c>
      <c r="H58" s="122" cm="1">
        <f t="array" aca="1" ref="H58" ca="1">IF($D58&lt;&gt;"Serviço",0,IF(ACOMPANHAMENTO="BM",ROUND(OFFSET(ORÇAMENTO!AJ$15,$L58,0),15-13*ORÇAMENTO!$AF$7),IF(IFERROR(CÁLCULO.FrentesPreenchidas,0)=0,0,SUM(ROUND(OFFSET($P58,0,1,1,CÁLCULO.FrentesPreenchidas),15-13*ORÇAMENTO!$AF$7)))))</f>
        <v>1</v>
      </c>
      <c r="I58" s="468"/>
      <c r="J58" s="651"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2"/>
      <c r="L58" s="165">
        <f t="shared" ca="1" si="9"/>
        <v>43</v>
      </c>
      <c r="M58" s="166">
        <f ca="1">IF($D58&lt;&gt;"Serviço","",
          IF(AUTOEVENTO="manual",$A58,
                IF(ISERROR(MATCH($A58,$A$15:OFFSET($A58,-1,0),0)),MAX($M$15:OFFSET(M58,-1,0))+1,
                      INDEX($M$15:OFFSET(M58,-1,0),MATCH($A58,$A$15:OFFSET($A58,-1,0),0)))))</f>
        <v>9</v>
      </c>
      <c r="N58" s="167" t="str">
        <f ca="1">IF($D58&lt;&gt;"Serviço","",
         IF(AUTOEVENTO="Manual",
                IF($A58=0,"&lt;-- defina o número do agrupador",
                       OFFSET(EVENTOS!$D$15,$A58-$A$15,0)),
                OFFSET($F$15,$A58,0)))</f>
        <v>OITÃO EM ALVENARIA</v>
      </c>
      <c r="O58" s="168"/>
      <c r="Q58" s="168"/>
      <c r="R58" s="169"/>
      <c r="S58" s="169"/>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1000000000000</v>
      </c>
      <c r="AN58" s="171">
        <f ca="1">IF(OR($D58&lt;&gt;"Serviço",AND(AUTOEVENTO="Manual",$M58=$A$15)),0,
         IF(OFFSET(CRONOPLE!$F$15,$M58-$A$15,AN$13)=0,10^12,OFFSET(CRONOPLE!$F$15,$M58-$A$15,AN$13)))</f>
        <v>1000000000000</v>
      </c>
      <c r="AO58" s="171">
        <f ca="1">IF(OR($D58&lt;&gt;"Serviço",AND(AUTOEVENTO="Manual",$M58=$A$15)),0,
         IF(OFFSET(CRONOPLE!$F$15,$M58-$A$15,AO$13)=0,10^12,OFFSET(CRONOPLE!$F$15,$M58-$A$15,AO$13)))</f>
        <v>1000000000000</v>
      </c>
      <c r="AP58" s="171">
        <f ca="1">IF(OR($D58&lt;&gt;"Serviço",AND(AUTOEVENTO="Manual",$M58=$A$15)),0,
         IF(OFFSET(CRONOPLE!$F$15,$M58-$A$15,AP$13)=0,10^12,OFFSET(CRONOPLE!$F$15,$M58-$A$15,AP$13)))</f>
        <v>1000000000000</v>
      </c>
      <c r="AQ58" s="171">
        <f ca="1">IF(OR($D58&lt;&gt;"Serviço",AND(AUTOEVENTO="Manual",$M58=$A$15)),0,
         IF(OFFSET(CRONOPLE!$F$15,$M58-$A$15,AQ$13)=0,10^12,OFFSET(CRONOPLE!$F$15,$M58-$A$15,AQ$13)))</f>
        <v>1000000000000</v>
      </c>
      <c r="AR58" s="171">
        <f ca="1">IF(OR($D58&lt;&gt;"Serviço",AND(AUTOEVENTO="Manual",$M58=$A$15)),0,
         IF(OFFSET(CRONOPLE!$F$15,$M58-$A$15,AR$13)=0,10^12,OFFSET(CRONOPLE!$F$15,$M58-$A$15,AR$13)))</f>
        <v>1000000000000</v>
      </c>
      <c r="AS58" s="171">
        <f ca="1">IF(OR($D58&lt;&gt;"Serviço",AND(AUTOEVENTO="Manual",$M58=$A$15)),0,
         IF(OFFSET(CRONOPLE!$F$15,$M58-$A$15,AS$13)=0,10^12,OFFSET(CRONOPLE!$F$15,$M58-$A$15,AS$13)))</f>
        <v>1000000000000</v>
      </c>
      <c r="AT58" s="171">
        <f ca="1">IF(OR($D58&lt;&gt;"Serviço",AND(AUTOEVENTO="Manual",$M58=$A$15)),0,
         IF(OFFSET(CRONOPLE!$F$15,$M58-$A$15,AT$13)=0,10^12,OFFSET(CRONOPLE!$F$15,$M58-$A$15,AT$13)))</f>
        <v>1000000000000</v>
      </c>
      <c r="AU58" s="171">
        <f ca="1">IF(OR($D58&lt;&gt;"Serviço",AND(AUTOEVENTO="Manual",$M58=$A$15)),0,
         IF(OFFSET(CRONOPLE!$F$15,$M58-$A$15,AU$13)=0,10^12,OFFSET(CRONOPLE!$F$15,$M58-$A$15,AU$13)))</f>
        <v>1000000000000</v>
      </c>
      <c r="AV58" s="171">
        <f ca="1">IF(OR($D58&lt;&gt;"Serviço",AND(AUTOEVENTO="Manual",$M58=$A$15)),0,
         IF(OFFSET(CRONOPLE!$F$15,$M58-$A$15,AV$13)=0,10^12,OFFSET(CRONOPLE!$F$15,$M58-$A$15,AV$13)))</f>
        <v>1000000000000</v>
      </c>
      <c r="AX58" s="172" cm="1">
        <f t="array" aca="1" ref="AX58" ca="1">IF(OR($D58&lt;&gt;"Serviço",AND(AUTOEVENTO="Manual",$M58=$A$15),$M58&gt;(ROW(PLE.lastrow)-ROW(PLE.firstrow))),0,
           IF(OFFSET(PLE!$G$15,$M58-$A$15,AX$13)="",10^12,OFFSET(PLE!$G$15,$M58-$A$15,AX$13)))</f>
        <v>1000000000000</v>
      </c>
      <c r="AY58" s="172" cm="1">
        <f t="array" aca="1" ref="AY58" ca="1">IF(OR($D58&lt;&gt;"Serviço",AND(AUTOEVENTO="Manual",$M58=$A$15),$M58&gt;(ROW(PLE.lastrow)-ROW(PLE.firstrow))),0,
           IF(OFFSET(PLE!$G$15,$M58-$A$15,AY$13)="",10^12,OFFSET(PLE!$G$15,$M58-$A$15,AY$13)))</f>
        <v>1000000000000</v>
      </c>
      <c r="AZ58" s="172" cm="1">
        <f t="array" aca="1" ref="AZ58" ca="1">IF(OR($D58&lt;&gt;"Serviço",AND(AUTOEVENTO="Manual",$M58=$A$15),$M58&gt;(ROW(PLE.lastrow)-ROW(PLE.firstrow))),0,
           IF(OFFSET(PLE!$G$15,$M58-$A$15,AZ$13)="",10^12,OFFSET(PLE!$G$15,$M58-$A$15,AZ$13)))</f>
        <v>1000000000000</v>
      </c>
      <c r="BA58" s="172" cm="1">
        <f t="array" aca="1" ref="BA58" ca="1">IF(OR($D58&lt;&gt;"Serviço",AND(AUTOEVENTO="Manual",$M58=$A$15),$M58&gt;(ROW(PLE.lastrow)-ROW(PLE.firstrow))),0,
           IF(OFFSET(PLE!$G$15,$M58-$A$15,BA$13)="",10^12,OFFSET(PLE!$G$15,$M58-$A$15,BA$13)))</f>
        <v>1000000000000</v>
      </c>
      <c r="BB58" s="172" cm="1">
        <f t="array" aca="1" ref="BB58" ca="1">IF(OR($D58&lt;&gt;"Serviço",AND(AUTOEVENTO="Manual",$M58=$A$15),$M58&gt;(ROW(PLE.lastrow)-ROW(PLE.firstrow))),0,
           IF(OFFSET(PLE!$G$15,$M58-$A$15,BB$13)="",10^12,OFFSET(PLE!$G$15,$M58-$A$15,BB$13)))</f>
        <v>1000000000000</v>
      </c>
      <c r="BC58" s="172" cm="1">
        <f t="array" aca="1" ref="BC58" ca="1">IF(OR($D58&lt;&gt;"Serviço",AND(AUTOEVENTO="Manual",$M58=$A$15),$M58&gt;(ROW(PLE.lastrow)-ROW(PLE.firstrow))),0,
           IF(OFFSET(PLE!$G$15,$M58-$A$15,BC$13)="",10^12,OFFSET(PLE!$G$15,$M58-$A$15,BC$13)))</f>
        <v>1000000000000</v>
      </c>
      <c r="BD58" s="172" cm="1">
        <f t="array" aca="1" ref="BD58" ca="1">IF(OR($D58&lt;&gt;"Serviço",AND(AUTOEVENTO="Manual",$M58=$A$15),$M58&gt;(ROW(PLE.lastrow)-ROW(PLE.firstrow))),0,
           IF(OFFSET(PLE!$G$15,$M58-$A$15,BD$13)="",10^12,OFFSET(PLE!$G$15,$M58-$A$15,BD$13)))</f>
        <v>1000000000000</v>
      </c>
      <c r="BE58" s="172" cm="1">
        <f t="array" aca="1" ref="BE58" ca="1">IF(OR($D58&lt;&gt;"Serviço",AND(AUTOEVENTO="Manual",$M58=$A$15),$M58&gt;(ROW(PLE.lastrow)-ROW(PLE.firstrow))),0,
           IF(OFFSET(PLE!$G$15,$M58-$A$15,BE$13)="",10^12,OFFSET(PLE!$G$15,$M58-$A$15,BE$13)))</f>
        <v>1000000000000</v>
      </c>
      <c r="BF58" s="172" cm="1">
        <f t="array" aca="1" ref="BF58" ca="1">IF(OR($D58&lt;&gt;"Serviço",AND(AUTOEVENTO="Manual",$M58=$A$15),$M58&gt;(ROW(PLE.lastrow)-ROW(PLE.firstrow))),0,
           IF(OFFSET(PLE!$G$15,$M58-$A$15,BF$13)="",10^12,OFFSET(PLE!$G$15,$M58-$A$15,BF$13)))</f>
        <v>1000000000000</v>
      </c>
      <c r="BG58" s="172" cm="1">
        <f t="array" aca="1" ref="BG58" ca="1">IF(OR($D58&lt;&gt;"Serviço",AND(AUTOEVENTO="Manual",$M58=$A$15),$M58&gt;(ROW(PLE.lastrow)-ROW(PLE.firstrow))),0,
           IF(OFFSET(PLE!$G$15,$M58-$A$15,BG$13)="",10^12,OFFSET(PLE!$G$15,$M58-$A$15,BG$13)))</f>
        <v>1000000000000</v>
      </c>
    </row>
    <row r="59" spans="1:59" ht="51" x14ac:dyDescent="0.2">
      <c r="A59" s="7" t="str">
        <f t="shared" ca="1" si="8"/>
        <v>42</v>
      </c>
      <c r="B59" s="7" t="str">
        <f ca="1">OFFSET(ORÇAMENTO!C$15,$L59,0)</f>
        <v>S</v>
      </c>
      <c r="C59" s="7" t="str">
        <f ca="1">OFFSET(ORÇAMENTO!L$15,$L59,0)</f>
        <v/>
      </c>
      <c r="D59" s="116" t="str">
        <f ca="1">OFFSET(ORÇAMENTO!N$15,$L59,0)</f>
        <v>Serviço</v>
      </c>
      <c r="E59" s="117" t="str">
        <f ca="1">OFFSET(ORÇAMENTO!O$15,$L59,0)</f>
        <v>-</v>
      </c>
      <c r="F59" s="163" t="str">
        <f ca="1">OFFSET(ORÇAMENTO!R$15,$L59,0)</f>
        <v>(Código não identificado nas referências)</v>
      </c>
      <c r="G59" s="164" t="str">
        <f ca="1">IF($D59&lt;&gt;"Serviço","",OFFSET(ORÇAMENTO!S$15,$L59,0))</f>
        <v>-</v>
      </c>
      <c r="H59" s="122" cm="1">
        <f t="array" aca="1" ref="H59" ca="1">IF($D59&lt;&gt;"Serviço",0,IF(ACOMPANHAMENTO="BM",ROUND(OFFSET(ORÇAMENTO!AJ$15,$L59,0),15-13*ORÇAMENTO!$AF$7),IF(IFERROR(CÁLCULO.FrentesPreenchidas,0)=0,0,SUM(ROUND(OFFSET($P59,0,1,1,CÁLCULO.FrentesPreenchidas),15-13*ORÇAMENTO!$AF$7)))))</f>
        <v>2</v>
      </c>
      <c r="I59" s="468"/>
      <c r="J59" s="651"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2"/>
      <c r="L59" s="165">
        <f t="shared" ca="1" si="9"/>
        <v>44</v>
      </c>
      <c r="M59" s="166">
        <f ca="1">IF($D59&lt;&gt;"Serviço","",
          IF(AUTOEVENTO="manual",$A59,
                IF(ISERROR(MATCH($A59,$A$15:OFFSET($A59,-1,0),0)),MAX($M$15:OFFSET(M59,-1,0))+1,
                      INDEX($M$15:OFFSET(M59,-1,0),MATCH($A59,$A$15:OFFSET($A59,-1,0),0)))))</f>
        <v>9</v>
      </c>
      <c r="N59" s="167" t="str">
        <f ca="1">IF($D59&lt;&gt;"Serviço","",
         IF(AUTOEVENTO="Manual",
                IF($A59=0,"&lt;-- defina o número do agrupador",
                       OFFSET(EVENTOS!$D$15,$A59-$A$15,0)),
                OFFSET($F$15,$A59,0)))</f>
        <v>OITÃO EM ALVENARIA</v>
      </c>
      <c r="O59" s="168"/>
      <c r="Q59" s="168"/>
      <c r="R59" s="169"/>
      <c r="S59" s="169"/>
      <c r="T59" s="169"/>
      <c r="U59" s="169"/>
      <c r="V59" s="169"/>
      <c r="W59" s="169"/>
      <c r="X59" s="169"/>
      <c r="Y59" s="169"/>
      <c r="Z59" s="170"/>
      <c r="AB59" s="453">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3">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3">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3">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3">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3">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3">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3">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1">
        <f ca="1">IF(OR($D59&lt;&gt;"Serviço",AND(AUTOEVENTO="Manual",$M59=$A$15)),0,
         IF(OFFSET(CRONOPLE!$F$15,$M59-$A$15,AM$13)=0,10^12,OFFSET(CRONOPLE!$F$15,$M59-$A$15,AM$13)))</f>
        <v>1000000000000</v>
      </c>
      <c r="AN59" s="171">
        <f ca="1">IF(OR($D59&lt;&gt;"Serviço",AND(AUTOEVENTO="Manual",$M59=$A$15)),0,
         IF(OFFSET(CRONOPLE!$F$15,$M59-$A$15,AN$13)=0,10^12,OFFSET(CRONOPLE!$F$15,$M59-$A$15,AN$13)))</f>
        <v>1000000000000</v>
      </c>
      <c r="AO59" s="171">
        <f ca="1">IF(OR($D59&lt;&gt;"Serviço",AND(AUTOEVENTO="Manual",$M59=$A$15)),0,
         IF(OFFSET(CRONOPLE!$F$15,$M59-$A$15,AO$13)=0,10^12,OFFSET(CRONOPLE!$F$15,$M59-$A$15,AO$13)))</f>
        <v>1000000000000</v>
      </c>
      <c r="AP59" s="171">
        <f ca="1">IF(OR($D59&lt;&gt;"Serviço",AND(AUTOEVENTO="Manual",$M59=$A$15)),0,
         IF(OFFSET(CRONOPLE!$F$15,$M59-$A$15,AP$13)=0,10^12,OFFSET(CRONOPLE!$F$15,$M59-$A$15,AP$13)))</f>
        <v>1000000000000</v>
      </c>
      <c r="AQ59" s="171">
        <f ca="1">IF(OR($D59&lt;&gt;"Serviço",AND(AUTOEVENTO="Manual",$M59=$A$15)),0,
         IF(OFFSET(CRONOPLE!$F$15,$M59-$A$15,AQ$13)=0,10^12,OFFSET(CRONOPLE!$F$15,$M59-$A$15,AQ$13)))</f>
        <v>1000000000000</v>
      </c>
      <c r="AR59" s="171">
        <f ca="1">IF(OR($D59&lt;&gt;"Serviço",AND(AUTOEVENTO="Manual",$M59=$A$15)),0,
         IF(OFFSET(CRONOPLE!$F$15,$M59-$A$15,AR$13)=0,10^12,OFFSET(CRONOPLE!$F$15,$M59-$A$15,AR$13)))</f>
        <v>1000000000000</v>
      </c>
      <c r="AS59" s="171">
        <f ca="1">IF(OR($D59&lt;&gt;"Serviço",AND(AUTOEVENTO="Manual",$M59=$A$15)),0,
         IF(OFFSET(CRONOPLE!$F$15,$M59-$A$15,AS$13)=0,10^12,OFFSET(CRONOPLE!$F$15,$M59-$A$15,AS$13)))</f>
        <v>1000000000000</v>
      </c>
      <c r="AT59" s="171">
        <f ca="1">IF(OR($D59&lt;&gt;"Serviço",AND(AUTOEVENTO="Manual",$M59=$A$15)),0,
         IF(OFFSET(CRONOPLE!$F$15,$M59-$A$15,AT$13)=0,10^12,OFFSET(CRONOPLE!$F$15,$M59-$A$15,AT$13)))</f>
        <v>1000000000000</v>
      </c>
      <c r="AU59" s="171">
        <f ca="1">IF(OR($D59&lt;&gt;"Serviço",AND(AUTOEVENTO="Manual",$M59=$A$15)),0,
         IF(OFFSET(CRONOPLE!$F$15,$M59-$A$15,AU$13)=0,10^12,OFFSET(CRONOPLE!$F$15,$M59-$A$15,AU$13)))</f>
        <v>1000000000000</v>
      </c>
      <c r="AV59" s="171">
        <f ca="1">IF(OR($D59&lt;&gt;"Serviço",AND(AUTOEVENTO="Manual",$M59=$A$15)),0,
         IF(OFFSET(CRONOPLE!$F$15,$M59-$A$15,AV$13)=0,10^12,OFFSET(CRONOPLE!$F$15,$M59-$A$15,AV$13)))</f>
        <v>1000000000000</v>
      </c>
      <c r="AX59" s="172" cm="1">
        <f t="array" aca="1" ref="AX59" ca="1">IF(OR($D59&lt;&gt;"Serviço",AND(AUTOEVENTO="Manual",$M59=$A$15),$M59&gt;(ROW(PLE.lastrow)-ROW(PLE.firstrow))),0,
           IF(OFFSET(PLE!$G$15,$M59-$A$15,AX$13)="",10^12,OFFSET(PLE!$G$15,$M59-$A$15,AX$13)))</f>
        <v>1000000000000</v>
      </c>
      <c r="AY59" s="172" cm="1">
        <f t="array" aca="1" ref="AY59" ca="1">IF(OR($D59&lt;&gt;"Serviço",AND(AUTOEVENTO="Manual",$M59=$A$15),$M59&gt;(ROW(PLE.lastrow)-ROW(PLE.firstrow))),0,
           IF(OFFSET(PLE!$G$15,$M59-$A$15,AY$13)="",10^12,OFFSET(PLE!$G$15,$M59-$A$15,AY$13)))</f>
        <v>1000000000000</v>
      </c>
      <c r="AZ59" s="172" cm="1">
        <f t="array" aca="1" ref="AZ59" ca="1">IF(OR($D59&lt;&gt;"Serviço",AND(AUTOEVENTO="Manual",$M59=$A$15),$M59&gt;(ROW(PLE.lastrow)-ROW(PLE.firstrow))),0,
           IF(OFFSET(PLE!$G$15,$M59-$A$15,AZ$13)="",10^12,OFFSET(PLE!$G$15,$M59-$A$15,AZ$13)))</f>
        <v>1000000000000</v>
      </c>
      <c r="BA59" s="172" cm="1">
        <f t="array" aca="1" ref="BA59" ca="1">IF(OR($D59&lt;&gt;"Serviço",AND(AUTOEVENTO="Manual",$M59=$A$15),$M59&gt;(ROW(PLE.lastrow)-ROW(PLE.firstrow))),0,
           IF(OFFSET(PLE!$G$15,$M59-$A$15,BA$13)="",10^12,OFFSET(PLE!$G$15,$M59-$A$15,BA$13)))</f>
        <v>1000000000000</v>
      </c>
      <c r="BB59" s="172" cm="1">
        <f t="array" aca="1" ref="BB59" ca="1">IF(OR($D59&lt;&gt;"Serviço",AND(AUTOEVENTO="Manual",$M59=$A$15),$M59&gt;(ROW(PLE.lastrow)-ROW(PLE.firstrow))),0,
           IF(OFFSET(PLE!$G$15,$M59-$A$15,BB$13)="",10^12,OFFSET(PLE!$G$15,$M59-$A$15,BB$13)))</f>
        <v>1000000000000</v>
      </c>
      <c r="BC59" s="172" cm="1">
        <f t="array" aca="1" ref="BC59" ca="1">IF(OR($D59&lt;&gt;"Serviço",AND(AUTOEVENTO="Manual",$M59=$A$15),$M59&gt;(ROW(PLE.lastrow)-ROW(PLE.firstrow))),0,
           IF(OFFSET(PLE!$G$15,$M59-$A$15,BC$13)="",10^12,OFFSET(PLE!$G$15,$M59-$A$15,BC$13)))</f>
        <v>1000000000000</v>
      </c>
      <c r="BD59" s="172" cm="1">
        <f t="array" aca="1" ref="BD59" ca="1">IF(OR($D59&lt;&gt;"Serviço",AND(AUTOEVENTO="Manual",$M59=$A$15),$M59&gt;(ROW(PLE.lastrow)-ROW(PLE.firstrow))),0,
           IF(OFFSET(PLE!$G$15,$M59-$A$15,BD$13)="",10^12,OFFSET(PLE!$G$15,$M59-$A$15,BD$13)))</f>
        <v>1000000000000</v>
      </c>
      <c r="BE59" s="172" cm="1">
        <f t="array" aca="1" ref="BE59" ca="1">IF(OR($D59&lt;&gt;"Serviço",AND(AUTOEVENTO="Manual",$M59=$A$15),$M59&gt;(ROW(PLE.lastrow)-ROW(PLE.firstrow))),0,
           IF(OFFSET(PLE!$G$15,$M59-$A$15,BE$13)="",10^12,OFFSET(PLE!$G$15,$M59-$A$15,BE$13)))</f>
        <v>1000000000000</v>
      </c>
      <c r="BF59" s="172" cm="1">
        <f t="array" aca="1" ref="BF59" ca="1">IF(OR($D59&lt;&gt;"Serviço",AND(AUTOEVENTO="Manual",$M59=$A$15),$M59&gt;(ROW(PLE.lastrow)-ROW(PLE.firstrow))),0,
           IF(OFFSET(PLE!$G$15,$M59-$A$15,BF$13)="",10^12,OFFSET(PLE!$G$15,$M59-$A$15,BF$13)))</f>
        <v>1000000000000</v>
      </c>
      <c r="BG59" s="172" cm="1">
        <f t="array" aca="1" ref="BG59" ca="1">IF(OR($D59&lt;&gt;"Serviço",AND(AUTOEVENTO="Manual",$M59=$A$15),$M59&gt;(ROW(PLE.lastrow)-ROW(PLE.firstrow))),0,
           IF(OFFSET(PLE!$G$15,$M59-$A$15,BG$13)="",10^12,OFFSET(PLE!$G$15,$M59-$A$15,BG$13)))</f>
        <v>1000000000000</v>
      </c>
    </row>
    <row r="60" spans="1:59" ht="51" x14ac:dyDescent="0.2">
      <c r="A60" s="7" t="str">
        <f t="shared" ca="1" si="8"/>
        <v>42</v>
      </c>
      <c r="B60" s="7" t="str">
        <f ca="1">OFFSET(ORÇAMENTO!C$15,$L60,0)</f>
        <v>S</v>
      </c>
      <c r="C60" s="7" t="str">
        <f ca="1">OFFSET(ORÇAMENTO!L$15,$L60,0)</f>
        <v/>
      </c>
      <c r="D60" s="116" t="str">
        <f ca="1">OFFSET(ORÇAMENTO!N$15,$L60,0)</f>
        <v>Serviço</v>
      </c>
      <c r="E60" s="117" t="str">
        <f ca="1">OFFSET(ORÇAMENTO!O$15,$L60,0)</f>
        <v>-</v>
      </c>
      <c r="F60" s="163" t="str">
        <f ca="1">OFFSET(ORÇAMENTO!R$15,$L60,0)</f>
        <v>(Código não identificado nas referências)</v>
      </c>
      <c r="G60" s="164" t="str">
        <f ca="1">IF($D60&lt;&gt;"Serviço","",OFFSET(ORÇAMENTO!S$15,$L60,0))</f>
        <v>-</v>
      </c>
      <c r="H60" s="122" cm="1">
        <f t="array" aca="1" ref="H60" ca="1">IF($D60&lt;&gt;"Serviço",0,IF(ACOMPANHAMENTO="BM",ROUND(OFFSET(ORÇAMENTO!AJ$15,$L60,0),15-13*ORÇAMENTO!$AF$7),IF(IFERROR(CÁLCULO.FrentesPreenchidas,0)=0,0,SUM(ROUND(OFFSET($P60,0,1,1,CÁLCULO.FrentesPreenchidas),15-13*ORÇAMENTO!$AF$7)))))</f>
        <v>2</v>
      </c>
      <c r="I60" s="468"/>
      <c r="J60" s="651"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2"/>
      <c r="L60" s="165">
        <f t="shared" ca="1" si="9"/>
        <v>45</v>
      </c>
      <c r="M60" s="166">
        <f ca="1">IF($D60&lt;&gt;"Serviço","",
          IF(AUTOEVENTO="manual",$A60,
                IF(ISERROR(MATCH($A60,$A$15:OFFSET($A60,-1,0),0)),MAX($M$15:OFFSET(M60,-1,0))+1,
                      INDEX($M$15:OFFSET(M60,-1,0),MATCH($A60,$A$15:OFFSET($A60,-1,0),0)))))</f>
        <v>9</v>
      </c>
      <c r="N60" s="167" t="str">
        <f ca="1">IF($D60&lt;&gt;"Serviço","",
         IF(AUTOEVENTO="Manual",
                IF($A60=0,"&lt;-- defina o número do agrupador",
                       OFFSET(EVENTOS!$D$15,$A60-$A$15,0)),
                OFFSET($F$15,$A60,0)))</f>
        <v>OITÃO EM ALVENARIA</v>
      </c>
      <c r="O60" s="168"/>
      <c r="Q60" s="168"/>
      <c r="R60" s="169"/>
      <c r="S60" s="169"/>
      <c r="T60" s="169"/>
      <c r="U60" s="169"/>
      <c r="V60" s="169"/>
      <c r="W60" s="169"/>
      <c r="X60" s="169"/>
      <c r="Y60" s="169"/>
      <c r="Z60" s="170"/>
      <c r="AB60" s="453">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3">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3">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3">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3">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3">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3">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3">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1">
        <f ca="1">IF(OR($D60&lt;&gt;"Serviço",AND(AUTOEVENTO="Manual",$M60=$A$15)),0,
         IF(OFFSET(CRONOPLE!$F$15,$M60-$A$15,AM$13)=0,10^12,OFFSET(CRONOPLE!$F$15,$M60-$A$15,AM$13)))</f>
        <v>1000000000000</v>
      </c>
      <c r="AN60" s="171">
        <f ca="1">IF(OR($D60&lt;&gt;"Serviço",AND(AUTOEVENTO="Manual",$M60=$A$15)),0,
         IF(OFFSET(CRONOPLE!$F$15,$M60-$A$15,AN$13)=0,10^12,OFFSET(CRONOPLE!$F$15,$M60-$A$15,AN$13)))</f>
        <v>1000000000000</v>
      </c>
      <c r="AO60" s="171">
        <f ca="1">IF(OR($D60&lt;&gt;"Serviço",AND(AUTOEVENTO="Manual",$M60=$A$15)),0,
         IF(OFFSET(CRONOPLE!$F$15,$M60-$A$15,AO$13)=0,10^12,OFFSET(CRONOPLE!$F$15,$M60-$A$15,AO$13)))</f>
        <v>1000000000000</v>
      </c>
      <c r="AP60" s="171">
        <f ca="1">IF(OR($D60&lt;&gt;"Serviço",AND(AUTOEVENTO="Manual",$M60=$A$15)),0,
         IF(OFFSET(CRONOPLE!$F$15,$M60-$A$15,AP$13)=0,10^12,OFFSET(CRONOPLE!$F$15,$M60-$A$15,AP$13)))</f>
        <v>1000000000000</v>
      </c>
      <c r="AQ60" s="171">
        <f ca="1">IF(OR($D60&lt;&gt;"Serviço",AND(AUTOEVENTO="Manual",$M60=$A$15)),0,
         IF(OFFSET(CRONOPLE!$F$15,$M60-$A$15,AQ$13)=0,10^12,OFFSET(CRONOPLE!$F$15,$M60-$A$15,AQ$13)))</f>
        <v>1000000000000</v>
      </c>
      <c r="AR60" s="171">
        <f ca="1">IF(OR($D60&lt;&gt;"Serviço",AND(AUTOEVENTO="Manual",$M60=$A$15)),0,
         IF(OFFSET(CRONOPLE!$F$15,$M60-$A$15,AR$13)=0,10^12,OFFSET(CRONOPLE!$F$15,$M60-$A$15,AR$13)))</f>
        <v>1000000000000</v>
      </c>
      <c r="AS60" s="171">
        <f ca="1">IF(OR($D60&lt;&gt;"Serviço",AND(AUTOEVENTO="Manual",$M60=$A$15)),0,
         IF(OFFSET(CRONOPLE!$F$15,$M60-$A$15,AS$13)=0,10^12,OFFSET(CRONOPLE!$F$15,$M60-$A$15,AS$13)))</f>
        <v>1000000000000</v>
      </c>
      <c r="AT60" s="171">
        <f ca="1">IF(OR($D60&lt;&gt;"Serviço",AND(AUTOEVENTO="Manual",$M60=$A$15)),0,
         IF(OFFSET(CRONOPLE!$F$15,$M60-$A$15,AT$13)=0,10^12,OFFSET(CRONOPLE!$F$15,$M60-$A$15,AT$13)))</f>
        <v>1000000000000</v>
      </c>
      <c r="AU60" s="171">
        <f ca="1">IF(OR($D60&lt;&gt;"Serviço",AND(AUTOEVENTO="Manual",$M60=$A$15)),0,
         IF(OFFSET(CRONOPLE!$F$15,$M60-$A$15,AU$13)=0,10^12,OFFSET(CRONOPLE!$F$15,$M60-$A$15,AU$13)))</f>
        <v>1000000000000</v>
      </c>
      <c r="AV60" s="171">
        <f ca="1">IF(OR($D60&lt;&gt;"Serviço",AND(AUTOEVENTO="Manual",$M60=$A$15)),0,
         IF(OFFSET(CRONOPLE!$F$15,$M60-$A$15,AV$13)=0,10^12,OFFSET(CRONOPLE!$F$15,$M60-$A$15,AV$13)))</f>
        <v>1000000000000</v>
      </c>
      <c r="AX60" s="172" cm="1">
        <f t="array" aca="1" ref="AX60" ca="1">IF(OR($D60&lt;&gt;"Serviço",AND(AUTOEVENTO="Manual",$M60=$A$15),$M60&gt;(ROW(PLE.lastrow)-ROW(PLE.firstrow))),0,
           IF(OFFSET(PLE!$G$15,$M60-$A$15,AX$13)="",10^12,OFFSET(PLE!$G$15,$M60-$A$15,AX$13)))</f>
        <v>1000000000000</v>
      </c>
      <c r="AY60" s="172" cm="1">
        <f t="array" aca="1" ref="AY60" ca="1">IF(OR($D60&lt;&gt;"Serviço",AND(AUTOEVENTO="Manual",$M60=$A$15),$M60&gt;(ROW(PLE.lastrow)-ROW(PLE.firstrow))),0,
           IF(OFFSET(PLE!$G$15,$M60-$A$15,AY$13)="",10^12,OFFSET(PLE!$G$15,$M60-$A$15,AY$13)))</f>
        <v>1000000000000</v>
      </c>
      <c r="AZ60" s="172" cm="1">
        <f t="array" aca="1" ref="AZ60" ca="1">IF(OR($D60&lt;&gt;"Serviço",AND(AUTOEVENTO="Manual",$M60=$A$15),$M60&gt;(ROW(PLE.lastrow)-ROW(PLE.firstrow))),0,
           IF(OFFSET(PLE!$G$15,$M60-$A$15,AZ$13)="",10^12,OFFSET(PLE!$G$15,$M60-$A$15,AZ$13)))</f>
        <v>1000000000000</v>
      </c>
      <c r="BA60" s="172" cm="1">
        <f t="array" aca="1" ref="BA60" ca="1">IF(OR($D60&lt;&gt;"Serviço",AND(AUTOEVENTO="Manual",$M60=$A$15),$M60&gt;(ROW(PLE.lastrow)-ROW(PLE.firstrow))),0,
           IF(OFFSET(PLE!$G$15,$M60-$A$15,BA$13)="",10^12,OFFSET(PLE!$G$15,$M60-$A$15,BA$13)))</f>
        <v>1000000000000</v>
      </c>
      <c r="BB60" s="172" cm="1">
        <f t="array" aca="1" ref="BB60" ca="1">IF(OR($D60&lt;&gt;"Serviço",AND(AUTOEVENTO="Manual",$M60=$A$15),$M60&gt;(ROW(PLE.lastrow)-ROW(PLE.firstrow))),0,
           IF(OFFSET(PLE!$G$15,$M60-$A$15,BB$13)="",10^12,OFFSET(PLE!$G$15,$M60-$A$15,BB$13)))</f>
        <v>1000000000000</v>
      </c>
      <c r="BC60" s="172" cm="1">
        <f t="array" aca="1" ref="BC60" ca="1">IF(OR($D60&lt;&gt;"Serviço",AND(AUTOEVENTO="Manual",$M60=$A$15),$M60&gt;(ROW(PLE.lastrow)-ROW(PLE.firstrow))),0,
           IF(OFFSET(PLE!$G$15,$M60-$A$15,BC$13)="",10^12,OFFSET(PLE!$G$15,$M60-$A$15,BC$13)))</f>
        <v>1000000000000</v>
      </c>
      <c r="BD60" s="172" cm="1">
        <f t="array" aca="1" ref="BD60" ca="1">IF(OR($D60&lt;&gt;"Serviço",AND(AUTOEVENTO="Manual",$M60=$A$15),$M60&gt;(ROW(PLE.lastrow)-ROW(PLE.firstrow))),0,
           IF(OFFSET(PLE!$G$15,$M60-$A$15,BD$13)="",10^12,OFFSET(PLE!$G$15,$M60-$A$15,BD$13)))</f>
        <v>1000000000000</v>
      </c>
      <c r="BE60" s="172" cm="1">
        <f t="array" aca="1" ref="BE60" ca="1">IF(OR($D60&lt;&gt;"Serviço",AND(AUTOEVENTO="Manual",$M60=$A$15),$M60&gt;(ROW(PLE.lastrow)-ROW(PLE.firstrow))),0,
           IF(OFFSET(PLE!$G$15,$M60-$A$15,BE$13)="",10^12,OFFSET(PLE!$G$15,$M60-$A$15,BE$13)))</f>
        <v>1000000000000</v>
      </c>
      <c r="BF60" s="172" cm="1">
        <f t="array" aca="1" ref="BF60" ca="1">IF(OR($D60&lt;&gt;"Serviço",AND(AUTOEVENTO="Manual",$M60=$A$15),$M60&gt;(ROW(PLE.lastrow)-ROW(PLE.firstrow))),0,
           IF(OFFSET(PLE!$G$15,$M60-$A$15,BF$13)="",10^12,OFFSET(PLE!$G$15,$M60-$A$15,BF$13)))</f>
        <v>1000000000000</v>
      </c>
      <c r="BG60" s="172" cm="1">
        <f t="array" aca="1" ref="BG60" ca="1">IF(OR($D60&lt;&gt;"Serviço",AND(AUTOEVENTO="Manual",$M60=$A$15),$M60&gt;(ROW(PLE.lastrow)-ROW(PLE.firstrow))),0,
           IF(OFFSET(PLE!$G$15,$M60-$A$15,BG$13)="",10^12,OFFSET(PLE!$G$15,$M60-$A$15,BG$13)))</f>
        <v>1000000000000</v>
      </c>
    </row>
    <row r="61" spans="1:59" ht="25.5" x14ac:dyDescent="0.2">
      <c r="A61" s="7" t="str">
        <f t="shared" ca="1" si="8"/>
        <v>42</v>
      </c>
      <c r="B61" s="7" t="str">
        <f ca="1">OFFSET(ORÇAMENTO!C$15,$L61,0)</f>
        <v>S</v>
      </c>
      <c r="C61" s="7" t="str">
        <f ca="1">OFFSET(ORÇAMENTO!L$15,$L61,0)</f>
        <v/>
      </c>
      <c r="D61" s="116" t="str">
        <f ca="1">OFFSET(ORÇAMENTO!N$15,$L61,0)</f>
        <v>Serviço</v>
      </c>
      <c r="E61" s="117" t="str">
        <f ca="1">OFFSET(ORÇAMENTO!O$15,$L61,0)</f>
        <v>-</v>
      </c>
      <c r="F61" s="163" t="str">
        <f ca="1">OFFSET(ORÇAMENTO!R$15,$L61,0)</f>
        <v>(Código não identificado nas referências)</v>
      </c>
      <c r="G61" s="164" t="str">
        <f ca="1">IF($D61&lt;&gt;"Serviço","",OFFSET(ORÇAMENTO!S$15,$L61,0))</f>
        <v>-</v>
      </c>
      <c r="H61" s="122" cm="1">
        <f t="array" aca="1" ref="H61" ca="1">IF($D61&lt;&gt;"Serviço",0,IF(ACOMPANHAMENTO="BM",ROUND(OFFSET(ORÇAMENTO!AJ$15,$L61,0),15-13*ORÇAMENTO!$AF$7),IF(IFERROR(CÁLCULO.FrentesPreenchidas,0)=0,0,SUM(ROUND(OFFSET($P61,0,1,1,CÁLCULO.FrentesPreenchidas),15-13*ORÇAMENTO!$AF$7)))))</f>
        <v>2</v>
      </c>
      <c r="I61" s="468"/>
      <c r="J61" s="651"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2"/>
      <c r="L61" s="165">
        <f t="shared" ca="1" si="9"/>
        <v>46</v>
      </c>
      <c r="M61" s="166">
        <f ca="1">IF($D61&lt;&gt;"Serviço","",
          IF(AUTOEVENTO="manual",$A61,
                IF(ISERROR(MATCH($A61,$A$15:OFFSET($A61,-1,0),0)),MAX($M$15:OFFSET(M61,-1,0))+1,
                      INDEX($M$15:OFFSET(M61,-1,0),MATCH($A61,$A$15:OFFSET($A61,-1,0),0)))))</f>
        <v>9</v>
      </c>
      <c r="N61" s="167" t="str">
        <f ca="1">IF($D61&lt;&gt;"Serviço","",
         IF(AUTOEVENTO="Manual",
                IF($A61=0,"&lt;-- defina o número do agrupador",
                       OFFSET(EVENTOS!$D$15,$A61-$A$15,0)),
                OFFSET($F$15,$A61,0)))</f>
        <v>OITÃO EM ALVENARIA</v>
      </c>
      <c r="O61" s="168"/>
      <c r="Q61" s="168"/>
      <c r="R61" s="169"/>
      <c r="S61" s="169"/>
      <c r="T61" s="169"/>
      <c r="U61" s="169"/>
      <c r="V61" s="169"/>
      <c r="W61" s="169"/>
      <c r="X61" s="169"/>
      <c r="Y61" s="169"/>
      <c r="Z61" s="170"/>
      <c r="AB61" s="453">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3">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3">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3">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3">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3">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3">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3">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1">
        <f ca="1">IF(OR($D61&lt;&gt;"Serviço",AND(AUTOEVENTO="Manual",$M61=$A$15)),0,
         IF(OFFSET(CRONOPLE!$F$15,$M61-$A$15,AM$13)=0,10^12,OFFSET(CRONOPLE!$F$15,$M61-$A$15,AM$13)))</f>
        <v>1000000000000</v>
      </c>
      <c r="AN61" s="171">
        <f ca="1">IF(OR($D61&lt;&gt;"Serviço",AND(AUTOEVENTO="Manual",$M61=$A$15)),0,
         IF(OFFSET(CRONOPLE!$F$15,$M61-$A$15,AN$13)=0,10^12,OFFSET(CRONOPLE!$F$15,$M61-$A$15,AN$13)))</f>
        <v>1000000000000</v>
      </c>
      <c r="AO61" s="171">
        <f ca="1">IF(OR($D61&lt;&gt;"Serviço",AND(AUTOEVENTO="Manual",$M61=$A$15)),0,
         IF(OFFSET(CRONOPLE!$F$15,$M61-$A$15,AO$13)=0,10^12,OFFSET(CRONOPLE!$F$15,$M61-$A$15,AO$13)))</f>
        <v>1000000000000</v>
      </c>
      <c r="AP61" s="171">
        <f ca="1">IF(OR($D61&lt;&gt;"Serviço",AND(AUTOEVENTO="Manual",$M61=$A$15)),0,
         IF(OFFSET(CRONOPLE!$F$15,$M61-$A$15,AP$13)=0,10^12,OFFSET(CRONOPLE!$F$15,$M61-$A$15,AP$13)))</f>
        <v>1000000000000</v>
      </c>
      <c r="AQ61" s="171">
        <f ca="1">IF(OR($D61&lt;&gt;"Serviço",AND(AUTOEVENTO="Manual",$M61=$A$15)),0,
         IF(OFFSET(CRONOPLE!$F$15,$M61-$A$15,AQ$13)=0,10^12,OFFSET(CRONOPLE!$F$15,$M61-$A$15,AQ$13)))</f>
        <v>1000000000000</v>
      </c>
      <c r="AR61" s="171">
        <f ca="1">IF(OR($D61&lt;&gt;"Serviço",AND(AUTOEVENTO="Manual",$M61=$A$15)),0,
         IF(OFFSET(CRONOPLE!$F$15,$M61-$A$15,AR$13)=0,10^12,OFFSET(CRONOPLE!$F$15,$M61-$A$15,AR$13)))</f>
        <v>1000000000000</v>
      </c>
      <c r="AS61" s="171">
        <f ca="1">IF(OR($D61&lt;&gt;"Serviço",AND(AUTOEVENTO="Manual",$M61=$A$15)),0,
         IF(OFFSET(CRONOPLE!$F$15,$M61-$A$15,AS$13)=0,10^12,OFFSET(CRONOPLE!$F$15,$M61-$A$15,AS$13)))</f>
        <v>1000000000000</v>
      </c>
      <c r="AT61" s="171">
        <f ca="1">IF(OR($D61&lt;&gt;"Serviço",AND(AUTOEVENTO="Manual",$M61=$A$15)),0,
         IF(OFFSET(CRONOPLE!$F$15,$M61-$A$15,AT$13)=0,10^12,OFFSET(CRONOPLE!$F$15,$M61-$A$15,AT$13)))</f>
        <v>1000000000000</v>
      </c>
      <c r="AU61" s="171">
        <f ca="1">IF(OR($D61&lt;&gt;"Serviço",AND(AUTOEVENTO="Manual",$M61=$A$15)),0,
         IF(OFFSET(CRONOPLE!$F$15,$M61-$A$15,AU$13)=0,10^12,OFFSET(CRONOPLE!$F$15,$M61-$A$15,AU$13)))</f>
        <v>1000000000000</v>
      </c>
      <c r="AV61" s="171">
        <f ca="1">IF(OR($D61&lt;&gt;"Serviço",AND(AUTOEVENTO="Manual",$M61=$A$15)),0,
         IF(OFFSET(CRONOPLE!$F$15,$M61-$A$15,AV$13)=0,10^12,OFFSET(CRONOPLE!$F$15,$M61-$A$15,AV$13)))</f>
        <v>1000000000000</v>
      </c>
      <c r="AX61" s="172" cm="1">
        <f t="array" aca="1" ref="AX61" ca="1">IF(OR($D61&lt;&gt;"Serviço",AND(AUTOEVENTO="Manual",$M61=$A$15),$M61&gt;(ROW(PLE.lastrow)-ROW(PLE.firstrow))),0,
           IF(OFFSET(PLE!$G$15,$M61-$A$15,AX$13)="",10^12,OFFSET(PLE!$G$15,$M61-$A$15,AX$13)))</f>
        <v>1000000000000</v>
      </c>
      <c r="AY61" s="172" cm="1">
        <f t="array" aca="1" ref="AY61" ca="1">IF(OR($D61&lt;&gt;"Serviço",AND(AUTOEVENTO="Manual",$M61=$A$15),$M61&gt;(ROW(PLE.lastrow)-ROW(PLE.firstrow))),0,
           IF(OFFSET(PLE!$G$15,$M61-$A$15,AY$13)="",10^12,OFFSET(PLE!$G$15,$M61-$A$15,AY$13)))</f>
        <v>1000000000000</v>
      </c>
      <c r="AZ61" s="172" cm="1">
        <f t="array" aca="1" ref="AZ61" ca="1">IF(OR($D61&lt;&gt;"Serviço",AND(AUTOEVENTO="Manual",$M61=$A$15),$M61&gt;(ROW(PLE.lastrow)-ROW(PLE.firstrow))),0,
           IF(OFFSET(PLE!$G$15,$M61-$A$15,AZ$13)="",10^12,OFFSET(PLE!$G$15,$M61-$A$15,AZ$13)))</f>
        <v>1000000000000</v>
      </c>
      <c r="BA61" s="172" cm="1">
        <f t="array" aca="1" ref="BA61" ca="1">IF(OR($D61&lt;&gt;"Serviço",AND(AUTOEVENTO="Manual",$M61=$A$15),$M61&gt;(ROW(PLE.lastrow)-ROW(PLE.firstrow))),0,
           IF(OFFSET(PLE!$G$15,$M61-$A$15,BA$13)="",10^12,OFFSET(PLE!$G$15,$M61-$A$15,BA$13)))</f>
        <v>1000000000000</v>
      </c>
      <c r="BB61" s="172" cm="1">
        <f t="array" aca="1" ref="BB61" ca="1">IF(OR($D61&lt;&gt;"Serviço",AND(AUTOEVENTO="Manual",$M61=$A$15),$M61&gt;(ROW(PLE.lastrow)-ROW(PLE.firstrow))),0,
           IF(OFFSET(PLE!$G$15,$M61-$A$15,BB$13)="",10^12,OFFSET(PLE!$G$15,$M61-$A$15,BB$13)))</f>
        <v>1000000000000</v>
      </c>
      <c r="BC61" s="172" cm="1">
        <f t="array" aca="1" ref="BC61" ca="1">IF(OR($D61&lt;&gt;"Serviço",AND(AUTOEVENTO="Manual",$M61=$A$15),$M61&gt;(ROW(PLE.lastrow)-ROW(PLE.firstrow))),0,
           IF(OFFSET(PLE!$G$15,$M61-$A$15,BC$13)="",10^12,OFFSET(PLE!$G$15,$M61-$A$15,BC$13)))</f>
        <v>1000000000000</v>
      </c>
      <c r="BD61" s="172" cm="1">
        <f t="array" aca="1" ref="BD61" ca="1">IF(OR($D61&lt;&gt;"Serviço",AND(AUTOEVENTO="Manual",$M61=$A$15),$M61&gt;(ROW(PLE.lastrow)-ROW(PLE.firstrow))),0,
           IF(OFFSET(PLE!$G$15,$M61-$A$15,BD$13)="",10^12,OFFSET(PLE!$G$15,$M61-$A$15,BD$13)))</f>
        <v>1000000000000</v>
      </c>
      <c r="BE61" s="172" cm="1">
        <f t="array" aca="1" ref="BE61" ca="1">IF(OR($D61&lt;&gt;"Serviço",AND(AUTOEVENTO="Manual",$M61=$A$15),$M61&gt;(ROW(PLE.lastrow)-ROW(PLE.firstrow))),0,
           IF(OFFSET(PLE!$G$15,$M61-$A$15,BE$13)="",10^12,OFFSET(PLE!$G$15,$M61-$A$15,BE$13)))</f>
        <v>1000000000000</v>
      </c>
      <c r="BF61" s="172" cm="1">
        <f t="array" aca="1" ref="BF61" ca="1">IF(OR($D61&lt;&gt;"Serviço",AND(AUTOEVENTO="Manual",$M61=$A$15),$M61&gt;(ROW(PLE.lastrow)-ROW(PLE.firstrow))),0,
           IF(OFFSET(PLE!$G$15,$M61-$A$15,BF$13)="",10^12,OFFSET(PLE!$G$15,$M61-$A$15,BF$13)))</f>
        <v>1000000000000</v>
      </c>
      <c r="BG61" s="172" cm="1">
        <f t="array" aca="1" ref="BG61" ca="1">IF(OR($D61&lt;&gt;"Serviço",AND(AUTOEVENTO="Manual",$M61=$A$15),$M61&gt;(ROW(PLE.lastrow)-ROW(PLE.firstrow))),0,
           IF(OFFSET(PLE!$G$15,$M61-$A$15,BG$13)="",10^12,OFFSET(PLE!$G$15,$M61-$A$15,BG$13)))</f>
        <v>1000000000000</v>
      </c>
    </row>
    <row r="62" spans="1:59" ht="25.5" x14ac:dyDescent="0.2">
      <c r="A62" s="7" t="str">
        <f t="shared" ca="1" si="8"/>
        <v>42</v>
      </c>
      <c r="B62" s="7" t="str">
        <f ca="1">OFFSET(ORÇAMENTO!C$15,$L62,0)</f>
        <v>S</v>
      </c>
      <c r="C62" s="7" t="str">
        <f ca="1">OFFSET(ORÇAMENTO!L$15,$L62,0)</f>
        <v/>
      </c>
      <c r="D62" s="116" t="str">
        <f ca="1">OFFSET(ORÇAMENTO!N$15,$L62,0)</f>
        <v>Serviço</v>
      </c>
      <c r="E62" s="117" t="str">
        <f ca="1">OFFSET(ORÇAMENTO!O$15,$L62,0)</f>
        <v>-</v>
      </c>
      <c r="F62" s="163" t="str">
        <f ca="1">OFFSET(ORÇAMENTO!R$15,$L62,0)</f>
        <v>(Código não identificado nas referências)</v>
      </c>
      <c r="G62" s="164" t="str">
        <f ca="1">IF($D62&lt;&gt;"Serviço","",OFFSET(ORÇAMENTO!S$15,$L62,0))</f>
        <v>-</v>
      </c>
      <c r="H62" s="122" cm="1">
        <f t="array" aca="1" ref="H62" ca="1">IF($D62&lt;&gt;"Serviço",0,IF(ACOMPANHAMENTO="BM",ROUND(OFFSET(ORÇAMENTO!AJ$15,$L62,0),15-13*ORÇAMENTO!$AF$7),IF(IFERROR(CÁLCULO.FrentesPreenchidas,0)=0,0,SUM(ROUND(OFFSET($P62,0,1,1,CÁLCULO.FrentesPreenchidas),15-13*ORÇAMENTO!$AF$7)))))</f>
        <v>2</v>
      </c>
      <c r="I62" s="468"/>
      <c r="J62" s="651"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2"/>
      <c r="L62" s="165">
        <f t="shared" ca="1" si="9"/>
        <v>47</v>
      </c>
      <c r="M62" s="166">
        <f ca="1">IF($D62&lt;&gt;"Serviço","",
          IF(AUTOEVENTO="manual",$A62,
                IF(ISERROR(MATCH($A62,$A$15:OFFSET($A62,-1,0),0)),MAX($M$15:OFFSET(M62,-1,0))+1,
                      INDEX($M$15:OFFSET(M62,-1,0),MATCH($A62,$A$15:OFFSET($A62,-1,0),0)))))</f>
        <v>9</v>
      </c>
      <c r="N62" s="167" t="str">
        <f ca="1">IF($D62&lt;&gt;"Serviço","",
         IF(AUTOEVENTO="Manual",
                IF($A62=0,"&lt;-- defina o número do agrupador",
                       OFFSET(EVENTOS!$D$15,$A62-$A$15,0)),
                OFFSET($F$15,$A62,0)))</f>
        <v>OITÃO EM ALVENARIA</v>
      </c>
      <c r="O62" s="168"/>
      <c r="Q62" s="168"/>
      <c r="R62" s="169"/>
      <c r="S62" s="169"/>
      <c r="T62" s="169"/>
      <c r="U62" s="169"/>
      <c r="V62" s="169"/>
      <c r="W62" s="169"/>
      <c r="X62" s="169"/>
      <c r="Y62" s="169"/>
      <c r="Z62" s="170"/>
      <c r="AB62" s="453">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3">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3">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3">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3">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3">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3">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3">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1">
        <f ca="1">IF(OR($D62&lt;&gt;"Serviço",AND(AUTOEVENTO="Manual",$M62=$A$15)),0,
         IF(OFFSET(CRONOPLE!$F$15,$M62-$A$15,AM$13)=0,10^12,OFFSET(CRONOPLE!$F$15,$M62-$A$15,AM$13)))</f>
        <v>1000000000000</v>
      </c>
      <c r="AN62" s="171">
        <f ca="1">IF(OR($D62&lt;&gt;"Serviço",AND(AUTOEVENTO="Manual",$M62=$A$15)),0,
         IF(OFFSET(CRONOPLE!$F$15,$M62-$A$15,AN$13)=0,10^12,OFFSET(CRONOPLE!$F$15,$M62-$A$15,AN$13)))</f>
        <v>1000000000000</v>
      </c>
      <c r="AO62" s="171">
        <f ca="1">IF(OR($D62&lt;&gt;"Serviço",AND(AUTOEVENTO="Manual",$M62=$A$15)),0,
         IF(OFFSET(CRONOPLE!$F$15,$M62-$A$15,AO$13)=0,10^12,OFFSET(CRONOPLE!$F$15,$M62-$A$15,AO$13)))</f>
        <v>1000000000000</v>
      </c>
      <c r="AP62" s="171">
        <f ca="1">IF(OR($D62&lt;&gt;"Serviço",AND(AUTOEVENTO="Manual",$M62=$A$15)),0,
         IF(OFFSET(CRONOPLE!$F$15,$M62-$A$15,AP$13)=0,10^12,OFFSET(CRONOPLE!$F$15,$M62-$A$15,AP$13)))</f>
        <v>1000000000000</v>
      </c>
      <c r="AQ62" s="171">
        <f ca="1">IF(OR($D62&lt;&gt;"Serviço",AND(AUTOEVENTO="Manual",$M62=$A$15)),0,
         IF(OFFSET(CRONOPLE!$F$15,$M62-$A$15,AQ$13)=0,10^12,OFFSET(CRONOPLE!$F$15,$M62-$A$15,AQ$13)))</f>
        <v>1000000000000</v>
      </c>
      <c r="AR62" s="171">
        <f ca="1">IF(OR($D62&lt;&gt;"Serviço",AND(AUTOEVENTO="Manual",$M62=$A$15)),0,
         IF(OFFSET(CRONOPLE!$F$15,$M62-$A$15,AR$13)=0,10^12,OFFSET(CRONOPLE!$F$15,$M62-$A$15,AR$13)))</f>
        <v>1000000000000</v>
      </c>
      <c r="AS62" s="171">
        <f ca="1">IF(OR($D62&lt;&gt;"Serviço",AND(AUTOEVENTO="Manual",$M62=$A$15)),0,
         IF(OFFSET(CRONOPLE!$F$15,$M62-$A$15,AS$13)=0,10^12,OFFSET(CRONOPLE!$F$15,$M62-$A$15,AS$13)))</f>
        <v>1000000000000</v>
      </c>
      <c r="AT62" s="171">
        <f ca="1">IF(OR($D62&lt;&gt;"Serviço",AND(AUTOEVENTO="Manual",$M62=$A$15)),0,
         IF(OFFSET(CRONOPLE!$F$15,$M62-$A$15,AT$13)=0,10^12,OFFSET(CRONOPLE!$F$15,$M62-$A$15,AT$13)))</f>
        <v>1000000000000</v>
      </c>
      <c r="AU62" s="171">
        <f ca="1">IF(OR($D62&lt;&gt;"Serviço",AND(AUTOEVENTO="Manual",$M62=$A$15)),0,
         IF(OFFSET(CRONOPLE!$F$15,$M62-$A$15,AU$13)=0,10^12,OFFSET(CRONOPLE!$F$15,$M62-$A$15,AU$13)))</f>
        <v>1000000000000</v>
      </c>
      <c r="AV62" s="171">
        <f ca="1">IF(OR($D62&lt;&gt;"Serviço",AND(AUTOEVENTO="Manual",$M62=$A$15)),0,
         IF(OFFSET(CRONOPLE!$F$15,$M62-$A$15,AV$13)=0,10^12,OFFSET(CRONOPLE!$F$15,$M62-$A$15,AV$13)))</f>
        <v>1000000000000</v>
      </c>
      <c r="AX62" s="172" cm="1">
        <f t="array" aca="1" ref="AX62" ca="1">IF(OR($D62&lt;&gt;"Serviço",AND(AUTOEVENTO="Manual",$M62=$A$15),$M62&gt;(ROW(PLE.lastrow)-ROW(PLE.firstrow))),0,
           IF(OFFSET(PLE!$G$15,$M62-$A$15,AX$13)="",10^12,OFFSET(PLE!$G$15,$M62-$A$15,AX$13)))</f>
        <v>1000000000000</v>
      </c>
      <c r="AY62" s="172" cm="1">
        <f t="array" aca="1" ref="AY62" ca="1">IF(OR($D62&lt;&gt;"Serviço",AND(AUTOEVENTO="Manual",$M62=$A$15),$M62&gt;(ROW(PLE.lastrow)-ROW(PLE.firstrow))),0,
           IF(OFFSET(PLE!$G$15,$M62-$A$15,AY$13)="",10^12,OFFSET(PLE!$G$15,$M62-$A$15,AY$13)))</f>
        <v>1000000000000</v>
      </c>
      <c r="AZ62" s="172" cm="1">
        <f t="array" aca="1" ref="AZ62" ca="1">IF(OR($D62&lt;&gt;"Serviço",AND(AUTOEVENTO="Manual",$M62=$A$15),$M62&gt;(ROW(PLE.lastrow)-ROW(PLE.firstrow))),0,
           IF(OFFSET(PLE!$G$15,$M62-$A$15,AZ$13)="",10^12,OFFSET(PLE!$G$15,$M62-$A$15,AZ$13)))</f>
        <v>1000000000000</v>
      </c>
      <c r="BA62" s="172" cm="1">
        <f t="array" aca="1" ref="BA62" ca="1">IF(OR($D62&lt;&gt;"Serviço",AND(AUTOEVENTO="Manual",$M62=$A$15),$M62&gt;(ROW(PLE.lastrow)-ROW(PLE.firstrow))),0,
           IF(OFFSET(PLE!$G$15,$M62-$A$15,BA$13)="",10^12,OFFSET(PLE!$G$15,$M62-$A$15,BA$13)))</f>
        <v>1000000000000</v>
      </c>
      <c r="BB62" s="172" cm="1">
        <f t="array" aca="1" ref="BB62" ca="1">IF(OR($D62&lt;&gt;"Serviço",AND(AUTOEVENTO="Manual",$M62=$A$15),$M62&gt;(ROW(PLE.lastrow)-ROW(PLE.firstrow))),0,
           IF(OFFSET(PLE!$G$15,$M62-$A$15,BB$13)="",10^12,OFFSET(PLE!$G$15,$M62-$A$15,BB$13)))</f>
        <v>1000000000000</v>
      </c>
      <c r="BC62" s="172" cm="1">
        <f t="array" aca="1" ref="BC62" ca="1">IF(OR($D62&lt;&gt;"Serviço",AND(AUTOEVENTO="Manual",$M62=$A$15),$M62&gt;(ROW(PLE.lastrow)-ROW(PLE.firstrow))),0,
           IF(OFFSET(PLE!$G$15,$M62-$A$15,BC$13)="",10^12,OFFSET(PLE!$G$15,$M62-$A$15,BC$13)))</f>
        <v>1000000000000</v>
      </c>
      <c r="BD62" s="172" cm="1">
        <f t="array" aca="1" ref="BD62" ca="1">IF(OR($D62&lt;&gt;"Serviço",AND(AUTOEVENTO="Manual",$M62=$A$15),$M62&gt;(ROW(PLE.lastrow)-ROW(PLE.firstrow))),0,
           IF(OFFSET(PLE!$G$15,$M62-$A$15,BD$13)="",10^12,OFFSET(PLE!$G$15,$M62-$A$15,BD$13)))</f>
        <v>1000000000000</v>
      </c>
      <c r="BE62" s="172" cm="1">
        <f t="array" aca="1" ref="BE62" ca="1">IF(OR($D62&lt;&gt;"Serviço",AND(AUTOEVENTO="Manual",$M62=$A$15),$M62&gt;(ROW(PLE.lastrow)-ROW(PLE.firstrow))),0,
           IF(OFFSET(PLE!$G$15,$M62-$A$15,BE$13)="",10^12,OFFSET(PLE!$G$15,$M62-$A$15,BE$13)))</f>
        <v>1000000000000</v>
      </c>
      <c r="BF62" s="172" cm="1">
        <f t="array" aca="1" ref="BF62" ca="1">IF(OR($D62&lt;&gt;"Serviço",AND(AUTOEVENTO="Manual",$M62=$A$15),$M62&gt;(ROW(PLE.lastrow)-ROW(PLE.firstrow))),0,
           IF(OFFSET(PLE!$G$15,$M62-$A$15,BF$13)="",10^12,OFFSET(PLE!$G$15,$M62-$A$15,BF$13)))</f>
        <v>1000000000000</v>
      </c>
      <c r="BG62" s="172" cm="1">
        <f t="array" aca="1" ref="BG62" ca="1">IF(OR($D62&lt;&gt;"Serviço",AND(AUTOEVENTO="Manual",$M62=$A$15),$M62&gt;(ROW(PLE.lastrow)-ROW(PLE.firstrow))),0,
           IF(OFFSET(PLE!$G$15,$M62-$A$15,BG$13)="",10^12,OFFSET(PLE!$G$15,$M62-$A$15,BG$13)))</f>
        <v>1000000000000</v>
      </c>
    </row>
    <row r="63" spans="1:59" ht="12.75" x14ac:dyDescent="0.2">
      <c r="A63" s="7" t="str">
        <f t="shared" ca="1" si="8"/>
        <v>48.</v>
      </c>
      <c r="B63" s="7">
        <f ca="1">OFFSET(ORÇAMENTO!C$15,$L63,0)</f>
        <v>2</v>
      </c>
      <c r="C63" s="7" t="str">
        <f ca="1">OFFSET(ORÇAMENTO!L$15,$L63,0)</f>
        <v>F</v>
      </c>
      <c r="D63" s="116" t="str">
        <f ca="1">OFFSET(ORÇAMENTO!N$15,$L63,0)</f>
        <v>Nível 2</v>
      </c>
      <c r="E63" s="117" t="str">
        <f ca="1">OFFSET(ORÇAMENTO!O$15,$L63,0)</f>
        <v>2.6.</v>
      </c>
      <c r="F63" s="163" t="str">
        <f ca="1">OFFSET(ORÇAMENTO!R$15,$L63,0)</f>
        <v>COBERTURA</v>
      </c>
      <c r="G63" s="164" t="str">
        <f ca="1">IF($D63&lt;&gt;"Serviço","",OFFSET(ORÇAMENTO!S$15,$L63,0))</f>
        <v/>
      </c>
      <c r="H63" s="122" cm="1">
        <f t="array" aca="1" ref="H63" ca="1">IF($D63&lt;&gt;"Serviço",0,IF(ACOMPANHAMENTO="BM",ROUND(OFFSET(ORÇAMENTO!AJ$15,$L63,0),15-13*ORÇAMENTO!$AF$7),IF(IFERROR(CÁLCULO.FrentesPreenchidas,0)=0,0,SUM(ROUND(OFFSET($P63,0,1,1,CÁLCULO.FrentesPreenchidas),15-13*ORÇAMENTO!$AF$7)))))</f>
        <v>0</v>
      </c>
      <c r="I63" s="468"/>
      <c r="J63" s="651"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2"/>
      <c r="L63" s="165">
        <f t="shared" ca="1" si="9"/>
        <v>48</v>
      </c>
      <c r="M63" s="166" t="str">
        <f ca="1">IF($D63&lt;&gt;"Serviço","",
          IF(AUTOEVENTO="manual",$A63,
                IF(ISERROR(MATCH($A63,$A$15:OFFSET($A63,-1,0),0)),MAX($M$15:OFFSET(M63,-1,0))+1,
                      INDEX($M$15:OFFSET(M63,-1,0),MATCH($A63,$A$15:OFFSET($A63,-1,0),0)))))</f>
        <v/>
      </c>
      <c r="N63" s="167" t="str">
        <f ca="1">IF($D63&lt;&gt;"Serviço","",
         IF(AUTOEVENTO="Manual",
                IF($A63=0,"&lt;-- defina o número do agrupador",
                       OFFSET(EVENTOS!$D$15,$A63-$A$15,0)),
                OFFSET($F$15,$A63,0)))</f>
        <v/>
      </c>
      <c r="O63" s="168"/>
      <c r="Q63" s="168"/>
      <c r="R63" s="169"/>
      <c r="S63" s="169"/>
      <c r="T63" s="169"/>
      <c r="U63" s="169"/>
      <c r="V63" s="169"/>
      <c r="W63" s="169"/>
      <c r="X63" s="169"/>
      <c r="Y63" s="169"/>
      <c r="Z63" s="170"/>
      <c r="AB63" s="453">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3">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3">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3">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3">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3">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3">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3">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1">
        <f ca="1">IF(OR($D63&lt;&gt;"Serviço",AND(AUTOEVENTO="Manual",$M63=$A$15)),0,
         IF(OFFSET(CRONOPLE!$F$15,$M63-$A$15,AM$13)=0,10^12,OFFSET(CRONOPLE!$F$15,$M63-$A$15,AM$13)))</f>
        <v>0</v>
      </c>
      <c r="AN63" s="171">
        <f ca="1">IF(OR($D63&lt;&gt;"Serviço",AND(AUTOEVENTO="Manual",$M63=$A$15)),0,
         IF(OFFSET(CRONOPLE!$F$15,$M63-$A$15,AN$13)=0,10^12,OFFSET(CRONOPLE!$F$15,$M63-$A$15,AN$13)))</f>
        <v>0</v>
      </c>
      <c r="AO63" s="171">
        <f ca="1">IF(OR($D63&lt;&gt;"Serviço",AND(AUTOEVENTO="Manual",$M63=$A$15)),0,
         IF(OFFSET(CRONOPLE!$F$15,$M63-$A$15,AO$13)=0,10^12,OFFSET(CRONOPLE!$F$15,$M63-$A$15,AO$13)))</f>
        <v>0</v>
      </c>
      <c r="AP63" s="171">
        <f ca="1">IF(OR($D63&lt;&gt;"Serviço",AND(AUTOEVENTO="Manual",$M63=$A$15)),0,
         IF(OFFSET(CRONOPLE!$F$15,$M63-$A$15,AP$13)=0,10^12,OFFSET(CRONOPLE!$F$15,$M63-$A$15,AP$13)))</f>
        <v>0</v>
      </c>
      <c r="AQ63" s="171">
        <f ca="1">IF(OR($D63&lt;&gt;"Serviço",AND(AUTOEVENTO="Manual",$M63=$A$15)),0,
         IF(OFFSET(CRONOPLE!$F$15,$M63-$A$15,AQ$13)=0,10^12,OFFSET(CRONOPLE!$F$15,$M63-$A$15,AQ$13)))</f>
        <v>0</v>
      </c>
      <c r="AR63" s="171">
        <f ca="1">IF(OR($D63&lt;&gt;"Serviço",AND(AUTOEVENTO="Manual",$M63=$A$15)),0,
         IF(OFFSET(CRONOPLE!$F$15,$M63-$A$15,AR$13)=0,10^12,OFFSET(CRONOPLE!$F$15,$M63-$A$15,AR$13)))</f>
        <v>0</v>
      </c>
      <c r="AS63" s="171">
        <f ca="1">IF(OR($D63&lt;&gt;"Serviço",AND(AUTOEVENTO="Manual",$M63=$A$15)),0,
         IF(OFFSET(CRONOPLE!$F$15,$M63-$A$15,AS$13)=0,10^12,OFFSET(CRONOPLE!$F$15,$M63-$A$15,AS$13)))</f>
        <v>0</v>
      </c>
      <c r="AT63" s="171">
        <f ca="1">IF(OR($D63&lt;&gt;"Serviço",AND(AUTOEVENTO="Manual",$M63=$A$15)),0,
         IF(OFFSET(CRONOPLE!$F$15,$M63-$A$15,AT$13)=0,10^12,OFFSET(CRONOPLE!$F$15,$M63-$A$15,AT$13)))</f>
        <v>0</v>
      </c>
      <c r="AU63" s="171">
        <f ca="1">IF(OR($D63&lt;&gt;"Serviço",AND(AUTOEVENTO="Manual",$M63=$A$15)),0,
         IF(OFFSET(CRONOPLE!$F$15,$M63-$A$15,AU$13)=0,10^12,OFFSET(CRONOPLE!$F$15,$M63-$A$15,AU$13)))</f>
        <v>0</v>
      </c>
      <c r="AV63" s="171">
        <f ca="1">IF(OR($D63&lt;&gt;"Serviço",AND(AUTOEVENTO="Manual",$M63=$A$15)),0,
         IF(OFFSET(CRONOPLE!$F$15,$M63-$A$15,AV$13)=0,10^12,OFFSET(CRONOPLE!$F$15,$M63-$A$15,AV$13)))</f>
        <v>0</v>
      </c>
      <c r="AX63" s="172" cm="1">
        <f t="array" aca="1" ref="AX63" ca="1">IF(OR($D63&lt;&gt;"Serviço",AND(AUTOEVENTO="Manual",$M63=$A$15),$M63&gt;(ROW(PLE.lastrow)-ROW(PLE.firstrow))),0,
           IF(OFFSET(PLE!$G$15,$M63-$A$15,AX$13)="",10^12,OFFSET(PLE!$G$15,$M63-$A$15,AX$13)))</f>
        <v>0</v>
      </c>
      <c r="AY63" s="172" cm="1">
        <f t="array" aca="1" ref="AY63" ca="1">IF(OR($D63&lt;&gt;"Serviço",AND(AUTOEVENTO="Manual",$M63=$A$15),$M63&gt;(ROW(PLE.lastrow)-ROW(PLE.firstrow))),0,
           IF(OFFSET(PLE!$G$15,$M63-$A$15,AY$13)="",10^12,OFFSET(PLE!$G$15,$M63-$A$15,AY$13)))</f>
        <v>0</v>
      </c>
      <c r="AZ63" s="172" cm="1">
        <f t="array" aca="1" ref="AZ63" ca="1">IF(OR($D63&lt;&gt;"Serviço",AND(AUTOEVENTO="Manual",$M63=$A$15),$M63&gt;(ROW(PLE.lastrow)-ROW(PLE.firstrow))),0,
           IF(OFFSET(PLE!$G$15,$M63-$A$15,AZ$13)="",10^12,OFFSET(PLE!$G$15,$M63-$A$15,AZ$13)))</f>
        <v>0</v>
      </c>
      <c r="BA63" s="172" cm="1">
        <f t="array" aca="1" ref="BA63" ca="1">IF(OR($D63&lt;&gt;"Serviço",AND(AUTOEVENTO="Manual",$M63=$A$15),$M63&gt;(ROW(PLE.lastrow)-ROW(PLE.firstrow))),0,
           IF(OFFSET(PLE!$G$15,$M63-$A$15,BA$13)="",10^12,OFFSET(PLE!$G$15,$M63-$A$15,BA$13)))</f>
        <v>0</v>
      </c>
      <c r="BB63" s="172" cm="1">
        <f t="array" aca="1" ref="BB63" ca="1">IF(OR($D63&lt;&gt;"Serviço",AND(AUTOEVENTO="Manual",$M63=$A$15),$M63&gt;(ROW(PLE.lastrow)-ROW(PLE.firstrow))),0,
           IF(OFFSET(PLE!$G$15,$M63-$A$15,BB$13)="",10^12,OFFSET(PLE!$G$15,$M63-$A$15,BB$13)))</f>
        <v>0</v>
      </c>
      <c r="BC63" s="172" cm="1">
        <f t="array" aca="1" ref="BC63" ca="1">IF(OR($D63&lt;&gt;"Serviço",AND(AUTOEVENTO="Manual",$M63=$A$15),$M63&gt;(ROW(PLE.lastrow)-ROW(PLE.firstrow))),0,
           IF(OFFSET(PLE!$G$15,$M63-$A$15,BC$13)="",10^12,OFFSET(PLE!$G$15,$M63-$A$15,BC$13)))</f>
        <v>0</v>
      </c>
      <c r="BD63" s="172" cm="1">
        <f t="array" aca="1" ref="BD63" ca="1">IF(OR($D63&lt;&gt;"Serviço",AND(AUTOEVENTO="Manual",$M63=$A$15),$M63&gt;(ROW(PLE.lastrow)-ROW(PLE.firstrow))),0,
           IF(OFFSET(PLE!$G$15,$M63-$A$15,BD$13)="",10^12,OFFSET(PLE!$G$15,$M63-$A$15,BD$13)))</f>
        <v>0</v>
      </c>
      <c r="BE63" s="172" cm="1">
        <f t="array" aca="1" ref="BE63" ca="1">IF(OR($D63&lt;&gt;"Serviço",AND(AUTOEVENTO="Manual",$M63=$A$15),$M63&gt;(ROW(PLE.lastrow)-ROW(PLE.firstrow))),0,
           IF(OFFSET(PLE!$G$15,$M63-$A$15,BE$13)="",10^12,OFFSET(PLE!$G$15,$M63-$A$15,BE$13)))</f>
        <v>0</v>
      </c>
      <c r="BF63" s="172" cm="1">
        <f t="array" aca="1" ref="BF63" ca="1">IF(OR($D63&lt;&gt;"Serviço",AND(AUTOEVENTO="Manual",$M63=$A$15),$M63&gt;(ROW(PLE.lastrow)-ROW(PLE.firstrow))),0,
           IF(OFFSET(PLE!$G$15,$M63-$A$15,BF$13)="",10^12,OFFSET(PLE!$G$15,$M63-$A$15,BF$13)))</f>
        <v>0</v>
      </c>
      <c r="BG63" s="172" cm="1">
        <f t="array" aca="1" ref="BG63" ca="1">IF(OR($D63&lt;&gt;"Serviço",AND(AUTOEVENTO="Manual",$M63=$A$15),$M63&gt;(ROW(PLE.lastrow)-ROW(PLE.firstrow))),0,
           IF(OFFSET(PLE!$G$15,$M63-$A$15,BG$13)="",10^12,OFFSET(PLE!$G$15,$M63-$A$15,BG$13)))</f>
        <v>0</v>
      </c>
    </row>
    <row r="64" spans="1:59" ht="51" x14ac:dyDescent="0.2">
      <c r="A64" s="7" t="str">
        <f t="shared" ca="1" si="8"/>
        <v>48</v>
      </c>
      <c r="B64" s="7" t="str">
        <f ca="1">OFFSET(ORÇAMENTO!C$15,$L64,0)</f>
        <v>S</v>
      </c>
      <c r="C64" s="7" t="str">
        <f ca="1">OFFSET(ORÇAMENTO!L$15,$L64,0)</f>
        <v/>
      </c>
      <c r="D64" s="116" t="str">
        <f ca="1">OFFSET(ORÇAMENTO!N$15,$L64,0)</f>
        <v>Serviço</v>
      </c>
      <c r="E64" s="117" t="str">
        <f ca="1">OFFSET(ORÇAMENTO!O$15,$L64,0)</f>
        <v>-</v>
      </c>
      <c r="F64" s="163" t="str">
        <f ca="1">OFFSET(ORÇAMENTO!R$15,$L64,0)</f>
        <v>(Código não identificado nas referências)</v>
      </c>
      <c r="G64" s="164" t="str">
        <f ca="1">IF($D64&lt;&gt;"Serviço","",OFFSET(ORÇAMENTO!S$15,$L64,0))</f>
        <v>-</v>
      </c>
      <c r="H64" s="122" cm="1">
        <f t="array" aca="1" ref="H64" ca="1">IF($D64&lt;&gt;"Serviço",0,IF(ACOMPANHAMENTO="BM",ROUND(OFFSET(ORÇAMENTO!AJ$15,$L64,0),15-13*ORÇAMENTO!$AF$7),IF(IFERROR(CÁLCULO.FrentesPreenchidas,0)=0,0,SUM(ROUND(OFFSET($P64,0,1,1,CÁLCULO.FrentesPreenchidas),15-13*ORÇAMENTO!$AF$7)))))</f>
        <v>2</v>
      </c>
      <c r="I64" s="468"/>
      <c r="J64" s="651"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
      </c>
      <c r="K64" s="652"/>
      <c r="L64" s="165">
        <f t="shared" ca="1" si="9"/>
        <v>49</v>
      </c>
      <c r="M64" s="166">
        <f ca="1">IF($D64&lt;&gt;"Serviço","",
          IF(AUTOEVENTO="manual",$A64,
                IF(ISERROR(MATCH($A64,$A$15:OFFSET($A64,-1,0),0)),MAX($M$15:OFFSET(M64,-1,0))+1,
                      INDEX($M$15:OFFSET(M64,-1,0),MATCH($A64,$A$15:OFFSET($A64,-1,0),0)))))</f>
        <v>10</v>
      </c>
      <c r="N64" s="167" t="str">
        <f ca="1">IF($D64&lt;&gt;"Serviço","",
         IF(AUTOEVENTO="Manual",
                IF($A64=0,"&lt;-- defina o número do agrupador",
                       OFFSET(EVENTOS!$D$15,$A64-$A$15,0)),
                OFFSET($F$15,$A64,0)))</f>
        <v>COBERTURA</v>
      </c>
      <c r="O64" s="168"/>
      <c r="Q64" s="168"/>
      <c r="R64" s="169"/>
      <c r="S64" s="169"/>
      <c r="T64" s="169"/>
      <c r="U64" s="169"/>
      <c r="V64" s="169"/>
      <c r="W64" s="169"/>
      <c r="X64" s="169"/>
      <c r="Y64" s="169"/>
      <c r="Z64" s="170"/>
      <c r="AB64" s="453">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3">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3">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3">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3">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3">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3">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3">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1">
        <f ca="1">IF(OR($D64&lt;&gt;"Serviço",AND(AUTOEVENTO="Manual",$M64=$A$15)),0,
         IF(OFFSET(CRONOPLE!$F$15,$M64-$A$15,AM$13)=0,10^12,OFFSET(CRONOPLE!$F$15,$M64-$A$15,AM$13)))</f>
        <v>1000000000000</v>
      </c>
      <c r="AN64" s="171">
        <f ca="1">IF(OR($D64&lt;&gt;"Serviço",AND(AUTOEVENTO="Manual",$M64=$A$15)),0,
         IF(OFFSET(CRONOPLE!$F$15,$M64-$A$15,AN$13)=0,10^12,OFFSET(CRONOPLE!$F$15,$M64-$A$15,AN$13)))</f>
        <v>1000000000000</v>
      </c>
      <c r="AO64" s="171">
        <f ca="1">IF(OR($D64&lt;&gt;"Serviço",AND(AUTOEVENTO="Manual",$M64=$A$15)),0,
         IF(OFFSET(CRONOPLE!$F$15,$M64-$A$15,AO$13)=0,10^12,OFFSET(CRONOPLE!$F$15,$M64-$A$15,AO$13)))</f>
        <v>1000000000000</v>
      </c>
      <c r="AP64" s="171">
        <f ca="1">IF(OR($D64&lt;&gt;"Serviço",AND(AUTOEVENTO="Manual",$M64=$A$15)),0,
         IF(OFFSET(CRONOPLE!$F$15,$M64-$A$15,AP$13)=0,10^12,OFFSET(CRONOPLE!$F$15,$M64-$A$15,AP$13)))</f>
        <v>1000000000000</v>
      </c>
      <c r="AQ64" s="171">
        <f ca="1">IF(OR($D64&lt;&gt;"Serviço",AND(AUTOEVENTO="Manual",$M64=$A$15)),0,
         IF(OFFSET(CRONOPLE!$F$15,$M64-$A$15,AQ$13)=0,10^12,OFFSET(CRONOPLE!$F$15,$M64-$A$15,AQ$13)))</f>
        <v>1000000000000</v>
      </c>
      <c r="AR64" s="171">
        <f ca="1">IF(OR($D64&lt;&gt;"Serviço",AND(AUTOEVENTO="Manual",$M64=$A$15)),0,
         IF(OFFSET(CRONOPLE!$F$15,$M64-$A$15,AR$13)=0,10^12,OFFSET(CRONOPLE!$F$15,$M64-$A$15,AR$13)))</f>
        <v>1000000000000</v>
      </c>
      <c r="AS64" s="171">
        <f ca="1">IF(OR($D64&lt;&gt;"Serviço",AND(AUTOEVENTO="Manual",$M64=$A$15)),0,
         IF(OFFSET(CRONOPLE!$F$15,$M64-$A$15,AS$13)=0,10^12,OFFSET(CRONOPLE!$F$15,$M64-$A$15,AS$13)))</f>
        <v>1000000000000</v>
      </c>
      <c r="AT64" s="171">
        <f ca="1">IF(OR($D64&lt;&gt;"Serviço",AND(AUTOEVENTO="Manual",$M64=$A$15)),0,
         IF(OFFSET(CRONOPLE!$F$15,$M64-$A$15,AT$13)=0,10^12,OFFSET(CRONOPLE!$F$15,$M64-$A$15,AT$13)))</f>
        <v>1000000000000</v>
      </c>
      <c r="AU64" s="171">
        <f ca="1">IF(OR($D64&lt;&gt;"Serviço",AND(AUTOEVENTO="Manual",$M64=$A$15)),0,
         IF(OFFSET(CRONOPLE!$F$15,$M64-$A$15,AU$13)=0,10^12,OFFSET(CRONOPLE!$F$15,$M64-$A$15,AU$13)))</f>
        <v>1000000000000</v>
      </c>
      <c r="AV64" s="171">
        <f ca="1">IF(OR($D64&lt;&gt;"Serviço",AND(AUTOEVENTO="Manual",$M64=$A$15)),0,
         IF(OFFSET(CRONOPLE!$F$15,$M64-$A$15,AV$13)=0,10^12,OFFSET(CRONOPLE!$F$15,$M64-$A$15,AV$13)))</f>
        <v>1000000000000</v>
      </c>
      <c r="AX64" s="172" cm="1">
        <f t="array" aca="1" ref="AX64" ca="1">IF(OR($D64&lt;&gt;"Serviço",AND(AUTOEVENTO="Manual",$M64=$A$15),$M64&gt;(ROW(PLE.lastrow)-ROW(PLE.firstrow))),0,
           IF(OFFSET(PLE!$G$15,$M64-$A$15,AX$13)="",10^12,OFFSET(PLE!$G$15,$M64-$A$15,AX$13)))</f>
        <v>1000000000000</v>
      </c>
      <c r="AY64" s="172" cm="1">
        <f t="array" aca="1" ref="AY64" ca="1">IF(OR($D64&lt;&gt;"Serviço",AND(AUTOEVENTO="Manual",$M64=$A$15),$M64&gt;(ROW(PLE.lastrow)-ROW(PLE.firstrow))),0,
           IF(OFFSET(PLE!$G$15,$M64-$A$15,AY$13)="",10^12,OFFSET(PLE!$G$15,$M64-$A$15,AY$13)))</f>
        <v>1000000000000</v>
      </c>
      <c r="AZ64" s="172" cm="1">
        <f t="array" aca="1" ref="AZ64" ca="1">IF(OR($D64&lt;&gt;"Serviço",AND(AUTOEVENTO="Manual",$M64=$A$15),$M64&gt;(ROW(PLE.lastrow)-ROW(PLE.firstrow))),0,
           IF(OFFSET(PLE!$G$15,$M64-$A$15,AZ$13)="",10^12,OFFSET(PLE!$G$15,$M64-$A$15,AZ$13)))</f>
        <v>1000000000000</v>
      </c>
      <c r="BA64" s="172" cm="1">
        <f t="array" aca="1" ref="BA64" ca="1">IF(OR($D64&lt;&gt;"Serviço",AND(AUTOEVENTO="Manual",$M64=$A$15),$M64&gt;(ROW(PLE.lastrow)-ROW(PLE.firstrow))),0,
           IF(OFFSET(PLE!$G$15,$M64-$A$15,BA$13)="",10^12,OFFSET(PLE!$G$15,$M64-$A$15,BA$13)))</f>
        <v>1000000000000</v>
      </c>
      <c r="BB64" s="172" cm="1">
        <f t="array" aca="1" ref="BB64" ca="1">IF(OR($D64&lt;&gt;"Serviço",AND(AUTOEVENTO="Manual",$M64=$A$15),$M64&gt;(ROW(PLE.lastrow)-ROW(PLE.firstrow))),0,
           IF(OFFSET(PLE!$G$15,$M64-$A$15,BB$13)="",10^12,OFFSET(PLE!$G$15,$M64-$A$15,BB$13)))</f>
        <v>1000000000000</v>
      </c>
      <c r="BC64" s="172" cm="1">
        <f t="array" aca="1" ref="BC64" ca="1">IF(OR($D64&lt;&gt;"Serviço",AND(AUTOEVENTO="Manual",$M64=$A$15),$M64&gt;(ROW(PLE.lastrow)-ROW(PLE.firstrow))),0,
           IF(OFFSET(PLE!$G$15,$M64-$A$15,BC$13)="",10^12,OFFSET(PLE!$G$15,$M64-$A$15,BC$13)))</f>
        <v>1000000000000</v>
      </c>
      <c r="BD64" s="172" cm="1">
        <f t="array" aca="1" ref="BD64" ca="1">IF(OR($D64&lt;&gt;"Serviço",AND(AUTOEVENTO="Manual",$M64=$A$15),$M64&gt;(ROW(PLE.lastrow)-ROW(PLE.firstrow))),0,
           IF(OFFSET(PLE!$G$15,$M64-$A$15,BD$13)="",10^12,OFFSET(PLE!$G$15,$M64-$A$15,BD$13)))</f>
        <v>1000000000000</v>
      </c>
      <c r="BE64" s="172" cm="1">
        <f t="array" aca="1" ref="BE64" ca="1">IF(OR($D64&lt;&gt;"Serviço",AND(AUTOEVENTO="Manual",$M64=$A$15),$M64&gt;(ROW(PLE.lastrow)-ROW(PLE.firstrow))),0,
           IF(OFFSET(PLE!$G$15,$M64-$A$15,BE$13)="",10^12,OFFSET(PLE!$G$15,$M64-$A$15,BE$13)))</f>
        <v>1000000000000</v>
      </c>
      <c r="BF64" s="172" cm="1">
        <f t="array" aca="1" ref="BF64" ca="1">IF(OR($D64&lt;&gt;"Serviço",AND(AUTOEVENTO="Manual",$M64=$A$15),$M64&gt;(ROW(PLE.lastrow)-ROW(PLE.firstrow))),0,
           IF(OFFSET(PLE!$G$15,$M64-$A$15,BF$13)="",10^12,OFFSET(PLE!$G$15,$M64-$A$15,BF$13)))</f>
        <v>1000000000000</v>
      </c>
      <c r="BG64" s="172" cm="1">
        <f t="array" aca="1" ref="BG64" ca="1">IF(OR($D64&lt;&gt;"Serviço",AND(AUTOEVENTO="Manual",$M64=$A$15),$M64&gt;(ROW(PLE.lastrow)-ROW(PLE.firstrow))),0,
           IF(OFFSET(PLE!$G$15,$M64-$A$15,BG$13)="",10^12,OFFSET(PLE!$G$15,$M64-$A$15,BG$13)))</f>
        <v>1000000000000</v>
      </c>
    </row>
    <row r="65" spans="1:59" ht="51" x14ac:dyDescent="0.2">
      <c r="A65" s="7" t="str">
        <f t="shared" ca="1" si="8"/>
        <v>48</v>
      </c>
      <c r="B65" s="7" t="str">
        <f ca="1">OFFSET(ORÇAMENTO!C$15,$L65,0)</f>
        <v>S</v>
      </c>
      <c r="C65" s="7" t="str">
        <f ca="1">OFFSET(ORÇAMENTO!L$15,$L65,0)</f>
        <v/>
      </c>
      <c r="D65" s="116" t="str">
        <f ca="1">OFFSET(ORÇAMENTO!N$15,$L65,0)</f>
        <v>Serviço</v>
      </c>
      <c r="E65" s="117" t="str">
        <f ca="1">OFFSET(ORÇAMENTO!O$15,$L65,0)</f>
        <v>-</v>
      </c>
      <c r="F65" s="163" t="str">
        <f ca="1">OFFSET(ORÇAMENTO!R$15,$L65,0)</f>
        <v>(Código não identificado nas referências)</v>
      </c>
      <c r="G65" s="164" t="str">
        <f ca="1">IF($D65&lt;&gt;"Serviço","",OFFSET(ORÇAMENTO!S$15,$L65,0))</f>
        <v>-</v>
      </c>
      <c r="H65" s="122" cm="1">
        <f t="array" aca="1" ref="H65" ca="1">IF($D65&lt;&gt;"Serviço",0,IF(ACOMPANHAMENTO="BM",ROUND(OFFSET(ORÇAMENTO!AJ$15,$L65,0),15-13*ORÇAMENTO!$AF$7),IF(IFERROR(CÁLCULO.FrentesPreenchidas,0)=0,0,SUM(ROUND(OFFSET($P65,0,1,1,CÁLCULO.FrentesPreenchidas),15-13*ORÇAMENTO!$AF$7)))))</f>
        <v>9.92</v>
      </c>
      <c r="I65" s="468"/>
      <c r="J65" s="651"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2"/>
      <c r="L65" s="165">
        <f t="shared" ca="1" si="9"/>
        <v>50</v>
      </c>
      <c r="M65" s="166">
        <f ca="1">IF($D65&lt;&gt;"Serviço","",
          IF(AUTOEVENTO="manual",$A65,
                IF(ISERROR(MATCH($A65,$A$15:OFFSET($A65,-1,0),0)),MAX($M$15:OFFSET(M65,-1,0))+1,
                      INDEX($M$15:OFFSET(M65,-1,0),MATCH($A65,$A$15:OFFSET($A65,-1,0),0)))))</f>
        <v>10</v>
      </c>
      <c r="N65" s="167" t="str">
        <f ca="1">IF($D65&lt;&gt;"Serviço","",
         IF(AUTOEVENTO="Manual",
                IF($A65=0,"&lt;-- defina o número do agrupador",
                       OFFSET(EVENTOS!$D$15,$A65-$A$15,0)),
                OFFSET($F$15,$A65,0)))</f>
        <v>COBERTURA</v>
      </c>
      <c r="O65" s="168"/>
      <c r="Q65" s="168"/>
      <c r="R65" s="169"/>
      <c r="S65" s="169"/>
      <c r="T65" s="169"/>
      <c r="U65" s="169"/>
      <c r="V65" s="169"/>
      <c r="W65" s="169"/>
      <c r="X65" s="169"/>
      <c r="Y65" s="169"/>
      <c r="Z65" s="170"/>
      <c r="AB65" s="453">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3">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3">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3">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3">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3">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3">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3">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1">
        <f ca="1">IF(OR($D65&lt;&gt;"Serviço",AND(AUTOEVENTO="Manual",$M65=$A$15)),0,
         IF(OFFSET(CRONOPLE!$F$15,$M65-$A$15,AM$13)=0,10^12,OFFSET(CRONOPLE!$F$15,$M65-$A$15,AM$13)))</f>
        <v>1000000000000</v>
      </c>
      <c r="AN65" s="171">
        <f ca="1">IF(OR($D65&lt;&gt;"Serviço",AND(AUTOEVENTO="Manual",$M65=$A$15)),0,
         IF(OFFSET(CRONOPLE!$F$15,$M65-$A$15,AN$13)=0,10^12,OFFSET(CRONOPLE!$F$15,$M65-$A$15,AN$13)))</f>
        <v>1000000000000</v>
      </c>
      <c r="AO65" s="171">
        <f ca="1">IF(OR($D65&lt;&gt;"Serviço",AND(AUTOEVENTO="Manual",$M65=$A$15)),0,
         IF(OFFSET(CRONOPLE!$F$15,$M65-$A$15,AO$13)=0,10^12,OFFSET(CRONOPLE!$F$15,$M65-$A$15,AO$13)))</f>
        <v>1000000000000</v>
      </c>
      <c r="AP65" s="171">
        <f ca="1">IF(OR($D65&lt;&gt;"Serviço",AND(AUTOEVENTO="Manual",$M65=$A$15)),0,
         IF(OFFSET(CRONOPLE!$F$15,$M65-$A$15,AP$13)=0,10^12,OFFSET(CRONOPLE!$F$15,$M65-$A$15,AP$13)))</f>
        <v>1000000000000</v>
      </c>
      <c r="AQ65" s="171">
        <f ca="1">IF(OR($D65&lt;&gt;"Serviço",AND(AUTOEVENTO="Manual",$M65=$A$15)),0,
         IF(OFFSET(CRONOPLE!$F$15,$M65-$A$15,AQ$13)=0,10^12,OFFSET(CRONOPLE!$F$15,$M65-$A$15,AQ$13)))</f>
        <v>1000000000000</v>
      </c>
      <c r="AR65" s="171">
        <f ca="1">IF(OR($D65&lt;&gt;"Serviço",AND(AUTOEVENTO="Manual",$M65=$A$15)),0,
         IF(OFFSET(CRONOPLE!$F$15,$M65-$A$15,AR$13)=0,10^12,OFFSET(CRONOPLE!$F$15,$M65-$A$15,AR$13)))</f>
        <v>1000000000000</v>
      </c>
      <c r="AS65" s="171">
        <f ca="1">IF(OR($D65&lt;&gt;"Serviço",AND(AUTOEVENTO="Manual",$M65=$A$15)),0,
         IF(OFFSET(CRONOPLE!$F$15,$M65-$A$15,AS$13)=0,10^12,OFFSET(CRONOPLE!$F$15,$M65-$A$15,AS$13)))</f>
        <v>1000000000000</v>
      </c>
      <c r="AT65" s="171">
        <f ca="1">IF(OR($D65&lt;&gt;"Serviço",AND(AUTOEVENTO="Manual",$M65=$A$15)),0,
         IF(OFFSET(CRONOPLE!$F$15,$M65-$A$15,AT$13)=0,10^12,OFFSET(CRONOPLE!$F$15,$M65-$A$15,AT$13)))</f>
        <v>1000000000000</v>
      </c>
      <c r="AU65" s="171">
        <f ca="1">IF(OR($D65&lt;&gt;"Serviço",AND(AUTOEVENTO="Manual",$M65=$A$15)),0,
         IF(OFFSET(CRONOPLE!$F$15,$M65-$A$15,AU$13)=0,10^12,OFFSET(CRONOPLE!$F$15,$M65-$A$15,AU$13)))</f>
        <v>1000000000000</v>
      </c>
      <c r="AV65" s="171">
        <f ca="1">IF(OR($D65&lt;&gt;"Serviço",AND(AUTOEVENTO="Manual",$M65=$A$15)),0,
         IF(OFFSET(CRONOPLE!$F$15,$M65-$A$15,AV$13)=0,10^12,OFFSET(CRONOPLE!$F$15,$M65-$A$15,AV$13)))</f>
        <v>1000000000000</v>
      </c>
      <c r="AX65" s="172" cm="1">
        <f t="array" aca="1" ref="AX65" ca="1">IF(OR($D65&lt;&gt;"Serviço",AND(AUTOEVENTO="Manual",$M65=$A$15),$M65&gt;(ROW(PLE.lastrow)-ROW(PLE.firstrow))),0,
           IF(OFFSET(PLE!$G$15,$M65-$A$15,AX$13)="",10^12,OFFSET(PLE!$G$15,$M65-$A$15,AX$13)))</f>
        <v>1000000000000</v>
      </c>
      <c r="AY65" s="172" cm="1">
        <f t="array" aca="1" ref="AY65" ca="1">IF(OR($D65&lt;&gt;"Serviço",AND(AUTOEVENTO="Manual",$M65=$A$15),$M65&gt;(ROW(PLE.lastrow)-ROW(PLE.firstrow))),0,
           IF(OFFSET(PLE!$G$15,$M65-$A$15,AY$13)="",10^12,OFFSET(PLE!$G$15,$M65-$A$15,AY$13)))</f>
        <v>1000000000000</v>
      </c>
      <c r="AZ65" s="172" cm="1">
        <f t="array" aca="1" ref="AZ65" ca="1">IF(OR($D65&lt;&gt;"Serviço",AND(AUTOEVENTO="Manual",$M65=$A$15),$M65&gt;(ROW(PLE.lastrow)-ROW(PLE.firstrow))),0,
           IF(OFFSET(PLE!$G$15,$M65-$A$15,AZ$13)="",10^12,OFFSET(PLE!$G$15,$M65-$A$15,AZ$13)))</f>
        <v>1000000000000</v>
      </c>
      <c r="BA65" s="172" cm="1">
        <f t="array" aca="1" ref="BA65" ca="1">IF(OR($D65&lt;&gt;"Serviço",AND(AUTOEVENTO="Manual",$M65=$A$15),$M65&gt;(ROW(PLE.lastrow)-ROW(PLE.firstrow))),0,
           IF(OFFSET(PLE!$G$15,$M65-$A$15,BA$13)="",10^12,OFFSET(PLE!$G$15,$M65-$A$15,BA$13)))</f>
        <v>1000000000000</v>
      </c>
      <c r="BB65" s="172" cm="1">
        <f t="array" aca="1" ref="BB65" ca="1">IF(OR($D65&lt;&gt;"Serviço",AND(AUTOEVENTO="Manual",$M65=$A$15),$M65&gt;(ROW(PLE.lastrow)-ROW(PLE.firstrow))),0,
           IF(OFFSET(PLE!$G$15,$M65-$A$15,BB$13)="",10^12,OFFSET(PLE!$G$15,$M65-$A$15,BB$13)))</f>
        <v>1000000000000</v>
      </c>
      <c r="BC65" s="172" cm="1">
        <f t="array" aca="1" ref="BC65" ca="1">IF(OR($D65&lt;&gt;"Serviço",AND(AUTOEVENTO="Manual",$M65=$A$15),$M65&gt;(ROW(PLE.lastrow)-ROW(PLE.firstrow))),0,
           IF(OFFSET(PLE!$G$15,$M65-$A$15,BC$13)="",10^12,OFFSET(PLE!$G$15,$M65-$A$15,BC$13)))</f>
        <v>1000000000000</v>
      </c>
      <c r="BD65" s="172" cm="1">
        <f t="array" aca="1" ref="BD65" ca="1">IF(OR($D65&lt;&gt;"Serviço",AND(AUTOEVENTO="Manual",$M65=$A$15),$M65&gt;(ROW(PLE.lastrow)-ROW(PLE.firstrow))),0,
           IF(OFFSET(PLE!$G$15,$M65-$A$15,BD$13)="",10^12,OFFSET(PLE!$G$15,$M65-$A$15,BD$13)))</f>
        <v>1000000000000</v>
      </c>
      <c r="BE65" s="172" cm="1">
        <f t="array" aca="1" ref="BE65" ca="1">IF(OR($D65&lt;&gt;"Serviço",AND(AUTOEVENTO="Manual",$M65=$A$15),$M65&gt;(ROW(PLE.lastrow)-ROW(PLE.firstrow))),0,
           IF(OFFSET(PLE!$G$15,$M65-$A$15,BE$13)="",10^12,OFFSET(PLE!$G$15,$M65-$A$15,BE$13)))</f>
        <v>1000000000000</v>
      </c>
      <c r="BF65" s="172" cm="1">
        <f t="array" aca="1" ref="BF65" ca="1">IF(OR($D65&lt;&gt;"Serviço",AND(AUTOEVENTO="Manual",$M65=$A$15),$M65&gt;(ROW(PLE.lastrow)-ROW(PLE.firstrow))),0,
           IF(OFFSET(PLE!$G$15,$M65-$A$15,BF$13)="",10^12,OFFSET(PLE!$G$15,$M65-$A$15,BF$13)))</f>
        <v>1000000000000</v>
      </c>
      <c r="BG65" s="172" cm="1">
        <f t="array" aca="1" ref="BG65" ca="1">IF(OR($D65&lt;&gt;"Serviço",AND(AUTOEVENTO="Manual",$M65=$A$15),$M65&gt;(ROW(PLE.lastrow)-ROW(PLE.firstrow))),0,
           IF(OFFSET(PLE!$G$15,$M65-$A$15,BG$13)="",10^12,OFFSET(PLE!$G$15,$M65-$A$15,BG$13)))</f>
        <v>1000000000000</v>
      </c>
    </row>
    <row r="66" spans="1:59" ht="25.5" x14ac:dyDescent="0.2">
      <c r="A66" s="7" t="str">
        <f t="shared" ca="1" si="8"/>
        <v>48</v>
      </c>
      <c r="B66" s="7" t="str">
        <f ca="1">OFFSET(ORÇAMENTO!C$15,$L66,0)</f>
        <v>S</v>
      </c>
      <c r="C66" s="7" t="str">
        <f ca="1">OFFSET(ORÇAMENTO!L$15,$L66,0)</f>
        <v/>
      </c>
      <c r="D66" s="116" t="str">
        <f ca="1">OFFSET(ORÇAMENTO!N$15,$L66,0)</f>
        <v>Serviço</v>
      </c>
      <c r="E66" s="117" t="str">
        <f ca="1">OFFSET(ORÇAMENTO!O$15,$L66,0)</f>
        <v>-</v>
      </c>
      <c r="F66" s="163" t="str">
        <f ca="1">OFFSET(ORÇAMENTO!R$15,$L66,0)</f>
        <v>(Código não identificado nas referências)</v>
      </c>
      <c r="G66" s="164" t="str">
        <f ca="1">IF($D66&lt;&gt;"Serviço","",OFFSET(ORÇAMENTO!S$15,$L66,0))</f>
        <v>-</v>
      </c>
      <c r="H66" s="122" cm="1">
        <f t="array" aca="1" ref="H66" ca="1">IF($D66&lt;&gt;"Serviço",0,IF(ACOMPANHAMENTO="BM",ROUND(OFFSET(ORÇAMENTO!AJ$15,$L66,0),15-13*ORÇAMENTO!$AF$7),IF(IFERROR(CÁLCULO.FrentesPreenchidas,0)=0,0,SUM(ROUND(OFFSET($P66,0,1,1,CÁLCULO.FrentesPreenchidas),15-13*ORÇAMENTO!$AF$7)))))</f>
        <v>9.92</v>
      </c>
      <c r="I66" s="468"/>
      <c r="J66" s="651"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
      </c>
      <c r="K66" s="652"/>
      <c r="L66" s="165">
        <f t="shared" ca="1" si="9"/>
        <v>51</v>
      </c>
      <c r="M66" s="166">
        <f ca="1">IF($D66&lt;&gt;"Serviço","",
          IF(AUTOEVENTO="manual",$A66,
                IF(ISERROR(MATCH($A66,$A$15:OFFSET($A66,-1,0),0)),MAX($M$15:OFFSET(M66,-1,0))+1,
                      INDEX($M$15:OFFSET(M66,-1,0),MATCH($A66,$A$15:OFFSET($A66,-1,0),0)))))</f>
        <v>10</v>
      </c>
      <c r="N66" s="167" t="str">
        <f ca="1">IF($D66&lt;&gt;"Serviço","",
         IF(AUTOEVENTO="Manual",
                IF($A66=0,"&lt;-- defina o número do agrupador",
                       OFFSET(EVENTOS!$D$15,$A66-$A$15,0)),
                OFFSET($F$15,$A66,0)))</f>
        <v>COBERTURA</v>
      </c>
      <c r="O66" s="168"/>
      <c r="Q66" s="168"/>
      <c r="R66" s="169"/>
      <c r="S66" s="169"/>
      <c r="T66" s="169"/>
      <c r="U66" s="169"/>
      <c r="V66" s="169"/>
      <c r="W66" s="169"/>
      <c r="X66" s="169"/>
      <c r="Y66" s="169"/>
      <c r="Z66" s="170"/>
      <c r="AB66" s="453">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3">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3">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3">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3">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3">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3">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3">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1">
        <f ca="1">IF(OR($D66&lt;&gt;"Serviço",AND(AUTOEVENTO="Manual",$M66=$A$15)),0,
         IF(OFFSET(CRONOPLE!$F$15,$M66-$A$15,AM$13)=0,10^12,OFFSET(CRONOPLE!$F$15,$M66-$A$15,AM$13)))</f>
        <v>1000000000000</v>
      </c>
      <c r="AN66" s="171">
        <f ca="1">IF(OR($D66&lt;&gt;"Serviço",AND(AUTOEVENTO="Manual",$M66=$A$15)),0,
         IF(OFFSET(CRONOPLE!$F$15,$M66-$A$15,AN$13)=0,10^12,OFFSET(CRONOPLE!$F$15,$M66-$A$15,AN$13)))</f>
        <v>1000000000000</v>
      </c>
      <c r="AO66" s="171">
        <f ca="1">IF(OR($D66&lt;&gt;"Serviço",AND(AUTOEVENTO="Manual",$M66=$A$15)),0,
         IF(OFFSET(CRONOPLE!$F$15,$M66-$A$15,AO$13)=0,10^12,OFFSET(CRONOPLE!$F$15,$M66-$A$15,AO$13)))</f>
        <v>1000000000000</v>
      </c>
      <c r="AP66" s="171">
        <f ca="1">IF(OR($D66&lt;&gt;"Serviço",AND(AUTOEVENTO="Manual",$M66=$A$15)),0,
         IF(OFFSET(CRONOPLE!$F$15,$M66-$A$15,AP$13)=0,10^12,OFFSET(CRONOPLE!$F$15,$M66-$A$15,AP$13)))</f>
        <v>1000000000000</v>
      </c>
      <c r="AQ66" s="171">
        <f ca="1">IF(OR($D66&lt;&gt;"Serviço",AND(AUTOEVENTO="Manual",$M66=$A$15)),0,
         IF(OFFSET(CRONOPLE!$F$15,$M66-$A$15,AQ$13)=0,10^12,OFFSET(CRONOPLE!$F$15,$M66-$A$15,AQ$13)))</f>
        <v>1000000000000</v>
      </c>
      <c r="AR66" s="171">
        <f ca="1">IF(OR($D66&lt;&gt;"Serviço",AND(AUTOEVENTO="Manual",$M66=$A$15)),0,
         IF(OFFSET(CRONOPLE!$F$15,$M66-$A$15,AR$13)=0,10^12,OFFSET(CRONOPLE!$F$15,$M66-$A$15,AR$13)))</f>
        <v>1000000000000</v>
      </c>
      <c r="AS66" s="171">
        <f ca="1">IF(OR($D66&lt;&gt;"Serviço",AND(AUTOEVENTO="Manual",$M66=$A$15)),0,
         IF(OFFSET(CRONOPLE!$F$15,$M66-$A$15,AS$13)=0,10^12,OFFSET(CRONOPLE!$F$15,$M66-$A$15,AS$13)))</f>
        <v>1000000000000</v>
      </c>
      <c r="AT66" s="171">
        <f ca="1">IF(OR($D66&lt;&gt;"Serviço",AND(AUTOEVENTO="Manual",$M66=$A$15)),0,
         IF(OFFSET(CRONOPLE!$F$15,$M66-$A$15,AT$13)=0,10^12,OFFSET(CRONOPLE!$F$15,$M66-$A$15,AT$13)))</f>
        <v>1000000000000</v>
      </c>
      <c r="AU66" s="171">
        <f ca="1">IF(OR($D66&lt;&gt;"Serviço",AND(AUTOEVENTO="Manual",$M66=$A$15)),0,
         IF(OFFSET(CRONOPLE!$F$15,$M66-$A$15,AU$13)=0,10^12,OFFSET(CRONOPLE!$F$15,$M66-$A$15,AU$13)))</f>
        <v>1000000000000</v>
      </c>
      <c r="AV66" s="171">
        <f ca="1">IF(OR($D66&lt;&gt;"Serviço",AND(AUTOEVENTO="Manual",$M66=$A$15)),0,
         IF(OFFSET(CRONOPLE!$F$15,$M66-$A$15,AV$13)=0,10^12,OFFSET(CRONOPLE!$F$15,$M66-$A$15,AV$13)))</f>
        <v>1000000000000</v>
      </c>
      <c r="AX66" s="172" cm="1">
        <f t="array" aca="1" ref="AX66" ca="1">IF(OR($D66&lt;&gt;"Serviço",AND(AUTOEVENTO="Manual",$M66=$A$15),$M66&gt;(ROW(PLE.lastrow)-ROW(PLE.firstrow))),0,
           IF(OFFSET(PLE!$G$15,$M66-$A$15,AX$13)="",10^12,OFFSET(PLE!$G$15,$M66-$A$15,AX$13)))</f>
        <v>1000000000000</v>
      </c>
      <c r="AY66" s="172" cm="1">
        <f t="array" aca="1" ref="AY66" ca="1">IF(OR($D66&lt;&gt;"Serviço",AND(AUTOEVENTO="Manual",$M66=$A$15),$M66&gt;(ROW(PLE.lastrow)-ROW(PLE.firstrow))),0,
           IF(OFFSET(PLE!$G$15,$M66-$A$15,AY$13)="",10^12,OFFSET(PLE!$G$15,$M66-$A$15,AY$13)))</f>
        <v>1000000000000</v>
      </c>
      <c r="AZ66" s="172" cm="1">
        <f t="array" aca="1" ref="AZ66" ca="1">IF(OR($D66&lt;&gt;"Serviço",AND(AUTOEVENTO="Manual",$M66=$A$15),$M66&gt;(ROW(PLE.lastrow)-ROW(PLE.firstrow))),0,
           IF(OFFSET(PLE!$G$15,$M66-$A$15,AZ$13)="",10^12,OFFSET(PLE!$G$15,$M66-$A$15,AZ$13)))</f>
        <v>1000000000000</v>
      </c>
      <c r="BA66" s="172" cm="1">
        <f t="array" aca="1" ref="BA66" ca="1">IF(OR($D66&lt;&gt;"Serviço",AND(AUTOEVENTO="Manual",$M66=$A$15),$M66&gt;(ROW(PLE.lastrow)-ROW(PLE.firstrow))),0,
           IF(OFFSET(PLE!$G$15,$M66-$A$15,BA$13)="",10^12,OFFSET(PLE!$G$15,$M66-$A$15,BA$13)))</f>
        <v>1000000000000</v>
      </c>
      <c r="BB66" s="172" cm="1">
        <f t="array" aca="1" ref="BB66" ca="1">IF(OR($D66&lt;&gt;"Serviço",AND(AUTOEVENTO="Manual",$M66=$A$15),$M66&gt;(ROW(PLE.lastrow)-ROW(PLE.firstrow))),0,
           IF(OFFSET(PLE!$G$15,$M66-$A$15,BB$13)="",10^12,OFFSET(PLE!$G$15,$M66-$A$15,BB$13)))</f>
        <v>1000000000000</v>
      </c>
      <c r="BC66" s="172" cm="1">
        <f t="array" aca="1" ref="BC66" ca="1">IF(OR($D66&lt;&gt;"Serviço",AND(AUTOEVENTO="Manual",$M66=$A$15),$M66&gt;(ROW(PLE.lastrow)-ROW(PLE.firstrow))),0,
           IF(OFFSET(PLE!$G$15,$M66-$A$15,BC$13)="",10^12,OFFSET(PLE!$G$15,$M66-$A$15,BC$13)))</f>
        <v>1000000000000</v>
      </c>
      <c r="BD66" s="172" cm="1">
        <f t="array" aca="1" ref="BD66" ca="1">IF(OR($D66&lt;&gt;"Serviço",AND(AUTOEVENTO="Manual",$M66=$A$15),$M66&gt;(ROW(PLE.lastrow)-ROW(PLE.firstrow))),0,
           IF(OFFSET(PLE!$G$15,$M66-$A$15,BD$13)="",10^12,OFFSET(PLE!$G$15,$M66-$A$15,BD$13)))</f>
        <v>1000000000000</v>
      </c>
      <c r="BE66" s="172" cm="1">
        <f t="array" aca="1" ref="BE66" ca="1">IF(OR($D66&lt;&gt;"Serviço",AND(AUTOEVENTO="Manual",$M66=$A$15),$M66&gt;(ROW(PLE.lastrow)-ROW(PLE.firstrow))),0,
           IF(OFFSET(PLE!$G$15,$M66-$A$15,BE$13)="",10^12,OFFSET(PLE!$G$15,$M66-$A$15,BE$13)))</f>
        <v>1000000000000</v>
      </c>
      <c r="BF66" s="172" cm="1">
        <f t="array" aca="1" ref="BF66" ca="1">IF(OR($D66&lt;&gt;"Serviço",AND(AUTOEVENTO="Manual",$M66=$A$15),$M66&gt;(ROW(PLE.lastrow)-ROW(PLE.firstrow))),0,
           IF(OFFSET(PLE!$G$15,$M66-$A$15,BF$13)="",10^12,OFFSET(PLE!$G$15,$M66-$A$15,BF$13)))</f>
        <v>1000000000000</v>
      </c>
      <c r="BG66" s="172" cm="1">
        <f t="array" aca="1" ref="BG66" ca="1">IF(OR($D66&lt;&gt;"Serviço",AND(AUTOEVENTO="Manual",$M66=$A$15),$M66&gt;(ROW(PLE.lastrow)-ROW(PLE.firstrow))),0,
           IF(OFFSET(PLE!$G$15,$M66-$A$15,BG$13)="",10^12,OFFSET(PLE!$G$15,$M66-$A$15,BG$13)))</f>
        <v>1000000000000</v>
      </c>
    </row>
    <row r="67" spans="1:59" ht="51" x14ac:dyDescent="0.2">
      <c r="A67" s="7" t="str">
        <f t="shared" ca="1" si="8"/>
        <v>48</v>
      </c>
      <c r="B67" s="7" t="str">
        <f ca="1">OFFSET(ORÇAMENTO!C$15,$L67,0)</f>
        <v>S</v>
      </c>
      <c r="C67" s="7" t="str">
        <f ca="1">OFFSET(ORÇAMENTO!L$15,$L67,0)</f>
        <v/>
      </c>
      <c r="D67" s="116" t="str">
        <f ca="1">OFFSET(ORÇAMENTO!N$15,$L67,0)</f>
        <v>Serviço</v>
      </c>
      <c r="E67" s="117" t="str">
        <f ca="1">OFFSET(ORÇAMENTO!O$15,$L67,0)</f>
        <v>-</v>
      </c>
      <c r="F67" s="163" t="str">
        <f ca="1">OFFSET(ORÇAMENTO!R$15,$L67,0)</f>
        <v>(Código não identificado nas referências)</v>
      </c>
      <c r="G67" s="164" t="str">
        <f ca="1">IF($D67&lt;&gt;"Serviço","",OFFSET(ORÇAMENTO!S$15,$L67,0))</f>
        <v>-</v>
      </c>
      <c r="H67" s="122" cm="1">
        <f t="array" aca="1" ref="H67" ca="1">IF($D67&lt;&gt;"Serviço",0,IF(ACOMPANHAMENTO="BM",ROUND(OFFSET(ORÇAMENTO!AJ$15,$L67,0),15-13*ORÇAMENTO!$AF$7),IF(IFERROR(CÁLCULO.FrentesPreenchidas,0)=0,0,SUM(ROUND(OFFSET($P67,0,1,1,CÁLCULO.FrentesPreenchidas),15-13*ORÇAMENTO!$AF$7)))))</f>
        <v>10</v>
      </c>
      <c r="I67" s="468"/>
      <c r="J67" s="651"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
      </c>
      <c r="K67" s="652"/>
      <c r="L67" s="165">
        <f t="shared" ca="1" si="9"/>
        <v>52</v>
      </c>
      <c r="M67" s="166">
        <f ca="1">IF($D67&lt;&gt;"Serviço","",
          IF(AUTOEVENTO="manual",$A67,
                IF(ISERROR(MATCH($A67,$A$15:OFFSET($A67,-1,0),0)),MAX($M$15:OFFSET(M67,-1,0))+1,
                      INDEX($M$15:OFFSET(M67,-1,0),MATCH($A67,$A$15:OFFSET($A67,-1,0),0)))))</f>
        <v>10</v>
      </c>
      <c r="N67" s="167" t="str">
        <f ca="1">IF($D67&lt;&gt;"Serviço","",
         IF(AUTOEVENTO="Manual",
                IF($A67=0,"&lt;-- defina o número do agrupador",
                       OFFSET(EVENTOS!$D$15,$A67-$A$15,0)),
                OFFSET($F$15,$A67,0)))</f>
        <v>COBERTURA</v>
      </c>
      <c r="O67" s="168"/>
      <c r="Q67" s="168"/>
      <c r="R67" s="169"/>
      <c r="S67" s="169"/>
      <c r="T67" s="169"/>
      <c r="U67" s="169"/>
      <c r="V67" s="169"/>
      <c r="W67" s="169"/>
      <c r="X67" s="169"/>
      <c r="Y67" s="169"/>
      <c r="Z67" s="170"/>
      <c r="AB67" s="453">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3">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3">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3">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3">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3">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3">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3">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1">
        <f ca="1">IF(OR($D67&lt;&gt;"Serviço",AND(AUTOEVENTO="Manual",$M67=$A$15)),0,
         IF(OFFSET(CRONOPLE!$F$15,$M67-$A$15,AM$13)=0,10^12,OFFSET(CRONOPLE!$F$15,$M67-$A$15,AM$13)))</f>
        <v>1000000000000</v>
      </c>
      <c r="AN67" s="171">
        <f ca="1">IF(OR($D67&lt;&gt;"Serviço",AND(AUTOEVENTO="Manual",$M67=$A$15)),0,
         IF(OFFSET(CRONOPLE!$F$15,$M67-$A$15,AN$13)=0,10^12,OFFSET(CRONOPLE!$F$15,$M67-$A$15,AN$13)))</f>
        <v>1000000000000</v>
      </c>
      <c r="AO67" s="171">
        <f ca="1">IF(OR($D67&lt;&gt;"Serviço",AND(AUTOEVENTO="Manual",$M67=$A$15)),0,
         IF(OFFSET(CRONOPLE!$F$15,$M67-$A$15,AO$13)=0,10^12,OFFSET(CRONOPLE!$F$15,$M67-$A$15,AO$13)))</f>
        <v>1000000000000</v>
      </c>
      <c r="AP67" s="171">
        <f ca="1">IF(OR($D67&lt;&gt;"Serviço",AND(AUTOEVENTO="Manual",$M67=$A$15)),0,
         IF(OFFSET(CRONOPLE!$F$15,$M67-$A$15,AP$13)=0,10^12,OFFSET(CRONOPLE!$F$15,$M67-$A$15,AP$13)))</f>
        <v>1000000000000</v>
      </c>
      <c r="AQ67" s="171">
        <f ca="1">IF(OR($D67&lt;&gt;"Serviço",AND(AUTOEVENTO="Manual",$M67=$A$15)),0,
         IF(OFFSET(CRONOPLE!$F$15,$M67-$A$15,AQ$13)=0,10^12,OFFSET(CRONOPLE!$F$15,$M67-$A$15,AQ$13)))</f>
        <v>1000000000000</v>
      </c>
      <c r="AR67" s="171">
        <f ca="1">IF(OR($D67&lt;&gt;"Serviço",AND(AUTOEVENTO="Manual",$M67=$A$15)),0,
         IF(OFFSET(CRONOPLE!$F$15,$M67-$A$15,AR$13)=0,10^12,OFFSET(CRONOPLE!$F$15,$M67-$A$15,AR$13)))</f>
        <v>1000000000000</v>
      </c>
      <c r="AS67" s="171">
        <f ca="1">IF(OR($D67&lt;&gt;"Serviço",AND(AUTOEVENTO="Manual",$M67=$A$15)),0,
         IF(OFFSET(CRONOPLE!$F$15,$M67-$A$15,AS$13)=0,10^12,OFFSET(CRONOPLE!$F$15,$M67-$A$15,AS$13)))</f>
        <v>1000000000000</v>
      </c>
      <c r="AT67" s="171">
        <f ca="1">IF(OR($D67&lt;&gt;"Serviço",AND(AUTOEVENTO="Manual",$M67=$A$15)),0,
         IF(OFFSET(CRONOPLE!$F$15,$M67-$A$15,AT$13)=0,10^12,OFFSET(CRONOPLE!$F$15,$M67-$A$15,AT$13)))</f>
        <v>1000000000000</v>
      </c>
      <c r="AU67" s="171">
        <f ca="1">IF(OR($D67&lt;&gt;"Serviço",AND(AUTOEVENTO="Manual",$M67=$A$15)),0,
         IF(OFFSET(CRONOPLE!$F$15,$M67-$A$15,AU$13)=0,10^12,OFFSET(CRONOPLE!$F$15,$M67-$A$15,AU$13)))</f>
        <v>1000000000000</v>
      </c>
      <c r="AV67" s="171">
        <f ca="1">IF(OR($D67&lt;&gt;"Serviço",AND(AUTOEVENTO="Manual",$M67=$A$15)),0,
         IF(OFFSET(CRONOPLE!$F$15,$M67-$A$15,AV$13)=0,10^12,OFFSET(CRONOPLE!$F$15,$M67-$A$15,AV$13)))</f>
        <v>1000000000000</v>
      </c>
      <c r="AX67" s="172" cm="1">
        <f t="array" aca="1" ref="AX67" ca="1">IF(OR($D67&lt;&gt;"Serviço",AND(AUTOEVENTO="Manual",$M67=$A$15),$M67&gt;(ROW(PLE.lastrow)-ROW(PLE.firstrow))),0,
           IF(OFFSET(PLE!$G$15,$M67-$A$15,AX$13)="",10^12,OFFSET(PLE!$G$15,$M67-$A$15,AX$13)))</f>
        <v>1000000000000</v>
      </c>
      <c r="AY67" s="172" cm="1">
        <f t="array" aca="1" ref="AY67" ca="1">IF(OR($D67&lt;&gt;"Serviço",AND(AUTOEVENTO="Manual",$M67=$A$15),$M67&gt;(ROW(PLE.lastrow)-ROW(PLE.firstrow))),0,
           IF(OFFSET(PLE!$G$15,$M67-$A$15,AY$13)="",10^12,OFFSET(PLE!$G$15,$M67-$A$15,AY$13)))</f>
        <v>1000000000000</v>
      </c>
      <c r="AZ67" s="172" cm="1">
        <f t="array" aca="1" ref="AZ67" ca="1">IF(OR($D67&lt;&gt;"Serviço",AND(AUTOEVENTO="Manual",$M67=$A$15),$M67&gt;(ROW(PLE.lastrow)-ROW(PLE.firstrow))),0,
           IF(OFFSET(PLE!$G$15,$M67-$A$15,AZ$13)="",10^12,OFFSET(PLE!$G$15,$M67-$A$15,AZ$13)))</f>
        <v>1000000000000</v>
      </c>
      <c r="BA67" s="172" cm="1">
        <f t="array" aca="1" ref="BA67" ca="1">IF(OR($D67&lt;&gt;"Serviço",AND(AUTOEVENTO="Manual",$M67=$A$15),$M67&gt;(ROW(PLE.lastrow)-ROW(PLE.firstrow))),0,
           IF(OFFSET(PLE!$G$15,$M67-$A$15,BA$13)="",10^12,OFFSET(PLE!$G$15,$M67-$A$15,BA$13)))</f>
        <v>1000000000000</v>
      </c>
      <c r="BB67" s="172" cm="1">
        <f t="array" aca="1" ref="BB67" ca="1">IF(OR($D67&lt;&gt;"Serviço",AND(AUTOEVENTO="Manual",$M67=$A$15),$M67&gt;(ROW(PLE.lastrow)-ROW(PLE.firstrow))),0,
           IF(OFFSET(PLE!$G$15,$M67-$A$15,BB$13)="",10^12,OFFSET(PLE!$G$15,$M67-$A$15,BB$13)))</f>
        <v>1000000000000</v>
      </c>
      <c r="BC67" s="172" cm="1">
        <f t="array" aca="1" ref="BC67" ca="1">IF(OR($D67&lt;&gt;"Serviço",AND(AUTOEVENTO="Manual",$M67=$A$15),$M67&gt;(ROW(PLE.lastrow)-ROW(PLE.firstrow))),0,
           IF(OFFSET(PLE!$G$15,$M67-$A$15,BC$13)="",10^12,OFFSET(PLE!$G$15,$M67-$A$15,BC$13)))</f>
        <v>1000000000000</v>
      </c>
      <c r="BD67" s="172" cm="1">
        <f t="array" aca="1" ref="BD67" ca="1">IF(OR($D67&lt;&gt;"Serviço",AND(AUTOEVENTO="Manual",$M67=$A$15),$M67&gt;(ROW(PLE.lastrow)-ROW(PLE.firstrow))),0,
           IF(OFFSET(PLE!$G$15,$M67-$A$15,BD$13)="",10^12,OFFSET(PLE!$G$15,$M67-$A$15,BD$13)))</f>
        <v>1000000000000</v>
      </c>
      <c r="BE67" s="172" cm="1">
        <f t="array" aca="1" ref="BE67" ca="1">IF(OR($D67&lt;&gt;"Serviço",AND(AUTOEVENTO="Manual",$M67=$A$15),$M67&gt;(ROW(PLE.lastrow)-ROW(PLE.firstrow))),0,
           IF(OFFSET(PLE!$G$15,$M67-$A$15,BE$13)="",10^12,OFFSET(PLE!$G$15,$M67-$A$15,BE$13)))</f>
        <v>1000000000000</v>
      </c>
      <c r="BF67" s="172" cm="1">
        <f t="array" aca="1" ref="BF67" ca="1">IF(OR($D67&lt;&gt;"Serviço",AND(AUTOEVENTO="Manual",$M67=$A$15),$M67&gt;(ROW(PLE.lastrow)-ROW(PLE.firstrow))),0,
           IF(OFFSET(PLE!$G$15,$M67-$A$15,BF$13)="",10^12,OFFSET(PLE!$G$15,$M67-$A$15,BF$13)))</f>
        <v>1000000000000</v>
      </c>
      <c r="BG67" s="172" cm="1">
        <f t="array" aca="1" ref="BG67" ca="1">IF(OR($D67&lt;&gt;"Serviço",AND(AUTOEVENTO="Manual",$M67=$A$15),$M67&gt;(ROW(PLE.lastrow)-ROW(PLE.firstrow))),0,
           IF(OFFSET(PLE!$G$15,$M67-$A$15,BG$13)="",10^12,OFFSET(PLE!$G$15,$M67-$A$15,BG$13)))</f>
        <v>1000000000000</v>
      </c>
    </row>
    <row r="68" spans="1:59" ht="12.75" x14ac:dyDescent="0.2">
      <c r="A68" s="7" t="str">
        <f t="shared" ca="1" si="8"/>
        <v>53.</v>
      </c>
      <c r="B68" s="7">
        <f ca="1">OFFSET(ORÇAMENTO!C$15,$L68,0)</f>
        <v>2</v>
      </c>
      <c r="C68" s="7" t="str">
        <f ca="1">OFFSET(ORÇAMENTO!L$15,$L68,0)</f>
        <v>F</v>
      </c>
      <c r="D68" s="116" t="str">
        <f ca="1">OFFSET(ORÇAMENTO!N$15,$L68,0)</f>
        <v>Nível 2</v>
      </c>
      <c r="E68" s="117" t="str">
        <f ca="1">OFFSET(ORÇAMENTO!O$15,$L68,0)</f>
        <v>2.7.</v>
      </c>
      <c r="F68" s="163" t="str">
        <f ca="1">OFFSET(ORÇAMENTO!R$15,$L68,0)</f>
        <v>PINTURA DOS PILARES E VIGAS</v>
      </c>
      <c r="G68" s="164" t="str">
        <f ca="1">IF($D68&lt;&gt;"Serviço","",OFFSET(ORÇAMENTO!S$15,$L68,0))</f>
        <v/>
      </c>
      <c r="H68" s="122" cm="1">
        <f t="array" aca="1" ref="H68" ca="1">IF($D68&lt;&gt;"Serviço",0,IF(ACOMPANHAMENTO="BM",ROUND(OFFSET(ORÇAMENTO!AJ$15,$L68,0),15-13*ORÇAMENTO!$AF$7),IF(IFERROR(CÁLCULO.FrentesPreenchidas,0)=0,0,SUM(ROUND(OFFSET($P68,0,1,1,CÁLCULO.FrentesPreenchidas),15-13*ORÇAMENTO!$AF$7)))))</f>
        <v>0</v>
      </c>
      <c r="I68" s="468"/>
      <c r="J68" s="651"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2"/>
      <c r="L68" s="165">
        <f t="shared" ca="1" si="9"/>
        <v>53</v>
      </c>
      <c r="M68" s="166" t="str">
        <f ca="1">IF($D68&lt;&gt;"Serviço","",
          IF(AUTOEVENTO="manual",$A68,
                IF(ISERROR(MATCH($A68,$A$15:OFFSET($A68,-1,0),0)),MAX($M$15:OFFSET(M68,-1,0))+1,
                      INDEX($M$15:OFFSET(M68,-1,0),MATCH($A68,$A$15:OFFSET($A68,-1,0),0)))))</f>
        <v/>
      </c>
      <c r="N68" s="167" t="str">
        <f ca="1">IF($D68&lt;&gt;"Serviço","",
         IF(AUTOEVENTO="Manual",
                IF($A68=0,"&lt;-- defina o número do agrupador",
                       OFFSET(EVENTOS!$D$15,$A68-$A$15,0)),
                OFFSET($F$15,$A68,0)))</f>
        <v/>
      </c>
      <c r="O68" s="168"/>
      <c r="Q68" s="168"/>
      <c r="R68" s="169"/>
      <c r="S68" s="169"/>
      <c r="T68" s="169"/>
      <c r="U68" s="169"/>
      <c r="V68" s="169"/>
      <c r="W68" s="169"/>
      <c r="X68" s="169"/>
      <c r="Y68" s="169"/>
      <c r="Z68" s="170"/>
      <c r="AB68" s="453">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3">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3">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3">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3">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3">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3">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3">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1">
        <f ca="1">IF(OR($D68&lt;&gt;"Serviço",AND(AUTOEVENTO="Manual",$M68=$A$15)),0,
         IF(OFFSET(CRONOPLE!$F$15,$M68-$A$15,AM$13)=0,10^12,OFFSET(CRONOPLE!$F$15,$M68-$A$15,AM$13)))</f>
        <v>0</v>
      </c>
      <c r="AN68" s="171">
        <f ca="1">IF(OR($D68&lt;&gt;"Serviço",AND(AUTOEVENTO="Manual",$M68=$A$15)),0,
         IF(OFFSET(CRONOPLE!$F$15,$M68-$A$15,AN$13)=0,10^12,OFFSET(CRONOPLE!$F$15,$M68-$A$15,AN$13)))</f>
        <v>0</v>
      </c>
      <c r="AO68" s="171">
        <f ca="1">IF(OR($D68&lt;&gt;"Serviço",AND(AUTOEVENTO="Manual",$M68=$A$15)),0,
         IF(OFFSET(CRONOPLE!$F$15,$M68-$A$15,AO$13)=0,10^12,OFFSET(CRONOPLE!$F$15,$M68-$A$15,AO$13)))</f>
        <v>0</v>
      </c>
      <c r="AP68" s="171">
        <f ca="1">IF(OR($D68&lt;&gt;"Serviço",AND(AUTOEVENTO="Manual",$M68=$A$15)),0,
         IF(OFFSET(CRONOPLE!$F$15,$M68-$A$15,AP$13)=0,10^12,OFFSET(CRONOPLE!$F$15,$M68-$A$15,AP$13)))</f>
        <v>0</v>
      </c>
      <c r="AQ68" s="171">
        <f ca="1">IF(OR($D68&lt;&gt;"Serviço",AND(AUTOEVENTO="Manual",$M68=$A$15)),0,
         IF(OFFSET(CRONOPLE!$F$15,$M68-$A$15,AQ$13)=0,10^12,OFFSET(CRONOPLE!$F$15,$M68-$A$15,AQ$13)))</f>
        <v>0</v>
      </c>
      <c r="AR68" s="171">
        <f ca="1">IF(OR($D68&lt;&gt;"Serviço",AND(AUTOEVENTO="Manual",$M68=$A$15)),0,
         IF(OFFSET(CRONOPLE!$F$15,$M68-$A$15,AR$13)=0,10^12,OFFSET(CRONOPLE!$F$15,$M68-$A$15,AR$13)))</f>
        <v>0</v>
      </c>
      <c r="AS68" s="171">
        <f ca="1">IF(OR($D68&lt;&gt;"Serviço",AND(AUTOEVENTO="Manual",$M68=$A$15)),0,
         IF(OFFSET(CRONOPLE!$F$15,$M68-$A$15,AS$13)=0,10^12,OFFSET(CRONOPLE!$F$15,$M68-$A$15,AS$13)))</f>
        <v>0</v>
      </c>
      <c r="AT68" s="171">
        <f ca="1">IF(OR($D68&lt;&gt;"Serviço",AND(AUTOEVENTO="Manual",$M68=$A$15)),0,
         IF(OFFSET(CRONOPLE!$F$15,$M68-$A$15,AT$13)=0,10^12,OFFSET(CRONOPLE!$F$15,$M68-$A$15,AT$13)))</f>
        <v>0</v>
      </c>
      <c r="AU68" s="171">
        <f ca="1">IF(OR($D68&lt;&gt;"Serviço",AND(AUTOEVENTO="Manual",$M68=$A$15)),0,
         IF(OFFSET(CRONOPLE!$F$15,$M68-$A$15,AU$13)=0,10^12,OFFSET(CRONOPLE!$F$15,$M68-$A$15,AU$13)))</f>
        <v>0</v>
      </c>
      <c r="AV68" s="171">
        <f ca="1">IF(OR($D68&lt;&gt;"Serviço",AND(AUTOEVENTO="Manual",$M68=$A$15)),0,
         IF(OFFSET(CRONOPLE!$F$15,$M68-$A$15,AV$13)=0,10^12,OFFSET(CRONOPLE!$F$15,$M68-$A$15,AV$13)))</f>
        <v>0</v>
      </c>
      <c r="AX68" s="172" cm="1">
        <f t="array" aca="1" ref="AX68" ca="1">IF(OR($D68&lt;&gt;"Serviço",AND(AUTOEVENTO="Manual",$M68=$A$15),$M68&gt;(ROW(PLE.lastrow)-ROW(PLE.firstrow))),0,
           IF(OFFSET(PLE!$G$15,$M68-$A$15,AX$13)="",10^12,OFFSET(PLE!$G$15,$M68-$A$15,AX$13)))</f>
        <v>0</v>
      </c>
      <c r="AY68" s="172" cm="1">
        <f t="array" aca="1" ref="AY68" ca="1">IF(OR($D68&lt;&gt;"Serviço",AND(AUTOEVENTO="Manual",$M68=$A$15),$M68&gt;(ROW(PLE.lastrow)-ROW(PLE.firstrow))),0,
           IF(OFFSET(PLE!$G$15,$M68-$A$15,AY$13)="",10^12,OFFSET(PLE!$G$15,$M68-$A$15,AY$13)))</f>
        <v>0</v>
      </c>
      <c r="AZ68" s="172" cm="1">
        <f t="array" aca="1" ref="AZ68" ca="1">IF(OR($D68&lt;&gt;"Serviço",AND(AUTOEVENTO="Manual",$M68=$A$15),$M68&gt;(ROW(PLE.lastrow)-ROW(PLE.firstrow))),0,
           IF(OFFSET(PLE!$G$15,$M68-$A$15,AZ$13)="",10^12,OFFSET(PLE!$G$15,$M68-$A$15,AZ$13)))</f>
        <v>0</v>
      </c>
      <c r="BA68" s="172" cm="1">
        <f t="array" aca="1" ref="BA68" ca="1">IF(OR($D68&lt;&gt;"Serviço",AND(AUTOEVENTO="Manual",$M68=$A$15),$M68&gt;(ROW(PLE.lastrow)-ROW(PLE.firstrow))),0,
           IF(OFFSET(PLE!$G$15,$M68-$A$15,BA$13)="",10^12,OFFSET(PLE!$G$15,$M68-$A$15,BA$13)))</f>
        <v>0</v>
      </c>
      <c r="BB68" s="172" cm="1">
        <f t="array" aca="1" ref="BB68" ca="1">IF(OR($D68&lt;&gt;"Serviço",AND(AUTOEVENTO="Manual",$M68=$A$15),$M68&gt;(ROW(PLE.lastrow)-ROW(PLE.firstrow))),0,
           IF(OFFSET(PLE!$G$15,$M68-$A$15,BB$13)="",10^12,OFFSET(PLE!$G$15,$M68-$A$15,BB$13)))</f>
        <v>0</v>
      </c>
      <c r="BC68" s="172" cm="1">
        <f t="array" aca="1" ref="BC68" ca="1">IF(OR($D68&lt;&gt;"Serviço",AND(AUTOEVENTO="Manual",$M68=$A$15),$M68&gt;(ROW(PLE.lastrow)-ROW(PLE.firstrow))),0,
           IF(OFFSET(PLE!$G$15,$M68-$A$15,BC$13)="",10^12,OFFSET(PLE!$G$15,$M68-$A$15,BC$13)))</f>
        <v>0</v>
      </c>
      <c r="BD68" s="172" cm="1">
        <f t="array" aca="1" ref="BD68" ca="1">IF(OR($D68&lt;&gt;"Serviço",AND(AUTOEVENTO="Manual",$M68=$A$15),$M68&gt;(ROW(PLE.lastrow)-ROW(PLE.firstrow))),0,
           IF(OFFSET(PLE!$G$15,$M68-$A$15,BD$13)="",10^12,OFFSET(PLE!$G$15,$M68-$A$15,BD$13)))</f>
        <v>0</v>
      </c>
      <c r="BE68" s="172" cm="1">
        <f t="array" aca="1" ref="BE68" ca="1">IF(OR($D68&lt;&gt;"Serviço",AND(AUTOEVENTO="Manual",$M68=$A$15),$M68&gt;(ROW(PLE.lastrow)-ROW(PLE.firstrow))),0,
           IF(OFFSET(PLE!$G$15,$M68-$A$15,BE$13)="",10^12,OFFSET(PLE!$G$15,$M68-$A$15,BE$13)))</f>
        <v>0</v>
      </c>
      <c r="BF68" s="172" cm="1">
        <f t="array" aca="1" ref="BF68" ca="1">IF(OR($D68&lt;&gt;"Serviço",AND(AUTOEVENTO="Manual",$M68=$A$15),$M68&gt;(ROW(PLE.lastrow)-ROW(PLE.firstrow))),0,
           IF(OFFSET(PLE!$G$15,$M68-$A$15,BF$13)="",10^12,OFFSET(PLE!$G$15,$M68-$A$15,BF$13)))</f>
        <v>0</v>
      </c>
      <c r="BG68" s="172" cm="1">
        <f t="array" aca="1" ref="BG68" ca="1">IF(OR($D68&lt;&gt;"Serviço",AND(AUTOEVENTO="Manual",$M68=$A$15),$M68&gt;(ROW(PLE.lastrow)-ROW(PLE.firstrow))),0,
           IF(OFFSET(PLE!$G$15,$M68-$A$15,BG$13)="",10^12,OFFSET(PLE!$G$15,$M68-$A$15,BG$13)))</f>
        <v>0</v>
      </c>
    </row>
    <row r="69" spans="1:59" ht="25.5" x14ac:dyDescent="0.2">
      <c r="A69" s="7" t="str">
        <f t="shared" ca="1" si="8"/>
        <v>53</v>
      </c>
      <c r="B69" s="7" t="str">
        <f ca="1">OFFSET(ORÇAMENTO!C$15,$L69,0)</f>
        <v>S</v>
      </c>
      <c r="C69" s="7" t="str">
        <f ca="1">OFFSET(ORÇAMENTO!L$15,$L69,0)</f>
        <v/>
      </c>
      <c r="D69" s="116" t="str">
        <f ca="1">OFFSET(ORÇAMENTO!N$15,$L69,0)</f>
        <v>Serviço</v>
      </c>
      <c r="E69" s="117" t="str">
        <f ca="1">OFFSET(ORÇAMENTO!O$15,$L69,0)</f>
        <v>-</v>
      </c>
      <c r="F69" s="163" t="str">
        <f ca="1">OFFSET(ORÇAMENTO!R$15,$L69,0)</f>
        <v>(Código não identificado nas referências)</v>
      </c>
      <c r="G69" s="164" t="str">
        <f ca="1">IF($D69&lt;&gt;"Serviço","",OFFSET(ORÇAMENTO!S$15,$L69,0))</f>
        <v>-</v>
      </c>
      <c r="H69" s="122" cm="1">
        <f t="array" aca="1" ref="H69" ca="1">IF($D69&lt;&gt;"Serviço",0,IF(ACOMPANHAMENTO="BM",ROUND(OFFSET(ORÇAMENTO!AJ$15,$L69,0),15-13*ORÇAMENTO!$AF$7),IF(IFERROR(CÁLCULO.FrentesPreenchidas,0)=0,0,SUM(ROUND(OFFSET($P69,0,1,1,CÁLCULO.FrentesPreenchidas),15-13*ORÇAMENTO!$AF$7)))))</f>
        <v>11.56</v>
      </c>
      <c r="I69" s="468"/>
      <c r="J69" s="651"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
      </c>
      <c r="K69" s="652"/>
      <c r="L69" s="165">
        <f t="shared" ca="1" si="9"/>
        <v>54</v>
      </c>
      <c r="M69" s="166">
        <f ca="1">IF($D69&lt;&gt;"Serviço","",
          IF(AUTOEVENTO="manual",$A69,
                IF(ISERROR(MATCH($A69,$A$15:OFFSET($A69,-1,0),0)),MAX($M$15:OFFSET(M69,-1,0))+1,
                      INDEX($M$15:OFFSET(M69,-1,0),MATCH($A69,$A$15:OFFSET($A69,-1,0),0)))))</f>
        <v>11</v>
      </c>
      <c r="N69" s="167" t="str">
        <f ca="1">IF($D69&lt;&gt;"Serviço","",
         IF(AUTOEVENTO="Manual",
                IF($A69=0,"&lt;-- defina o número do agrupador",
                       OFFSET(EVENTOS!$D$15,$A69-$A$15,0)),
                OFFSET($F$15,$A69,0)))</f>
        <v>PINTURA DOS PILARES E VIGAS</v>
      </c>
      <c r="O69" s="168"/>
      <c r="Q69" s="168"/>
      <c r="R69" s="169"/>
      <c r="S69" s="169"/>
      <c r="T69" s="169"/>
      <c r="U69" s="169"/>
      <c r="V69" s="169"/>
      <c r="W69" s="169"/>
      <c r="X69" s="169"/>
      <c r="Y69" s="169"/>
      <c r="Z69" s="170"/>
      <c r="AB69" s="453">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3">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3">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3">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3">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3">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3">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3">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1">
        <f ca="1">IF(OR($D69&lt;&gt;"Serviço",AND(AUTOEVENTO="Manual",$M69=$A$15)),0,
         IF(OFFSET(CRONOPLE!$F$15,$M69-$A$15,AM$13)=0,10^12,OFFSET(CRONOPLE!$F$15,$M69-$A$15,AM$13)))</f>
        <v>1000000000000</v>
      </c>
      <c r="AN69" s="171">
        <f ca="1">IF(OR($D69&lt;&gt;"Serviço",AND(AUTOEVENTO="Manual",$M69=$A$15)),0,
         IF(OFFSET(CRONOPLE!$F$15,$M69-$A$15,AN$13)=0,10^12,OFFSET(CRONOPLE!$F$15,$M69-$A$15,AN$13)))</f>
        <v>1000000000000</v>
      </c>
      <c r="AO69" s="171">
        <f ca="1">IF(OR($D69&lt;&gt;"Serviço",AND(AUTOEVENTO="Manual",$M69=$A$15)),0,
         IF(OFFSET(CRONOPLE!$F$15,$M69-$A$15,AO$13)=0,10^12,OFFSET(CRONOPLE!$F$15,$M69-$A$15,AO$13)))</f>
        <v>1000000000000</v>
      </c>
      <c r="AP69" s="171">
        <f ca="1">IF(OR($D69&lt;&gt;"Serviço",AND(AUTOEVENTO="Manual",$M69=$A$15)),0,
         IF(OFFSET(CRONOPLE!$F$15,$M69-$A$15,AP$13)=0,10^12,OFFSET(CRONOPLE!$F$15,$M69-$A$15,AP$13)))</f>
        <v>1000000000000</v>
      </c>
      <c r="AQ69" s="171">
        <f ca="1">IF(OR($D69&lt;&gt;"Serviço",AND(AUTOEVENTO="Manual",$M69=$A$15)),0,
         IF(OFFSET(CRONOPLE!$F$15,$M69-$A$15,AQ$13)=0,10^12,OFFSET(CRONOPLE!$F$15,$M69-$A$15,AQ$13)))</f>
        <v>1000000000000</v>
      </c>
      <c r="AR69" s="171">
        <f ca="1">IF(OR($D69&lt;&gt;"Serviço",AND(AUTOEVENTO="Manual",$M69=$A$15)),0,
         IF(OFFSET(CRONOPLE!$F$15,$M69-$A$15,AR$13)=0,10^12,OFFSET(CRONOPLE!$F$15,$M69-$A$15,AR$13)))</f>
        <v>1000000000000</v>
      </c>
      <c r="AS69" s="171">
        <f ca="1">IF(OR($D69&lt;&gt;"Serviço",AND(AUTOEVENTO="Manual",$M69=$A$15)),0,
         IF(OFFSET(CRONOPLE!$F$15,$M69-$A$15,AS$13)=0,10^12,OFFSET(CRONOPLE!$F$15,$M69-$A$15,AS$13)))</f>
        <v>1000000000000</v>
      </c>
      <c r="AT69" s="171">
        <f ca="1">IF(OR($D69&lt;&gt;"Serviço",AND(AUTOEVENTO="Manual",$M69=$A$15)),0,
         IF(OFFSET(CRONOPLE!$F$15,$M69-$A$15,AT$13)=0,10^12,OFFSET(CRONOPLE!$F$15,$M69-$A$15,AT$13)))</f>
        <v>1000000000000</v>
      </c>
      <c r="AU69" s="171">
        <f ca="1">IF(OR($D69&lt;&gt;"Serviço",AND(AUTOEVENTO="Manual",$M69=$A$15)),0,
         IF(OFFSET(CRONOPLE!$F$15,$M69-$A$15,AU$13)=0,10^12,OFFSET(CRONOPLE!$F$15,$M69-$A$15,AU$13)))</f>
        <v>1000000000000</v>
      </c>
      <c r="AV69" s="171">
        <f ca="1">IF(OR($D69&lt;&gt;"Serviço",AND(AUTOEVENTO="Manual",$M69=$A$15)),0,
         IF(OFFSET(CRONOPLE!$F$15,$M69-$A$15,AV$13)=0,10^12,OFFSET(CRONOPLE!$F$15,$M69-$A$15,AV$13)))</f>
        <v>1000000000000</v>
      </c>
      <c r="AX69" s="172" cm="1">
        <f t="array" aca="1" ref="AX69" ca="1">IF(OR($D69&lt;&gt;"Serviço",AND(AUTOEVENTO="Manual",$M69=$A$15),$M69&gt;(ROW(PLE.lastrow)-ROW(PLE.firstrow))),0,
           IF(OFFSET(PLE!$G$15,$M69-$A$15,AX$13)="",10^12,OFFSET(PLE!$G$15,$M69-$A$15,AX$13)))</f>
        <v>1000000000000</v>
      </c>
      <c r="AY69" s="172" cm="1">
        <f t="array" aca="1" ref="AY69" ca="1">IF(OR($D69&lt;&gt;"Serviço",AND(AUTOEVENTO="Manual",$M69=$A$15),$M69&gt;(ROW(PLE.lastrow)-ROW(PLE.firstrow))),0,
           IF(OFFSET(PLE!$G$15,$M69-$A$15,AY$13)="",10^12,OFFSET(PLE!$G$15,$M69-$A$15,AY$13)))</f>
        <v>1000000000000</v>
      </c>
      <c r="AZ69" s="172" cm="1">
        <f t="array" aca="1" ref="AZ69" ca="1">IF(OR($D69&lt;&gt;"Serviço",AND(AUTOEVENTO="Manual",$M69=$A$15),$M69&gt;(ROW(PLE.lastrow)-ROW(PLE.firstrow))),0,
           IF(OFFSET(PLE!$G$15,$M69-$A$15,AZ$13)="",10^12,OFFSET(PLE!$G$15,$M69-$A$15,AZ$13)))</f>
        <v>1000000000000</v>
      </c>
      <c r="BA69" s="172" cm="1">
        <f t="array" aca="1" ref="BA69" ca="1">IF(OR($D69&lt;&gt;"Serviço",AND(AUTOEVENTO="Manual",$M69=$A$15),$M69&gt;(ROW(PLE.lastrow)-ROW(PLE.firstrow))),0,
           IF(OFFSET(PLE!$G$15,$M69-$A$15,BA$13)="",10^12,OFFSET(PLE!$G$15,$M69-$A$15,BA$13)))</f>
        <v>1000000000000</v>
      </c>
      <c r="BB69" s="172" cm="1">
        <f t="array" aca="1" ref="BB69" ca="1">IF(OR($D69&lt;&gt;"Serviço",AND(AUTOEVENTO="Manual",$M69=$A$15),$M69&gt;(ROW(PLE.lastrow)-ROW(PLE.firstrow))),0,
           IF(OFFSET(PLE!$G$15,$M69-$A$15,BB$13)="",10^12,OFFSET(PLE!$G$15,$M69-$A$15,BB$13)))</f>
        <v>1000000000000</v>
      </c>
      <c r="BC69" s="172" cm="1">
        <f t="array" aca="1" ref="BC69" ca="1">IF(OR($D69&lt;&gt;"Serviço",AND(AUTOEVENTO="Manual",$M69=$A$15),$M69&gt;(ROW(PLE.lastrow)-ROW(PLE.firstrow))),0,
           IF(OFFSET(PLE!$G$15,$M69-$A$15,BC$13)="",10^12,OFFSET(PLE!$G$15,$M69-$A$15,BC$13)))</f>
        <v>1000000000000</v>
      </c>
      <c r="BD69" s="172" cm="1">
        <f t="array" aca="1" ref="BD69" ca="1">IF(OR($D69&lt;&gt;"Serviço",AND(AUTOEVENTO="Manual",$M69=$A$15),$M69&gt;(ROW(PLE.lastrow)-ROW(PLE.firstrow))),0,
           IF(OFFSET(PLE!$G$15,$M69-$A$15,BD$13)="",10^12,OFFSET(PLE!$G$15,$M69-$A$15,BD$13)))</f>
        <v>1000000000000</v>
      </c>
      <c r="BE69" s="172" cm="1">
        <f t="array" aca="1" ref="BE69" ca="1">IF(OR($D69&lt;&gt;"Serviço",AND(AUTOEVENTO="Manual",$M69=$A$15),$M69&gt;(ROW(PLE.lastrow)-ROW(PLE.firstrow))),0,
           IF(OFFSET(PLE!$G$15,$M69-$A$15,BE$13)="",10^12,OFFSET(PLE!$G$15,$M69-$A$15,BE$13)))</f>
        <v>1000000000000</v>
      </c>
      <c r="BF69" s="172" cm="1">
        <f t="array" aca="1" ref="BF69" ca="1">IF(OR($D69&lt;&gt;"Serviço",AND(AUTOEVENTO="Manual",$M69=$A$15),$M69&gt;(ROW(PLE.lastrow)-ROW(PLE.firstrow))),0,
           IF(OFFSET(PLE!$G$15,$M69-$A$15,BF$13)="",10^12,OFFSET(PLE!$G$15,$M69-$A$15,BF$13)))</f>
        <v>1000000000000</v>
      </c>
      <c r="BG69" s="172" cm="1">
        <f t="array" aca="1" ref="BG69" ca="1">IF(OR($D69&lt;&gt;"Serviço",AND(AUTOEVENTO="Manual",$M69=$A$15),$M69&gt;(ROW(PLE.lastrow)-ROW(PLE.firstrow))),0,
           IF(OFFSET(PLE!$G$15,$M69-$A$15,BG$13)="",10^12,OFFSET(PLE!$G$15,$M69-$A$15,BG$13)))</f>
        <v>1000000000000</v>
      </c>
    </row>
    <row r="70" spans="1:59" ht="25.5" x14ac:dyDescent="0.2">
      <c r="A70" s="7" t="str">
        <f t="shared" ca="1" si="8"/>
        <v>53</v>
      </c>
      <c r="B70" s="7" t="str">
        <f ca="1">OFFSET(ORÇAMENTO!C$15,$L70,0)</f>
        <v>S</v>
      </c>
      <c r="C70" s="7" t="str">
        <f ca="1">OFFSET(ORÇAMENTO!L$15,$L70,0)</f>
        <v/>
      </c>
      <c r="D70" s="116" t="str">
        <f ca="1">OFFSET(ORÇAMENTO!N$15,$L70,0)</f>
        <v>Serviço</v>
      </c>
      <c r="E70" s="117" t="str">
        <f ca="1">OFFSET(ORÇAMENTO!O$15,$L70,0)</f>
        <v>-</v>
      </c>
      <c r="F70" s="163" t="str">
        <f ca="1">OFFSET(ORÇAMENTO!R$15,$L70,0)</f>
        <v>(Código não identificado nas referências)</v>
      </c>
      <c r="G70" s="164" t="str">
        <f ca="1">IF($D70&lt;&gt;"Serviço","",OFFSET(ORÇAMENTO!S$15,$L70,0))</f>
        <v>-</v>
      </c>
      <c r="H70" s="122" cm="1">
        <f t="array" aca="1" ref="H70" ca="1">IF($D70&lt;&gt;"Serviço",0,IF(ACOMPANHAMENTO="BM",ROUND(OFFSET(ORÇAMENTO!AJ$15,$L70,0),15-13*ORÇAMENTO!$AF$7),IF(IFERROR(CÁLCULO.FrentesPreenchidas,0)=0,0,SUM(ROUND(OFFSET($P70,0,1,1,CÁLCULO.FrentesPreenchidas),15-13*ORÇAMENTO!$AF$7)))))</f>
        <v>11.56</v>
      </c>
      <c r="I70" s="468"/>
      <c r="J70" s="651"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2"/>
      <c r="L70" s="165">
        <f t="shared" ca="1" si="9"/>
        <v>55</v>
      </c>
      <c r="M70" s="166">
        <f ca="1">IF($D70&lt;&gt;"Serviço","",
          IF(AUTOEVENTO="manual",$A70,
                IF(ISERROR(MATCH($A70,$A$15:OFFSET($A70,-1,0),0)),MAX($M$15:OFFSET(M70,-1,0))+1,
                      INDEX($M$15:OFFSET(M70,-1,0),MATCH($A70,$A$15:OFFSET($A70,-1,0),0)))))</f>
        <v>11</v>
      </c>
      <c r="N70" s="167" t="str">
        <f ca="1">IF($D70&lt;&gt;"Serviço","",
         IF(AUTOEVENTO="Manual",
                IF($A70=0,"&lt;-- defina o número do agrupador",
                       OFFSET(EVENTOS!$D$15,$A70-$A$15,0)),
                OFFSET($F$15,$A70,0)))</f>
        <v>PINTURA DOS PILARES E VIGAS</v>
      </c>
      <c r="O70" s="168"/>
      <c r="Q70" s="168"/>
      <c r="R70" s="169"/>
      <c r="S70" s="169"/>
      <c r="T70" s="169"/>
      <c r="U70" s="169"/>
      <c r="V70" s="169"/>
      <c r="W70" s="169"/>
      <c r="X70" s="169"/>
      <c r="Y70" s="169"/>
      <c r="Z70" s="170"/>
      <c r="AB70" s="453">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3">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3">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3">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3">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3">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3">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3">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1">
        <f ca="1">IF(OR($D70&lt;&gt;"Serviço",AND(AUTOEVENTO="Manual",$M70=$A$15)),0,
         IF(OFFSET(CRONOPLE!$F$15,$M70-$A$15,AM$13)=0,10^12,OFFSET(CRONOPLE!$F$15,$M70-$A$15,AM$13)))</f>
        <v>1000000000000</v>
      </c>
      <c r="AN70" s="171">
        <f ca="1">IF(OR($D70&lt;&gt;"Serviço",AND(AUTOEVENTO="Manual",$M70=$A$15)),0,
         IF(OFFSET(CRONOPLE!$F$15,$M70-$A$15,AN$13)=0,10^12,OFFSET(CRONOPLE!$F$15,$M70-$A$15,AN$13)))</f>
        <v>1000000000000</v>
      </c>
      <c r="AO70" s="171">
        <f ca="1">IF(OR($D70&lt;&gt;"Serviço",AND(AUTOEVENTO="Manual",$M70=$A$15)),0,
         IF(OFFSET(CRONOPLE!$F$15,$M70-$A$15,AO$13)=0,10^12,OFFSET(CRONOPLE!$F$15,$M70-$A$15,AO$13)))</f>
        <v>1000000000000</v>
      </c>
      <c r="AP70" s="171">
        <f ca="1">IF(OR($D70&lt;&gt;"Serviço",AND(AUTOEVENTO="Manual",$M70=$A$15)),0,
         IF(OFFSET(CRONOPLE!$F$15,$M70-$A$15,AP$13)=0,10^12,OFFSET(CRONOPLE!$F$15,$M70-$A$15,AP$13)))</f>
        <v>1000000000000</v>
      </c>
      <c r="AQ70" s="171">
        <f ca="1">IF(OR($D70&lt;&gt;"Serviço",AND(AUTOEVENTO="Manual",$M70=$A$15)),0,
         IF(OFFSET(CRONOPLE!$F$15,$M70-$A$15,AQ$13)=0,10^12,OFFSET(CRONOPLE!$F$15,$M70-$A$15,AQ$13)))</f>
        <v>1000000000000</v>
      </c>
      <c r="AR70" s="171">
        <f ca="1">IF(OR($D70&lt;&gt;"Serviço",AND(AUTOEVENTO="Manual",$M70=$A$15)),0,
         IF(OFFSET(CRONOPLE!$F$15,$M70-$A$15,AR$13)=0,10^12,OFFSET(CRONOPLE!$F$15,$M70-$A$15,AR$13)))</f>
        <v>1000000000000</v>
      </c>
      <c r="AS70" s="171">
        <f ca="1">IF(OR($D70&lt;&gt;"Serviço",AND(AUTOEVENTO="Manual",$M70=$A$15)),0,
         IF(OFFSET(CRONOPLE!$F$15,$M70-$A$15,AS$13)=0,10^12,OFFSET(CRONOPLE!$F$15,$M70-$A$15,AS$13)))</f>
        <v>1000000000000</v>
      </c>
      <c r="AT70" s="171">
        <f ca="1">IF(OR($D70&lt;&gt;"Serviço",AND(AUTOEVENTO="Manual",$M70=$A$15)),0,
         IF(OFFSET(CRONOPLE!$F$15,$M70-$A$15,AT$13)=0,10^12,OFFSET(CRONOPLE!$F$15,$M70-$A$15,AT$13)))</f>
        <v>1000000000000</v>
      </c>
      <c r="AU70" s="171">
        <f ca="1">IF(OR($D70&lt;&gt;"Serviço",AND(AUTOEVENTO="Manual",$M70=$A$15)),0,
         IF(OFFSET(CRONOPLE!$F$15,$M70-$A$15,AU$13)=0,10^12,OFFSET(CRONOPLE!$F$15,$M70-$A$15,AU$13)))</f>
        <v>1000000000000</v>
      </c>
      <c r="AV70" s="171">
        <f ca="1">IF(OR($D70&lt;&gt;"Serviço",AND(AUTOEVENTO="Manual",$M70=$A$15)),0,
         IF(OFFSET(CRONOPLE!$F$15,$M70-$A$15,AV$13)=0,10^12,OFFSET(CRONOPLE!$F$15,$M70-$A$15,AV$13)))</f>
        <v>1000000000000</v>
      </c>
      <c r="AX70" s="172" cm="1">
        <f t="array" aca="1" ref="AX70" ca="1">IF(OR($D70&lt;&gt;"Serviço",AND(AUTOEVENTO="Manual",$M70=$A$15),$M70&gt;(ROW(PLE.lastrow)-ROW(PLE.firstrow))),0,
           IF(OFFSET(PLE!$G$15,$M70-$A$15,AX$13)="",10^12,OFFSET(PLE!$G$15,$M70-$A$15,AX$13)))</f>
        <v>1000000000000</v>
      </c>
      <c r="AY70" s="172" cm="1">
        <f t="array" aca="1" ref="AY70" ca="1">IF(OR($D70&lt;&gt;"Serviço",AND(AUTOEVENTO="Manual",$M70=$A$15),$M70&gt;(ROW(PLE.lastrow)-ROW(PLE.firstrow))),0,
           IF(OFFSET(PLE!$G$15,$M70-$A$15,AY$13)="",10^12,OFFSET(PLE!$G$15,$M70-$A$15,AY$13)))</f>
        <v>1000000000000</v>
      </c>
      <c r="AZ70" s="172" cm="1">
        <f t="array" aca="1" ref="AZ70" ca="1">IF(OR($D70&lt;&gt;"Serviço",AND(AUTOEVENTO="Manual",$M70=$A$15),$M70&gt;(ROW(PLE.lastrow)-ROW(PLE.firstrow))),0,
           IF(OFFSET(PLE!$G$15,$M70-$A$15,AZ$13)="",10^12,OFFSET(PLE!$G$15,$M70-$A$15,AZ$13)))</f>
        <v>1000000000000</v>
      </c>
      <c r="BA70" s="172" cm="1">
        <f t="array" aca="1" ref="BA70" ca="1">IF(OR($D70&lt;&gt;"Serviço",AND(AUTOEVENTO="Manual",$M70=$A$15),$M70&gt;(ROW(PLE.lastrow)-ROW(PLE.firstrow))),0,
           IF(OFFSET(PLE!$G$15,$M70-$A$15,BA$13)="",10^12,OFFSET(PLE!$G$15,$M70-$A$15,BA$13)))</f>
        <v>1000000000000</v>
      </c>
      <c r="BB70" s="172" cm="1">
        <f t="array" aca="1" ref="BB70" ca="1">IF(OR($D70&lt;&gt;"Serviço",AND(AUTOEVENTO="Manual",$M70=$A$15),$M70&gt;(ROW(PLE.lastrow)-ROW(PLE.firstrow))),0,
           IF(OFFSET(PLE!$G$15,$M70-$A$15,BB$13)="",10^12,OFFSET(PLE!$G$15,$M70-$A$15,BB$13)))</f>
        <v>1000000000000</v>
      </c>
      <c r="BC70" s="172" cm="1">
        <f t="array" aca="1" ref="BC70" ca="1">IF(OR($D70&lt;&gt;"Serviço",AND(AUTOEVENTO="Manual",$M70=$A$15),$M70&gt;(ROW(PLE.lastrow)-ROW(PLE.firstrow))),0,
           IF(OFFSET(PLE!$G$15,$M70-$A$15,BC$13)="",10^12,OFFSET(PLE!$G$15,$M70-$A$15,BC$13)))</f>
        <v>1000000000000</v>
      </c>
      <c r="BD70" s="172" cm="1">
        <f t="array" aca="1" ref="BD70" ca="1">IF(OR($D70&lt;&gt;"Serviço",AND(AUTOEVENTO="Manual",$M70=$A$15),$M70&gt;(ROW(PLE.lastrow)-ROW(PLE.firstrow))),0,
           IF(OFFSET(PLE!$G$15,$M70-$A$15,BD$13)="",10^12,OFFSET(PLE!$G$15,$M70-$A$15,BD$13)))</f>
        <v>1000000000000</v>
      </c>
      <c r="BE70" s="172" cm="1">
        <f t="array" aca="1" ref="BE70" ca="1">IF(OR($D70&lt;&gt;"Serviço",AND(AUTOEVENTO="Manual",$M70=$A$15),$M70&gt;(ROW(PLE.lastrow)-ROW(PLE.firstrow))),0,
           IF(OFFSET(PLE!$G$15,$M70-$A$15,BE$13)="",10^12,OFFSET(PLE!$G$15,$M70-$A$15,BE$13)))</f>
        <v>1000000000000</v>
      </c>
      <c r="BF70" s="172" cm="1">
        <f t="array" aca="1" ref="BF70" ca="1">IF(OR($D70&lt;&gt;"Serviço",AND(AUTOEVENTO="Manual",$M70=$A$15),$M70&gt;(ROW(PLE.lastrow)-ROW(PLE.firstrow))),0,
           IF(OFFSET(PLE!$G$15,$M70-$A$15,BF$13)="",10^12,OFFSET(PLE!$G$15,$M70-$A$15,BF$13)))</f>
        <v>1000000000000</v>
      </c>
      <c r="BG70" s="172" cm="1">
        <f t="array" aca="1" ref="BG70" ca="1">IF(OR($D70&lt;&gt;"Serviço",AND(AUTOEVENTO="Manual",$M70=$A$15),$M70&gt;(ROW(PLE.lastrow)-ROW(PLE.firstrow))),0,
           IF(OFFSET(PLE!$G$15,$M70-$A$15,BG$13)="",10^12,OFFSET(PLE!$G$15,$M70-$A$15,BG$13)))</f>
        <v>1000000000000</v>
      </c>
    </row>
    <row r="71" spans="1:59" ht="5.0999999999999996" customHeight="1" x14ac:dyDescent="0.2">
      <c r="B71" s="7">
        <f ca="1">OFFSET(ORÇAMENTO!C$15,ROW(B71)-ROW(B$15),0)</f>
        <v>-1</v>
      </c>
      <c r="C71" s="7" t="str">
        <f ca="1">OFFSET(ORÇAMENTO!L$15,ROW(C71)-ROW(C$15),0)</f>
        <v>F</v>
      </c>
      <c r="D71" s="634" t="s">
        <v>700</v>
      </c>
      <c r="E71" s="618"/>
      <c r="F71" s="619"/>
      <c r="G71" s="619"/>
      <c r="H71" s="619"/>
      <c r="I71" s="419"/>
      <c r="K71" s="569"/>
      <c r="L71" s="165">
        <f t="shared" ref="L71" ca="1" si="10">OFFSET(L71,-1,0)+1</f>
        <v>56</v>
      </c>
      <c r="M71" s="421"/>
      <c r="N71" s="420"/>
      <c r="O71" s="635"/>
      <c r="Q71" s="618"/>
      <c r="R71" s="619"/>
      <c r="S71" s="619"/>
      <c r="T71" s="619"/>
      <c r="U71" s="619"/>
      <c r="V71" s="619"/>
      <c r="W71" s="619"/>
      <c r="X71" s="619"/>
      <c r="Y71" s="619"/>
      <c r="Z71" s="419"/>
      <c r="AB71" s="636"/>
      <c r="AC71" s="637"/>
      <c r="AD71" s="637"/>
      <c r="AE71" s="637"/>
      <c r="AF71" s="637"/>
      <c r="AG71" s="637"/>
      <c r="AH71" s="637"/>
      <c r="AI71" s="637"/>
      <c r="AJ71" s="637"/>
      <c r="AK71" s="133"/>
      <c r="AM71" s="636"/>
      <c r="AN71" s="637"/>
      <c r="AO71" s="637"/>
      <c r="AP71" s="637"/>
      <c r="AQ71" s="637"/>
      <c r="AR71" s="637"/>
      <c r="AS71" s="637"/>
      <c r="AT71" s="637"/>
      <c r="AU71" s="637"/>
      <c r="AV71" s="133"/>
      <c r="AX71" s="636"/>
      <c r="AY71" s="637"/>
      <c r="AZ71" s="637"/>
      <c r="BA71" s="637"/>
      <c r="BB71" s="637"/>
      <c r="BC71" s="637"/>
      <c r="BD71" s="637"/>
      <c r="BE71" s="637"/>
      <c r="BF71" s="637"/>
      <c r="BG71" s="133"/>
    </row>
    <row r="72" spans="1:59" ht="12.75" customHeight="1" x14ac:dyDescent="0.2"/>
    <row r="73" spans="1:59" ht="12.75" customHeight="1" x14ac:dyDescent="0.2"/>
    <row r="74" spans="1:59" ht="12.75" customHeight="1" x14ac:dyDescent="0.2"/>
    <row r="75" spans="1:59" ht="15" customHeight="1" x14ac:dyDescent="0.2">
      <c r="F75" s="179" t="str">
        <f>Import.Município</f>
        <v>SÃO LUIZ GONZAGA/RS</v>
      </c>
      <c r="I75" s="460"/>
      <c r="J75" s="460"/>
      <c r="K75" s="460"/>
      <c r="L75" s="460"/>
      <c r="M75" s="461"/>
      <c r="N75" s="417"/>
      <c r="T75" s="139"/>
      <c r="U75" s="139"/>
      <c r="V75" s="180"/>
      <c r="W75" s="180"/>
      <c r="X75" s="180"/>
      <c r="Y75" s="180"/>
    </row>
    <row r="76" spans="1:59" ht="12.75" customHeight="1" x14ac:dyDescent="0.2">
      <c r="F76" s="9" t="s">
        <v>693</v>
      </c>
      <c r="I76" s="181" t="s">
        <v>696</v>
      </c>
      <c r="J76" s="181"/>
      <c r="K76" s="181"/>
      <c r="L76" s="181"/>
      <c r="T76" s="181" t="s">
        <v>696</v>
      </c>
      <c r="U76" s="181"/>
    </row>
    <row r="77" spans="1:59" ht="12.75" customHeight="1" x14ac:dyDescent="0.2">
      <c r="I77" s="398" t="str">
        <f t="array" aca="1" ref="I77:I79" ca="1">OFFSET(Import.RespOrçamento,0,-1) &amp; " " &amp; Import.RespOrçamento</f>
        <v>Nome: ÍGOR KIST</v>
      </c>
      <c r="K77" s="79"/>
      <c r="L77" s="79"/>
      <c r="T77" s="398" t="str">
        <f t="array" aca="1" ref="T77:T79" ca="1">OFFSET(Import.RespOrçamento,0,-1) &amp; " " &amp; Import.RespOrçamento</f>
        <v>Nome: ÍGOR KIST</v>
      </c>
      <c r="U77" s="78"/>
    </row>
    <row r="78" spans="1:59" ht="12.75" customHeight="1" x14ac:dyDescent="0.2">
      <c r="F78" s="459">
        <f>DADOS!$C$25</f>
        <v>46237</v>
      </c>
      <c r="I78" s="398" t="str">
        <f ca="1"/>
        <v>CREA/CAU: RS246150</v>
      </c>
      <c r="K78" s="79"/>
      <c r="L78" s="79"/>
      <c r="T78" s="398" t="str">
        <f ca="1"/>
        <v>CREA/CAU: RS246150</v>
      </c>
      <c r="U78" s="78"/>
    </row>
    <row r="79" spans="1:59" ht="12.75" customHeight="1" x14ac:dyDescent="0.2">
      <c r="F79" s="140" t="s">
        <v>694</v>
      </c>
      <c r="I79" s="398" t="str">
        <f ca="1"/>
        <v>ART/RRT: 14571519</v>
      </c>
      <c r="K79" s="79"/>
      <c r="L79" s="79"/>
      <c r="T79" s="398" t="str">
        <f ca="1"/>
        <v>ART/RRT: 14571519</v>
      </c>
      <c r="U79" s="78"/>
    </row>
    <row r="80" spans="1:59"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60983" spans="3:13" ht="12.75" customHeight="1" x14ac:dyDescent="0.2">
      <c r="C60983"/>
      <c r="M60983"/>
    </row>
    <row r="60999" spans="3:13" ht="12.75" customHeight="1" x14ac:dyDescent="0.2">
      <c r="C60999"/>
      <c r="M60999"/>
    </row>
    <row r="61015" spans="3:13" ht="12.75" customHeight="1" x14ac:dyDescent="0.2">
      <c r="C61015"/>
      <c r="M61015"/>
    </row>
    <row r="61031" spans="3:13" ht="12.75" customHeight="1" x14ac:dyDescent="0.2">
      <c r="C61031"/>
      <c r="M61031"/>
    </row>
    <row r="61044" spans="3:13" ht="12.75" customHeight="1" x14ac:dyDescent="0.2">
      <c r="C61044"/>
      <c r="M61044"/>
    </row>
    <row r="61045" spans="3:13" ht="12.75" customHeight="1" x14ac:dyDescent="0.2">
      <c r="C61045"/>
      <c r="M61045"/>
    </row>
    <row r="61047" spans="3:13" ht="12.75" customHeight="1" x14ac:dyDescent="0.2">
      <c r="C61047"/>
      <c r="M61047"/>
    </row>
    <row r="61058" spans="3:13" ht="12.75" customHeight="1" x14ac:dyDescent="0.2">
      <c r="C61058"/>
      <c r="M61058"/>
    </row>
    <row r="61059" spans="3:13" ht="12.75" customHeight="1" x14ac:dyDescent="0.2">
      <c r="C61059"/>
      <c r="M61059"/>
    </row>
    <row r="61060" spans="3:13" ht="12.75" customHeight="1" x14ac:dyDescent="0.2">
      <c r="C61060"/>
      <c r="M61060"/>
    </row>
    <row r="61061" spans="3:13" ht="12.75" customHeight="1" x14ac:dyDescent="0.2">
      <c r="C61061"/>
      <c r="M61061"/>
    </row>
    <row r="61063" spans="3:13" ht="12.75" customHeight="1" x14ac:dyDescent="0.2">
      <c r="C61063"/>
      <c r="M61063"/>
    </row>
    <row r="61074" spans="3:13" ht="12.75" customHeight="1" x14ac:dyDescent="0.2">
      <c r="C61074"/>
      <c r="M61074"/>
    </row>
    <row r="61075" spans="3:13" ht="12.75" customHeight="1" x14ac:dyDescent="0.2">
      <c r="C61075"/>
      <c r="M61075"/>
    </row>
    <row r="61076" spans="3:13" ht="12.75" customHeight="1" x14ac:dyDescent="0.2">
      <c r="C61076"/>
      <c r="M61076"/>
    </row>
    <row r="61077" spans="3:13" ht="12.75" customHeight="1" x14ac:dyDescent="0.2">
      <c r="C61077"/>
      <c r="M61077"/>
    </row>
    <row r="61079" spans="3:13" ht="12.75" customHeight="1" x14ac:dyDescent="0.2">
      <c r="C61079"/>
      <c r="M61079"/>
    </row>
    <row r="61090" spans="3:13" ht="12.75" customHeight="1" x14ac:dyDescent="0.2">
      <c r="C61090"/>
      <c r="M61090"/>
    </row>
    <row r="61091" spans="3:13" ht="12.75" customHeight="1" x14ac:dyDescent="0.2">
      <c r="C61091"/>
      <c r="M61091"/>
    </row>
    <row r="61092" spans="3:13" ht="12.75" customHeight="1" x14ac:dyDescent="0.2">
      <c r="C61092"/>
      <c r="M61092"/>
    </row>
    <row r="61093" spans="3:13" ht="12.75" customHeight="1" x14ac:dyDescent="0.2">
      <c r="C61093"/>
      <c r="M61093"/>
    </row>
    <row r="61095" spans="3:13" ht="12.75" customHeight="1" x14ac:dyDescent="0.2">
      <c r="C61095"/>
      <c r="M61095"/>
    </row>
    <row r="61106" spans="3:13" ht="12.75" customHeight="1" x14ac:dyDescent="0.2">
      <c r="C61106"/>
      <c r="M61106"/>
    </row>
    <row r="61107" spans="3:13" ht="12.75" customHeight="1" x14ac:dyDescent="0.2">
      <c r="C61107"/>
      <c r="M61107"/>
    </row>
    <row r="61108" spans="3:13" ht="12.75" customHeight="1" x14ac:dyDescent="0.2">
      <c r="C61108"/>
      <c r="M61108"/>
    </row>
    <row r="61109" spans="3:13" ht="12.75" customHeight="1" x14ac:dyDescent="0.2">
      <c r="C61109"/>
      <c r="M61109"/>
    </row>
    <row r="61111" spans="3:13" ht="12.75" customHeight="1" x14ac:dyDescent="0.2">
      <c r="C61111"/>
      <c r="M61111"/>
    </row>
    <row r="61122" spans="3:13" ht="12.75" customHeight="1" x14ac:dyDescent="0.2">
      <c r="C61122"/>
      <c r="M61122"/>
    </row>
    <row r="61123" spans="3:13" ht="12.75" customHeight="1" x14ac:dyDescent="0.2">
      <c r="C61123"/>
      <c r="M61123"/>
    </row>
    <row r="61124" spans="3:13" ht="12.75" customHeight="1" x14ac:dyDescent="0.2">
      <c r="C61124"/>
      <c r="M61124"/>
    </row>
    <row r="61125" spans="3:13" ht="12.75" customHeight="1" x14ac:dyDescent="0.2">
      <c r="C61125"/>
      <c r="M61125"/>
    </row>
    <row r="61127" spans="3:13" ht="12.75" customHeight="1" x14ac:dyDescent="0.2">
      <c r="C61127"/>
      <c r="M61127"/>
    </row>
    <row r="61138" spans="3:13" ht="12.75" customHeight="1" x14ac:dyDescent="0.2">
      <c r="C61138"/>
      <c r="M61138"/>
    </row>
    <row r="61139" spans="3:13" ht="12.75" customHeight="1" x14ac:dyDescent="0.2">
      <c r="C61139"/>
      <c r="M61139"/>
    </row>
    <row r="61140" spans="3:13" ht="12.75" customHeight="1" x14ac:dyDescent="0.2">
      <c r="C61140"/>
      <c r="M61140"/>
    </row>
    <row r="61141" spans="3:13" ht="12.75" customHeight="1" x14ac:dyDescent="0.2">
      <c r="C61141"/>
      <c r="M61141"/>
    </row>
    <row r="61143" spans="3:13" ht="12.75" customHeight="1" x14ac:dyDescent="0.2">
      <c r="C61143"/>
      <c r="M61143"/>
    </row>
    <row r="61154" spans="3:13" ht="12.75" customHeight="1" x14ac:dyDescent="0.2">
      <c r="C61154"/>
      <c r="M61154"/>
    </row>
    <row r="61155" spans="3:13" ht="12.75" customHeight="1" x14ac:dyDescent="0.2">
      <c r="C61155"/>
      <c r="M61155"/>
    </row>
    <row r="61156" spans="3:13" ht="12.75" customHeight="1" x14ac:dyDescent="0.2">
      <c r="C61156"/>
      <c r="M61156"/>
    </row>
    <row r="61157" spans="3:13" ht="12.75" customHeight="1" x14ac:dyDescent="0.2">
      <c r="C61157"/>
      <c r="M61157"/>
    </row>
    <row r="61159" spans="3:13" ht="12.75" customHeight="1" x14ac:dyDescent="0.2">
      <c r="C61159"/>
      <c r="M61159"/>
    </row>
    <row r="61170" spans="3:13" ht="12.75" customHeight="1" x14ac:dyDescent="0.2">
      <c r="C61170"/>
      <c r="M61170"/>
    </row>
    <row r="61171" spans="3:13" ht="12.75" customHeight="1" x14ac:dyDescent="0.2">
      <c r="C61171"/>
      <c r="M61171"/>
    </row>
    <row r="61172" spans="3:13" ht="12.75" customHeight="1" x14ac:dyDescent="0.2">
      <c r="C61172"/>
      <c r="M61172"/>
    </row>
    <row r="61173" spans="3:13" ht="12.75" customHeight="1" x14ac:dyDescent="0.2">
      <c r="C61173"/>
      <c r="M61173"/>
    </row>
    <row r="61175" spans="3:13" ht="12.75" customHeight="1" x14ac:dyDescent="0.2">
      <c r="C61175"/>
      <c r="M61175"/>
    </row>
    <row r="61183" spans="3:13" ht="12.75" customHeight="1" x14ac:dyDescent="0.2">
      <c r="C61183"/>
      <c r="M61183"/>
    </row>
    <row r="61186" spans="3:13" ht="12.75" customHeight="1" x14ac:dyDescent="0.2">
      <c r="C61186"/>
      <c r="M61186"/>
    </row>
    <row r="61187" spans="3:13" ht="12.75" customHeight="1" x14ac:dyDescent="0.2">
      <c r="C61187"/>
      <c r="M61187"/>
    </row>
    <row r="61188" spans="3:13" ht="12.75" customHeight="1" x14ac:dyDescent="0.2">
      <c r="C61188"/>
      <c r="M61188"/>
    </row>
    <row r="61189" spans="3:13" ht="12.75" customHeight="1" x14ac:dyDescent="0.2">
      <c r="C61189"/>
      <c r="M61189"/>
    </row>
    <row r="61191" spans="3:13" ht="12.75" customHeight="1" x14ac:dyDescent="0.2">
      <c r="C61191"/>
      <c r="M61191"/>
    </row>
    <row r="61199" spans="3:13" ht="12.75" customHeight="1" x14ac:dyDescent="0.2">
      <c r="C61199"/>
      <c r="M61199"/>
    </row>
    <row r="61202" spans="3:13" ht="12.75" customHeight="1" x14ac:dyDescent="0.2">
      <c r="C61202"/>
      <c r="M61202"/>
    </row>
    <row r="61203" spans="3:13" ht="12.75" customHeight="1" x14ac:dyDescent="0.2">
      <c r="C61203"/>
      <c r="M61203"/>
    </row>
    <row r="61204" spans="3:13" ht="12.75" customHeight="1" x14ac:dyDescent="0.2">
      <c r="C61204"/>
      <c r="M61204"/>
    </row>
    <row r="61205" spans="3:13" ht="12.75" customHeight="1" x14ac:dyDescent="0.2">
      <c r="C61205"/>
      <c r="M61205"/>
    </row>
    <row r="61207" spans="3:13" ht="12.75" customHeight="1" x14ac:dyDescent="0.2">
      <c r="C61207"/>
      <c r="M61207"/>
    </row>
    <row r="61215" spans="3:13" ht="12.75" customHeight="1" x14ac:dyDescent="0.2">
      <c r="C61215"/>
      <c r="M61215"/>
    </row>
    <row r="61216" spans="3:13" ht="12.75" customHeight="1" x14ac:dyDescent="0.2">
      <c r="C61216"/>
      <c r="M61216"/>
    </row>
    <row r="61218" spans="3:13" ht="12.75" customHeight="1" x14ac:dyDescent="0.2">
      <c r="C61218"/>
      <c r="M61218"/>
    </row>
    <row r="61219" spans="3:13" ht="12.75" customHeight="1" x14ac:dyDescent="0.2">
      <c r="C61219"/>
      <c r="M61219"/>
    </row>
    <row r="61220" spans="3:13" ht="12.75" customHeight="1" x14ac:dyDescent="0.2">
      <c r="C61220"/>
      <c r="M61220"/>
    </row>
    <row r="61221" spans="3:13" ht="12.75" customHeight="1" x14ac:dyDescent="0.2">
      <c r="C61221"/>
      <c r="M61221"/>
    </row>
    <row r="61223" spans="3:13" ht="12.75" customHeight="1" x14ac:dyDescent="0.2">
      <c r="C61223"/>
      <c r="M61223"/>
    </row>
    <row r="61231" spans="3:13" ht="12.75" customHeight="1" x14ac:dyDescent="0.2">
      <c r="C61231"/>
      <c r="M61231"/>
    </row>
    <row r="61232" spans="3:13" ht="12.75" customHeight="1" x14ac:dyDescent="0.2">
      <c r="C61232"/>
      <c r="M61232"/>
    </row>
    <row r="61233" spans="3:13" ht="12.75" customHeight="1" x14ac:dyDescent="0.2">
      <c r="C61233"/>
      <c r="M61233"/>
    </row>
    <row r="61234" spans="3:13" ht="12.75" customHeight="1" x14ac:dyDescent="0.2">
      <c r="C61234"/>
      <c r="M61234"/>
    </row>
    <row r="61235" spans="3:13" ht="12.75" customHeight="1" x14ac:dyDescent="0.2">
      <c r="C61235"/>
      <c r="M61235"/>
    </row>
    <row r="61236" spans="3:13" ht="12.75" customHeight="1" x14ac:dyDescent="0.2">
      <c r="C61236"/>
      <c r="M61236"/>
    </row>
    <row r="61237" spans="3:13" ht="12.75" customHeight="1" x14ac:dyDescent="0.2">
      <c r="C61237"/>
      <c r="M61237"/>
    </row>
    <row r="61239" spans="3:13" ht="12.75" customHeight="1" x14ac:dyDescent="0.2">
      <c r="C61239"/>
      <c r="M61239"/>
    </row>
    <row r="61247" spans="3:13" ht="12.75" customHeight="1" x14ac:dyDescent="0.2">
      <c r="C61247"/>
      <c r="M61247"/>
    </row>
    <row r="61248" spans="3:13" ht="12.75" customHeight="1" x14ac:dyDescent="0.2">
      <c r="C61248"/>
      <c r="M61248"/>
    </row>
    <row r="61249" spans="3:13" ht="12.75" customHeight="1" x14ac:dyDescent="0.2">
      <c r="C61249"/>
      <c r="M61249"/>
    </row>
    <row r="61250" spans="3:13" ht="12.75" customHeight="1" x14ac:dyDescent="0.2">
      <c r="C61250"/>
      <c r="M61250"/>
    </row>
    <row r="61251" spans="3:13" ht="12.75" customHeight="1" x14ac:dyDescent="0.2">
      <c r="C61251"/>
      <c r="M61251"/>
    </row>
    <row r="61252" spans="3:13" ht="12.75" customHeight="1" x14ac:dyDescent="0.2">
      <c r="C61252"/>
      <c r="M61252"/>
    </row>
    <row r="61253" spans="3:13" ht="12.75" customHeight="1" x14ac:dyDescent="0.2">
      <c r="C61253"/>
      <c r="M61253"/>
    </row>
    <row r="61255" spans="3:13" ht="12.75" customHeight="1" x14ac:dyDescent="0.2">
      <c r="C61255"/>
      <c r="M61255"/>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2" spans="3:13" ht="12.75" customHeight="1" x14ac:dyDescent="0.2">
      <c r="C61272"/>
      <c r="M61272"/>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sheetData>
  <sheetProtection algorithmName="SHA-512" hashValue="h8C6IiaQWcGG2usBCXvxrcf2WR8rib5MxsDBjVSgPRe4gSwEE6809gXV6qx63UQAR3bNHqa+h/BBTbTweEE/mg==" saltValue="wupL6zyeaN3y5j6wiB752g==" spinCount="100000" sheet="1" objects="1" scenarios="1" autoFilter="0"/>
  <autoFilter ref="C15:C71"/>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16:I18 H39:H43 H20:H25 H48:H55 H64:H70 D19:G70 I19:I70">
    <cfRule type="expression" dxfId="250" priority="14792" stopIfTrue="1">
      <formula>$B14=1</formula>
    </cfRule>
    <cfRule type="expression" dxfId="249" priority="14793" stopIfTrue="1">
      <formula>OR($B14=0,$B14=2,$B14=3,$B14=4)</formula>
    </cfRule>
  </conditionalFormatting>
  <conditionalFormatting sqref="M12:N71">
    <cfRule type="expression" dxfId="248" priority="14794" stopIfTrue="1">
      <formula>ACOMPANHAMENTO="BM"</formula>
    </cfRule>
    <cfRule type="expression" dxfId="247" priority="14795" stopIfTrue="1">
      <formula>OR($B12=0,$B12=2,$B12=3,$B12=4)</formula>
    </cfRule>
    <cfRule type="expression" dxfId="246" priority="14796" stopIfTrue="1">
      <formula>$B12=1</formula>
    </cfRule>
  </conditionalFormatting>
  <conditionalFormatting sqref="K12:K71">
    <cfRule type="expression" dxfId="245" priority="14797" stopIfTrue="1">
      <formula>OR(ACOMPANHAMENTO="BM",$A$12&lt;&gt;"Manual")</formula>
    </cfRule>
    <cfRule type="expression" dxfId="244" priority="14798" stopIfTrue="1">
      <formula>$B12=1</formula>
    </cfRule>
    <cfRule type="expression" dxfId="243" priority="14799" stopIfTrue="1">
      <formula>OR($B12=2,$B12=3,$B12=4,$B12=0)</formula>
    </cfRule>
  </conditionalFormatting>
  <conditionalFormatting sqref="O12:AA71">
    <cfRule type="expression" dxfId="242" priority="8383" stopIfTrue="1">
      <formula>ACOMPANHAMENTO="BM"</formula>
    </cfRule>
    <cfRule type="expression" dxfId="241" priority="14801" stopIfTrue="1">
      <formula>AND(O$12&lt;&gt;".",OR($B12=0,$B12=2,$B12=3,$B12=4,AND(O$12="",$B12&lt;&gt;"Empty"),OFFSET(O$1,0,-1)=0))</formula>
    </cfRule>
    <cfRule type="expression" dxfId="240" priority="14802" stopIfTrue="1">
      <formula>AND($B12=1,O$1=1)</formula>
    </cfRule>
  </conditionalFormatting>
  <conditionalFormatting sqref="Q15:Z15">
    <cfRule type="expression" dxfId="239" priority="14800">
      <formula>Q$11="▼"</formula>
    </cfRule>
  </conditionalFormatting>
  <conditionalFormatting sqref="O15">
    <cfRule type="expression" dxfId="238" priority="8382">
      <formula>O$11="▼"</formula>
    </cfRule>
  </conditionalFormatting>
  <conditionalFormatting sqref="N14 N16:N70">
    <cfRule type="expression" dxfId="237" priority="5417">
      <formula>$J14="►"</formula>
    </cfRule>
  </conditionalFormatting>
  <conditionalFormatting sqref="N12">
    <cfRule type="cellIs" dxfId="236" priority="5415" operator="notEqual">
      <formula>"FRENTES DE OBRA:"</formula>
    </cfRule>
  </conditionalFormatting>
  <conditionalFormatting sqref="Q14:AA14 Q39:AA43 Q18:AA25">
    <cfRule type="expression" dxfId="235" priority="3200">
      <formula>Q14&lt;&gt;ROUND(Q14,2)</formula>
    </cfRule>
  </conditionalFormatting>
  <conditionalFormatting sqref="H14">
    <cfRule type="expression" dxfId="234" priority="2760" stopIfTrue="1">
      <formula>$B14=1</formula>
    </cfRule>
    <cfRule type="expression" dxfId="233" priority="2761" stopIfTrue="1">
      <formula>OR($B14=0,$B14=2,$B14=3,$B14=4)</formula>
    </cfRule>
  </conditionalFormatting>
  <conditionalFormatting sqref="H14 H16:H70">
    <cfRule type="expression" dxfId="232" priority="2759">
      <formula>$J14="►S"</formula>
    </cfRule>
  </conditionalFormatting>
  <conditionalFormatting sqref="Q16:AA17">
    <cfRule type="expression" dxfId="231" priority="354">
      <formula>Q16&lt;&gt;ROUND(Q16,2)</formula>
    </cfRule>
  </conditionalFormatting>
  <conditionalFormatting sqref="Q46:AA47">
    <cfRule type="expression" dxfId="230" priority="40">
      <formula>Q46&lt;&gt;ROUND(Q46,2)</formula>
    </cfRule>
  </conditionalFormatting>
  <conditionalFormatting sqref="H46:H47">
    <cfRule type="expression" dxfId="229" priority="38" stopIfTrue="1">
      <formula>$B46=1</formula>
    </cfRule>
    <cfRule type="expression" dxfId="228" priority="39" stopIfTrue="1">
      <formula>OR($B46=0,$B46=2,$B46=3,$B46=4)</formula>
    </cfRule>
  </conditionalFormatting>
  <conditionalFormatting sqref="Q48:AA55">
    <cfRule type="expression" dxfId="227" priority="37">
      <formula>Q48&lt;&gt;ROUND(Q48,2)</formula>
    </cfRule>
  </conditionalFormatting>
  <conditionalFormatting sqref="Q56:AA56 Q63:AA63">
    <cfRule type="expression" dxfId="226" priority="34">
      <formula>Q56&lt;&gt;ROUND(Q56,2)</formula>
    </cfRule>
  </conditionalFormatting>
  <conditionalFormatting sqref="H56 H63">
    <cfRule type="expression" dxfId="225" priority="32" stopIfTrue="1">
      <formula>$B56=1</formula>
    </cfRule>
    <cfRule type="expression" dxfId="224" priority="33" stopIfTrue="1">
      <formula>OR($B56=0,$B56=2,$B56=3,$B56=4)</formula>
    </cfRule>
  </conditionalFormatting>
  <conditionalFormatting sqref="Q26:AA29 Q36:AA38 Q33:AA34">
    <cfRule type="expression" dxfId="223" priority="31">
      <formula>Q26&lt;&gt;ROUND(Q26,2)</formula>
    </cfRule>
  </conditionalFormatting>
  <conditionalFormatting sqref="H26:H29 H36:H38 H33:H34">
    <cfRule type="expression" dxfId="222" priority="29" stopIfTrue="1">
      <formula>$B26=1</formula>
    </cfRule>
    <cfRule type="expression" dxfId="221" priority="30" stopIfTrue="1">
      <formula>OR($B26=0,$B26=2,$B26=3,$B26=4)</formula>
    </cfRule>
  </conditionalFormatting>
  <conditionalFormatting sqref="Q44:AA45">
    <cfRule type="expression" dxfId="220" priority="25">
      <formula>Q44&lt;&gt;ROUND(Q44,2)</formula>
    </cfRule>
  </conditionalFormatting>
  <conditionalFormatting sqref="H44:H45">
    <cfRule type="expression" dxfId="219" priority="23" stopIfTrue="1">
      <formula>$B44=1</formula>
    </cfRule>
    <cfRule type="expression" dxfId="218" priority="24" stopIfTrue="1">
      <formula>OR($B44=0,$B44=2,$B44=3,$B44=4)</formula>
    </cfRule>
  </conditionalFormatting>
  <conditionalFormatting sqref="H19">
    <cfRule type="expression" dxfId="217" priority="21" stopIfTrue="1">
      <formula>$B19=1</formula>
    </cfRule>
    <cfRule type="expression" dxfId="216" priority="22" stopIfTrue="1">
      <formula>OR($B19=0,$B19=2,$B19=3,$B19=4)</formula>
    </cfRule>
  </conditionalFormatting>
  <conditionalFormatting sqref="Q35:AA35">
    <cfRule type="expression" dxfId="215" priority="20">
      <formula>Q35&lt;&gt;ROUND(Q35,2)</formula>
    </cfRule>
  </conditionalFormatting>
  <conditionalFormatting sqref="H35">
    <cfRule type="expression" dxfId="214" priority="18" stopIfTrue="1">
      <formula>$B35=1</formula>
    </cfRule>
    <cfRule type="expression" dxfId="213" priority="19" stopIfTrue="1">
      <formula>OR($B35=0,$B35=2,$B35=3,$B35=4)</formula>
    </cfRule>
  </conditionalFormatting>
  <conditionalFormatting sqref="Q64:AA70">
    <cfRule type="expression" dxfId="212" priority="15">
      <formula>Q64&lt;&gt;ROUND(Q64,2)</formula>
    </cfRule>
  </conditionalFormatting>
  <conditionalFormatting sqref="Q57:AA62">
    <cfRule type="expression" dxfId="211" priority="6">
      <formula>Q57&lt;&gt;ROUND(Q57,2)</formula>
    </cfRule>
  </conditionalFormatting>
  <conditionalFormatting sqref="H57:H62">
    <cfRule type="expression" dxfId="210" priority="4" stopIfTrue="1">
      <formula>$B57=1</formula>
    </cfRule>
    <cfRule type="expression" dxfId="209" priority="5" stopIfTrue="1">
      <formula>OR($B57=0,$B57=2,$B57=3,$B57=4)</formula>
    </cfRule>
  </conditionalFormatting>
  <conditionalFormatting sqref="Q30:AA32">
    <cfRule type="expression" dxfId="208" priority="3">
      <formula>Q30&lt;&gt;ROUND(Q30,2)</formula>
    </cfRule>
  </conditionalFormatting>
  <conditionalFormatting sqref="H30:H32">
    <cfRule type="expression" dxfId="207" priority="1" stopIfTrue="1">
      <formula>$B30=1</formula>
    </cfRule>
    <cfRule type="expression" dxfId="206" priority="2" stopIfTrue="1">
      <formula>OR($B30=0,$B30=2,$B30=3,$B30=4)</formula>
    </cfRule>
  </conditionalFormatting>
  <dataValidations count="4">
    <dataValidation type="decimal" operator="greaterThan" allowBlank="1" showErrorMessage="1" error="Apenas números decimais maiores que zero." sqref="O14 Q14:Z14 Q16:Z70 O16:O70">
      <formula1>0</formula1>
      <formula2>0</formula2>
    </dataValidation>
    <dataValidation allowBlank="1" showInputMessage="1" showErrorMessage="1" prompt="A quantidade é digitada nas colunas Q em diante, após preencher o nome das frentes de obra na célula Q12 em diante" sqref="H14 H16:H70"/>
    <dataValidation allowBlank="1" showInputMessage="1" showErrorMessage="1" prompt="A frente de obra é uma porção física da obra. Exemplos: Única; Rua A; Rua B; Trecho 01; Trecho 02; 1º Andar; 2º Andar; Copa; Banheiro" sqref="Q12"/>
    <dataValidation type="list" allowBlank="1" showInputMessage="1" showErrorMessage="1" errorTitle="Erro:" error="Selecione um dos eventos da lista suspensa." prompt="Selecione um dos eventos da lista suspensa._x000a_" sqref="K14 K16:K70">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IF(AUTOEVENTO="Manual",IF(EVENTOS!$F1&gt;0,"F",""),IF(AND(B1&gt;0,B1&lt;=MAX(CÁLCULO!$M$15:$M$71)),"F",""))</f>
        <v>#REF!</v>
      </c>
      <c r="B1" s="247" t="e">
        <f ca="1">OFFSET(B1,-1,0)+1</f>
        <v>#REF!</v>
      </c>
      <c r="C1" s="514" t="e">
        <f ca="1">IF(AUTOEVENTO="Manual",IF($B1&gt;0,OFFSET(EVENTOS!$D$15,$B1-$B$15,0),0),IF(B1&lt;=MAX(CÁLCULO!$M$15:$M$71),VLOOKUP($B1,CÁLCULO!$M$15:$N$71,2,FALSE),0))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51" t="s">
        <v>757</v>
      </c>
      <c r="AD2" s="752"/>
      <c r="AE2" s="753"/>
    </row>
    <row r="3" spans="1:31" ht="12.75" customHeight="1" x14ac:dyDescent="0.2">
      <c r="G3" s="82"/>
      <c r="AD3" s="483"/>
      <c r="AE3" s="483"/>
    </row>
    <row r="4" spans="1:31" ht="12.75" customHeight="1" x14ac:dyDescent="0.2">
      <c r="B4" s="683" t="s">
        <v>652</v>
      </c>
      <c r="C4" s="683"/>
      <c r="D4" s="683"/>
      <c r="G4" s="721" t="s">
        <v>650</v>
      </c>
      <c r="H4" s="721"/>
      <c r="I4" s="721"/>
      <c r="J4" s="721" t="s">
        <v>707</v>
      </c>
      <c r="K4" s="721"/>
      <c r="L4" s="721"/>
      <c r="M4" s="208" t="s">
        <v>758</v>
      </c>
      <c r="N4" s="212"/>
      <c r="P4" s="186"/>
      <c r="Q4" s="186"/>
      <c r="R4" s="186"/>
      <c r="U4" s="484"/>
      <c r="V4" s="186"/>
      <c r="W4" s="186"/>
      <c r="X4" s="186"/>
      <c r="Y4" s="186"/>
      <c r="AD4" s="483"/>
      <c r="AE4" s="485"/>
    </row>
    <row r="5" spans="1:31" ht="12.75" customHeight="1" x14ac:dyDescent="0.2">
      <c r="B5" s="680" t="str">
        <f>Import.Proponente</f>
        <v>PREFEITURA MUNICIPAL DE SÃO LUIZ GONZAGA</v>
      </c>
      <c r="C5" s="680"/>
      <c r="D5" s="680"/>
      <c r="G5" s="719" t="str">
        <f>Import.CR</f>
        <v>0</v>
      </c>
      <c r="H5" s="719"/>
      <c r="I5" s="719"/>
      <c r="J5" s="719" t="str">
        <f>Import.SICONV</f>
        <v>0</v>
      </c>
      <c r="K5" s="719"/>
      <c r="L5" s="719"/>
      <c r="M5" s="732" t="str">
        <f>Import.Apelido</f>
        <v>OBRAS COMPLEMENTARES NA EMEF SANTA RITA</v>
      </c>
      <c r="N5" s="733"/>
      <c r="O5" s="733"/>
      <c r="P5" s="733"/>
      <c r="Q5" s="733"/>
      <c r="R5" s="733"/>
      <c r="S5" s="733"/>
      <c r="T5" s="733"/>
      <c r="U5" s="733"/>
      <c r="V5" s="733"/>
      <c r="W5" s="733"/>
      <c r="X5" s="733"/>
      <c r="Y5" s="733"/>
      <c r="Z5" s="733"/>
      <c r="AA5" s="733"/>
      <c r="AB5" s="733"/>
      <c r="AC5" s="733"/>
      <c r="AD5" s="733"/>
      <c r="AE5" s="754"/>
    </row>
    <row r="6" spans="1:31" ht="14.25" customHeight="1" x14ac:dyDescent="0.25">
      <c r="B6" s="249" t="str" cm="1">
        <f t="array" aca="1" ref="B6" ca="1">IF(ACOMPANHAMENTO="BM","NO ACOMPANHAMENTO POR BM, UTILIZE A ABA CRONO",
  IF(MAX($B$14:$B$65)&lt;MAX(CÁLCULO!$M$15:$M$71),"ERRO: NÚMERO DE EVENTOS INSUFICIENTE, CLIQUE EM ATUALIZAR LINHAS",
  IF(ROUND(OFFSET(CRONO!$AG$63,0,-1),2)&lt;&gt;CRONO!$R$54,"ERRO: CRONOGRAMA NÃO FECHA 100%","")))</f>
        <v>NO ACOMPANHAMENTO POR BM, UTILIZE A ABA CRONO</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e">
        <f>MID(Import.EventoAdmLocal,1,SEARCH(".",Import.EventoAdmLocal)-1)</f>
        <v>#VALUE!</v>
      </c>
      <c r="B8" s="728"/>
      <c r="C8" s="729"/>
      <c r="D8" s="571"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8"/>
    </row>
    <row r="10" spans="1:31" ht="15" customHeight="1" x14ac:dyDescent="0.2">
      <c r="A10" s="548" t="e">
        <f>MATCH(VALUE(A8),CÁLCULO!$M$15:$M$71,0)-2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
      </c>
      <c r="G11" s="252" t="str">
        <f ca="1">IF(G$12&gt;CÁLCULO.FrentesPreenchidas,"",OFFSET(CÁLCULO!$P$12,0,G$12))</f>
        <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59" t="s">
        <v>760</v>
      </c>
      <c r="C12" s="759"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59"/>
      <c r="C13" s="759"/>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IF(AUTOEVENTO="Manual",IF(EVENTOS!$F15&gt;0,"F",""),IF(AND(B15&gt;0,B15&lt;=MAX(CÁLCULO!$M$15:$M$71)),"F",""))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IF(AUTOEVENTO="Manual",IF(EVENTOS!$F16&gt;0,"F",""),IF(AND(B16&gt;0,B16&lt;=MAX(CÁLCULO!$M$15:$M$71)),"F",""))</f>
        <v>F</v>
      </c>
      <c r="B16" s="247">
        <f t="shared" ref="B16:B64" ca="1" si="1">OFFSET(B16,-1,0)+1</f>
        <v>1</v>
      </c>
      <c r="C16" s="514" t="str">
        <f ca="1">IF(AUTOEVENTO="Manual",IF($B16&gt;0,OFFSET(EVENTOS!$D$15,$B16-$B$15,0),0),IF(B16&lt;=MAX(CÁLCULO!$M$15:$M$71),VLOOKUP($B16,CÁLCULO!$M$15:$N$71,2,FALSE),0))</f>
        <v>ALTERAÇÃO DE POSTE DE ENTRADA DE ENERGIA</v>
      </c>
      <c r="D16" s="554"/>
      <c r="E16" s="248"/>
      <c r="F16" t="str">
        <f t="shared" ref="F16:F64" ca="1" si="2">IF($C16=0,"",CONCATENATE($B16,". ",$C16))</f>
        <v>1. ALTERAÇÃO DE POSTE DE ENTRADA DE ENERGIA</v>
      </c>
      <c r="G16" s="553"/>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IF(AUTOEVENTO="Manual",IF(EVENTOS!$F17&gt;0,"F",""),IF(AND(B17&gt;0,B17&lt;=MAX(CÁLCULO!$M$15:$M$71)),"F",""))</f>
        <v>F</v>
      </c>
      <c r="B17" s="247">
        <f t="shared" ca="1" si="1"/>
        <v>2</v>
      </c>
      <c r="C17" s="514" t="str">
        <f ca="1">IF(AUTOEVENTO="Manual",IF($B17&gt;0,OFFSET(EVENTOS!$D$15,$B17-$B$15,0),0),IF(B17&lt;=MAX(CÁLCULO!$M$15:$M$71),VLOOKUP($B17,CÁLCULO!$M$15:$N$71,2,FALSE),0))</f>
        <v>CALÇADAS EXTERNAS</v>
      </c>
      <c r="D17" s="554"/>
      <c r="E17" s="248"/>
      <c r="F17" t="str">
        <f t="shared" ca="1" si="2"/>
        <v>2. CALÇADAS EXTERNAS</v>
      </c>
      <c r="G17" s="553"/>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IF(AUTOEVENTO="Manual",IF(EVENTOS!$F18&gt;0,"F",""),IF(AND(B18&gt;0,B18&lt;=MAX(CÁLCULO!$M$15:$M$71)),"F",""))</f>
        <v>F</v>
      </c>
      <c r="B18" s="247">
        <f t="shared" ca="1" si="1"/>
        <v>3</v>
      </c>
      <c r="C18" s="514" t="str">
        <f ca="1">IF(AUTOEVENTO="Manual",IF($B18&gt;0,OFFSET(EVENTOS!$D$15,$B18-$B$15,0),0),IF(B18&lt;=MAX(CÁLCULO!$M$15:$M$71),VLOOKUP($B18,CÁLCULO!$M$15:$N$71,2,FALSE),0))</f>
        <v>RAMPA DE ACESSIBILIDADE</v>
      </c>
      <c r="D18" s="554"/>
      <c r="E18" s="248"/>
      <c r="F18" t="str">
        <f t="shared" ca="1" si="2"/>
        <v>3. RAMPA DE ACESSIBILIDADE</v>
      </c>
      <c r="G18" s="553"/>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IF(AUTOEVENTO="Manual",IF(EVENTOS!$F19&gt;0,"F",""),IF(AND(B19&gt;0,B19&lt;=MAX(CÁLCULO!$M$15:$M$71)),"F",""))</f>
        <v>F</v>
      </c>
      <c r="B19" s="247">
        <f t="shared" ca="1" si="1"/>
        <v>4</v>
      </c>
      <c r="C19" s="514" t="str">
        <f ca="1">IF(AUTOEVENTO="Manual",IF($B19&gt;0,OFFSET(EVENTOS!$D$15,$B19-$B$15,0),0),IF(B19&lt;=MAX(CÁLCULO!$M$15:$M$71),VLOOKUP($B19,CÁLCULO!$M$15:$N$71,2,FALSE),0))</f>
        <v>GRADES EM CHAPA EXPANDIDA INCLUSO PORTAS</v>
      </c>
      <c r="D19" s="554"/>
      <c r="E19" s="248"/>
      <c r="F19" t="str">
        <f t="shared" ca="1" si="2"/>
        <v>4. GRADES EM CHAPA EXPANDIDA INCLUSO PORTAS</v>
      </c>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IF(AUTOEVENTO="Manual",IF(EVENTOS!$F20&gt;0,"F",""),IF(AND(B20&gt;0,B20&lt;=MAX(CÁLCULO!$M$15:$M$71)),"F",""))</f>
        <v>F</v>
      </c>
      <c r="B20" s="247">
        <f t="shared" ca="1" si="1"/>
        <v>5</v>
      </c>
      <c r="C20" s="514" t="str">
        <f ca="1">IF(AUTOEVENTO="Manual",IF($B20&gt;0,OFFSET(EVENTOS!$D$15,$B20-$B$15,0),0),IF(B20&lt;=MAX(CÁLCULO!$M$15:$M$71),VLOOKUP($B20,CÁLCULO!$M$15:$N$71,2,FALSE),0))</f>
        <v>FUNDAÇÃO</v>
      </c>
      <c r="D20" s="554"/>
      <c r="E20" s="248"/>
      <c r="F20" t="str">
        <f t="shared" ca="1" si="2"/>
        <v>5. FUNDAÇÃO</v>
      </c>
      <c r="G20" s="553"/>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IF(AUTOEVENTO="Manual",IF(EVENTOS!$F21&gt;0,"F",""),IF(AND(B21&gt;0,B21&lt;=MAX(CÁLCULO!$M$15:$M$71)),"F",""))</f>
        <v>F</v>
      </c>
      <c r="B21" s="247">
        <f t="shared" ca="1" si="1"/>
        <v>6</v>
      </c>
      <c r="C21" s="514" t="str">
        <f ca="1">IF(AUTOEVENTO="Manual",IF($B21&gt;0,OFFSET(EVENTOS!$D$15,$B21-$B$15,0),0),IF(B21&lt;=MAX(CÁLCULO!$M$15:$M$71),VLOOKUP($B21,CÁLCULO!$M$15:$N$71,2,FALSE),0))</f>
        <v>VIGA BALDRAME</v>
      </c>
      <c r="D21" s="554"/>
      <c r="E21" s="248"/>
      <c r="F21" t="str">
        <f t="shared" ca="1" si="2"/>
        <v>6. VIGA BALDRAME</v>
      </c>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IF(AUTOEVENTO="Manual",IF(EVENTOS!$F22&gt;0,"F",""),IF(AND(B22&gt;0,B22&lt;=MAX(CÁLCULO!$M$15:$M$71)),"F",""))</f>
        <v>F</v>
      </c>
      <c r="B22" s="247">
        <f t="shared" ca="1" si="1"/>
        <v>7</v>
      </c>
      <c r="C22" s="514" t="str">
        <f ca="1">IF(AUTOEVENTO="Manual",IF($B22&gt;0,OFFSET(EVENTOS!$D$15,$B22-$B$15,0),0),IF(B22&lt;=MAX(CÁLCULO!$M$15:$M$71),VLOOKUP($B22,CÁLCULO!$M$15:$N$71,2,FALSE),0))</f>
        <v>PILARES</v>
      </c>
      <c r="D22" s="554"/>
      <c r="E22" s="248"/>
      <c r="F22" t="str">
        <f t="shared" ca="1" si="2"/>
        <v>7. PILARES</v>
      </c>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IF(AUTOEVENTO="Manual",IF(EVENTOS!$F23&gt;0,"F",""),IF(AND(B23&gt;0,B23&lt;=MAX(CÁLCULO!$M$15:$M$71)),"F",""))</f>
        <v>F</v>
      </c>
      <c r="B23" s="247">
        <f t="shared" ca="1" si="1"/>
        <v>8</v>
      </c>
      <c r="C23" s="514" t="str">
        <f ca="1">IF(AUTOEVENTO="Manual",IF($B23&gt;0,OFFSET(EVENTOS!$D$15,$B23-$B$15,0),0),IF(B23&lt;=MAX(CÁLCULO!$M$15:$M$71),VLOOKUP($B23,CÁLCULO!$M$15:$N$71,2,FALSE),0))</f>
        <v>VIGAS CINTAMENTO - REAPROVEITAMENTO DE FORMA DAS BALDRAMES</v>
      </c>
      <c r="D23" s="554"/>
      <c r="E23" s="248"/>
      <c r="F23" t="str">
        <f t="shared" ca="1" si="2"/>
        <v>8. VIGAS CINTAMENTO - REAPROVEITAMENTO DE FORMA DAS BALDRAMES</v>
      </c>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IF(AUTOEVENTO="Manual",IF(EVENTOS!$F24&gt;0,"F",""),IF(AND(B24&gt;0,B24&lt;=MAX(CÁLCULO!$M$15:$M$71)),"F",""))</f>
        <v>F</v>
      </c>
      <c r="B24" s="247">
        <f t="shared" ca="1" si="1"/>
        <v>9</v>
      </c>
      <c r="C24" s="514" t="str">
        <f ca="1">IF(AUTOEVENTO="Manual",IF($B24&gt;0,OFFSET(EVENTOS!$D$15,$B24-$B$15,0),0),IF(B24&lt;=MAX(CÁLCULO!$M$15:$M$71),VLOOKUP($B24,CÁLCULO!$M$15:$N$71,2,FALSE),0))</f>
        <v>OITÃO EM ALVENARIA</v>
      </c>
      <c r="D24" s="554"/>
      <c r="E24" s="248"/>
      <c r="F24" t="str">
        <f t="shared" ca="1" si="2"/>
        <v>9. OITÃO EM ALVENARIA</v>
      </c>
      <c r="G24" s="553"/>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
      <c r="A25" s="7" t="str">
        <f ca="1">IF(AUTOEVENTO="Manual",IF(EVENTOS!$F25&gt;0,"F",""),IF(AND(B25&gt;0,B25&lt;=MAX(CÁLCULO!$M$15:$M$71)),"F",""))</f>
        <v>F</v>
      </c>
      <c r="B25" s="247">
        <f t="shared" ca="1" si="1"/>
        <v>10</v>
      </c>
      <c r="C25" s="514" t="str">
        <f ca="1">IF(AUTOEVENTO="Manual",IF($B25&gt;0,OFFSET(EVENTOS!$D$15,$B25-$B$15,0),0),IF(B25&lt;=MAX(CÁLCULO!$M$15:$M$71),VLOOKUP($B25,CÁLCULO!$M$15:$N$71,2,FALSE),0))</f>
        <v>COBERTURA</v>
      </c>
      <c r="D25" s="554"/>
      <c r="E25" s="248"/>
      <c r="F25" t="str">
        <f t="shared" ca="1" si="2"/>
        <v>10. COBERTURA</v>
      </c>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
      <c r="A26" s="7" t="str">
        <f ca="1">IF(AUTOEVENTO="Manual",IF(EVENTOS!$F26&gt;0,"F",""),IF(AND(B26&gt;0,B26&lt;=MAX(CÁLCULO!$M$15:$M$71)),"F",""))</f>
        <v>F</v>
      </c>
      <c r="B26" s="247">
        <f t="shared" ca="1" si="1"/>
        <v>11</v>
      </c>
      <c r="C26" s="514" t="str">
        <f ca="1">IF(AUTOEVENTO="Manual",IF($B26&gt;0,OFFSET(EVENTOS!$D$15,$B26-$B$15,0),0),IF(B26&lt;=MAX(CÁLCULO!$M$15:$M$71),VLOOKUP($B26,CÁLCULO!$M$15:$N$71,2,FALSE),0))</f>
        <v>PINTURA DOS PILARES E VIGAS</v>
      </c>
      <c r="D26" s="554"/>
      <c r="E26" s="248"/>
      <c r="F26" t="str">
        <f t="shared" ca="1" si="2"/>
        <v>11. PINTURA DOS PILARES E VIGAS</v>
      </c>
      <c r="G26" s="553"/>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x14ac:dyDescent="0.2">
      <c r="A27" s="7" t="str">
        <f ca="1">IF(AUTOEVENTO="Manual",IF(EVENTOS!$F27&gt;0,"F",""),IF(AND(B27&gt;0,B27&lt;=MAX(CÁLCULO!$M$15:$M$71)),"F",""))</f>
        <v/>
      </c>
      <c r="B27" s="247">
        <f t="shared" ca="1" si="1"/>
        <v>12</v>
      </c>
      <c r="C27" s="514">
        <f ca="1">IF(AUTOEVENTO="Manual",IF($B27&gt;0,OFFSET(EVENTOS!$D$15,$B27-$B$15,0),0),IF(B27&lt;=MAX(CÁLCULO!$M$15:$M$71),VLOOKUP($B27,CÁLCULO!$M$15:$N$71,2,FALSE),0))</f>
        <v>0</v>
      </c>
      <c r="D27" s="554"/>
      <c r="E27" s="248"/>
      <c r="F27" t="str">
        <f t="shared" ca="1" si="2"/>
        <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
      <c r="A28" s="7" t="str">
        <f ca="1">IF(AUTOEVENTO="Manual",IF(EVENTOS!$F28&gt;0,"F",""),IF(AND(B28&gt;0,B28&lt;=MAX(CÁLCULO!$M$15:$M$71)),"F",""))</f>
        <v/>
      </c>
      <c r="B28" s="247">
        <f t="shared" ca="1" si="1"/>
        <v>13</v>
      </c>
      <c r="C28" s="514">
        <f ca="1">IF(AUTOEVENTO="Manual",IF($B28&gt;0,OFFSET(EVENTOS!$D$15,$B28-$B$15,0),0),IF(B28&lt;=MAX(CÁLCULO!$M$15:$M$71),VLOOKUP($B28,CÁLCULO!$M$15:$N$71,2,FALSE),0))</f>
        <v>0</v>
      </c>
      <c r="D28" s="554"/>
      <c r="E28" s="248"/>
      <c r="F28" t="str">
        <f t="shared" ca="1" si="2"/>
        <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
      <c r="A29" s="7" t="str">
        <f ca="1">IF(AUTOEVENTO="Manual",IF(EVENTOS!$F29&gt;0,"F",""),IF(AND(B29&gt;0,B29&lt;=MAX(CÁLCULO!$M$15:$M$71)),"F",""))</f>
        <v/>
      </c>
      <c r="B29" s="247">
        <f t="shared" ca="1" si="1"/>
        <v>14</v>
      </c>
      <c r="C29" s="514">
        <f ca="1">IF(AUTOEVENTO="Manual",IF($B29&gt;0,OFFSET(EVENTOS!$D$15,$B29-$B$15,0),0),IF(B29&lt;=MAX(CÁLCULO!$M$15:$M$71),VLOOKUP($B29,CÁLCULO!$M$15:$N$71,2,FALSE),0))</f>
        <v>0</v>
      </c>
      <c r="D29" s="554"/>
      <c r="E29" s="248"/>
      <c r="F29" t="str">
        <f t="shared" ca="1" si="2"/>
        <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x14ac:dyDescent="0.2">
      <c r="A30" s="7" t="str">
        <f ca="1">IF(AUTOEVENTO="Manual",IF(EVENTOS!$F30&gt;0,"F",""),IF(AND(B30&gt;0,B30&lt;=MAX(CÁLCULO!$M$15:$M$71)),"F",""))</f>
        <v/>
      </c>
      <c r="B30" s="247">
        <f t="shared" ca="1" si="1"/>
        <v>15</v>
      </c>
      <c r="C30" s="514">
        <f ca="1">IF(AUTOEVENTO="Manual",IF($B30&gt;0,OFFSET(EVENTOS!$D$15,$B30-$B$15,0),0),IF(B30&lt;=MAX(CÁLCULO!$M$15:$M$71),VLOOKUP($B30,CÁLCULO!$M$15:$N$71,2,FALSE),0))</f>
        <v>0</v>
      </c>
      <c r="D30" s="554"/>
      <c r="E30" s="248"/>
      <c r="F30" t="str">
        <f t="shared" ca="1" si="2"/>
        <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x14ac:dyDescent="0.2">
      <c r="A31" s="7" t="str">
        <f ca="1">IF(AUTOEVENTO="Manual",IF(EVENTOS!$F31&gt;0,"F",""),IF(AND(B31&gt;0,B31&lt;=MAX(CÁLCULO!$M$15:$M$71)),"F",""))</f>
        <v/>
      </c>
      <c r="B31" s="247">
        <f t="shared" ca="1" si="1"/>
        <v>16</v>
      </c>
      <c r="C31" s="514">
        <f ca="1">IF(AUTOEVENTO="Manual",IF($B31&gt;0,OFFSET(EVENTOS!$D$15,$B31-$B$15,0),0),IF(B31&lt;=MAX(CÁLCULO!$M$15:$M$71),VLOOKUP($B31,CÁLCULO!$M$15:$N$71,2,FALSE),0))</f>
        <v>0</v>
      </c>
      <c r="D31" s="554"/>
      <c r="E31" s="248"/>
      <c r="F31" t="str">
        <f t="shared" ca="1" si="2"/>
        <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x14ac:dyDescent="0.2">
      <c r="A32" s="7" t="str">
        <f ca="1">IF(AUTOEVENTO="Manual",IF(EVENTOS!$F32&gt;0,"F",""),IF(AND(B32&gt;0,B32&lt;=MAX(CÁLCULO!$M$15:$M$71)),"F",""))</f>
        <v/>
      </c>
      <c r="B32" s="247">
        <f t="shared" ca="1" si="1"/>
        <v>17</v>
      </c>
      <c r="C32" s="514">
        <f ca="1">IF(AUTOEVENTO="Manual",IF($B32&gt;0,OFFSET(EVENTOS!$D$15,$B32-$B$15,0),0),IF(B32&lt;=MAX(CÁLCULO!$M$15:$M$71),VLOOKUP($B32,CÁLCULO!$M$15:$N$71,2,FALSE),0))</f>
        <v>0</v>
      </c>
      <c r="D32" s="554"/>
      <c r="E32" s="248"/>
      <c r="F32" t="str">
        <f t="shared" ca="1" si="2"/>
        <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x14ac:dyDescent="0.2">
      <c r="A33" s="7" t="str">
        <f ca="1">IF(AUTOEVENTO="Manual",IF(EVENTOS!$F33&gt;0,"F",""),IF(AND(B33&gt;0,B33&lt;=MAX(CÁLCULO!$M$15:$M$71)),"F",""))</f>
        <v/>
      </c>
      <c r="B33" s="247">
        <f t="shared" ca="1" si="1"/>
        <v>18</v>
      </c>
      <c r="C33" s="514">
        <f ca="1">IF(AUTOEVENTO="Manual",IF($B33&gt;0,OFFSET(EVENTOS!$D$15,$B33-$B$15,0),0),IF(B33&lt;=MAX(CÁLCULO!$M$15:$M$71),VLOOKUP($B33,CÁLCULO!$M$15:$N$71,2,FALSE),0))</f>
        <v>0</v>
      </c>
      <c r="D33" s="554"/>
      <c r="E33" s="248"/>
      <c r="F33" t="str">
        <f t="shared" ca="1" si="2"/>
        <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x14ac:dyDescent="0.2">
      <c r="A34" s="7" t="str">
        <f ca="1">IF(AUTOEVENTO="Manual",IF(EVENTOS!$F34&gt;0,"F",""),IF(AND(B34&gt;0,B34&lt;=MAX(CÁLCULO!$M$15:$M$71)),"F",""))</f>
        <v/>
      </c>
      <c r="B34" s="247">
        <f t="shared" ca="1" si="1"/>
        <v>19</v>
      </c>
      <c r="C34" s="514">
        <f ca="1">IF(AUTOEVENTO="Manual",IF($B34&gt;0,OFFSET(EVENTOS!$D$15,$B34-$B$15,0),0),IF(B34&lt;=MAX(CÁLCULO!$M$15:$M$71),VLOOKUP($B34,CÁLCULO!$M$15:$N$71,2,FALSE),0))</f>
        <v>0</v>
      </c>
      <c r="D34" s="554"/>
      <c r="E34" s="248"/>
      <c r="F34"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x14ac:dyDescent="0.2">
      <c r="A35" s="7" t="str">
        <f ca="1">IF(AUTOEVENTO="Manual",IF(EVENTOS!$F35&gt;0,"F",""),IF(AND(B35&gt;0,B35&lt;=MAX(CÁLCULO!$M$15:$M$71)),"F",""))</f>
        <v/>
      </c>
      <c r="B35" s="247">
        <f t="shared" ca="1" si="1"/>
        <v>20</v>
      </c>
      <c r="C35" s="514">
        <f ca="1">IF(AUTOEVENTO="Manual",IF($B35&gt;0,OFFSET(EVENTOS!$D$15,$B35-$B$15,0),0),IF(B35&lt;=MAX(CÁLCULO!$M$15:$M$71),VLOOKUP($B35,CÁLCULO!$M$15:$N$71,2,FALSE),0))</f>
        <v>0</v>
      </c>
      <c r="D35" s="554"/>
      <c r="E35" s="248"/>
      <c r="F35"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x14ac:dyDescent="0.2">
      <c r="A36" s="7" t="str">
        <f ca="1">IF(AUTOEVENTO="Manual",IF(EVENTOS!$F36&gt;0,"F",""),IF(AND(B36&gt;0,B36&lt;=MAX(CÁLCULO!$M$15:$M$71)),"F",""))</f>
        <v/>
      </c>
      <c r="B36" s="247">
        <f t="shared" ca="1" si="1"/>
        <v>21</v>
      </c>
      <c r="C36" s="514">
        <f ca="1">IF(AUTOEVENTO="Manual",IF($B36&gt;0,OFFSET(EVENTOS!$D$15,$B36-$B$15,0),0),IF(B36&lt;=MAX(CÁLCULO!$M$15:$M$71),VLOOKUP($B36,CÁLCULO!$M$15:$N$71,2,FALSE),0))</f>
        <v>0</v>
      </c>
      <c r="D36" s="554"/>
      <c r="E36" s="248"/>
      <c r="F36"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x14ac:dyDescent="0.2">
      <c r="A37" s="7" t="str">
        <f ca="1">IF(AUTOEVENTO="Manual",IF(EVENTOS!$F37&gt;0,"F",""),IF(AND(B37&gt;0,B37&lt;=MAX(CÁLCULO!$M$15:$M$71)),"F",""))</f>
        <v/>
      </c>
      <c r="B37" s="247">
        <f t="shared" ca="1" si="1"/>
        <v>22</v>
      </c>
      <c r="C37" s="514">
        <f ca="1">IF(AUTOEVENTO="Manual",IF($B37&gt;0,OFFSET(EVENTOS!$D$15,$B37-$B$15,0),0),IF(B37&lt;=MAX(CÁLCULO!$M$15:$M$71),VLOOKUP($B37,CÁLCULO!$M$15:$N$71,2,FALSE),0))</f>
        <v>0</v>
      </c>
      <c r="D37" s="554"/>
      <c r="E37" s="248"/>
      <c r="F37"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x14ac:dyDescent="0.2">
      <c r="A38" s="7" t="str">
        <f ca="1">IF(AUTOEVENTO="Manual",IF(EVENTOS!$F38&gt;0,"F",""),IF(AND(B38&gt;0,B38&lt;=MAX(CÁLCULO!$M$15:$M$71)),"F",""))</f>
        <v/>
      </c>
      <c r="B38" s="247">
        <f t="shared" ca="1" si="1"/>
        <v>23</v>
      </c>
      <c r="C38" s="514">
        <f ca="1">IF(AUTOEVENTO="Manual",IF($B38&gt;0,OFFSET(EVENTOS!$D$15,$B38-$B$15,0),0),IF(B38&lt;=MAX(CÁLCULO!$M$15:$M$71),VLOOKUP($B38,CÁLCULO!$M$15:$N$71,2,FALSE),0))</f>
        <v>0</v>
      </c>
      <c r="D38" s="554"/>
      <c r="E38" s="248"/>
      <c r="F3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x14ac:dyDescent="0.2">
      <c r="A39" s="7" t="str">
        <f ca="1">IF(AUTOEVENTO="Manual",IF(EVENTOS!$F39&gt;0,"F",""),IF(AND(B39&gt;0,B39&lt;=MAX(CÁLCULO!$M$15:$M$71)),"F",""))</f>
        <v/>
      </c>
      <c r="B39" s="247">
        <f t="shared" ca="1" si="1"/>
        <v>24</v>
      </c>
      <c r="C39" s="514">
        <f ca="1">IF(AUTOEVENTO="Manual",IF($B39&gt;0,OFFSET(EVENTOS!$D$15,$B39-$B$15,0),0),IF(B39&lt;=MAX(CÁLCULO!$M$15:$M$71),VLOOKUP($B39,CÁLCULO!$M$15:$N$71,2,FALSE),0))</f>
        <v>0</v>
      </c>
      <c r="D39" s="554"/>
      <c r="E39" s="248"/>
      <c r="F39"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x14ac:dyDescent="0.2">
      <c r="A40" s="7" t="str">
        <f ca="1">IF(AUTOEVENTO="Manual",IF(EVENTOS!$F40&gt;0,"F",""),IF(AND(B40&gt;0,B40&lt;=MAX(CÁLCULO!$M$15:$M$71)),"F",""))</f>
        <v/>
      </c>
      <c r="B40" s="247">
        <f t="shared" ca="1" si="1"/>
        <v>25</v>
      </c>
      <c r="C40" s="514">
        <f ca="1">IF(AUTOEVENTO="Manual",IF($B40&gt;0,OFFSET(EVENTOS!$D$15,$B40-$B$15,0),0),IF(B40&lt;=MAX(CÁLCULO!$M$15:$M$71),VLOOKUP($B40,CÁLCULO!$M$15:$N$71,2,FALSE),0))</f>
        <v>0</v>
      </c>
      <c r="D40" s="554"/>
      <c r="E40" s="248"/>
      <c r="F40"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x14ac:dyDescent="0.2">
      <c r="A41" s="7" t="str">
        <f ca="1">IF(AUTOEVENTO="Manual",IF(EVENTOS!$F41&gt;0,"F",""),IF(AND(B41&gt;0,B41&lt;=MAX(CÁLCULO!$M$15:$M$71)),"F",""))</f>
        <v/>
      </c>
      <c r="B41" s="247">
        <f t="shared" ca="1" si="1"/>
        <v>26</v>
      </c>
      <c r="C41" s="514">
        <f ca="1">IF(AUTOEVENTO="Manual",IF($B41&gt;0,OFFSET(EVENTOS!$D$15,$B41-$B$15,0),0),IF(B41&lt;=MAX(CÁLCULO!$M$15:$M$71),VLOOKUP($B41,CÁLCULO!$M$15:$N$71,2,FALSE),0))</f>
        <v>0</v>
      </c>
      <c r="D41" s="554"/>
      <c r="E41" s="248"/>
      <c r="F41"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x14ac:dyDescent="0.2">
      <c r="A42" s="7" t="str">
        <f ca="1">IF(AUTOEVENTO="Manual",IF(EVENTOS!$F42&gt;0,"F",""),IF(AND(B42&gt;0,B42&lt;=MAX(CÁLCULO!$M$15:$M$71)),"F",""))</f>
        <v/>
      </c>
      <c r="B42" s="247">
        <f t="shared" ca="1" si="1"/>
        <v>27</v>
      </c>
      <c r="C42" s="514">
        <f ca="1">IF(AUTOEVENTO="Manual",IF($B42&gt;0,OFFSET(EVENTOS!$D$15,$B42-$B$15,0),0),IF(B42&lt;=MAX(CÁLCULO!$M$15:$M$71),VLOOKUP($B42,CÁLCULO!$M$15:$N$71,2,FALSE),0))</f>
        <v>0</v>
      </c>
      <c r="D42" s="554"/>
      <c r="E42" s="248"/>
      <c r="F42"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x14ac:dyDescent="0.2">
      <c r="A43" s="7" t="str">
        <f ca="1">IF(AUTOEVENTO="Manual",IF(EVENTOS!$F43&gt;0,"F",""),IF(AND(B43&gt;0,B43&lt;=MAX(CÁLCULO!$M$15:$M$71)),"F",""))</f>
        <v/>
      </c>
      <c r="B43" s="247">
        <f t="shared" ca="1" si="1"/>
        <v>28</v>
      </c>
      <c r="C43" s="514">
        <f ca="1">IF(AUTOEVENTO="Manual",IF($B43&gt;0,OFFSET(EVENTOS!$D$15,$B43-$B$15,0),0),IF(B43&lt;=MAX(CÁLCULO!$M$15:$M$71),VLOOKUP($B43,CÁLCULO!$M$15:$N$71,2,FALSE),0))</f>
        <v>0</v>
      </c>
      <c r="D43" s="554"/>
      <c r="E43" s="248"/>
      <c r="F43"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x14ac:dyDescent="0.2">
      <c r="A44" s="7" t="str">
        <f ca="1">IF(AUTOEVENTO="Manual",IF(EVENTOS!$F44&gt;0,"F",""),IF(AND(B44&gt;0,B44&lt;=MAX(CÁLCULO!$M$15:$M$71)),"F",""))</f>
        <v/>
      </c>
      <c r="B44" s="247">
        <f t="shared" ca="1" si="1"/>
        <v>29</v>
      </c>
      <c r="C44" s="514">
        <f ca="1">IF(AUTOEVENTO="Manual",IF($B44&gt;0,OFFSET(EVENTOS!$D$15,$B44-$B$15,0),0),IF(B44&lt;=MAX(CÁLCULO!$M$15:$M$71),VLOOKUP($B44,CÁLCULO!$M$15:$N$71,2,FALSE),0))</f>
        <v>0</v>
      </c>
      <c r="D44" s="554"/>
      <c r="E44" s="248"/>
      <c r="F44"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x14ac:dyDescent="0.2">
      <c r="A45" s="7" t="str">
        <f ca="1">IF(AUTOEVENTO="Manual",IF(EVENTOS!$F45&gt;0,"F",""),IF(AND(B45&gt;0,B45&lt;=MAX(CÁLCULO!$M$15:$M$71)),"F",""))</f>
        <v/>
      </c>
      <c r="B45" s="247">
        <f t="shared" ca="1" si="1"/>
        <v>30</v>
      </c>
      <c r="C45" s="514">
        <f ca="1">IF(AUTOEVENTO="Manual",IF($B45&gt;0,OFFSET(EVENTOS!$D$15,$B45-$B$15,0),0),IF(B45&lt;=MAX(CÁLCULO!$M$15:$M$71),VLOOKUP($B45,CÁLCULO!$M$15:$N$71,2,FALSE),0))</f>
        <v>0</v>
      </c>
      <c r="D45" s="554"/>
      <c r="E45" s="248"/>
      <c r="F45"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x14ac:dyDescent="0.2">
      <c r="A46" s="7" t="str">
        <f ca="1">IF(AUTOEVENTO="Manual",IF(EVENTOS!$F46&gt;0,"F",""),IF(AND(B46&gt;0,B46&lt;=MAX(CÁLCULO!$M$15:$M$71)),"F",""))</f>
        <v/>
      </c>
      <c r="B46" s="247">
        <f t="shared" ca="1" si="1"/>
        <v>31</v>
      </c>
      <c r="C46" s="514">
        <f ca="1">IF(AUTOEVENTO="Manual",IF($B46&gt;0,OFFSET(EVENTOS!$D$15,$B46-$B$15,0),0),IF(B46&lt;=MAX(CÁLCULO!$M$15:$M$71),VLOOKUP($B46,CÁLCULO!$M$15:$N$71,2,FALSE),0))</f>
        <v>0</v>
      </c>
      <c r="D46" s="554"/>
      <c r="E46" s="248"/>
      <c r="F46"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x14ac:dyDescent="0.2">
      <c r="A47" s="7" t="str">
        <f ca="1">IF(AUTOEVENTO="Manual",IF(EVENTOS!$F47&gt;0,"F",""),IF(AND(B47&gt;0,B47&lt;=MAX(CÁLCULO!$M$15:$M$71)),"F",""))</f>
        <v/>
      </c>
      <c r="B47" s="247">
        <f t="shared" ca="1" si="1"/>
        <v>32</v>
      </c>
      <c r="C47" s="514">
        <f ca="1">IF(AUTOEVENTO="Manual",IF($B47&gt;0,OFFSET(EVENTOS!$D$15,$B47-$B$15,0),0),IF(B47&lt;=MAX(CÁLCULO!$M$15:$M$71),VLOOKUP($B47,CÁLCULO!$M$15:$N$71,2,FALSE),0))</f>
        <v>0</v>
      </c>
      <c r="D47" s="554"/>
      <c r="E47" s="248"/>
      <c r="F47"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x14ac:dyDescent="0.2">
      <c r="A48" s="7" t="str">
        <f ca="1">IF(AUTOEVENTO="Manual",IF(EVENTOS!$F48&gt;0,"F",""),IF(AND(B48&gt;0,B48&lt;=MAX(CÁLCULO!$M$15:$M$71)),"F",""))</f>
        <v/>
      </c>
      <c r="B48" s="247">
        <f t="shared" ca="1" si="1"/>
        <v>33</v>
      </c>
      <c r="C48" s="514">
        <f ca="1">IF(AUTOEVENTO="Manual",IF($B48&gt;0,OFFSET(EVENTOS!$D$15,$B48-$B$15,0),0),IF(B48&lt;=MAX(CÁLCULO!$M$15:$M$71),VLOOKUP($B48,CÁLCULO!$M$15:$N$71,2,FALSE),0))</f>
        <v>0</v>
      </c>
      <c r="D48" s="554"/>
      <c r="E48" s="248"/>
      <c r="F4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x14ac:dyDescent="0.2">
      <c r="A49" s="7" t="str">
        <f ca="1">IF(AUTOEVENTO="Manual",IF(EVENTOS!$F49&gt;0,"F",""),IF(AND(B49&gt;0,B49&lt;=MAX(CÁLCULO!$M$15:$M$71)),"F",""))</f>
        <v/>
      </c>
      <c r="B49" s="247">
        <f t="shared" ca="1" si="1"/>
        <v>34</v>
      </c>
      <c r="C49" s="514">
        <f ca="1">IF(AUTOEVENTO="Manual",IF($B49&gt;0,OFFSET(EVENTOS!$D$15,$B49-$B$15,0),0),IF(B49&lt;=MAX(CÁLCULO!$M$15:$M$71),VLOOKUP($B49,CÁLCULO!$M$15:$N$71,2,FALSE),0))</f>
        <v>0</v>
      </c>
      <c r="D49" s="554"/>
      <c r="E49" s="248"/>
      <c r="F49"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x14ac:dyDescent="0.2">
      <c r="A50" s="7" t="str">
        <f ca="1">IF(AUTOEVENTO="Manual",IF(EVENTOS!$F50&gt;0,"F",""),IF(AND(B50&gt;0,B50&lt;=MAX(CÁLCULO!$M$15:$M$71)),"F",""))</f>
        <v/>
      </c>
      <c r="B50" s="247">
        <f t="shared" ca="1" si="1"/>
        <v>35</v>
      </c>
      <c r="C50" s="514">
        <f ca="1">IF(AUTOEVENTO="Manual",IF($B50&gt;0,OFFSET(EVENTOS!$D$15,$B50-$B$15,0),0),IF(B50&lt;=MAX(CÁLCULO!$M$15:$M$71),VLOOKUP($B50,CÁLCULO!$M$15:$N$71,2,FALSE),0))</f>
        <v>0</v>
      </c>
      <c r="D50" s="554"/>
      <c r="E50" s="248"/>
      <c r="F50"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x14ac:dyDescent="0.2">
      <c r="A51" s="7" t="str">
        <f ca="1">IF(AUTOEVENTO="Manual",IF(EVENTOS!$F51&gt;0,"F",""),IF(AND(B51&gt;0,B51&lt;=MAX(CÁLCULO!$M$15:$M$71)),"F",""))</f>
        <v/>
      </c>
      <c r="B51" s="247">
        <f t="shared" ca="1" si="1"/>
        <v>36</v>
      </c>
      <c r="C51" s="514">
        <f ca="1">IF(AUTOEVENTO="Manual",IF($B51&gt;0,OFFSET(EVENTOS!$D$15,$B51-$B$15,0),0),IF(B51&lt;=MAX(CÁLCULO!$M$15:$M$71),VLOOKUP($B51,CÁLCULO!$M$15:$N$71,2,FALSE),0))</f>
        <v>0</v>
      </c>
      <c r="D51" s="554"/>
      <c r="E51" s="248"/>
      <c r="F51"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x14ac:dyDescent="0.2">
      <c r="A52" s="7" t="str">
        <f ca="1">IF(AUTOEVENTO="Manual",IF(EVENTOS!$F52&gt;0,"F",""),IF(AND(B52&gt;0,B52&lt;=MAX(CÁLCULO!$M$15:$M$71)),"F",""))</f>
        <v/>
      </c>
      <c r="B52" s="247">
        <f t="shared" ca="1" si="1"/>
        <v>37</v>
      </c>
      <c r="C52" s="514">
        <f ca="1">IF(AUTOEVENTO="Manual",IF($B52&gt;0,OFFSET(EVENTOS!$D$15,$B52-$B$15,0),0),IF(B52&lt;=MAX(CÁLCULO!$M$15:$M$71),VLOOKUP($B52,CÁLCULO!$M$15:$N$71,2,FALSE),0))</f>
        <v>0</v>
      </c>
      <c r="D52" s="554"/>
      <c r="E52" s="248"/>
      <c r="F52"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x14ac:dyDescent="0.2">
      <c r="A53" s="7" t="str">
        <f ca="1">IF(AUTOEVENTO="Manual",IF(EVENTOS!$F53&gt;0,"F",""),IF(AND(B53&gt;0,B53&lt;=MAX(CÁLCULO!$M$15:$M$71)),"F",""))</f>
        <v/>
      </c>
      <c r="B53" s="247">
        <f t="shared" ca="1" si="1"/>
        <v>38</v>
      </c>
      <c r="C53" s="514">
        <f ca="1">IF(AUTOEVENTO="Manual",IF($B53&gt;0,OFFSET(EVENTOS!$D$15,$B53-$B$15,0),0),IF(B53&lt;=MAX(CÁLCULO!$M$15:$M$71),VLOOKUP($B53,CÁLCULO!$M$15:$N$71,2,FALSE),0))</f>
        <v>0</v>
      </c>
      <c r="D53" s="554"/>
      <c r="E53" s="248"/>
      <c r="F53"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x14ac:dyDescent="0.2">
      <c r="A54" s="7" t="str">
        <f ca="1">IF(AUTOEVENTO="Manual",IF(EVENTOS!$F54&gt;0,"F",""),IF(AND(B54&gt;0,B54&lt;=MAX(CÁLCULO!$M$15:$M$71)),"F",""))</f>
        <v/>
      </c>
      <c r="B54" s="247">
        <f t="shared" ca="1" si="1"/>
        <v>39</v>
      </c>
      <c r="C54" s="514">
        <f ca="1">IF(AUTOEVENTO="Manual",IF($B54&gt;0,OFFSET(EVENTOS!$D$15,$B54-$B$15,0),0),IF(B54&lt;=MAX(CÁLCULO!$M$15:$M$71),VLOOKUP($B54,CÁLCULO!$M$15:$N$71,2,FALSE),0))</f>
        <v>0</v>
      </c>
      <c r="D54" s="554"/>
      <c r="E54" s="248"/>
      <c r="F54"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x14ac:dyDescent="0.2">
      <c r="A55" s="7" t="str">
        <f ca="1">IF(AUTOEVENTO="Manual",IF(EVENTOS!$F55&gt;0,"F",""),IF(AND(B55&gt;0,B55&lt;=MAX(CÁLCULO!$M$15:$M$71)),"F",""))</f>
        <v/>
      </c>
      <c r="B55" s="247">
        <f t="shared" ca="1" si="1"/>
        <v>40</v>
      </c>
      <c r="C55" s="514">
        <f ca="1">IF(AUTOEVENTO="Manual",IF($B55&gt;0,OFFSET(EVENTOS!$D$15,$B55-$B$15,0),0),IF(B55&lt;=MAX(CÁLCULO!$M$15:$M$71),VLOOKUP($B55,CÁLCULO!$M$15:$N$71,2,FALSE),0))</f>
        <v>0</v>
      </c>
      <c r="D55" s="554"/>
      <c r="E55" s="248"/>
      <c r="F55"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x14ac:dyDescent="0.2">
      <c r="A56" s="7" t="str">
        <f ca="1">IF(AUTOEVENTO="Manual",IF(EVENTOS!$F56&gt;0,"F",""),IF(AND(B56&gt;0,B56&lt;=MAX(CÁLCULO!$M$15:$M$71)),"F",""))</f>
        <v/>
      </c>
      <c r="B56" s="247">
        <f t="shared" ca="1" si="1"/>
        <v>41</v>
      </c>
      <c r="C56" s="514">
        <f ca="1">IF(AUTOEVENTO="Manual",IF($B56&gt;0,OFFSET(EVENTOS!$D$15,$B56-$B$15,0),0),IF(B56&lt;=MAX(CÁLCULO!$M$15:$M$71),VLOOKUP($B56,CÁLCULO!$M$15:$N$71,2,FALSE),0))</f>
        <v>0</v>
      </c>
      <c r="D56" s="554"/>
      <c r="E56" s="248"/>
      <c r="F56"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x14ac:dyDescent="0.2">
      <c r="A57" s="7" t="str">
        <f ca="1">IF(AUTOEVENTO="Manual",IF(EVENTOS!$F57&gt;0,"F",""),IF(AND(B57&gt;0,B57&lt;=MAX(CÁLCULO!$M$15:$M$71)),"F",""))</f>
        <v/>
      </c>
      <c r="B57" s="247">
        <f t="shared" ca="1" si="1"/>
        <v>42</v>
      </c>
      <c r="C57" s="514">
        <f ca="1">IF(AUTOEVENTO="Manual",IF($B57&gt;0,OFFSET(EVENTOS!$D$15,$B57-$B$15,0),0),IF(B57&lt;=MAX(CÁLCULO!$M$15:$M$71),VLOOKUP($B57,CÁLCULO!$M$15:$N$71,2,FALSE),0))</f>
        <v>0</v>
      </c>
      <c r="D57" s="554"/>
      <c r="E57" s="248"/>
      <c r="F57"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x14ac:dyDescent="0.2">
      <c r="A58" s="7" t="str">
        <f ca="1">IF(AUTOEVENTO="Manual",IF(EVENTOS!$F58&gt;0,"F",""),IF(AND(B58&gt;0,B58&lt;=MAX(CÁLCULO!$M$15:$M$71)),"F",""))</f>
        <v/>
      </c>
      <c r="B58" s="247">
        <f t="shared" ca="1" si="1"/>
        <v>43</v>
      </c>
      <c r="C58" s="514">
        <f ca="1">IF(AUTOEVENTO="Manual",IF($B58&gt;0,OFFSET(EVENTOS!$D$15,$B58-$B$15,0),0),IF(B58&lt;=MAX(CÁLCULO!$M$15:$M$71),VLOOKUP($B58,CÁLCULO!$M$15:$N$71,2,FALSE),0))</f>
        <v>0</v>
      </c>
      <c r="D58" s="554"/>
      <c r="E58" s="248"/>
      <c r="F5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x14ac:dyDescent="0.2">
      <c r="A59" s="7" t="str">
        <f ca="1">IF(AUTOEVENTO="Manual",IF(EVENTOS!$F59&gt;0,"F",""),IF(AND(B59&gt;0,B59&lt;=MAX(CÁLCULO!$M$15:$M$71)),"F",""))</f>
        <v/>
      </c>
      <c r="B59" s="247">
        <f t="shared" ca="1" si="1"/>
        <v>44</v>
      </c>
      <c r="C59" s="514">
        <f ca="1">IF(AUTOEVENTO="Manual",IF($B59&gt;0,OFFSET(EVENTOS!$D$15,$B59-$B$15,0),0),IF(B59&lt;=MAX(CÁLCULO!$M$15:$M$71),VLOOKUP($B59,CÁLCULO!$M$15:$N$71,2,FALSE),0))</f>
        <v>0</v>
      </c>
      <c r="D59" s="554"/>
      <c r="E59" s="248"/>
      <c r="F59"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x14ac:dyDescent="0.2">
      <c r="A60" s="7" t="str">
        <f ca="1">IF(AUTOEVENTO="Manual",IF(EVENTOS!$F60&gt;0,"F",""),IF(AND(B60&gt;0,B60&lt;=MAX(CÁLCULO!$M$15:$M$71)),"F",""))</f>
        <v/>
      </c>
      <c r="B60" s="247">
        <f t="shared" ca="1" si="1"/>
        <v>45</v>
      </c>
      <c r="C60" s="514">
        <f ca="1">IF(AUTOEVENTO="Manual",IF($B60&gt;0,OFFSET(EVENTOS!$D$15,$B60-$B$15,0),0),IF(B60&lt;=MAX(CÁLCULO!$M$15:$M$71),VLOOKUP($B60,CÁLCULO!$M$15:$N$71,2,FALSE),0))</f>
        <v>0</v>
      </c>
      <c r="D60" s="554"/>
      <c r="E60" s="248"/>
      <c r="F60"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x14ac:dyDescent="0.2">
      <c r="A61" s="7" t="str">
        <f ca="1">IF(AUTOEVENTO="Manual",IF(EVENTOS!$F61&gt;0,"F",""),IF(AND(B61&gt;0,B61&lt;=MAX(CÁLCULO!$M$15:$M$71)),"F",""))</f>
        <v/>
      </c>
      <c r="B61" s="247">
        <f t="shared" ca="1" si="1"/>
        <v>46</v>
      </c>
      <c r="C61" s="514">
        <f ca="1">IF(AUTOEVENTO="Manual",IF($B61&gt;0,OFFSET(EVENTOS!$D$15,$B61-$B$15,0),0),IF(B61&lt;=MAX(CÁLCULO!$M$15:$M$71),VLOOKUP($B61,CÁLCULO!$M$15:$N$71,2,FALSE),0))</f>
        <v>0</v>
      </c>
      <c r="D61" s="554"/>
      <c r="E61" s="248"/>
      <c r="F61"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x14ac:dyDescent="0.2">
      <c r="A62" s="7" t="str">
        <f ca="1">IF(AUTOEVENTO="Manual",IF(EVENTOS!$F62&gt;0,"F",""),IF(AND(B62&gt;0,B62&lt;=MAX(CÁLCULO!$M$15:$M$71)),"F",""))</f>
        <v/>
      </c>
      <c r="B62" s="247">
        <f t="shared" ca="1" si="1"/>
        <v>47</v>
      </c>
      <c r="C62" s="514">
        <f ca="1">IF(AUTOEVENTO="Manual",IF($B62&gt;0,OFFSET(EVENTOS!$D$15,$B62-$B$15,0),0),IF(B62&lt;=MAX(CÁLCULO!$M$15:$M$71),VLOOKUP($B62,CÁLCULO!$M$15:$N$71,2,FALSE),0))</f>
        <v>0</v>
      </c>
      <c r="D62" s="554"/>
      <c r="E62" s="248"/>
      <c r="F62"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x14ac:dyDescent="0.2">
      <c r="A63" s="7" t="str">
        <f ca="1">IF(AUTOEVENTO="Manual",IF(EVENTOS!$F63&gt;0,"F",""),IF(AND(B63&gt;0,B63&lt;=MAX(CÁLCULO!$M$15:$M$71)),"F",""))</f>
        <v/>
      </c>
      <c r="B63" s="247">
        <f t="shared" ca="1" si="1"/>
        <v>48</v>
      </c>
      <c r="C63" s="514">
        <f ca="1">IF(AUTOEVENTO="Manual",IF($B63&gt;0,OFFSET(EVENTOS!$D$15,$B63-$B$15,0),0),IF(B63&lt;=MAX(CÁLCULO!$M$15:$M$71),VLOOKUP($B63,CÁLCULO!$M$15:$N$71,2,FALSE),0))</f>
        <v>0</v>
      </c>
      <c r="D63" s="554"/>
      <c r="E63" s="248"/>
      <c r="F63"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x14ac:dyDescent="0.2">
      <c r="A64" s="7" t="str">
        <f ca="1">IF(AUTOEVENTO="Manual",IF(EVENTOS!$F64&gt;0,"F",""),IF(AND(B64&gt;0,B64&lt;=MAX(CÁLCULO!$M$15:$M$71)),"F",""))</f>
        <v/>
      </c>
      <c r="B64" s="247">
        <f t="shared" ca="1" si="1"/>
        <v>49</v>
      </c>
      <c r="C64" s="514">
        <f ca="1">IF(AUTOEVENTO="Manual",IF($B64&gt;0,OFFSET(EVENTOS!$D$15,$B64-$B$15,0),0),IF(B64&lt;=MAX(CÁLCULO!$M$15:$M$71),VLOOKUP($B64,CÁLCULO!$M$15:$N$71,2,FALSE),0))</f>
        <v>0</v>
      </c>
      <c r="D64" s="554"/>
      <c r="E64" s="248"/>
      <c r="F64"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58">
        <f>(ROW($G67)-ROW($G$67))/8*12+1</f>
        <v>1</v>
      </c>
      <c r="I67" s="758"/>
      <c r="J67" s="758">
        <f>H67+1</f>
        <v>2</v>
      </c>
      <c r="K67" s="758"/>
      <c r="L67" s="758">
        <f>J67+1</f>
        <v>3</v>
      </c>
      <c r="M67" s="758"/>
      <c r="N67" s="758">
        <f>L67+1</f>
        <v>4</v>
      </c>
      <c r="O67" s="758"/>
      <c r="P67" s="758">
        <f>N67+1</f>
        <v>5</v>
      </c>
      <c r="Q67" s="758"/>
      <c r="R67" s="758">
        <f>P67+1</f>
        <v>6</v>
      </c>
      <c r="S67" s="758"/>
      <c r="T67" s="758">
        <f>R67+1</f>
        <v>7</v>
      </c>
      <c r="U67" s="758"/>
      <c r="V67" s="758">
        <f>T67+1</f>
        <v>8</v>
      </c>
      <c r="W67" s="758"/>
      <c r="X67" s="758">
        <f>V67+1</f>
        <v>9</v>
      </c>
      <c r="Y67" s="758"/>
      <c r="Z67" s="758">
        <f>X67+1</f>
        <v>10</v>
      </c>
      <c r="AA67" s="758"/>
      <c r="AB67" s="758">
        <f>Z67+1</f>
        <v>11</v>
      </c>
      <c r="AC67" s="758"/>
      <c r="AD67" s="758">
        <f>AB67+1</f>
        <v>12</v>
      </c>
      <c r="AE67" s="758"/>
    </row>
    <row r="68" spans="1:31" ht="12.75" customHeight="1" x14ac:dyDescent="0.2">
      <c r="A68" s="7" t="s">
        <v>536</v>
      </c>
      <c r="C68" s="755" t="s">
        <v>780</v>
      </c>
      <c r="G68" s="551" t="s">
        <v>781</v>
      </c>
      <c r="H68" s="744" t="e">
        <f ca="1">OFFSET(CRONO!$T$54,0,CRONOPLE!H67)</f>
        <v>#DIV/0!</v>
      </c>
      <c r="I68" s="744"/>
      <c r="J68" s="744" t="e">
        <f ca="1">OFFSET(CRONO!$T$54,0,CRONOPLE!J67)</f>
        <v>#DIV/0!</v>
      </c>
      <c r="K68" s="744"/>
      <c r="L68" s="744" t="e">
        <f ca="1">OFFSET(CRONO!$T$54,0,CRONOPLE!L67)</f>
        <v>#DIV/0!</v>
      </c>
      <c r="M68" s="744"/>
      <c r="N68" s="744" t="e">
        <f ca="1">OFFSET(CRONO!$T$54,0,CRONOPLE!N67)</f>
        <v>#DIV/0!</v>
      </c>
      <c r="O68" s="744"/>
      <c r="P68" s="744" t="e">
        <f ca="1">OFFSET(CRONO!$T$54,0,CRONOPLE!P67)</f>
        <v>#DIV/0!</v>
      </c>
      <c r="Q68" s="744"/>
      <c r="R68" s="744" t="e">
        <f ca="1">OFFSET(CRONO!$T$54,0,CRONOPLE!R67)</f>
        <v>#DIV/0!</v>
      </c>
      <c r="S68" s="744"/>
      <c r="T68" s="744" t="e">
        <f ca="1">OFFSET(CRONO!$T$54,0,CRONOPLE!T67)</f>
        <v>#DIV/0!</v>
      </c>
      <c r="U68" s="744"/>
      <c r="V68" s="744" t="e">
        <f ca="1">OFFSET(CRONO!$T$54,0,CRONOPLE!V67)</f>
        <v>#DIV/0!</v>
      </c>
      <c r="W68" s="744"/>
      <c r="X68" s="744" t="e">
        <f ca="1">OFFSET(CRONO!$T$54,0,CRONOPLE!X67)</f>
        <v>#DIV/0!</v>
      </c>
      <c r="Y68" s="744"/>
      <c r="Z68" s="744" t="e">
        <f ca="1">OFFSET(CRONO!$T$54,0,CRONOPLE!Z67)</f>
        <v>#DIV/0!</v>
      </c>
      <c r="AA68" s="744"/>
      <c r="AB68" s="744" t="e">
        <f ca="1">OFFSET(CRONO!$T$54,0,CRONOPLE!AB67)</f>
        <v>#DIV/0!</v>
      </c>
      <c r="AC68" s="744"/>
      <c r="AD68" s="744" t="e">
        <f ca="1">OFFSET(CRONO!$T$54,0,CRONOPLE!AD67)</f>
        <v>#DIV/0!</v>
      </c>
      <c r="AE68" s="744"/>
    </row>
    <row r="69" spans="1:31" ht="12.75" customHeight="1" x14ac:dyDescent="0.2">
      <c r="A69" s="7" t="s">
        <v>536</v>
      </c>
      <c r="C69" s="756"/>
      <c r="G69" s="487" t="s">
        <v>782</v>
      </c>
      <c r="H69" s="757">
        <f ca="1">OFFSET(CRONO!$T$58,0,CRONOPLE!H67)</f>
        <v>0</v>
      </c>
      <c r="I69" s="757"/>
      <c r="J69" s="742">
        <f ca="1">OFFSET(CRONO!$T$58,0,CRONOPLE!J67)</f>
        <v>0</v>
      </c>
      <c r="K69" s="743"/>
      <c r="L69" s="742">
        <f ca="1">OFFSET(CRONO!$T$58,0,CRONOPLE!L67)</f>
        <v>0</v>
      </c>
      <c r="M69" s="743"/>
      <c r="N69" s="742">
        <f ca="1">OFFSET(CRONO!$T$58,0,CRONOPLE!N67)</f>
        <v>0</v>
      </c>
      <c r="O69" s="743"/>
      <c r="P69" s="742">
        <f ca="1">OFFSET(CRONO!$T$58,0,CRONOPLE!P67)</f>
        <v>0</v>
      </c>
      <c r="Q69" s="743"/>
      <c r="R69" s="742">
        <f ca="1">OFFSET(CRONO!$T$58,0,CRONOPLE!R67)</f>
        <v>0</v>
      </c>
      <c r="S69" s="743"/>
      <c r="T69" s="742">
        <f ca="1">OFFSET(CRONO!$T$58,0,CRONOPLE!T67)</f>
        <v>0</v>
      </c>
      <c r="U69" s="743"/>
      <c r="V69" s="742">
        <f ca="1">OFFSET(CRONO!$T$58,0,CRONOPLE!V67)</f>
        <v>0</v>
      </c>
      <c r="W69" s="743"/>
      <c r="X69" s="742">
        <f ca="1">OFFSET(CRONO!$T$58,0,CRONOPLE!X67)</f>
        <v>0</v>
      </c>
      <c r="Y69" s="743"/>
      <c r="Z69" s="742">
        <f ca="1">OFFSET(CRONO!$T$58,0,CRONOPLE!Z67)</f>
        <v>0</v>
      </c>
      <c r="AA69" s="743"/>
      <c r="AB69" s="742">
        <f ca="1">OFFSET(CRONO!$T$58,0,CRONOPLE!AB67)</f>
        <v>0</v>
      </c>
      <c r="AC69" s="743"/>
      <c r="AD69" s="742">
        <f ca="1">OFFSET(CRONO!$T$58,0,CRONOPLE!AD67)</f>
        <v>0</v>
      </c>
      <c r="AE69" s="743"/>
    </row>
    <row r="70" spans="1:31" ht="12.75" customHeight="1" x14ac:dyDescent="0.2">
      <c r="A70" s="7" t="s">
        <v>536</v>
      </c>
      <c r="C70" s="755" t="s">
        <v>783</v>
      </c>
      <c r="G70" s="551" t="s">
        <v>781</v>
      </c>
      <c r="H70" s="744" t="e">
        <f ca="1">OFFSET(CRONO!$T$59,0,CRONOPLE!H67)</f>
        <v>#DIV/0!</v>
      </c>
      <c r="I70" s="744"/>
      <c r="J70" s="747" t="e">
        <f ca="1">OFFSET(CRONO!$T$59,0,CRONOPLE!J67)</f>
        <v>#DIV/0!</v>
      </c>
      <c r="K70" s="748"/>
      <c r="L70" s="747" t="e">
        <f ca="1">OFFSET(CRONO!$T$59,0,CRONOPLE!L67)</f>
        <v>#DIV/0!</v>
      </c>
      <c r="M70" s="748"/>
      <c r="N70" s="747" t="e">
        <f ca="1">OFFSET(CRONO!$T$59,0,CRONOPLE!N67)</f>
        <v>#DIV/0!</v>
      </c>
      <c r="O70" s="748"/>
      <c r="P70" s="747" t="e">
        <f ca="1">OFFSET(CRONO!$T$59,0,CRONOPLE!P67)</f>
        <v>#DIV/0!</v>
      </c>
      <c r="Q70" s="748"/>
      <c r="R70" s="747" t="e">
        <f ca="1">OFFSET(CRONO!$T$59,0,CRONOPLE!R67)</f>
        <v>#DIV/0!</v>
      </c>
      <c r="S70" s="748"/>
      <c r="T70" s="747" t="e">
        <f ca="1">OFFSET(CRONO!$T$59,0,CRONOPLE!T67)</f>
        <v>#DIV/0!</v>
      </c>
      <c r="U70" s="748"/>
      <c r="V70" s="747" t="e">
        <f ca="1">OFFSET(CRONO!$T$59,0,CRONOPLE!V67)</f>
        <v>#DIV/0!</v>
      </c>
      <c r="W70" s="748"/>
      <c r="X70" s="747" t="e">
        <f ca="1">OFFSET(CRONO!$T$59,0,CRONOPLE!X67)</f>
        <v>#DIV/0!</v>
      </c>
      <c r="Y70" s="748"/>
      <c r="Z70" s="747" t="e">
        <f ca="1">OFFSET(CRONO!$T$59,0,CRONOPLE!Z67)</f>
        <v>#DIV/0!</v>
      </c>
      <c r="AA70" s="748"/>
      <c r="AB70" s="747" t="e">
        <f ca="1">OFFSET(CRONO!$T$59,0,CRONOPLE!AB67)</f>
        <v>#DIV/0!</v>
      </c>
      <c r="AC70" s="748"/>
      <c r="AD70" s="747" t="e">
        <f ca="1">OFFSET(CRONO!$T$59,0,CRONOPLE!AD67)</f>
        <v>#DIV/0!</v>
      </c>
      <c r="AE70" s="748"/>
    </row>
    <row r="71" spans="1:31" ht="12.75" customHeight="1" x14ac:dyDescent="0.2">
      <c r="A71" s="7" t="s">
        <v>536</v>
      </c>
      <c r="C71" s="761"/>
      <c r="G71" s="487" t="s">
        <v>782</v>
      </c>
      <c r="H71" s="760">
        <f ca="1">OFFSET(CRONO!$T$63,0,CRONOPLE!H67)</f>
        <v>0</v>
      </c>
      <c r="I71" s="760"/>
      <c r="J71" s="749">
        <f ca="1">OFFSET(CRONO!$T$63,0,CRONOPLE!J67)</f>
        <v>0</v>
      </c>
      <c r="K71" s="750"/>
      <c r="L71" s="749">
        <f ca="1">OFFSET(CRONO!$T$63,0,CRONOPLE!L67)</f>
        <v>0</v>
      </c>
      <c r="M71" s="750"/>
      <c r="N71" s="749">
        <f ca="1">OFFSET(CRONO!$T$63,0,CRONOPLE!N67)</f>
        <v>0</v>
      </c>
      <c r="O71" s="750"/>
      <c r="P71" s="749">
        <f ca="1">OFFSET(CRONO!$T$63,0,CRONOPLE!P67)</f>
        <v>0</v>
      </c>
      <c r="Q71" s="750"/>
      <c r="R71" s="749">
        <f ca="1">OFFSET(CRONO!$T$63,0,CRONOPLE!R67)</f>
        <v>0</v>
      </c>
      <c r="S71" s="750"/>
      <c r="T71" s="749">
        <f ca="1">OFFSET(CRONO!$T$63,0,CRONOPLE!T67)</f>
        <v>0</v>
      </c>
      <c r="U71" s="750"/>
      <c r="V71" s="749">
        <f ca="1">OFFSET(CRONO!$T$63,0,CRONOPLE!V67)</f>
        <v>0</v>
      </c>
      <c r="W71" s="750"/>
      <c r="X71" s="749">
        <f ca="1">OFFSET(CRONO!$T$63,0,CRONOPLE!X67)</f>
        <v>0</v>
      </c>
      <c r="Y71" s="750"/>
      <c r="Z71" s="749">
        <f ca="1">OFFSET(CRONO!$T$63,0,CRONOPLE!Z67)</f>
        <v>0</v>
      </c>
      <c r="AA71" s="750"/>
      <c r="AB71" s="749">
        <f ca="1">OFFSET(CRONO!$T$63,0,CRONOPLE!AB67)</f>
        <v>0</v>
      </c>
      <c r="AC71" s="750"/>
      <c r="AD71" s="749">
        <f ca="1">OFFSET(CRONO!$T$63,0,CRONOPLE!AD67)</f>
        <v>0</v>
      </c>
      <c r="AE71" s="750"/>
    </row>
    <row r="72" spans="1:31" ht="12.75" customHeight="1" x14ac:dyDescent="0.2">
      <c r="A72" s="7" t="s">
        <v>536</v>
      </c>
      <c r="C72" s="552" t="s">
        <v>784</v>
      </c>
      <c r="D72" s="550"/>
      <c r="G72" s="551" t="s">
        <v>781</v>
      </c>
      <c r="H72" s="744" t="str">
        <f ca="1">OFFSET(CRONO!$T$64,0,CRONOPLE!H67)</f>
        <v/>
      </c>
      <c r="I72" s="744"/>
      <c r="J72" s="745" t="str">
        <f ca="1">OFFSET(CRONO!$T$64,0,CRONOPLE!J67)</f>
        <v/>
      </c>
      <c r="K72" s="746"/>
      <c r="L72" s="745" t="str">
        <f ca="1">OFFSET(CRONO!$T$64,0,CRONOPLE!L67)</f>
        <v/>
      </c>
      <c r="M72" s="746"/>
      <c r="N72" s="745" t="str">
        <f ca="1">OFFSET(CRONO!$T$64,0,CRONOPLE!N67)</f>
        <v/>
      </c>
      <c r="O72" s="746"/>
      <c r="P72" s="745" t="str">
        <f ca="1">OFFSET(CRONO!$T$64,0,CRONOPLE!P67)</f>
        <v/>
      </c>
      <c r="Q72" s="746"/>
      <c r="R72" s="745" t="str">
        <f ca="1">OFFSET(CRONO!$T$64,0,CRONOPLE!R67)</f>
        <v/>
      </c>
      <c r="S72" s="746"/>
      <c r="T72" s="745" t="str">
        <f ca="1">OFFSET(CRONO!$T$64,0,CRONOPLE!T67)</f>
        <v/>
      </c>
      <c r="U72" s="746"/>
      <c r="V72" s="745" t="str">
        <f ca="1">OFFSET(CRONO!$T$64,0,CRONOPLE!V67)</f>
        <v/>
      </c>
      <c r="W72" s="746"/>
      <c r="X72" s="745" t="str">
        <f ca="1">OFFSET(CRONO!$T$64,0,CRONOPLE!X67)</f>
        <v/>
      </c>
      <c r="Y72" s="746"/>
      <c r="Z72" s="745" t="str">
        <f ca="1">OFFSET(CRONO!$T$64,0,CRONOPLE!Z67)</f>
        <v/>
      </c>
      <c r="AA72" s="746"/>
      <c r="AB72" s="745" t="str">
        <f ca="1">OFFSET(CRONO!$T$64,0,CRONOPLE!AB67)</f>
        <v/>
      </c>
      <c r="AC72" s="746"/>
      <c r="AD72" s="745" t="str">
        <f ca="1">OFFSET(CRONO!$T$64,0,CRONOPLE!AD67)</f>
        <v/>
      </c>
      <c r="AE72" s="746"/>
    </row>
    <row r="73" spans="1:31" ht="15" customHeight="1" x14ac:dyDescent="0.25">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
      <c r="A74" s="7" t="s">
        <v>536</v>
      </c>
    </row>
    <row r="75" spans="1:31" ht="15" x14ac:dyDescent="0.2">
      <c r="A75" s="7" t="s">
        <v>536</v>
      </c>
      <c r="B75" s="138" t="str">
        <f>Import.Município</f>
        <v>SÃO LUIZ GONZAGA/RS</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Nome: ÍGOR KIST</v>
      </c>
    </row>
    <row r="78" spans="1:31" ht="16.5" x14ac:dyDescent="0.3">
      <c r="A78" s="7" t="s">
        <v>536</v>
      </c>
      <c r="B78" s="762">
        <f>DADOS!$C$25</f>
        <v>46237</v>
      </c>
      <c r="C78" s="762"/>
      <c r="F78" s="185"/>
      <c r="G78" s="185"/>
      <c r="H78" s="185"/>
      <c r="I78" s="185"/>
      <c r="J78" s="185"/>
      <c r="K78" s="185"/>
      <c r="L78" s="187"/>
      <c r="V78" s="398" t="str">
        <f ca="1"/>
        <v>CREA/CAU: RS246150</v>
      </c>
    </row>
    <row r="79" spans="1:31" x14ac:dyDescent="0.2">
      <c r="A79" s="7" t="s">
        <v>536</v>
      </c>
      <c r="B79" s="9" t="s">
        <v>694</v>
      </c>
      <c r="F79" s="185"/>
      <c r="G79" s="185"/>
      <c r="H79" s="185"/>
      <c r="I79" s="185"/>
      <c r="J79" s="185"/>
      <c r="K79" s="185"/>
      <c r="L79" s="187"/>
      <c r="V79" s="398" t="str">
        <f ca="1"/>
        <v>ART/RRT: 14571519</v>
      </c>
    </row>
  </sheetData>
  <sheetProtection algorithmName="SHA-512" hashValue="KzngweqIZ25qISkeVS5CJqv2SHMl8pgd1ORE3nIkSN6GkQ8yLM00GFWI6/XcW/Ez0z36eR+vwpfefiGwyEJt3w==" saltValue="76JA/LeZ+iFNEnsQYablNQ==" spinCount="100000" sheet="1" objects="1" scenarios="1" autoFilter="0"/>
  <autoFilter ref="A13:A79"/>
  <mergeCells count="86">
    <mergeCell ref="C70:C71"/>
    <mergeCell ref="H72:I72"/>
    <mergeCell ref="J72:K72"/>
    <mergeCell ref="X70:Y70"/>
    <mergeCell ref="B78:C78"/>
    <mergeCell ref="V71:W71"/>
    <mergeCell ref="X71:Y71"/>
    <mergeCell ref="L72:M72"/>
    <mergeCell ref="N72:O72"/>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T69:U69"/>
    <mergeCell ref="V69:W69"/>
    <mergeCell ref="L68:M68"/>
    <mergeCell ref="N68:O68"/>
    <mergeCell ref="L69:M69"/>
    <mergeCell ref="N69:O69"/>
    <mergeCell ref="P68:Q68"/>
    <mergeCell ref="R68:S68"/>
    <mergeCell ref="T68:U68"/>
    <mergeCell ref="H67:I67"/>
    <mergeCell ref="J67:K67"/>
    <mergeCell ref="L67:M67"/>
    <mergeCell ref="T67:U67"/>
    <mergeCell ref="B8:C8"/>
    <mergeCell ref="B12:B13"/>
    <mergeCell ref="C12:C13"/>
    <mergeCell ref="N67:O67"/>
    <mergeCell ref="P67:Q67"/>
    <mergeCell ref="R67:S67"/>
    <mergeCell ref="AD67:AE67"/>
    <mergeCell ref="X68:Y68"/>
    <mergeCell ref="Z68:AA68"/>
    <mergeCell ref="V68:W68"/>
    <mergeCell ref="AB67:AC67"/>
    <mergeCell ref="X67:Y67"/>
    <mergeCell ref="Z67:AA67"/>
    <mergeCell ref="V67:W67"/>
    <mergeCell ref="C68:C69"/>
    <mergeCell ref="H68:I68"/>
    <mergeCell ref="J68:K68"/>
    <mergeCell ref="H69:I69"/>
    <mergeCell ref="J69:K69"/>
    <mergeCell ref="AC2:AE2"/>
    <mergeCell ref="B4:D4"/>
    <mergeCell ref="G4:I4"/>
    <mergeCell ref="J4:L4"/>
    <mergeCell ref="B5:D5"/>
    <mergeCell ref="G5:I5"/>
    <mergeCell ref="J5:L5"/>
    <mergeCell ref="M5:AE5"/>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B69:AC69"/>
    <mergeCell ref="AB68:AC68"/>
    <mergeCell ref="AD68:AE68"/>
    <mergeCell ref="AD69:AE69"/>
    <mergeCell ref="Z69:AA69"/>
  </mergeCells>
  <phoneticPr fontId="38" type="noConversion"/>
  <conditionalFormatting sqref="E1 G1:AE1">
    <cfRule type="expression" dxfId="205" priority="802" stopIfTrue="1">
      <formula>IF(OR(E$12&gt;CÁLCULO.NúmeroDeFrentes,ACOMPANHAMENTO="BM"),TRUE,CRONOPLE.ValorDoEvento=0)</formula>
    </cfRule>
  </conditionalFormatting>
  <conditionalFormatting sqref="U4:Y4">
    <cfRule type="expression" dxfId="204" priority="692" stopIfTrue="1">
      <formula>QCI.ExisteManual</formula>
    </cfRule>
  </conditionalFormatting>
  <conditionalFormatting sqref="J67:AE67">
    <cfRule type="expression" dxfId="203" priority="691" stopIfTrue="1">
      <formula>OFFSET(J67,3,-2)=1</formula>
    </cfRule>
  </conditionalFormatting>
  <conditionalFormatting sqref="J68:AE68">
    <cfRule type="expression" dxfId="202" priority="686" stopIfTrue="1">
      <formula>OFFSET(J68,2,-2)=1</formula>
    </cfRule>
  </conditionalFormatting>
  <conditionalFormatting sqref="J69:AE69">
    <cfRule type="expression" dxfId="201" priority="685" stopIfTrue="1">
      <formula>OFFSET(J69,1,-2)=1</formula>
    </cfRule>
  </conditionalFormatting>
  <conditionalFormatting sqref="J70:AE70">
    <cfRule type="expression" dxfId="200" priority="684" stopIfTrue="1">
      <formula>OFFSET(J70,0,-2)=1</formula>
    </cfRule>
  </conditionalFormatting>
  <conditionalFormatting sqref="J71:AE71">
    <cfRule type="expression" dxfId="199" priority="683" stopIfTrue="1">
      <formula>OFFSET(J71,-1,-2)=1</formula>
    </cfRule>
  </conditionalFormatting>
  <conditionalFormatting sqref="B15:C15 E15 G15:AF15">
    <cfRule type="expression" dxfId="198" priority="507">
      <formula>$B$15=0</formula>
    </cfRule>
  </conditionalFormatting>
  <conditionalFormatting sqref="B8:C8">
    <cfRule type="expression" dxfId="197" priority="506">
      <formula>$B$7=""</formula>
    </cfRule>
  </conditionalFormatting>
  <conditionalFormatting sqref="J72:AE72">
    <cfRule type="expression" dxfId="196" priority="505">
      <formula>OFFSET(J72,-2,-2)=1</formula>
    </cfRule>
  </conditionalFormatting>
  <conditionalFormatting sqref="H72:AE72">
    <cfRule type="expression" dxfId="195" priority="504">
      <formula>ROUND(H72,4)&gt;ROUND(H70,4)</formula>
    </cfRule>
  </conditionalFormatting>
  <conditionalFormatting sqref="E16:E24 G16:AE24">
    <cfRule type="expression" dxfId="194" priority="6" stopIfTrue="1">
      <formula>IF(OR(E$12&gt;CÁLCULO.NúmeroDeFrentes,ACOMPANHAMENTO="BM"),TRUE,CRONOPLE.ValorDoEvento=0)</formula>
    </cfRule>
  </conditionalFormatting>
  <conditionalFormatting sqref="E25:E33 G25:AE33">
    <cfRule type="expression" dxfId="193" priority="5" stopIfTrue="1">
      <formula>IF(OR(E$12&gt;CÁLCULO.NúmeroDeFrentes,ACOMPANHAMENTO="BM"),TRUE,CRONOPLE.ValorDoEvento=0)</formula>
    </cfRule>
  </conditionalFormatting>
  <conditionalFormatting sqref="E34:E42 G34:AE42">
    <cfRule type="expression" dxfId="192" priority="4" stopIfTrue="1">
      <formula>IF(OR(E$12&gt;CÁLCULO.NúmeroDeFrentes,ACOMPANHAMENTO="BM"),TRUE,CRONOPLE.ValorDoEvento=0)</formula>
    </cfRule>
  </conditionalFormatting>
  <conditionalFormatting sqref="E43:E51 G43:AE51">
    <cfRule type="expression" dxfId="191" priority="3" stopIfTrue="1">
      <formula>IF(OR(E$12&gt;CÁLCULO.NúmeroDeFrentes,ACOMPANHAMENTO="BM"),TRUE,CRONOPLE.ValorDoEvento=0)</formula>
    </cfRule>
  </conditionalFormatting>
  <conditionalFormatting sqref="E52:E60 G52:AE60">
    <cfRule type="expression" dxfId="190" priority="2" stopIfTrue="1">
      <formula>IF(OR(E$12&gt;CÁLCULO.NúmeroDeFrentes,ACOMPANHAMENTO="BM"),TRUE,CRONOPLE.ValorDoEvento=0)</formula>
    </cfRule>
  </conditionalFormatting>
  <conditionalFormatting sqref="E61:E64 G61:AE64">
    <cfRule type="expression" dxfId="189"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formula1>0</formula1>
      <formula2>0</formula2>
    </dataValidation>
    <dataValidation type="list" allowBlank="1" showInputMessage="1" showErrorMessage="1" errorTitle="Atenção" error="Selecione uma opção da lista." prompt="Selecione uma opção da lista." sqref="B8:C8">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9" filterMode="1"/>
  <dimension ref="A1:AG70"/>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IF($F2=-1,0,IF(N$13&lt;=$M1,IF(ISERROR(MATCH(N$13,OFFSET($M1,1,0,ROW($M$53)-ROW($M1)-1),0)),ROW($M$53)-ROW($M1)-1,MATCH(N$13,OFFSET($M1,1,0,ROW($M$53)-ROW($M1)-1),0)-1),0))</f>
        <v>#REF!</v>
      </c>
      <c r="O1" s="193" t="e">
        <f ca="1">IF($F2=-1,0,IF(O$13&lt;=$M1,IF(ISERROR(MATCH(O$13,OFFSET($M1,1,0,ROW($M$53)-ROW($M1)-1),0)),ROW($M$53)-ROW($M1)-1,MATCH(O$13,OFFSET($M1,1,0,ROW($M$53)-ROW($M1)-1),0)-1),0))</f>
        <v>#REF!</v>
      </c>
      <c r="P1" s="193" t="e">
        <f ca="1">IF($F2=-1,0,IF(P$13&lt;=$M1,IF(ISERROR(MATCH(P$13,OFFSET($M1,1,0,ROW($M$53)-ROW($M1)-1),0)),ROW($M$53)-ROW($M1)-1,MATCH(P$13,OFFSET($M1,1,0,ROW($M$53)-ROW($M1)-1),0)-1),0))</f>
        <v>#REF!</v>
      </c>
      <c r="Q1" s="193" t="e">
        <f ca="1">IF($F2=-1,0,IF(Q$13&lt;=$M1,IF(ISERROR(MATCH(Q$13,OFFSET($M1,1,0,ROW($M$53)-ROW($M1)-1),0)),ROW($M$53)-ROW($M1)-1,MATCH(Q$13,OFFSET($M1,1,0,ROW($M$53)-ROW($M1)-1),0)-1),0))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e" cm="1">
        <f t="array" aca="1" ref="G2" ca="1">IF(ACOMPANHAMENTO="BM",OFFSET(G2,-1,0),"")</f>
        <v>#REF!</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SUMIF(CÁLCULO!$AM$15:$AW$71,CRONO!E$12,CÁLCULO!$AB$15:$AL$71)/(ORÇAMENTO!$X$15-CÁLCULO.TotalAdmLocal)*CRONO!$F3,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SUMIF(CÁLCULO!$AM$15:$AW$71,CRONO!U$12,CÁLCULO!$AB$15:$AL$71)/(ORÇAMENTO!$X$15-CÁLCULO.TotalAdmLocal)*CRONO!$F3,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SUMIF(CÁLCULO!$AM$15:$AW$71,CRONO!V$12,CÁLCULO!$AB$15:$AL$71)/(ORÇAMENTO!$X$15-CÁLCULO.TotalAdmLocal)*CRONO!$F3,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SUMIF(CÁLCULO!$AM$15:$AW$71,CRONO!W$12,CÁLCULO!$AB$15:$AL$71)/(ORÇAMENTO!$X$15-CÁLCULO.TotalAdmLocal)*CRONO!$F3,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SUMIF(CÁLCULO!$AM$15:$AW$71,CRONO!X$12,CÁLCULO!$AB$15:$AL$71)/(ORÇAMENTO!$X$15-CÁLCULO.TotalAdmLocal)*CRONO!$F3,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SUMIF(CÁLCULO!$AM$15:$AW$71,CRONO!Y$12,CÁLCULO!$AB$15:$AL$71)/(ORÇAMENTO!$X$15-CÁLCULO.TotalAdmLocal)*CRONO!$F3,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SUMIF(CÁLCULO!$AM$15:$AW$71,CRONO!Z$12,CÁLCULO!$AB$15:$AL$71)/(ORÇAMENTO!$X$15-CÁLCULO.TotalAdmLocal)*CRONO!$F3,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SUMIF(CÁLCULO!$AM$15:$AW$71,CRONO!AA$12,CÁLCULO!$AB$15:$AL$71)/(ORÇAMENTO!$X$15-CÁLCULO.TotalAdmLocal)*CRONO!$F3,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SUMIF(CÁLCULO!$AM$15:$AW$71,CRONO!AB$12,CÁLCULO!$AB$15:$AL$71)/(ORÇAMENTO!$X$15-CÁLCULO.TotalAdmLocal)*CRONO!$F3,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SUMIF(CÁLCULO!$AM$15:$AW$71,CRONO!AC$12,CÁLCULO!$AB$15:$AL$71)/(ORÇAMENTO!$X$15-CÁLCULO.TotalAdmLocal)*CRONO!$F3,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SUMIF(CÁLCULO!$AM$15:$AW$71,CRONO!AD$12,CÁLCULO!$AB$15:$AL$71)/(ORÇAMENTO!$X$15-CÁLCULO.TotalAdmLocal)*CRONO!$F3,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SUMIF(CÁLCULO!$AM$15:$AW$71,CRONO!AE$12,CÁLCULO!$AB$15:$AL$71)/(ORÇAMENTO!$X$15-CÁLCULO.TotalAdmLocal)*CRONO!$F3,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SUMIF(CÁLCULO!$AM$15:$AW$71,CRONO!AF$12,CÁLCULO!$AB$15:$AL$71)/(ORÇAMENTO!$X$15-CÁLCULO.TotalAdmLocal)*CRONO!$F3,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681" t="s">
        <v>644</v>
      </c>
      <c r="AF4" s="681"/>
    </row>
    <row r="5" spans="1:33" ht="15" x14ac:dyDescent="0.2">
      <c r="S5" s="83" t="str">
        <f>import.recurso</f>
        <v>OGU</v>
      </c>
      <c r="AE5" s="682" t="s">
        <v>647</v>
      </c>
      <c r="AF5" s="682"/>
    </row>
    <row r="6" spans="1:33" ht="12.75" customHeight="1" x14ac:dyDescent="0.2"/>
    <row r="7" spans="1:33" ht="12.75" customHeight="1" x14ac:dyDescent="0.2">
      <c r="F7" s="207"/>
      <c r="H7" s="764"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709" t="s">
        <v>655</v>
      </c>
      <c r="H8" s="764"/>
      <c r="I8" s="763" t="str">
        <f>Import.CR</f>
        <v>0</v>
      </c>
      <c r="J8" s="763"/>
      <c r="K8" s="214" t="str">
        <f>Import.TransfereGOV</f>
        <v>0</v>
      </c>
      <c r="L8" s="773" t="str">
        <f>Import.Proponente</f>
        <v>PREFEITURA MUNICIPAL DE SÃO LUIZ GONZAGA</v>
      </c>
      <c r="M8" s="773"/>
      <c r="N8" s="773"/>
      <c r="O8" s="773"/>
      <c r="P8" s="773"/>
      <c r="Q8" s="773"/>
      <c r="R8" s="773"/>
      <c r="S8" s="773"/>
      <c r="T8" s="773"/>
      <c r="U8" s="763" t="str">
        <f>Import.Apelido</f>
        <v>OBRAS COMPLEMENTARES NA EMEF SANTA RITA</v>
      </c>
      <c r="V8" s="763"/>
      <c r="W8" s="763"/>
      <c r="X8" s="763"/>
      <c r="Y8" s="763"/>
      <c r="Z8" s="765" t="str" cm="1">
        <f t="array" ref="Z8">IF(TIPOORCAMENTO="Licitado",Import.empresa,Import.DescLote)</f>
        <v>OBRAS COMPLEMENTARES NA EMEF SANTA RITA</v>
      </c>
      <c r="AA8" s="765"/>
      <c r="AB8" s="765"/>
      <c r="AC8" s="765"/>
      <c r="AD8" s="765"/>
      <c r="AE8" s="765"/>
      <c r="AF8" s="203" t="str" cm="1">
        <f t="array" ref="AF8">IF(TIPOORCAMENTO="Licitado",Import.CTEF,"")</f>
        <v/>
      </c>
    </row>
    <row r="9" spans="1:33" x14ac:dyDescent="0.2">
      <c r="A9" s="655">
        <v>2</v>
      </c>
      <c r="F9" s="114"/>
      <c r="G9" s="709"/>
      <c r="H9" s="764"/>
    </row>
    <row r="10" spans="1:33" x14ac:dyDescent="0.2">
      <c r="A10" s="656">
        <v>3</v>
      </c>
      <c r="F10" s="185" cm="1">
        <f t="array" aca="1" ref="F10" ca="1">CRONO.LinhasNecessarias</f>
        <v>13</v>
      </c>
      <c r="G10" s="709"/>
      <c r="H10" s="215">
        <v>2</v>
      </c>
      <c r="K10" s="774" t="str" cm="1">
        <f t="array" aca="1" ref="K10" ca="1">IF(MAX($B$13:$B$53)&lt;CRONO.LinhasNecessarias,"ERRO: NÚMERO DE LINHAS DO CRONOGRAMA INSUFICIENTE. CLIQUE EM ATUALIZAR LINHAS.",IF(AND(ACOMPANHAMENTO="PLE",ROUND(OFFSET($AG$63,0,-1),2)=0),"CRONOGRAMA DEVE SER PREENCHIDO POR EVENTOS",IF(ROUND(OFFSET($AG$63,0,-1),2)&lt;&gt;$R$54,"ERRO: CRONOGRAMA NÃO FECHA 100%","")))</f>
        <v/>
      </c>
      <c r="L10" s="774"/>
      <c r="M10" s="774"/>
      <c r="N10" s="774"/>
      <c r="O10" s="774"/>
      <c r="P10" s="774"/>
      <c r="Q10" s="774"/>
      <c r="R10" s="774"/>
      <c r="S10" s="774"/>
      <c r="T10" s="774"/>
    </row>
    <row r="11" spans="1:33" ht="12.75" customHeight="1" x14ac:dyDescent="0.2">
      <c r="A11" s="657">
        <v>4</v>
      </c>
      <c r="F11" s="185" t="e" cm="1">
        <f t="array" aca="1" ref="F11" ca="1">CRONO.ParcelaFinal</f>
        <v>#N/A</v>
      </c>
      <c r="G11" s="709"/>
      <c r="I11" s="216"/>
      <c r="J11" s="216"/>
      <c r="K11" s="774"/>
      <c r="L11" s="774"/>
      <c r="M11" s="774"/>
      <c r="N11" s="774"/>
      <c r="O11" s="774"/>
      <c r="P11" s="774"/>
      <c r="Q11" s="774"/>
      <c r="R11" s="774"/>
      <c r="S11" s="774"/>
      <c r="T11" s="774"/>
    </row>
    <row r="12" spans="1:33" ht="12.75" customHeight="1" x14ac:dyDescent="0.2">
      <c r="A12" s="186" t="s">
        <v>789</v>
      </c>
      <c r="E12" s="217">
        <f ca="1">OFFSET(E12,0,-1)+1</f>
        <v>1</v>
      </c>
      <c r="G12" s="106" t="s">
        <v>660</v>
      </c>
      <c r="H12" s="766" t="s">
        <v>790</v>
      </c>
      <c r="I12" s="767" t="s">
        <v>735</v>
      </c>
      <c r="J12" s="768" t="s">
        <v>118</v>
      </c>
      <c r="K12" s="218"/>
      <c r="L12" s="218"/>
      <c r="M12" s="219"/>
      <c r="N12" s="219"/>
      <c r="O12" s="219"/>
      <c r="P12" s="219"/>
      <c r="Q12" s="219"/>
      <c r="R12" s="219"/>
      <c r="S12" s="771" t="s">
        <v>791</v>
      </c>
      <c r="T12" s="772"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66"/>
      <c r="I13" s="767"/>
      <c r="J13" s="768"/>
      <c r="K13" s="223"/>
      <c r="L13" s="223"/>
      <c r="M13" s="224" t="s">
        <v>733</v>
      </c>
      <c r="N13" s="224">
        <v>1</v>
      </c>
      <c r="O13" s="224">
        <v>2</v>
      </c>
      <c r="P13" s="224">
        <v>3</v>
      </c>
      <c r="Q13" s="224">
        <v>4</v>
      </c>
      <c r="R13" s="225" t="s">
        <v>796</v>
      </c>
      <c r="S13" s="771"/>
      <c r="T13" s="772"/>
      <c r="U13" s="226">
        <v>46357</v>
      </c>
      <c r="V13" s="222">
        <f ca="1">OFFSET(V13,0,-1)+41-DAY(OFFSET(V13,0,-1)+40)</f>
        <v>46388</v>
      </c>
      <c r="W13" s="222">
        <f ca="1">OFFSET(W13,0,-1)+41-DAY(OFFSET(W13,0,-1)+40)</f>
        <v>46419</v>
      </c>
      <c r="X13" s="222">
        <f t="shared" ref="X13:AF13" ca="1" si="1">OFFSET(X13,0,-1)+41-DAY(OFFSET(X13,0,-1)+40)</f>
        <v>46447</v>
      </c>
      <c r="Y13" s="222">
        <f t="shared" ca="1" si="1"/>
        <v>46478</v>
      </c>
      <c r="Z13" s="222">
        <f t="shared" ca="1" si="1"/>
        <v>46508</v>
      </c>
      <c r="AA13" s="222">
        <f t="shared" ca="1" si="1"/>
        <v>46539</v>
      </c>
      <c r="AB13" s="222">
        <f t="shared" ca="1" si="1"/>
        <v>46569</v>
      </c>
      <c r="AC13" s="222">
        <f t="shared" ca="1" si="1"/>
        <v>46600</v>
      </c>
      <c r="AD13" s="222">
        <f t="shared" ca="1" si="1"/>
        <v>46631</v>
      </c>
      <c r="AE13" s="222">
        <f t="shared" ca="1" si="1"/>
        <v>46661</v>
      </c>
      <c r="AF13" s="538">
        <f t="shared" ca="1" si="1"/>
        <v>46692</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t="e" cm="1">
        <f t="array" aca="1" ref="E14" ca="1">IF(AND($R14=2,ACOMPANHAMENTO="BM"),ROUND(E15,4),E16/$S14)</f>
        <v>#DIV/0!</v>
      </c>
      <c r="F14" s="185" cm="1">
        <f t="array" aca="1" ref="F14" ca="1">IF(B14&lt;=ORÇAMENTO.MáximoListaCrono,MATCH(B14,ORÇAMENTO.ListaCrono,0),NA())</f>
        <v>1</v>
      </c>
      <c r="G14" s="185" t="str">
        <f t="shared" ref="G14" ca="1" si="4">IF(AND($F15&lt;&gt;-1,$S14&gt;0),"F","")</f>
        <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OBRAS COMPLEMENTARES NA EMEF SANTA RITA</v>
      </c>
      <c r="K14" s="191"/>
      <c r="L14" s="191"/>
      <c r="M14" s="192">
        <f ca="1">IF($F15=0,OFFSET(ORÇAMENTO!C$15,$F14,0),1)</f>
        <v>1</v>
      </c>
      <c r="N14" s="193">
        <f ca="1">IF($F15=-1,0,IF(N$13&lt;=$M14,IF(ISERROR(MATCH(N$13,OFFSET($M14,1,0,ROW($M$53)-ROW($M14)-1),0)),ROW($M$53)-ROW($M14)-1,MATCH(N$13,OFFSET($M14,1,0,ROW($M$53)-ROW($M14)-1),0)-1),0))</f>
        <v>14</v>
      </c>
      <c r="O14" s="193">
        <f ca="1">IF($F15=-1,0,IF(O$13&lt;=$M14,IF(ISERROR(MATCH(O$13,OFFSET($M14,1,0,ROW($M$53)-ROW($M14)-1),0)),ROW($M$53)-ROW($M14)-1,MATCH(O$13,OFFSET($M14,1,0,ROW($M$53)-ROW($M14)-1),0)-1),0))</f>
        <v>0</v>
      </c>
      <c r="P14" s="193">
        <f ca="1">IF($F15=-1,0,IF(P$13&lt;=$M14,IF(ISERROR(MATCH(P$13,OFFSET($M14,1,0,ROW($M$53)-ROW($M14)-1),0)),ROW($M$53)-ROW($M14)-1,MATCH(P$13,OFFSET($M14,1,0,ROW($M$53)-ROW($M14)-1),0)-1),0))</f>
        <v>0</v>
      </c>
      <c r="Q14" s="193">
        <f ca="1">IF($F15=-1,0,IF(Q$13&lt;=$M14,IF(ISERROR(MATCH(Q$13,OFFSET($M14,1,0,ROW($M$53)-ROW($M14)-1),0)),ROW($M$53)-ROW($M14)-1,MATCH(Q$13,OFFSET($M14,1,0,ROW($M$53)-ROW($M14)-1),0)-1),0))</f>
        <v>0</v>
      </c>
      <c r="R14" s="193">
        <f t="shared" ref="R14" ca="1" si="5">MIN(OFFSET(M14,0,1,,M14))</f>
        <v>14</v>
      </c>
      <c r="S14" s="194">
        <f ca="1">IF($F15=0,OFFSET(ORÇAMENTO!X$15,$F14,0),IF($F15&lt;&gt;-1,OFFSET(QCI!$O$13,$F15,0),""))</f>
        <v>0</v>
      </c>
      <c r="T14" s="195" t="s">
        <v>785</v>
      </c>
      <c r="U14" s="188" t="e" cm="1">
        <f t="array" aca="1" ref="U14" ca="1">IF(AND($R14=2,ACOMPANHAMENTO="BM"),ROUND(U15,4),U16/$S14)</f>
        <v>#DIV/0!</v>
      </c>
      <c r="V14" s="188" t="e" cm="1">
        <f t="array" aca="1" ref="V14" ca="1">IF(AND($R14=2,ACOMPANHAMENTO="BM"),ROUND(V15,4),V16/$S14)</f>
        <v>#DIV/0!</v>
      </c>
      <c r="W14" s="188" t="e" cm="1">
        <f t="array" aca="1" ref="W14" ca="1">IF(AND($R14=2,ACOMPANHAMENTO="BM"),ROUND(W15,4),W16/$S14)</f>
        <v>#DIV/0!</v>
      </c>
      <c r="X14" s="188" t="e" cm="1">
        <f t="array" aca="1" ref="X14" ca="1">IF(AND($R14=2,ACOMPANHAMENTO="BM"),ROUND(X15,4),X16/$S14)</f>
        <v>#DIV/0!</v>
      </c>
      <c r="Y14" s="188" t="e" cm="1">
        <f t="array" aca="1" ref="Y14" ca="1">IF(AND($R14=2,ACOMPANHAMENTO="BM"),ROUND(Y15,4),Y16/$S14)</f>
        <v>#DIV/0!</v>
      </c>
      <c r="Z14" s="188" t="e" cm="1">
        <f t="array" aca="1" ref="Z14" ca="1">IF(AND($R14=2,ACOMPANHAMENTO="BM"),ROUND(Z15,4),Z16/$S14)</f>
        <v>#DIV/0!</v>
      </c>
      <c r="AA14" s="188" t="e" cm="1">
        <f t="array" aca="1" ref="AA14" ca="1">IF(AND($R14=2,ACOMPANHAMENTO="BM"),ROUND(AA15,4),AA16/$S14)</f>
        <v>#DIV/0!</v>
      </c>
      <c r="AB14" s="188" t="e" cm="1">
        <f t="array" aca="1" ref="AB14" ca="1">IF(AND($R14=2,ACOMPANHAMENTO="BM"),ROUND(AB15,4),AB16/$S14)</f>
        <v>#DIV/0!</v>
      </c>
      <c r="AC14" s="188" t="e" cm="1">
        <f t="array" aca="1" ref="AC14" ca="1">IF(AND($R14=2,ACOMPANHAMENTO="BM"),ROUND(AC15,4),AC16/$S14)</f>
        <v>#DIV/0!</v>
      </c>
      <c r="AD14" s="188" t="e" cm="1">
        <f t="array" aca="1" ref="AD14" ca="1">IF(AND($R14=2,ACOMPANHAMENTO="BM"),ROUND(AD15,4),AD16/$S14)</f>
        <v>#DIV/0!</v>
      </c>
      <c r="AE14" s="188" t="e" cm="1">
        <f t="array" aca="1" ref="AE14" ca="1">IF(AND($R14=2,ACOMPANHAMENTO="BM"),ROUND(AE15,4),AE16/$S14)</f>
        <v>#DIV/0!</v>
      </c>
      <c r="AF14" s="188" t="e" cm="1">
        <f t="array" aca="1" ref="AF14" ca="1">IF(AND($R14=2,ACOMPANHAMENTO="BM"),ROUND(AF15,4),AF16/$S14)</f>
        <v>#DIV/0!</v>
      </c>
      <c r="AG14" s="534"/>
    </row>
    <row r="15" spans="1:33" ht="12.75" customHeight="1" x14ac:dyDescent="0.2">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vazia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SUMIF(CÁLCULO!$AM$15:$AW$71,CRONO!E$12,CÁLCULO!$AB$15:$AL$71)/(ORÇAMENTO!$X$15-CÁLCULO.TotalAdmLocal)*CRONO!$F16,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SUMIF(CÁLCULO!$AM$15:$AW$71,CRONO!U$12,CÁLCULO!$AB$15:$AL$71)/(ORÇAMENTO!$X$15-CÁLCULO.TotalAdmLocal)*CRONO!$F16,
                        0),
                 U15*$S14),
          SUMIF(OFFSET($S16,1,0,$R14-2),($M14+1)&amp;"$",OFFSET(U16,1,0,$R14-2)))</f>
        <v>0</v>
      </c>
      <c r="V16" s="202" cm="1">
        <f t="array" aca="1" ref="V16" ca="1">IF($R14=2,
         IF(AND(ACOMPANHAMENTO="PLE",ISNUMBER($F14)),
                SUMIF((OFFSET(CÁLCULO!$AM$15:$AW$15,$F14,0,OFFSET(ORÇAMENTO!$D$15,CRONO!$F14,0))),CRONO!V$12,OFFSET(CÁLCULO!$AB$15:$AL$15,$F14,0,OFFSET(ORÇAMENTO!$D$15,CRONO!$F14,0)))
                +IF(AND($F16&lt;&gt;"",$F16&lt;&gt;0),
                        SUMIF(CÁLCULO!$AM$15:$AW$71,CRONO!V$12,CÁLCULO!$AB$15:$AL$71)/(ORÇAMENTO!$X$15-CÁLCULO.TotalAdmLocal)*CRONO!$F16,
                        0),
                 V15*$S14),
          SUMIF(OFFSET($S16,1,0,$R14-2),($M14+1)&amp;"$",OFFSET(V16,1,0,$R14-2)))</f>
        <v>0</v>
      </c>
      <c r="W16" s="202" cm="1">
        <f t="array" aca="1" ref="W16" ca="1">IF($R14=2,
         IF(AND(ACOMPANHAMENTO="PLE",ISNUMBER($F14)),
                SUMIF((OFFSET(CÁLCULO!$AM$15:$AW$15,$F14,0,OFFSET(ORÇAMENTO!$D$15,CRONO!$F14,0))),CRONO!W$12,OFFSET(CÁLCULO!$AB$15:$AL$15,$F14,0,OFFSET(ORÇAMENTO!$D$15,CRONO!$F14,0)))
                +IF(AND($F16&lt;&gt;"",$F16&lt;&gt;0),
                        SUMIF(CÁLCULO!$AM$15:$AW$71,CRONO!W$12,CÁLCULO!$AB$15:$AL$71)/(ORÇAMENTO!$X$15-CÁLCULO.TotalAdmLocal)*CRONO!$F16,
                        0),
                 W15*$S14),
          SUMIF(OFFSET($S16,1,0,$R14-2),($M14+1)&amp;"$",OFFSET(W16,1,0,$R14-2)))</f>
        <v>0</v>
      </c>
      <c r="X16" s="202" cm="1">
        <f t="array" aca="1" ref="X16" ca="1">IF($R14=2,
         IF(AND(ACOMPANHAMENTO="PLE",ISNUMBER($F14)),
                SUMIF((OFFSET(CÁLCULO!$AM$15:$AW$15,$F14,0,OFFSET(ORÇAMENTO!$D$15,CRONO!$F14,0))),CRONO!X$12,OFFSET(CÁLCULO!$AB$15:$AL$15,$F14,0,OFFSET(ORÇAMENTO!$D$15,CRONO!$F14,0)))
                +IF(AND($F16&lt;&gt;"",$F16&lt;&gt;0),
                        SUMIF(CÁLCULO!$AM$15:$AW$71,CRONO!X$12,CÁLCULO!$AB$15:$AL$71)/(ORÇAMENTO!$X$15-CÁLCULO.TotalAdmLocal)*CRONO!$F16,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SUMIF(CÁLCULO!$AM$15:$AW$71,CRONO!Y$12,CÁLCULO!$AB$15:$AL$71)/(ORÇAMENTO!$X$15-CÁLCULO.TotalAdmLocal)*CRONO!$F16,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SUMIF(CÁLCULO!$AM$15:$AW$71,CRONO!Z$12,CÁLCULO!$AB$15:$AL$71)/(ORÇAMENTO!$X$15-CÁLCULO.TotalAdmLocal)*CRONO!$F16,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SUMIF(CÁLCULO!$AM$15:$AW$71,CRONO!AA$12,CÁLCULO!$AB$15:$AL$71)/(ORÇAMENTO!$X$15-CÁLCULO.TotalAdmLocal)*CRONO!$F16,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SUMIF(CÁLCULO!$AM$15:$AW$71,CRONO!AB$12,CÁLCULO!$AB$15:$AL$71)/(ORÇAMENTO!$X$15-CÁLCULO.TotalAdmLocal)*CRONO!$F16,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SUMIF(CÁLCULO!$AM$15:$AW$71,CRONO!AC$12,CÁLCULO!$AB$15:$AL$71)/(ORÇAMENTO!$X$15-CÁLCULO.TotalAdmLocal)*CRONO!$F16,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SUMIF(CÁLCULO!$AM$15:$AW$71,CRONO!AD$12,CÁLCULO!$AB$15:$AL$71)/(ORÇAMENTO!$X$15-CÁLCULO.TotalAdmLocal)*CRONO!$F16,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SUMIF(CÁLCULO!$AM$15:$AW$71,CRONO!AE$12,CÁLCULO!$AB$15:$AL$71)/(ORÇAMENTO!$X$15-CÁLCULO.TotalAdmLocal)*CRONO!$F16,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SUMIF(CÁLCULO!$AM$15:$AW$71,CRONO!AF$12,CÁLCULO!$AB$15:$AL$71)/(ORÇAMENTO!$X$15-CÁLCULO.TotalAdmLocal)*CRONO!$F16,
                        0),
                 AF15*$S14),
          SUMIF(OFFSET($S16,1,0,$R14-2),($M14+1)&amp;"$",OFFSET(AF16,1,0,$R14-2)))</f>
        <v>0</v>
      </c>
      <c r="AG16" s="534"/>
    </row>
    <row r="17" spans="1:33" x14ac:dyDescent="0.2">
      <c r="A17" s="186" t="e">
        <f t="shared" ref="A17" ca="1" si="8">IF($M17&gt;1,_xlfn.CONCAT($I17," ",$J17),"")</f>
        <v>#NAME?</v>
      </c>
      <c r="B17" s="185">
        <f t="shared" ref="B17" ca="1" si="9">OFFSET(B17,-3,0)+1</f>
        <v>2</v>
      </c>
      <c r="C17" s="185">
        <f ca="1">IF($R17&lt;&gt;2,0,IF($S17=0,1,IF(F18&gt;0,OFFSET(QCI!$M$13,SUBSTITUTE(F18,".",""),0),OFFSET(ORÇAMENTO!$AA$15,CRONO!$F17,0))/$S17))</f>
        <v>1</v>
      </c>
      <c r="D17" s="185">
        <f ca="1">IF($R17&lt;&gt;2,0,IF($S17=0,1,IF(F18&gt;0,OFFSET(QCI!$N$13,SUBSTITUTE(F18,".",""),0),OFFSET(ORÇAMENTO!$AB$15,CRONO!$F17,0))/$S17))</f>
        <v>1</v>
      </c>
      <c r="E17" s="188" cm="1">
        <f t="array" aca="1" ref="E17" ca="1">IF(AND($R17=2,ACOMPANHAMENTO="BM"),ROUND(E18,4),E19/$S17)</f>
        <v>0</v>
      </c>
      <c r="F17" s="185" cm="1">
        <f t="array" aca="1" ref="F17" ca="1">IF(B17&lt;=ORÇAMENTO.MáximoListaCrono,MATCH(B17,ORÇAMENTO.ListaCrono,0),NA())</f>
        <v>2</v>
      </c>
      <c r="G17" s="185" t="str">
        <f t="shared" ref="G17" ca="1" si="10">IF(AND($F18&lt;&gt;-1,$S17&gt;0),"F","")</f>
        <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ALTERAÇÃO DE POSTE DE ENTRADA DE ENERGIA</v>
      </c>
      <c r="K17" s="191"/>
      <c r="L17" s="191"/>
      <c r="M17" s="192">
        <f ca="1">IF($F18=0,OFFSET(ORÇAMENTO!C$15,$F17,0),1)</f>
        <v>2</v>
      </c>
      <c r="N17" s="193">
        <f ca="1">IF($F18=-1,0,IF(N$13&lt;=$M17,IF(ISERROR(MATCH(N$13,OFFSET($M17,1,0,ROW($M$53)-ROW($M17)-1),0)),ROW($M$53)-ROW($M17)-1,MATCH(N$13,OFFSET($M17,1,0,ROW($M$53)-ROW($M17)-1),0)-1),0))</f>
        <v>11</v>
      </c>
      <c r="O17" s="193">
        <f ca="1">IF($F18=-1,0,IF(O$13&lt;=$M17,IF(ISERROR(MATCH(O$13,OFFSET($M17,1,0,ROW($M$53)-ROW($M17)-1),0)),ROW($M$53)-ROW($M17)-1,MATCH(O$13,OFFSET($M17,1,0,ROW($M$53)-ROW($M17)-1),0)-1),0))</f>
        <v>2</v>
      </c>
      <c r="P17" s="193">
        <f ca="1">IF($F18=-1,0,IF(P$13&lt;=$M17,IF(ISERROR(MATCH(P$13,OFFSET($M17,1,0,ROW($M$53)-ROW($M17)-1),0)),ROW($M$53)-ROW($M17)-1,MATCH(P$13,OFFSET($M17,1,0,ROW($M$53)-ROW($M17)-1),0)-1),0))</f>
        <v>0</v>
      </c>
      <c r="Q17" s="193">
        <f ca="1">IF($F18=-1,0,IF(Q$13&lt;=$M17,IF(ISERROR(MATCH(Q$13,OFFSET($M17,1,0,ROW($M$53)-ROW($M17)-1),0)),ROW($M$53)-ROW($M17)-1,MATCH(Q$13,OFFSET($M17,1,0,ROW($M$53)-ROW($M17)-1),0)-1),0))</f>
        <v>0</v>
      </c>
      <c r="R17" s="193">
        <f t="shared" ref="R17" ca="1" si="11">MIN(OFFSET(M17,0,1,,M17))</f>
        <v>2</v>
      </c>
      <c r="S17" s="194">
        <f ca="1">IF($F18=0,OFFSET(ORÇAMENTO!X$15,$F17,0),IF($F18&lt;&gt;-1,OFFSET(QCI!$O$13,$F18,0),""))</f>
        <v>0</v>
      </c>
      <c r="T17" s="195" t="s">
        <v>785</v>
      </c>
      <c r="U17" s="188" cm="1">
        <f t="array" aca="1" ref="U17" ca="1">IF(AND($R17=2,ACOMPANHAMENTO="BM"),ROUND(U18,4),U19/$S17)</f>
        <v>1</v>
      </c>
      <c r="V17" s="188" cm="1">
        <f t="array" aca="1" ref="V17" ca="1">IF(AND($R17=2,ACOMPANHAMENTO="BM"),ROUND(V18,4),V19/$S17)</f>
        <v>0</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vazia</v>
      </c>
      <c r="I18" s="197"/>
      <c r="J18" s="198" t="str">
        <f t="shared" ref="J18" ca="1" si="12">IF(AND(H17&lt;&gt;0,ISNUMBER(H17)),"PREENCHA ESTA LINHA --&gt;","")</f>
        <v/>
      </c>
      <c r="K18" s="198"/>
      <c r="L18" s="198"/>
      <c r="M18" s="199"/>
      <c r="N18" s="199"/>
      <c r="O18" s="199"/>
      <c r="P18" s="199"/>
      <c r="Q18" s="199"/>
      <c r="R18" s="199"/>
      <c r="S18" s="200"/>
      <c r="T18" s="201"/>
      <c r="U18" s="587">
        <v>1</v>
      </c>
      <c r="V18" s="587"/>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SUMIF(CÁLCULO!$AM$15:$AW$71,CRONO!E$12,CÁLCULO!$AB$15:$AL$71)/(ORÇAMENTO!$X$15-CÁLCULO.TotalAdmLocal)*CRONO!$F19,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SUMIF(CÁLCULO!$AM$15:$AW$71,CRONO!U$12,CÁLCULO!$AB$15:$AL$71)/(ORÇAMENTO!$X$15-CÁLCULO.TotalAdmLocal)*CRONO!$F19,
                        0),
                 U18*$S17),
          SUMIF(OFFSET($S19,1,0,$R17-2),($M17+1)&amp;"$",OFFSET(U19,1,0,$R17-2)))</f>
        <v>0</v>
      </c>
      <c r="V19" s="202" cm="1">
        <f t="array" aca="1" ref="V19" ca="1">IF($R17=2,
         IF(AND(ACOMPANHAMENTO="PLE",ISNUMBER($F17)),
                SUMIF((OFFSET(CÁLCULO!$AM$15:$AW$15,$F17,0,OFFSET(ORÇAMENTO!$D$15,CRONO!$F17,0))),CRONO!V$12,OFFSET(CÁLCULO!$AB$15:$AL$15,$F17,0,OFFSET(ORÇAMENTO!$D$15,CRONO!$F17,0)))
                +IF(AND($F19&lt;&gt;"",$F19&lt;&gt;0),
                        SUMIF(CÁLCULO!$AM$15:$AW$71,CRONO!V$12,CÁLCULO!$AB$15:$AL$71)/(ORÇAMENTO!$X$15-CÁLCULO.TotalAdmLocal)*CRONO!$F19,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SUMIF(CÁLCULO!$AM$15:$AW$71,CRONO!W$12,CÁLCULO!$AB$15:$AL$71)/(ORÇAMENTO!$X$15-CÁLCULO.TotalAdmLocal)*CRONO!$F19,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SUMIF(CÁLCULO!$AM$15:$AW$71,CRONO!X$12,CÁLCULO!$AB$15:$AL$71)/(ORÇAMENTO!$X$15-CÁLCULO.TotalAdmLocal)*CRONO!$F19,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SUMIF(CÁLCULO!$AM$15:$AW$71,CRONO!Y$12,CÁLCULO!$AB$15:$AL$71)/(ORÇAMENTO!$X$15-CÁLCULO.TotalAdmLocal)*CRONO!$F19,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SUMIF(CÁLCULO!$AM$15:$AW$71,CRONO!Z$12,CÁLCULO!$AB$15:$AL$71)/(ORÇAMENTO!$X$15-CÁLCULO.TotalAdmLocal)*CRONO!$F19,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SUMIF(CÁLCULO!$AM$15:$AW$71,CRONO!AA$12,CÁLCULO!$AB$15:$AL$71)/(ORÇAMENTO!$X$15-CÁLCULO.TotalAdmLocal)*CRONO!$F19,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SUMIF(CÁLCULO!$AM$15:$AW$71,CRONO!AB$12,CÁLCULO!$AB$15:$AL$71)/(ORÇAMENTO!$X$15-CÁLCULO.TotalAdmLocal)*CRONO!$F19,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SUMIF(CÁLCULO!$AM$15:$AW$71,CRONO!AC$12,CÁLCULO!$AB$15:$AL$71)/(ORÇAMENTO!$X$15-CÁLCULO.TotalAdmLocal)*CRONO!$F19,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SUMIF(CÁLCULO!$AM$15:$AW$71,CRONO!AD$12,CÁLCULO!$AB$15:$AL$71)/(ORÇAMENTO!$X$15-CÁLCULO.TotalAdmLocal)*CRONO!$F19,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SUMIF(CÁLCULO!$AM$15:$AW$71,CRONO!AE$12,CÁLCULO!$AB$15:$AL$71)/(ORÇAMENTO!$X$15-CÁLCULO.TotalAdmLocal)*CRONO!$F19,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SUMIF(CÁLCULO!$AM$15:$AW$71,CRONO!AF$12,CÁLCULO!$AB$15:$AL$71)/(ORÇAMENTO!$X$15-CÁLCULO.TotalAdmLocal)*CRONO!$F19,
                        0),
                 AF18*$S17),
          SUMIF(OFFSET($S19,1,0,$R17-2),($M17+1)&amp;"$",OFFSET(AF19,1,0,$R17-2)))</f>
        <v>0</v>
      </c>
      <c r="AG19" s="534"/>
    </row>
    <row r="20" spans="1:33" x14ac:dyDescent="0.2">
      <c r="A20" s="186" t="e">
        <f t="shared" ref="A20" ca="1" si="14">IF($M20&gt;1,_xlfn.CONCAT($I20," ",$J20),"")</f>
        <v>#NAME?</v>
      </c>
      <c r="B20" s="185">
        <f t="shared" ref="B20" ca="1" si="15">OFFSET(B20,-3,0)+1</f>
        <v>3</v>
      </c>
      <c r="C20" s="185">
        <f ca="1">IF($R20&lt;&gt;2,0,IF($S20=0,1,IF(F21&gt;0,OFFSET(QCI!$M$13,SUBSTITUTE(F21,".",""),0),OFFSET(ORÇAMENTO!$AA$15,CRONO!$F20,0))/$S20))</f>
        <v>1</v>
      </c>
      <c r="D20" s="185">
        <f ca="1">IF($R20&lt;&gt;2,0,IF($S20=0,1,IF(F21&gt;0,OFFSET(QCI!$N$13,SUBSTITUTE(F21,".",""),0),OFFSET(ORÇAMENTO!$AB$15,CRONO!$F20,0))/$S20))</f>
        <v>1</v>
      </c>
      <c r="E20" s="188" cm="1">
        <f t="array" aca="1" ref="E20" ca="1">IF(AND($R20=2,ACOMPANHAMENTO="BM"),ROUND(E21,4),E22/$S20)</f>
        <v>0</v>
      </c>
      <c r="F20" s="185" cm="1">
        <f t="array" aca="1" ref="F20" ca="1">IF(B20&lt;=ORÇAMENTO.MáximoListaCrono,MATCH(B20,ORÇAMENTO.ListaCrono,0),NA())</f>
        <v>9</v>
      </c>
      <c r="G20" s="185" t="str">
        <f t="shared" ref="G20" ca="1" si="16">IF(AND($F21&lt;&gt;-1,$S20&gt;0),"F","")</f>
        <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CALÇADAS EXTERNAS</v>
      </c>
      <c r="K20" s="191"/>
      <c r="L20" s="191"/>
      <c r="M20" s="192">
        <f ca="1">IF($F21=0,OFFSET(ORÇAMENTO!C$15,$F20,0),1)</f>
        <v>2</v>
      </c>
      <c r="N20" s="193">
        <f ca="1">IF($F21=-1,0,IF(N$13&lt;=$M20,IF(ISERROR(MATCH(N$13,OFFSET($M20,1,0,ROW($M$53)-ROW($M20)-1),0)),ROW($M$53)-ROW($M20)-1,MATCH(N$13,OFFSET($M20,1,0,ROW($M$53)-ROW($M20)-1),0)-1),0))</f>
        <v>8</v>
      </c>
      <c r="O20" s="193">
        <f ca="1">IF($F21=-1,0,IF(O$13&lt;=$M20,IF(ISERROR(MATCH(O$13,OFFSET($M20,1,0,ROW($M$53)-ROW($M20)-1),0)),ROW($M$53)-ROW($M20)-1,MATCH(O$13,OFFSET($M20,1,0,ROW($M$53)-ROW($M20)-1),0)-1),0))</f>
        <v>2</v>
      </c>
      <c r="P20" s="193">
        <f ca="1">IF($F21=-1,0,IF(P$13&lt;=$M20,IF(ISERROR(MATCH(P$13,OFFSET($M20,1,0,ROW($M$53)-ROW($M20)-1),0)),ROW($M$53)-ROW($M20)-1,MATCH(P$13,OFFSET($M20,1,0,ROW($M$53)-ROW($M20)-1),0)-1),0))</f>
        <v>0</v>
      </c>
      <c r="Q20" s="193">
        <f ca="1">IF($F21=-1,0,IF(Q$13&lt;=$M20,IF(ISERROR(MATCH(Q$13,OFFSET($M20,1,0,ROW($M$53)-ROW($M20)-1),0)),ROW($M$53)-ROW($M20)-1,MATCH(Q$13,OFFSET($M20,1,0,ROW($M$53)-ROW($M20)-1),0)-1),0))</f>
        <v>0</v>
      </c>
      <c r="R20" s="193">
        <f t="shared" ref="R20" ca="1" si="17">MIN(OFFSET(M20,0,1,,M20))</f>
        <v>2</v>
      </c>
      <c r="S20" s="194">
        <f ca="1">IF($F21=0,OFFSET(ORÇAMENTO!X$15,$F20,0),IF($F21&lt;&gt;-1,OFFSET(QCI!$O$13,$F21,0),""))</f>
        <v>0</v>
      </c>
      <c r="T20" s="195" t="s">
        <v>785</v>
      </c>
      <c r="U20" s="188" cm="1">
        <f t="array" aca="1" ref="U20" ca="1">IF(AND($R20=2,ACOMPANHAMENTO="BM"),ROUND(U21,4),U22/$S20)</f>
        <v>0.4</v>
      </c>
      <c r="V20" s="188" cm="1">
        <f t="array" aca="1" ref="V20" ca="1">IF(AND($R20=2,ACOMPANHAMENTO="BM"),ROUND(V21,4),V22/$S20)</f>
        <v>0.6</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vazia</v>
      </c>
      <c r="I21" s="197"/>
      <c r="J21" s="198" t="str">
        <f t="shared" ref="J21" ca="1" si="18">IF(AND(H20&lt;&gt;0,ISNUMBER(H20)),"PREENCHA ESTA LINHA --&gt;","")</f>
        <v/>
      </c>
      <c r="K21" s="198"/>
      <c r="L21" s="198"/>
      <c r="M21" s="199"/>
      <c r="N21" s="199"/>
      <c r="O21" s="199"/>
      <c r="P21" s="199"/>
      <c r="Q21" s="199"/>
      <c r="R21" s="199"/>
      <c r="S21" s="200"/>
      <c r="T21" s="201"/>
      <c r="U21" s="587">
        <v>0.4</v>
      </c>
      <c r="V21" s="587">
        <v>0.6</v>
      </c>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SUMIF(CÁLCULO!$AM$15:$AW$71,CRONO!E$12,CÁLCULO!$AB$15:$AL$71)/(ORÇAMENTO!$X$15-CÁLCULO.TotalAdmLocal)*CRONO!$F22,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SUMIF(CÁLCULO!$AM$15:$AW$71,CRONO!U$12,CÁLCULO!$AB$15:$AL$71)/(ORÇAMENTO!$X$15-CÁLCULO.TotalAdmLocal)*CRONO!$F22,
                        0),
                 U21*$S20),
          SUMIF(OFFSET($S22,1,0,$R20-2),($M20+1)&amp;"$",OFFSET(U22,1,0,$R20-2)))</f>
        <v>0</v>
      </c>
      <c r="V22" s="202" cm="1">
        <f t="array" aca="1" ref="V22" ca="1">IF($R20=2,
         IF(AND(ACOMPANHAMENTO="PLE",ISNUMBER($F20)),
                SUMIF((OFFSET(CÁLCULO!$AM$15:$AW$15,$F20,0,OFFSET(ORÇAMENTO!$D$15,CRONO!$F20,0))),CRONO!V$12,OFFSET(CÁLCULO!$AB$15:$AL$15,$F20,0,OFFSET(ORÇAMENTO!$D$15,CRONO!$F20,0)))
                +IF(AND($F22&lt;&gt;"",$F22&lt;&gt;0),
                        SUMIF(CÁLCULO!$AM$15:$AW$71,CRONO!V$12,CÁLCULO!$AB$15:$AL$71)/(ORÇAMENTO!$X$15-CÁLCULO.TotalAdmLocal)*CRONO!$F22,
                        0),
                 V21*$S20),
          SUMIF(OFFSET($S22,1,0,$R20-2),($M20+1)&amp;"$",OFFSET(V22,1,0,$R20-2)))</f>
        <v>0</v>
      </c>
      <c r="W22" s="202" cm="1">
        <f t="array" aca="1" ref="W22" ca="1">IF($R20=2,
         IF(AND(ACOMPANHAMENTO="PLE",ISNUMBER($F20)),
                SUMIF((OFFSET(CÁLCULO!$AM$15:$AW$15,$F20,0,OFFSET(ORÇAMENTO!$D$15,CRONO!$F20,0))),CRONO!W$12,OFFSET(CÁLCULO!$AB$15:$AL$15,$F20,0,OFFSET(ORÇAMENTO!$D$15,CRONO!$F20,0)))
                +IF(AND($F22&lt;&gt;"",$F22&lt;&gt;0),
                        SUMIF(CÁLCULO!$AM$15:$AW$71,CRONO!W$12,CÁLCULO!$AB$15:$AL$71)/(ORÇAMENTO!$X$15-CÁLCULO.TotalAdmLocal)*CRONO!$F22,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SUMIF(CÁLCULO!$AM$15:$AW$71,CRONO!X$12,CÁLCULO!$AB$15:$AL$71)/(ORÇAMENTO!$X$15-CÁLCULO.TotalAdmLocal)*CRONO!$F22,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SUMIF(CÁLCULO!$AM$15:$AW$71,CRONO!Y$12,CÁLCULO!$AB$15:$AL$71)/(ORÇAMENTO!$X$15-CÁLCULO.TotalAdmLocal)*CRONO!$F22,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SUMIF(CÁLCULO!$AM$15:$AW$71,CRONO!Z$12,CÁLCULO!$AB$15:$AL$71)/(ORÇAMENTO!$X$15-CÁLCULO.TotalAdmLocal)*CRONO!$F22,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SUMIF(CÁLCULO!$AM$15:$AW$71,CRONO!AA$12,CÁLCULO!$AB$15:$AL$71)/(ORÇAMENTO!$X$15-CÁLCULO.TotalAdmLocal)*CRONO!$F22,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SUMIF(CÁLCULO!$AM$15:$AW$71,CRONO!AB$12,CÁLCULO!$AB$15:$AL$71)/(ORÇAMENTO!$X$15-CÁLCULO.TotalAdmLocal)*CRONO!$F22,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SUMIF(CÁLCULO!$AM$15:$AW$71,CRONO!AC$12,CÁLCULO!$AB$15:$AL$71)/(ORÇAMENTO!$X$15-CÁLCULO.TotalAdmLocal)*CRONO!$F22,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SUMIF(CÁLCULO!$AM$15:$AW$71,CRONO!AD$12,CÁLCULO!$AB$15:$AL$71)/(ORÇAMENTO!$X$15-CÁLCULO.TotalAdmLocal)*CRONO!$F22,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SUMIF(CÁLCULO!$AM$15:$AW$71,CRONO!AE$12,CÁLCULO!$AB$15:$AL$71)/(ORÇAMENTO!$X$15-CÁLCULO.TotalAdmLocal)*CRONO!$F22,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SUMIF(CÁLCULO!$AM$15:$AW$71,CRONO!AF$12,CÁLCULO!$AB$15:$AL$71)/(ORÇAMENTO!$X$15-CÁLCULO.TotalAdmLocal)*CRONO!$F22,
                        0),
                 AF21*$S20),
          SUMIF(OFFSET($S22,1,0,$R20-2),($M20+1)&amp;"$",OFFSET(AF22,1,0,$R20-2)))</f>
        <v>0</v>
      </c>
      <c r="AG22" s="534"/>
    </row>
    <row r="23" spans="1:33" x14ac:dyDescent="0.2">
      <c r="A23" s="186" t="e">
        <f t="shared" ref="A23" ca="1" si="20">IF($M23&gt;1,_xlfn.CONCAT($I23," ",$J23),"")</f>
        <v>#NAME?</v>
      </c>
      <c r="B23" s="185">
        <f t="shared" ref="B23" ca="1" si="21">OFFSET(B23,-3,0)+1</f>
        <v>4</v>
      </c>
      <c r="C23" s="185">
        <f ca="1">IF($R23&lt;&gt;2,0,IF($S23=0,1,IF(F24&gt;0,OFFSET(QCI!$M$13,SUBSTITUTE(F24,".",""),0),OFFSET(ORÇAMENTO!$AA$15,CRONO!$F23,0))/$S23))</f>
        <v>1</v>
      </c>
      <c r="D23" s="185">
        <f ca="1">IF($R23&lt;&gt;2,0,IF($S23=0,1,IF(F24&gt;0,OFFSET(QCI!$N$13,SUBSTITUTE(F24,".",""),0),OFFSET(ORÇAMENTO!$AB$15,CRONO!$F23,0))/$S23))</f>
        <v>1</v>
      </c>
      <c r="E23" s="188" cm="1">
        <f t="array" aca="1" ref="E23" ca="1">IF(AND($R23=2,ACOMPANHAMENTO="BM"),ROUND(E24,4),E25/$S23)</f>
        <v>0</v>
      </c>
      <c r="F23" s="185" cm="1">
        <f t="array" aca="1" ref="F23" ca="1">IF(B23&lt;=ORÇAMENTO.MáximoListaCrono,MATCH(B23,ORÇAMENTO.ListaCrono,0),NA())</f>
        <v>15</v>
      </c>
      <c r="G23" s="185" t="str">
        <f t="shared" ref="G23" ca="1" si="22">IF(AND($F24&lt;&gt;-1,$S23&gt;0),"F","")</f>
        <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RAMPA DE ACESSIBILIDADE</v>
      </c>
      <c r="K23" s="191"/>
      <c r="L23" s="191"/>
      <c r="M23" s="192">
        <f ca="1">IF($F24=0,OFFSET(ORÇAMENTO!C$15,$F23,0),1)</f>
        <v>2</v>
      </c>
      <c r="N23" s="193">
        <f ca="1">IF($F24=-1,0,IF(N$13&lt;=$M23,IF(ISERROR(MATCH(N$13,OFFSET($M23,1,0,ROW($M$53)-ROW($M23)-1),0)),ROW($M$53)-ROW($M23)-1,MATCH(N$13,OFFSET($M23,1,0,ROW($M$53)-ROW($M23)-1),0)-1),0))</f>
        <v>5</v>
      </c>
      <c r="O23" s="193">
        <f ca="1">IF($F24=-1,0,IF(O$13&lt;=$M23,IF(ISERROR(MATCH(O$13,OFFSET($M23,1,0,ROW($M$53)-ROW($M23)-1),0)),ROW($M$53)-ROW($M23)-1,MATCH(O$13,OFFSET($M23,1,0,ROW($M$53)-ROW($M23)-1),0)-1),0))</f>
        <v>2</v>
      </c>
      <c r="P23" s="193">
        <f ca="1">IF($F24=-1,0,IF(P$13&lt;=$M23,IF(ISERROR(MATCH(P$13,OFFSET($M23,1,0,ROW($M$53)-ROW($M23)-1),0)),ROW($M$53)-ROW($M23)-1,MATCH(P$13,OFFSET($M23,1,0,ROW($M$53)-ROW($M23)-1),0)-1),0))</f>
        <v>0</v>
      </c>
      <c r="Q23" s="193">
        <f ca="1">IF($F24=-1,0,IF(Q$13&lt;=$M23,IF(ISERROR(MATCH(Q$13,OFFSET($M23,1,0,ROW($M$53)-ROW($M23)-1),0)),ROW($M$53)-ROW($M23)-1,MATCH(Q$13,OFFSET($M23,1,0,ROW($M$53)-ROW($M23)-1),0)-1),0))</f>
        <v>0</v>
      </c>
      <c r="R23" s="193">
        <f t="shared" ref="R23" ca="1" si="23">MIN(OFFSET(M23,0,1,,M23))</f>
        <v>2</v>
      </c>
      <c r="S23" s="194">
        <f ca="1">IF($F24=0,OFFSET(ORÇAMENTO!X$15,$F23,0),IF($F24&lt;&gt;-1,OFFSET(QCI!$O$13,$F24,0),""))</f>
        <v>0</v>
      </c>
      <c r="T23" s="195" t="s">
        <v>785</v>
      </c>
      <c r="U23" s="188" cm="1">
        <f t="array" aca="1" ref="U23" ca="1">IF(AND($R23=2,ACOMPANHAMENTO="BM"),ROUND(U24,4),U25/$S23)</f>
        <v>1</v>
      </c>
      <c r="V23" s="188" cm="1">
        <f t="array" aca="1" ref="V23" ca="1">IF(AND($R23=2,ACOMPANHAMENTO="BM"),ROUND(V24,4),V25/$S23)</f>
        <v>0</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vazia</v>
      </c>
      <c r="I24" s="197"/>
      <c r="J24" s="198" t="str">
        <f t="shared" ref="J24" ca="1" si="24">IF(AND(H23&lt;&gt;0,ISNUMBER(H23)),"PREENCHA ESTA LINHA --&gt;","")</f>
        <v/>
      </c>
      <c r="K24" s="198"/>
      <c r="L24" s="198"/>
      <c r="M24" s="199"/>
      <c r="N24" s="199"/>
      <c r="O24" s="199"/>
      <c r="P24" s="199"/>
      <c r="Q24" s="199"/>
      <c r="R24" s="199"/>
      <c r="S24" s="200"/>
      <c r="T24" s="201"/>
      <c r="U24" s="587">
        <v>1</v>
      </c>
      <c r="V24" s="587"/>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SUMIF(CÁLCULO!$AM$15:$AW$71,CRONO!E$12,CÁLCULO!$AB$15:$AL$71)/(ORÇAMENTO!$X$15-CÁLCULO.TotalAdmLocal)*CRONO!$F25,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SUMIF(CÁLCULO!$AM$15:$AW$71,CRONO!U$12,CÁLCULO!$AB$15:$AL$71)/(ORÇAMENTO!$X$15-CÁLCULO.TotalAdmLocal)*CRONO!$F25,
                        0),
                 U24*$S23),
          SUMIF(OFFSET($S25,1,0,$R23-2),($M23+1)&amp;"$",OFFSET(U25,1,0,$R23-2)))</f>
        <v>0</v>
      </c>
      <c r="V25" s="202" cm="1">
        <f t="array" aca="1" ref="V25" ca="1">IF($R23=2,
         IF(AND(ACOMPANHAMENTO="PLE",ISNUMBER($F23)),
                SUMIF((OFFSET(CÁLCULO!$AM$15:$AW$15,$F23,0,OFFSET(ORÇAMENTO!$D$15,CRONO!$F23,0))),CRONO!V$12,OFFSET(CÁLCULO!$AB$15:$AL$15,$F23,0,OFFSET(ORÇAMENTO!$D$15,CRONO!$F23,0)))
                +IF(AND($F25&lt;&gt;"",$F25&lt;&gt;0),
                        SUMIF(CÁLCULO!$AM$15:$AW$71,CRONO!V$12,CÁLCULO!$AB$15:$AL$71)/(ORÇAMENTO!$X$15-CÁLCULO.TotalAdmLocal)*CRONO!$F25,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SUMIF(CÁLCULO!$AM$15:$AW$71,CRONO!W$12,CÁLCULO!$AB$15:$AL$71)/(ORÇAMENTO!$X$15-CÁLCULO.TotalAdmLocal)*CRONO!$F25,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SUMIF(CÁLCULO!$AM$15:$AW$71,CRONO!X$12,CÁLCULO!$AB$15:$AL$71)/(ORÇAMENTO!$X$15-CÁLCULO.TotalAdmLocal)*CRONO!$F25,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SUMIF(CÁLCULO!$AM$15:$AW$71,CRONO!Y$12,CÁLCULO!$AB$15:$AL$71)/(ORÇAMENTO!$X$15-CÁLCULO.TotalAdmLocal)*CRONO!$F25,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SUMIF(CÁLCULO!$AM$15:$AW$71,CRONO!Z$12,CÁLCULO!$AB$15:$AL$71)/(ORÇAMENTO!$X$15-CÁLCULO.TotalAdmLocal)*CRONO!$F25,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SUMIF(CÁLCULO!$AM$15:$AW$71,CRONO!AA$12,CÁLCULO!$AB$15:$AL$71)/(ORÇAMENTO!$X$15-CÁLCULO.TotalAdmLocal)*CRONO!$F25,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SUMIF(CÁLCULO!$AM$15:$AW$71,CRONO!AB$12,CÁLCULO!$AB$15:$AL$71)/(ORÇAMENTO!$X$15-CÁLCULO.TotalAdmLocal)*CRONO!$F25,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SUMIF(CÁLCULO!$AM$15:$AW$71,CRONO!AC$12,CÁLCULO!$AB$15:$AL$71)/(ORÇAMENTO!$X$15-CÁLCULO.TotalAdmLocal)*CRONO!$F25,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SUMIF(CÁLCULO!$AM$15:$AW$71,CRONO!AD$12,CÁLCULO!$AB$15:$AL$71)/(ORÇAMENTO!$X$15-CÁLCULO.TotalAdmLocal)*CRONO!$F25,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SUMIF(CÁLCULO!$AM$15:$AW$71,CRONO!AE$12,CÁLCULO!$AB$15:$AL$71)/(ORÇAMENTO!$X$15-CÁLCULO.TotalAdmLocal)*CRONO!$F25,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SUMIF(CÁLCULO!$AM$15:$AW$71,CRONO!AF$12,CÁLCULO!$AB$15:$AL$71)/(ORÇAMENTO!$X$15-CÁLCULO.TotalAdmLocal)*CRONO!$F25,
                        0),
                 AF24*$S23),
          SUMIF(OFFSET($S25,1,0,$R23-2),($M23+1)&amp;"$",OFFSET(AF25,1,0,$R23-2)))</f>
        <v>0</v>
      </c>
      <c r="AG25" s="534"/>
    </row>
    <row r="26" spans="1:33" x14ac:dyDescent="0.2">
      <c r="A26" s="186" t="e">
        <f t="shared" ref="A26" ca="1" si="26">IF($M26&gt;1,_xlfn.CONCAT($I26," ",$J26),"")</f>
        <v>#NAME?</v>
      </c>
      <c r="B26" s="185">
        <f t="shared" ref="B26" ca="1" si="27">OFFSET(B26,-3,0)+1</f>
        <v>5</v>
      </c>
      <c r="C26" s="185">
        <f ca="1">IF($R26&lt;&gt;2,0,IF($S26=0,1,IF(F27&gt;0,OFFSET(QCI!$M$13,SUBSTITUTE(F27,".",""),0),OFFSET(ORÇAMENTO!$AA$15,CRONO!$F26,0))/$S26))</f>
        <v>1</v>
      </c>
      <c r="D26" s="185">
        <f ca="1">IF($R26&lt;&gt;2,0,IF($S26=0,1,IF(F27&gt;0,OFFSET(QCI!$N$13,SUBSTITUTE(F27,".",""),0),OFFSET(ORÇAMENTO!$AB$15,CRONO!$F26,0))/$S26))</f>
        <v>1</v>
      </c>
      <c r="E26" s="188" cm="1">
        <f t="array" aca="1" ref="E26" ca="1">IF(AND($R26=2,ACOMPANHAMENTO="BM"),ROUND(E27,4),E28/$S26)</f>
        <v>0</v>
      </c>
      <c r="F26" s="185" cm="1">
        <f t="array" aca="1" ref="F26" ca="1">IF(B26&lt;=ORÇAMENTO.MáximoListaCrono,MATCH(B26,ORÇAMENTO.ListaCrono,0),NA())</f>
        <v>18</v>
      </c>
      <c r="G26" s="185" t="str">
        <f t="shared" ref="G26" ca="1" si="28">IF(AND($F27&lt;&gt;-1,$S26&gt;0),"F","")</f>
        <v/>
      </c>
      <c r="H26" s="189" t="str" cm="1">
        <f t="array" aca="1" ref="H26" ca="1">IF(OR(S26=0,S26=""),"Linha",IF(AND(OR(ACOMPANHAMENTO="PLE",$R26&lt;&gt;2),$F27=0),"Linha",ROUND(1-SUM(U26:AG26),4)))</f>
        <v>Linha</v>
      </c>
      <c r="I26" s="190" t="str">
        <f ca="1">IF($F27=0,OFFSET(ORÇAMENTO!O$15,$F26,0),IF($F27&lt;&gt;-1,OFFSET(QCI!$D$13,$F27,0),""))</f>
        <v>1.4.</v>
      </c>
      <c r="J26" s="191" t="str">
        <f ca="1">IF($F27=0,OFFSET(ORÇAMENTO!R$15,$F26,0),IF($F27&lt;&gt;-1,OFFSET(QCI!$G$13,$F27,0),""))</f>
        <v>GRADES EM CHAPA EXPANDIDA INCLUSO PORTAS</v>
      </c>
      <c r="K26" s="191"/>
      <c r="L26" s="191"/>
      <c r="M26" s="192">
        <f ca="1">IF($F27=0,OFFSET(ORÇAMENTO!C$15,$F26,0),1)</f>
        <v>2</v>
      </c>
      <c r="N26" s="193">
        <f ca="1">IF($F27=-1,0,IF(N$13&lt;=$M26,IF(ISERROR(MATCH(N$13,OFFSET($M26,1,0,ROW($M$53)-ROW($M26)-1),0)),ROW($M$53)-ROW($M26)-1,MATCH(N$13,OFFSET($M26,1,0,ROW($M$53)-ROW($M26)-1),0)-1),0))</f>
        <v>2</v>
      </c>
      <c r="O26" s="193">
        <f ca="1">IF($F27=-1,0,IF(O$13&lt;=$M26,IF(ISERROR(MATCH(O$13,OFFSET($M26,1,0,ROW($M$53)-ROW($M26)-1),0)),ROW($M$53)-ROW($M26)-1,MATCH(O$13,OFFSET($M26,1,0,ROW($M$53)-ROW($M26)-1),0)-1),0))</f>
        <v>5</v>
      </c>
      <c r="P26" s="193">
        <f ca="1">IF($F27=-1,0,IF(P$13&lt;=$M26,IF(ISERROR(MATCH(P$13,OFFSET($M26,1,0,ROW($M$53)-ROW($M26)-1),0)),ROW($M$53)-ROW($M26)-1,MATCH(P$13,OFFSET($M26,1,0,ROW($M$53)-ROW($M26)-1),0)-1),0))</f>
        <v>0</v>
      </c>
      <c r="Q26" s="193">
        <f ca="1">IF($F27=-1,0,IF(Q$13&lt;=$M26,IF(ISERROR(MATCH(Q$13,OFFSET($M26,1,0,ROW($M$53)-ROW($M26)-1),0)),ROW($M$53)-ROW($M26)-1,MATCH(Q$13,OFFSET($M26,1,0,ROW($M$53)-ROW($M26)-1),0)-1),0))</f>
        <v>0</v>
      </c>
      <c r="R26" s="193">
        <f t="shared" ref="R26" ca="1" si="29">MIN(OFFSET(M26,0,1,,M26))</f>
        <v>2</v>
      </c>
      <c r="S26" s="194">
        <f ca="1">IF($F27=0,OFFSET(ORÇAMENTO!X$15,$F26,0),IF($F27&lt;&gt;-1,OFFSET(QCI!$O$13,$F27,0),""))</f>
        <v>0</v>
      </c>
      <c r="T26" s="195" t="s">
        <v>785</v>
      </c>
      <c r="U26" s="188" cm="1">
        <f t="array" aca="1" ref="U26" ca="1">IF(AND($R26=2,ACOMPANHAMENTO="BM"),ROUND(U27,4),U28/$S26)</f>
        <v>0.15</v>
      </c>
      <c r="V26" s="188" cm="1">
        <f t="array" aca="1" ref="V26" ca="1">IF(AND($R26=2,ACOMPANHAMENTO="BM"),ROUND(V27,4),V28/$S26)</f>
        <v>0.85</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
      <c r="E27" s="587"/>
      <c r="F27" s="185">
        <f ca="1">IF(ISERROR(F26),IF(1+COUNTIF($M$13:OFFSET(M26,-1,0),1)&lt;=MAX(QCI!$D$13:$D$24),1+COUNTIF($M$13:OFFSET(M26,-1,0),1),-1),0)</f>
        <v>0</v>
      </c>
      <c r="G27" s="185" t="str" cm="1">
        <f t="array" aca="1" ref="G27" ca="1">IF(ACOMPANHAMENTO="BM",OFFSET(G27,-1,0),"")</f>
        <v/>
      </c>
      <c r="H27" s="196" t="str" cm="1">
        <f t="array" aca="1" ref="H27" ca="1">IF(OR(S26=0,S26=""),"vazia",IF(AND(OR(ACOMPANHAMENTO="PLE",$R26&lt;&gt;2),$F27=0),"calculada","--&gt;"))</f>
        <v>vazia</v>
      </c>
      <c r="I27" s="197"/>
      <c r="J27" s="198" t="str">
        <f t="shared" ref="J27" ca="1" si="30">IF(AND(H26&lt;&gt;0,ISNUMBER(H26)),"PREENCHA ESTA LINHA --&gt;","")</f>
        <v/>
      </c>
      <c r="K27" s="198"/>
      <c r="L27" s="198"/>
      <c r="M27" s="199"/>
      <c r="N27" s="199"/>
      <c r="O27" s="199"/>
      <c r="P27" s="199"/>
      <c r="Q27" s="199"/>
      <c r="R27" s="199"/>
      <c r="S27" s="200"/>
      <c r="T27" s="201"/>
      <c r="U27" s="587">
        <v>0.15</v>
      </c>
      <c r="V27" s="587">
        <v>0.85</v>
      </c>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SUMIF(CÁLCULO!$AM$15:$AW$71,CRONO!E$12,CÁLCULO!$AB$15:$AL$71)/(ORÇAMENTO!$X$15-CÁLCULO.TotalAdmLocal)*CRONO!$F28,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SUMIF(CÁLCULO!$AM$15:$AW$71,CRONO!U$12,CÁLCULO!$AB$15:$AL$71)/(ORÇAMENTO!$X$15-CÁLCULO.TotalAdmLocal)*CRONO!$F28,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SUMIF(CÁLCULO!$AM$15:$AW$71,CRONO!V$12,CÁLCULO!$AB$15:$AL$71)/(ORÇAMENTO!$X$15-CÁLCULO.TotalAdmLocal)*CRONO!$F28,
                        0),
                 V27*$S26),
          SUMIF(OFFSET($S28,1,0,$R26-2),($M26+1)&amp;"$",OFFSET(V28,1,0,$R26-2)))</f>
        <v>0</v>
      </c>
      <c r="W28" s="202" cm="1">
        <f t="array" aca="1" ref="W28" ca="1">IF($R26=2,
         IF(AND(ACOMPANHAMENTO="PLE",ISNUMBER($F26)),
                SUMIF((OFFSET(CÁLCULO!$AM$15:$AW$15,$F26,0,OFFSET(ORÇAMENTO!$D$15,CRONO!$F26,0))),CRONO!W$12,OFFSET(CÁLCULO!$AB$15:$AL$15,$F26,0,OFFSET(ORÇAMENTO!$D$15,CRONO!$F26,0)))
                +IF(AND($F28&lt;&gt;"",$F28&lt;&gt;0),
                        SUMIF(CÁLCULO!$AM$15:$AW$71,CRONO!W$12,CÁLCULO!$AB$15:$AL$71)/(ORÇAMENTO!$X$15-CÁLCULO.TotalAdmLocal)*CRONO!$F28,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SUMIF(CÁLCULO!$AM$15:$AW$71,CRONO!X$12,CÁLCULO!$AB$15:$AL$71)/(ORÇAMENTO!$X$15-CÁLCULO.TotalAdmLocal)*CRONO!$F28,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SUMIF(CÁLCULO!$AM$15:$AW$71,CRONO!Y$12,CÁLCULO!$AB$15:$AL$71)/(ORÇAMENTO!$X$15-CÁLCULO.TotalAdmLocal)*CRONO!$F28,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SUMIF(CÁLCULO!$AM$15:$AW$71,CRONO!Z$12,CÁLCULO!$AB$15:$AL$71)/(ORÇAMENTO!$X$15-CÁLCULO.TotalAdmLocal)*CRONO!$F28,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SUMIF(CÁLCULO!$AM$15:$AW$71,CRONO!AA$12,CÁLCULO!$AB$15:$AL$71)/(ORÇAMENTO!$X$15-CÁLCULO.TotalAdmLocal)*CRONO!$F28,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SUMIF(CÁLCULO!$AM$15:$AW$71,CRONO!AB$12,CÁLCULO!$AB$15:$AL$71)/(ORÇAMENTO!$X$15-CÁLCULO.TotalAdmLocal)*CRONO!$F28,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SUMIF(CÁLCULO!$AM$15:$AW$71,CRONO!AC$12,CÁLCULO!$AB$15:$AL$71)/(ORÇAMENTO!$X$15-CÁLCULO.TotalAdmLocal)*CRONO!$F28,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SUMIF(CÁLCULO!$AM$15:$AW$71,CRONO!AD$12,CÁLCULO!$AB$15:$AL$71)/(ORÇAMENTO!$X$15-CÁLCULO.TotalAdmLocal)*CRONO!$F28,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SUMIF(CÁLCULO!$AM$15:$AW$71,CRONO!AE$12,CÁLCULO!$AB$15:$AL$71)/(ORÇAMENTO!$X$15-CÁLCULO.TotalAdmLocal)*CRONO!$F28,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SUMIF(CÁLCULO!$AM$15:$AW$71,CRONO!AF$12,CÁLCULO!$AB$15:$AL$71)/(ORÇAMENTO!$X$15-CÁLCULO.TotalAdmLocal)*CRONO!$F28,
                        0),
                 AF27*$S26),
          SUMIF(OFFSET($S28,1,0,$R26-2),($M26+1)&amp;"$",OFFSET(AF28,1,0,$R26-2)))</f>
        <v>0</v>
      </c>
      <c r="AG28" s="534"/>
    </row>
    <row r="29" spans="1:33" x14ac:dyDescent="0.2">
      <c r="A29" s="186" t="str">
        <f t="shared" ref="A29" ca="1" si="32">IF($M29&gt;1,_xlfn.CONCAT($I29," ",$J29),"")</f>
        <v/>
      </c>
      <c r="B29" s="185">
        <f t="shared" ref="B29" ca="1" si="33">OFFSET(B29,-3,0)+1</f>
        <v>6</v>
      </c>
      <c r="C29" s="185">
        <f ca="1">IF($R29&lt;&gt;2,0,IF($S29=0,1,IF(F30&gt;0,OFFSET(QCI!$M$13,SUBSTITUTE(F30,".",""),0),OFFSET(ORÇAMENTO!$AA$15,CRONO!$F29,0))/$S29))</f>
        <v>0</v>
      </c>
      <c r="D29" s="185">
        <f ca="1">IF($R29&lt;&gt;2,0,IF($S29=0,1,IF(F30&gt;0,OFFSET(QCI!$N$13,SUBSTITUTE(F30,".",""),0),OFFSET(ORÇAMENTO!$AB$15,CRONO!$F29,0))/$S29))</f>
        <v>0</v>
      </c>
      <c r="E29" s="188" t="e" cm="1">
        <f t="array" aca="1" ref="E29" ca="1">IF(AND($R29=2,ACOMPANHAMENTO="BM"),ROUND(E30,4),E31/$S29)</f>
        <v>#DIV/0!</v>
      </c>
      <c r="F29" s="185" cm="1">
        <f t="array" aca="1" ref="F29" ca="1">IF(B29&lt;=ORÇAMENTO.MáximoListaCrono,MATCH(B29,ORÇAMENTO.ListaCrono,0),NA())</f>
        <v>25</v>
      </c>
      <c r="G29" s="185" t="str">
        <f t="shared" ref="G29" ca="1" si="34">IF(AND($F30&lt;&gt;-1,$S29&gt;0),"F","")</f>
        <v/>
      </c>
      <c r="H29" s="189" t="str" cm="1">
        <f t="array" aca="1" ref="H29" ca="1">IF(OR(S29=0,S29=""),"Linha",IF(AND(OR(ACOMPANHAMENTO="PLE",$R29&lt;&gt;2),$F30=0),"Linha",ROUND(1-SUM(U29:AG29),4)))</f>
        <v>Linha</v>
      </c>
      <c r="I29" s="190" t="str">
        <f ca="1">IF($F30=0,OFFSET(ORÇAMENTO!O$15,$F29,0),IF($F30&lt;&gt;-1,OFFSET(QCI!$D$13,$F30,0),""))</f>
        <v>2.</v>
      </c>
      <c r="J29" s="191" t="str">
        <f ca="1">IF($F30=0,OFFSET(ORÇAMENTO!R$15,$F29,0),IF($F30&lt;&gt;-1,OFFSET(QCI!$G$13,$F30,0),""))</f>
        <v>HALL DE ENTRADA</v>
      </c>
      <c r="K29" s="191"/>
      <c r="L29" s="191"/>
      <c r="M29" s="192">
        <f ca="1">IF($F30=0,OFFSET(ORÇAMENTO!C$15,$F29,0),1)</f>
        <v>1</v>
      </c>
      <c r="N29" s="193">
        <f ca="1">IF($F30=-1,0,IF(N$13&lt;=$M29,IF(ISERROR(MATCH(N$13,OFFSET($M29,1,0,ROW($M$53)-ROW($M29)-1),0)),ROW($M$53)-ROW($M29)-1,MATCH(N$13,OFFSET($M29,1,0,ROW($M$53)-ROW($M29)-1),0)-1),0))</f>
        <v>23</v>
      </c>
      <c r="O29" s="193">
        <f ca="1">IF($F30=-1,0,IF(O$13&lt;=$M29,IF(ISERROR(MATCH(O$13,OFFSET($M29,1,0,ROW($M$53)-ROW($M29)-1),0)),ROW($M$53)-ROW($M29)-1,MATCH(O$13,OFFSET($M29,1,0,ROW($M$53)-ROW($M29)-1),0)-1),0))</f>
        <v>0</v>
      </c>
      <c r="P29" s="193">
        <f ca="1">IF($F30=-1,0,IF(P$13&lt;=$M29,IF(ISERROR(MATCH(P$13,OFFSET($M29,1,0,ROW($M$53)-ROW($M29)-1),0)),ROW($M$53)-ROW($M29)-1,MATCH(P$13,OFFSET($M29,1,0,ROW($M$53)-ROW($M29)-1),0)-1),0))</f>
        <v>0</v>
      </c>
      <c r="Q29" s="193">
        <f ca="1">IF($F30=-1,0,IF(Q$13&lt;=$M29,IF(ISERROR(MATCH(Q$13,OFFSET($M29,1,0,ROW($M$53)-ROW($M29)-1),0)),ROW($M$53)-ROW($M29)-1,MATCH(Q$13,OFFSET($M29,1,0,ROW($M$53)-ROW($M29)-1),0)-1),0))</f>
        <v>0</v>
      </c>
      <c r="R29" s="193">
        <f t="shared" ref="R29" ca="1" si="35">MIN(OFFSET(M29,0,1,,M29))</f>
        <v>23</v>
      </c>
      <c r="S29" s="194">
        <f ca="1">IF($F30=0,OFFSET(ORÇAMENTO!X$15,$F29,0),IF($F30&lt;&gt;-1,OFFSET(QCI!$O$13,$F30,0),""))</f>
        <v>0</v>
      </c>
      <c r="T29" s="195" t="s">
        <v>785</v>
      </c>
      <c r="U29" s="188" t="e" cm="1">
        <f t="array" aca="1" ref="U29" ca="1">IF(AND($R29=2,ACOMPANHAMENTO="BM"),ROUND(U30,4),U31/$S29)</f>
        <v>#DIV/0!</v>
      </c>
      <c r="V29" s="188" t="e" cm="1">
        <f t="array" aca="1" ref="V29" ca="1">IF(AND($R29=2,ACOMPANHAMENTO="BM"),ROUND(V30,4),V31/$S29)</f>
        <v>#DIV/0!</v>
      </c>
      <c r="W29" s="188" t="e" cm="1">
        <f t="array" aca="1" ref="W29" ca="1">IF(AND($R29=2,ACOMPANHAMENTO="BM"),ROUND(W30,4),W31/$S29)</f>
        <v>#DIV/0!</v>
      </c>
      <c r="X29" s="188" t="e" cm="1">
        <f t="array" aca="1" ref="X29" ca="1">IF(AND($R29=2,ACOMPANHAMENTO="BM"),ROUND(X30,4),X31/$S29)</f>
        <v>#DIV/0!</v>
      </c>
      <c r="Y29" s="188" t="e" cm="1">
        <f t="array" aca="1" ref="Y29" ca="1">IF(AND($R29=2,ACOMPANHAMENTO="BM"),ROUND(Y30,4),Y31/$S29)</f>
        <v>#DIV/0!</v>
      </c>
      <c r="Z29" s="188" t="e" cm="1">
        <f t="array" aca="1" ref="Z29" ca="1">IF(AND($R29=2,ACOMPANHAMENTO="BM"),ROUND(Z30,4),Z31/$S29)</f>
        <v>#DIV/0!</v>
      </c>
      <c r="AA29" s="188" t="e" cm="1">
        <f t="array" aca="1" ref="AA29" ca="1">IF(AND($R29=2,ACOMPANHAMENTO="BM"),ROUND(AA30,4),AA31/$S29)</f>
        <v>#DIV/0!</v>
      </c>
      <c r="AB29" s="188" t="e" cm="1">
        <f t="array" aca="1" ref="AB29" ca="1">IF(AND($R29=2,ACOMPANHAMENTO="BM"),ROUND(AB30,4),AB31/$S29)</f>
        <v>#DIV/0!</v>
      </c>
      <c r="AC29" s="188" t="e" cm="1">
        <f t="array" aca="1" ref="AC29" ca="1">IF(AND($R29=2,ACOMPANHAMENTO="BM"),ROUND(AC30,4),AC31/$S29)</f>
        <v>#DIV/0!</v>
      </c>
      <c r="AD29" s="188" t="e" cm="1">
        <f t="array" aca="1" ref="AD29" ca="1">IF(AND($R29=2,ACOMPANHAMENTO="BM"),ROUND(AD30,4),AD31/$S29)</f>
        <v>#DIV/0!</v>
      </c>
      <c r="AE29" s="188" t="e" cm="1">
        <f t="array" aca="1" ref="AE29" ca="1">IF(AND($R29=2,ACOMPANHAMENTO="BM"),ROUND(AE30,4),AE31/$S29)</f>
        <v>#DIV/0!</v>
      </c>
      <c r="AF29" s="188" t="e" cm="1">
        <f t="array" aca="1" ref="AF29" ca="1">IF(AND($R29=2,ACOMPANHAMENTO="BM"),ROUND(AF30,4),AF31/$S29)</f>
        <v>#DIV/0!</v>
      </c>
      <c r="AG29" s="534"/>
    </row>
    <row r="30" spans="1:33" ht="12.75" customHeight="1" x14ac:dyDescent="0.2">
      <c r="E30" s="587"/>
      <c r="F30" s="185">
        <f ca="1">IF(ISERROR(F29),IF(1+COUNTIF($M$13:OFFSET(M29,-1,0),1)&lt;=MAX(QCI!$D$13:$D$24),1+COUNTIF($M$13:OFFSET(M29,-1,0),1),-1),0)</f>
        <v>0</v>
      </c>
      <c r="G30" s="185" t="str" cm="1">
        <f t="array" aca="1" ref="G30" ca="1">IF(ACOMPANHAMENTO="BM",OFFSET(G30,-1,0),"")</f>
        <v/>
      </c>
      <c r="H30" s="196" t="str" cm="1">
        <f t="array" aca="1" ref="H30" ca="1">IF(OR(S29=0,S29=""),"vazia",IF(AND(OR(ACOMPANHAMENTO="PLE",$R29&lt;&gt;2),$F30=0),"calculada","--&gt;"))</f>
        <v>vazia</v>
      </c>
      <c r="I30" s="197"/>
      <c r="J30" s="198" t="str">
        <f t="shared" ref="J30" ca="1" si="36">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SUMIF(CÁLCULO!$AM$15:$AW$71,CRONO!E$12,CÁLCULO!$AB$15:$AL$71)/(ORÇAMENTO!$X$15-CÁLCULO.TotalAdmLocal)*CRONO!$F31,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1$</v>
      </c>
      <c r="T31" s="205"/>
      <c r="U31" s="202" cm="1">
        <f t="array" aca="1" ref="U31" ca="1">IF($R29=2,
         IF(AND(ACOMPANHAMENTO="PLE",ISNUMBER($F29)),
                SUMIF((OFFSET(CÁLCULO!$AM$15:$AW$15,$F29,0,OFFSET(ORÇAMENTO!$D$15,CRONO!$F29,0))),CRONO!U$12,OFFSET(CÁLCULO!$AB$15:$AL$15,$F29,0,OFFSET(ORÇAMENTO!$D$15,CRONO!$F29,0)))
                +IF(AND($F31&lt;&gt;"",$F31&lt;&gt;0),
                        SUMIF(CÁLCULO!$AM$15:$AW$71,CRONO!U$12,CÁLCULO!$AB$15:$AL$71)/(ORÇAMENTO!$X$15-CÁLCULO.TotalAdmLocal)*CRONO!$F31,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SUMIF(CÁLCULO!$AM$15:$AW$71,CRONO!V$12,CÁLCULO!$AB$15:$AL$71)/(ORÇAMENTO!$X$15-CÁLCULO.TotalAdmLocal)*CRONO!$F31,
                        0),
                 V30*$S29),
          SUMIF(OFFSET($S31,1,0,$R29-2),($M29+1)&amp;"$",OFFSET(V31,1,0,$R29-2)))</f>
        <v>0</v>
      </c>
      <c r="W31" s="202" cm="1">
        <f t="array" aca="1" ref="W31" ca="1">IF($R29=2,
         IF(AND(ACOMPANHAMENTO="PLE",ISNUMBER($F29)),
                SUMIF((OFFSET(CÁLCULO!$AM$15:$AW$15,$F29,0,OFFSET(ORÇAMENTO!$D$15,CRONO!$F29,0))),CRONO!W$12,OFFSET(CÁLCULO!$AB$15:$AL$15,$F29,0,OFFSET(ORÇAMENTO!$D$15,CRONO!$F29,0)))
                +IF(AND($F31&lt;&gt;"",$F31&lt;&gt;0),
                        SUMIF(CÁLCULO!$AM$15:$AW$71,CRONO!W$12,CÁLCULO!$AB$15:$AL$71)/(ORÇAMENTO!$X$15-CÁLCULO.TotalAdmLocal)*CRONO!$F31,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SUMIF(CÁLCULO!$AM$15:$AW$71,CRONO!X$12,CÁLCULO!$AB$15:$AL$71)/(ORÇAMENTO!$X$15-CÁLCULO.TotalAdmLocal)*CRONO!$F31,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SUMIF(CÁLCULO!$AM$15:$AW$71,CRONO!Y$12,CÁLCULO!$AB$15:$AL$71)/(ORÇAMENTO!$X$15-CÁLCULO.TotalAdmLocal)*CRONO!$F31,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SUMIF(CÁLCULO!$AM$15:$AW$71,CRONO!Z$12,CÁLCULO!$AB$15:$AL$71)/(ORÇAMENTO!$X$15-CÁLCULO.TotalAdmLocal)*CRONO!$F31,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SUMIF(CÁLCULO!$AM$15:$AW$71,CRONO!AA$12,CÁLCULO!$AB$15:$AL$71)/(ORÇAMENTO!$X$15-CÁLCULO.TotalAdmLocal)*CRONO!$F31,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SUMIF(CÁLCULO!$AM$15:$AW$71,CRONO!AB$12,CÁLCULO!$AB$15:$AL$71)/(ORÇAMENTO!$X$15-CÁLCULO.TotalAdmLocal)*CRONO!$F31,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SUMIF(CÁLCULO!$AM$15:$AW$71,CRONO!AC$12,CÁLCULO!$AB$15:$AL$71)/(ORÇAMENTO!$X$15-CÁLCULO.TotalAdmLocal)*CRONO!$F31,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SUMIF(CÁLCULO!$AM$15:$AW$71,CRONO!AD$12,CÁLCULO!$AB$15:$AL$71)/(ORÇAMENTO!$X$15-CÁLCULO.TotalAdmLocal)*CRONO!$F31,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SUMIF(CÁLCULO!$AM$15:$AW$71,CRONO!AE$12,CÁLCULO!$AB$15:$AL$71)/(ORÇAMENTO!$X$15-CÁLCULO.TotalAdmLocal)*CRONO!$F31,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SUMIF(CÁLCULO!$AM$15:$AW$71,CRONO!AF$12,CÁLCULO!$AB$15:$AL$71)/(ORÇAMENTO!$X$15-CÁLCULO.TotalAdmLocal)*CRONO!$F31,
                        0),
                 AF30*$S29),
          SUMIF(OFFSET($S31,1,0,$R29-2),($M29+1)&amp;"$",OFFSET(AF31,1,0,$R29-2)))</f>
        <v>0</v>
      </c>
      <c r="AG31" s="534"/>
    </row>
    <row r="32" spans="1:33" x14ac:dyDescent="0.2">
      <c r="A32" s="186" t="e">
        <f t="shared" ref="A32" ca="1" si="38">IF($M32&gt;1,_xlfn.CONCAT($I32," ",$J32),"")</f>
        <v>#NAME?</v>
      </c>
      <c r="B32" s="185">
        <f t="shared" ref="B32" ca="1" si="39">OFFSET(B32,-3,0)+1</f>
        <v>7</v>
      </c>
      <c r="C32" s="185">
        <f ca="1">IF($R32&lt;&gt;2,0,IF($S32=0,1,IF(F33&gt;0,OFFSET(QCI!$M$13,SUBSTITUTE(F33,".",""),0),OFFSET(ORÇAMENTO!$AA$15,CRONO!$F32,0))/$S32))</f>
        <v>1</v>
      </c>
      <c r="D32" s="185">
        <f ca="1">IF($R32&lt;&gt;2,0,IF($S32=0,1,IF(F33&gt;0,OFFSET(QCI!$N$13,SUBSTITUTE(F33,".",""),0),OFFSET(ORÇAMENTO!$AB$15,CRONO!$F32,0))/$S32))</f>
        <v>1</v>
      </c>
      <c r="E32" s="188" cm="1">
        <f t="array" aca="1" ref="E32" ca="1">IF(AND($R32=2,ACOMPANHAMENTO="BM"),ROUND(E33,4),E34/$S32)</f>
        <v>0</v>
      </c>
      <c r="F32" s="185" cm="1">
        <f t="array" aca="1" ref="F32" ca="1">IF(B32&lt;=ORÇAMENTO.MáximoListaCrono,MATCH(B32,ORÇAMENTO.ListaCrono,0),NA())</f>
        <v>26</v>
      </c>
      <c r="G32" s="185" t="str">
        <f t="shared" ref="G32" ca="1" si="40">IF(AND($F33&lt;&gt;-1,$S32&gt;0),"F","")</f>
        <v/>
      </c>
      <c r="H32" s="189" t="str" cm="1">
        <f t="array" aca="1" ref="H32" ca="1">IF(OR(S32=0,S32=""),"Linha",IF(AND(OR(ACOMPANHAMENTO="PLE",$R32&lt;&gt;2),$F33=0),"Linha",ROUND(1-SUM(U32:AG32),4)))</f>
        <v>Linha</v>
      </c>
      <c r="I32" s="190" t="str">
        <f ca="1">IF($F33=0,OFFSET(ORÇAMENTO!O$15,$F32,0),IF($F33&lt;&gt;-1,OFFSET(QCI!$D$13,$F33,0),""))</f>
        <v>2.1.</v>
      </c>
      <c r="J32" s="191" t="str">
        <f ca="1">IF($F33=0,OFFSET(ORÇAMENTO!R$15,$F32,0),IF($F33&lt;&gt;-1,OFFSET(QCI!$G$13,$F33,0),""))</f>
        <v>FUNDAÇÃO</v>
      </c>
      <c r="K32" s="191"/>
      <c r="L32" s="191"/>
      <c r="M32" s="192">
        <f ca="1">IF($F33=0,OFFSET(ORÇAMENTO!C$15,$F32,0),1)</f>
        <v>2</v>
      </c>
      <c r="N32" s="193">
        <f ca="1">IF($F33=-1,0,IF(N$13&lt;=$M32,IF(ISERROR(MATCH(N$13,OFFSET($M32,1,0,ROW($M$53)-ROW($M32)-1),0)),ROW($M$53)-ROW($M32)-1,MATCH(N$13,OFFSET($M32,1,0,ROW($M$53)-ROW($M32)-1),0)-1),0))</f>
        <v>20</v>
      </c>
      <c r="O32" s="193">
        <f ca="1">IF($F33=-1,0,IF(O$13&lt;=$M32,IF(ISERROR(MATCH(O$13,OFFSET($M32,1,0,ROW($M$53)-ROW($M32)-1),0)),ROW($M$53)-ROW($M32)-1,MATCH(O$13,OFFSET($M32,1,0,ROW($M$53)-ROW($M32)-1),0)-1),0))</f>
        <v>2</v>
      </c>
      <c r="P32" s="193">
        <f ca="1">IF($F33=-1,0,IF(P$13&lt;=$M32,IF(ISERROR(MATCH(P$13,OFFSET($M32,1,0,ROW($M$53)-ROW($M32)-1),0)),ROW($M$53)-ROW($M32)-1,MATCH(P$13,OFFSET($M32,1,0,ROW($M$53)-ROW($M32)-1),0)-1),0))</f>
        <v>0</v>
      </c>
      <c r="Q32" s="193">
        <f ca="1">IF($F33=-1,0,IF(Q$13&lt;=$M32,IF(ISERROR(MATCH(Q$13,OFFSET($M32,1,0,ROW($M$53)-ROW($M32)-1),0)),ROW($M$53)-ROW($M32)-1,MATCH(Q$13,OFFSET($M32,1,0,ROW($M$53)-ROW($M32)-1),0)-1),0))</f>
        <v>0</v>
      </c>
      <c r="R32" s="193">
        <f t="shared" ref="R32" ca="1" si="41">MIN(OFFSET(M32,0,1,,M32))</f>
        <v>2</v>
      </c>
      <c r="S32" s="194">
        <f ca="1">IF($F33=0,OFFSET(ORÇAMENTO!X$15,$F32,0),IF($F33&lt;&gt;-1,OFFSET(QCI!$O$13,$F33,0),""))</f>
        <v>0</v>
      </c>
      <c r="T32" s="195" t="s">
        <v>785</v>
      </c>
      <c r="U32" s="188" cm="1">
        <f t="array" aca="1" ref="U32" ca="1">IF(AND($R32=2,ACOMPANHAMENTO="BM"),ROUND(U33,4),U34/$S32)</f>
        <v>1</v>
      </c>
      <c r="V32" s="188" cm="1">
        <f t="array" aca="1" ref="V32" ca="1">IF(AND($R32=2,ACOMPANHAMENTO="BM"),ROUND(V33,4),V34/$S32)</f>
        <v>0</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customHeight="1" x14ac:dyDescent="0.2">
      <c r="E33" s="587"/>
      <c r="F33" s="185">
        <f ca="1">IF(ISERROR(F32),IF(1+COUNTIF($M$13:OFFSET(M32,-1,0),1)&lt;=MAX(QCI!$D$13:$D$24),1+COUNTIF($M$13:OFFSET(M32,-1,0),1),-1),0)</f>
        <v>0</v>
      </c>
      <c r="G33" s="185" t="str" cm="1">
        <f t="array" aca="1" ref="G33" ca="1">IF(ACOMPANHAMENTO="BM",OFFSET(G33,-1,0),"")</f>
        <v/>
      </c>
      <c r="H33" s="196" t="str" cm="1">
        <f t="array" aca="1" ref="H33" ca="1">IF(OR(S32=0,S32=""),"vazia",IF(AND(OR(ACOMPANHAMENTO="PLE",$R32&lt;&gt;2),$F33=0),"calculada","--&gt;"))</f>
        <v>vazia</v>
      </c>
      <c r="I33" s="197"/>
      <c r="J33" s="198" t="str">
        <f t="shared" ref="J33" ca="1" si="42">IF(AND(H32&lt;&gt;0,ISNUMBER(H32)),"PREENCHA ESTA LINHA --&gt;","")</f>
        <v/>
      </c>
      <c r="K33" s="198"/>
      <c r="L33" s="198"/>
      <c r="M33" s="199"/>
      <c r="N33" s="199"/>
      <c r="O33" s="199"/>
      <c r="P33" s="199"/>
      <c r="Q33" s="199"/>
      <c r="R33" s="199"/>
      <c r="S33" s="200"/>
      <c r="T33" s="201"/>
      <c r="U33" s="587">
        <v>1</v>
      </c>
      <c r="V33" s="587"/>
      <c r="W33" s="587"/>
      <c r="X33" s="587"/>
      <c r="Y33" s="587"/>
      <c r="Z33" s="587"/>
      <c r="AA33" s="587"/>
      <c r="AB33" s="587"/>
      <c r="AC33" s="587"/>
      <c r="AD33" s="587"/>
      <c r="AE33" s="587"/>
      <c r="AF33" s="587"/>
      <c r="AG33" s="534"/>
    </row>
    <row r="34" spans="1:33" ht="12.75" hidden="1"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SUMIF(CÁLCULO!$AM$15:$AW$71,CRONO!E$12,CÁLCULO!$AB$15:$AL$71)/(ORÇAMENTO!$X$15-CÁLCULO.TotalAdmLocal)*CRONO!$F34,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203"/>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SUMIF(CÁLCULO!$AM$15:$AW$71,CRONO!U$12,CÁLCULO!$AB$15:$AL$71)/(ORÇAMENTO!$X$15-CÁLCULO.TotalAdmLocal)*CRONO!$F34,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SUMIF(CÁLCULO!$AM$15:$AW$71,CRONO!V$12,CÁLCULO!$AB$15:$AL$71)/(ORÇAMENTO!$X$15-CÁLCULO.TotalAdmLocal)*CRONO!$F34,
                        0),
                 V33*$S32),
          SUMIF(OFFSET($S34,1,0,$R32-2),($M32+1)&amp;"$",OFFSET(V34,1,0,$R32-2)))</f>
        <v>0</v>
      </c>
      <c r="W34" s="202" cm="1">
        <f t="array" aca="1" ref="W34" ca="1">IF($R32=2,
         IF(AND(ACOMPANHAMENTO="PLE",ISNUMBER($F32)),
                SUMIF((OFFSET(CÁLCULO!$AM$15:$AW$15,$F32,0,OFFSET(ORÇAMENTO!$D$15,CRONO!$F32,0))),CRONO!W$12,OFFSET(CÁLCULO!$AB$15:$AL$15,$F32,0,OFFSET(ORÇAMENTO!$D$15,CRONO!$F32,0)))
                +IF(AND($F34&lt;&gt;"",$F34&lt;&gt;0),
                        SUMIF(CÁLCULO!$AM$15:$AW$71,CRONO!W$12,CÁLCULO!$AB$15:$AL$71)/(ORÇAMENTO!$X$15-CÁLCULO.TotalAdmLocal)*CRONO!$F34,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SUMIF(CÁLCULO!$AM$15:$AW$71,CRONO!X$12,CÁLCULO!$AB$15:$AL$71)/(ORÇAMENTO!$X$15-CÁLCULO.TotalAdmLocal)*CRONO!$F34,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SUMIF(CÁLCULO!$AM$15:$AW$71,CRONO!Y$12,CÁLCULO!$AB$15:$AL$71)/(ORÇAMENTO!$X$15-CÁLCULO.TotalAdmLocal)*CRONO!$F34,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SUMIF(CÁLCULO!$AM$15:$AW$71,CRONO!Z$12,CÁLCULO!$AB$15:$AL$71)/(ORÇAMENTO!$X$15-CÁLCULO.TotalAdmLocal)*CRONO!$F34,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SUMIF(CÁLCULO!$AM$15:$AW$71,CRONO!AA$12,CÁLCULO!$AB$15:$AL$71)/(ORÇAMENTO!$X$15-CÁLCULO.TotalAdmLocal)*CRONO!$F34,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SUMIF(CÁLCULO!$AM$15:$AW$71,CRONO!AB$12,CÁLCULO!$AB$15:$AL$71)/(ORÇAMENTO!$X$15-CÁLCULO.TotalAdmLocal)*CRONO!$F34,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SUMIF(CÁLCULO!$AM$15:$AW$71,CRONO!AC$12,CÁLCULO!$AB$15:$AL$71)/(ORÇAMENTO!$X$15-CÁLCULO.TotalAdmLocal)*CRONO!$F34,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SUMIF(CÁLCULO!$AM$15:$AW$71,CRONO!AD$12,CÁLCULO!$AB$15:$AL$71)/(ORÇAMENTO!$X$15-CÁLCULO.TotalAdmLocal)*CRONO!$F34,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SUMIF(CÁLCULO!$AM$15:$AW$71,CRONO!AE$12,CÁLCULO!$AB$15:$AL$71)/(ORÇAMENTO!$X$15-CÁLCULO.TotalAdmLocal)*CRONO!$F34,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SUMIF(CÁLCULO!$AM$15:$AW$71,CRONO!AF$12,CÁLCULO!$AB$15:$AL$71)/(ORÇAMENTO!$X$15-CÁLCULO.TotalAdmLocal)*CRONO!$F34,
                        0),
                 AF33*$S32),
          SUMIF(OFFSET($S34,1,0,$R32-2),($M32+1)&amp;"$",OFFSET(AF34,1,0,$R32-2)))</f>
        <v>0</v>
      </c>
      <c r="AG34" s="534"/>
    </row>
    <row r="35" spans="1:33" x14ac:dyDescent="0.2">
      <c r="A35" s="186" t="e">
        <f t="shared" ref="A35" ca="1" si="44">IF($M35&gt;1,_xlfn.CONCAT($I35," ",$J35),"")</f>
        <v>#NAME?</v>
      </c>
      <c r="B35" s="185">
        <f t="shared" ref="B35" ca="1" si="45">OFFSET(B35,-3,0)+1</f>
        <v>8</v>
      </c>
      <c r="C35" s="185">
        <f ca="1">IF($R35&lt;&gt;2,0,IF($S35=0,1,IF(F36&gt;0,OFFSET(QCI!$M$13,SUBSTITUTE(F36,".",""),0),OFFSET(ORÇAMENTO!$AA$15,CRONO!$F35,0))/$S35))</f>
        <v>1</v>
      </c>
      <c r="D35" s="185">
        <f ca="1">IF($R35&lt;&gt;2,0,IF($S35=0,1,IF(F36&gt;0,OFFSET(QCI!$N$13,SUBSTITUTE(F36,".",""),0),OFFSET(ORÇAMENTO!$AB$15,CRONO!$F35,0))/$S35))</f>
        <v>1</v>
      </c>
      <c r="E35" s="188" cm="1">
        <f t="array" aca="1" ref="E35" ca="1">IF(AND($R35=2,ACOMPANHAMENTO="BM"),ROUND(E36,4),E37/$S35)</f>
        <v>0</v>
      </c>
      <c r="F35" s="185" cm="1">
        <f t="array" aca="1" ref="F35" ca="1">IF(B35&lt;=ORÇAMENTO.MáximoListaCrono,MATCH(B35,ORÇAMENTO.ListaCrono,0),NA())</f>
        <v>28</v>
      </c>
      <c r="G35" s="185" t="str">
        <f t="shared" ref="G35" ca="1" si="46">IF(AND($F36&lt;&gt;-1,$S35&gt;0),"F","")</f>
        <v/>
      </c>
      <c r="H35" s="189" t="str" cm="1">
        <f t="array" aca="1" ref="H35" ca="1">IF(OR(S35=0,S35=""),"Linha",IF(AND(OR(ACOMPANHAMENTO="PLE",$R35&lt;&gt;2),$F36=0),"Linha",ROUND(1-SUM(U35:AG35),4)))</f>
        <v>Linha</v>
      </c>
      <c r="I35" s="190" t="str">
        <f ca="1">IF($F36=0,OFFSET(ORÇAMENTO!O$15,$F35,0),IF($F36&lt;&gt;-1,OFFSET(QCI!$D$13,$F36,0),""))</f>
        <v>2.2.</v>
      </c>
      <c r="J35" s="191" t="str">
        <f ca="1">IF($F36=0,OFFSET(ORÇAMENTO!R$15,$F35,0),IF($F36&lt;&gt;-1,OFFSET(QCI!$G$13,$F36,0),""))</f>
        <v>VIGA BALDRAME</v>
      </c>
      <c r="K35" s="191"/>
      <c r="L35" s="191"/>
      <c r="M35" s="192">
        <f ca="1">IF($F36=0,OFFSET(ORÇAMENTO!C$15,$F35,0),1)</f>
        <v>2</v>
      </c>
      <c r="N35" s="193">
        <f ca="1">IF($F36=-1,0,IF(N$13&lt;=$M35,IF(ISERROR(MATCH(N$13,OFFSET($M35,1,0,ROW($M$53)-ROW($M35)-1),0)),ROW($M$53)-ROW($M35)-1,MATCH(N$13,OFFSET($M35,1,0,ROW($M$53)-ROW($M35)-1),0)-1),0))</f>
        <v>17</v>
      </c>
      <c r="O35" s="193">
        <f ca="1">IF($F36=-1,0,IF(O$13&lt;=$M35,IF(ISERROR(MATCH(O$13,OFFSET($M35,1,0,ROW($M$53)-ROW($M35)-1),0)),ROW($M$53)-ROW($M35)-1,MATCH(O$13,OFFSET($M35,1,0,ROW($M$53)-ROW($M35)-1),0)-1),0))</f>
        <v>2</v>
      </c>
      <c r="P35" s="193">
        <f ca="1">IF($F36=-1,0,IF(P$13&lt;=$M35,IF(ISERROR(MATCH(P$13,OFFSET($M35,1,0,ROW($M$53)-ROW($M35)-1),0)),ROW($M$53)-ROW($M35)-1,MATCH(P$13,OFFSET($M35,1,0,ROW($M$53)-ROW($M35)-1),0)-1),0))</f>
        <v>0</v>
      </c>
      <c r="Q35" s="193">
        <f ca="1">IF($F36=-1,0,IF(Q$13&lt;=$M35,IF(ISERROR(MATCH(Q$13,OFFSET($M35,1,0,ROW($M$53)-ROW($M35)-1),0)),ROW($M$53)-ROW($M35)-1,MATCH(Q$13,OFFSET($M35,1,0,ROW($M$53)-ROW($M35)-1),0)-1),0))</f>
        <v>0</v>
      </c>
      <c r="R35" s="193">
        <f t="shared" ref="R35" ca="1" si="47">MIN(OFFSET(M35,0,1,,M35))</f>
        <v>2</v>
      </c>
      <c r="S35" s="194">
        <f ca="1">IF($F36=0,OFFSET(ORÇAMENTO!X$15,$F35,0),IF($F36&lt;&gt;-1,OFFSET(QCI!$O$13,$F36,0),""))</f>
        <v>0</v>
      </c>
      <c r="T35" s="195" t="s">
        <v>785</v>
      </c>
      <c r="U35" s="188" cm="1">
        <f t="array" aca="1" ref="U35" ca="1">IF(AND($R35=2,ACOMPANHAMENTO="BM"),ROUND(U36,4),U37/$S35)</f>
        <v>1</v>
      </c>
      <c r="V35" s="188" cm="1">
        <f t="array" aca="1" ref="V35" ca="1">IF(AND($R35=2,ACOMPANHAMENTO="BM"),ROUND(V36,4),V37/$S35)</f>
        <v>0</v>
      </c>
      <c r="W35" s="188" cm="1">
        <f t="array" aca="1" ref="W35" ca="1">IF(AND($R35=2,ACOMPANHAMENTO="BM"),ROUND(W36,4),W37/$S35)</f>
        <v>0</v>
      </c>
      <c r="X35" s="188" cm="1">
        <f t="array" aca="1" ref="X35" ca="1">IF(AND($R35=2,ACOMPANHAMENTO="BM"),ROUND(X36,4),X37/$S35)</f>
        <v>0</v>
      </c>
      <c r="Y35" s="188" cm="1">
        <f t="array" aca="1" ref="Y35" ca="1">IF(AND($R35=2,ACOMPANHAMENTO="BM"),ROUND(Y36,4),Y37/$S35)</f>
        <v>0</v>
      </c>
      <c r="Z35" s="188" cm="1">
        <f t="array" aca="1" ref="Z35" ca="1">IF(AND($R35=2,ACOMPANHAMENTO="BM"),ROUND(Z36,4),Z37/$S35)</f>
        <v>0</v>
      </c>
      <c r="AA35" s="188" cm="1">
        <f t="array" aca="1" ref="AA35" ca="1">IF(AND($R35=2,ACOMPANHAMENTO="BM"),ROUND(AA36,4),AA37/$S35)</f>
        <v>0</v>
      </c>
      <c r="AB35" s="188" cm="1">
        <f t="array" aca="1" ref="AB35" ca="1">IF(AND($R35=2,ACOMPANHAMENTO="BM"),ROUND(AB36,4),AB37/$S35)</f>
        <v>0</v>
      </c>
      <c r="AC35" s="188" cm="1">
        <f t="array" aca="1" ref="AC35" ca="1">IF(AND($R35=2,ACOMPANHAMENTO="BM"),ROUND(AC36,4),AC37/$S35)</f>
        <v>0</v>
      </c>
      <c r="AD35" s="188" cm="1">
        <f t="array" aca="1" ref="AD35" ca="1">IF(AND($R35=2,ACOMPANHAMENTO="BM"),ROUND(AD36,4),AD37/$S35)</f>
        <v>0</v>
      </c>
      <c r="AE35" s="188" cm="1">
        <f t="array" aca="1" ref="AE35" ca="1">IF(AND($R35=2,ACOMPANHAMENTO="BM"),ROUND(AE36,4),AE37/$S35)</f>
        <v>0</v>
      </c>
      <c r="AF35" s="188" cm="1">
        <f t="array" aca="1" ref="AF35" ca="1">IF(AND($R35=2,ACOMPANHAMENTO="BM"),ROUND(AF36,4),AF37/$S35)</f>
        <v>0</v>
      </c>
      <c r="AG35" s="534"/>
    </row>
    <row r="36" spans="1:33" ht="12.75" customHeight="1" x14ac:dyDescent="0.2">
      <c r="E36" s="587"/>
      <c r="F36" s="185">
        <f ca="1">IF(ISERROR(F35),IF(1+COUNTIF($M$13:OFFSET(M35,-1,0),1)&lt;=MAX(QCI!$D$13:$D$24),1+COUNTIF($M$13:OFFSET(M35,-1,0),1),-1),0)</f>
        <v>0</v>
      </c>
      <c r="G36" s="185" t="str" cm="1">
        <f t="array" aca="1" ref="G36" ca="1">IF(ACOMPANHAMENTO="BM",OFFSET(G36,-1,0),"")</f>
        <v/>
      </c>
      <c r="H36" s="196" t="str" cm="1">
        <f t="array" aca="1" ref="H36" ca="1">IF(OR(S35=0,S35=""),"vazia",IF(AND(OR(ACOMPANHAMENTO="PLE",$R35&lt;&gt;2),$F36=0),"calculada","--&gt;"))</f>
        <v>vazia</v>
      </c>
      <c r="I36" s="197"/>
      <c r="J36" s="198" t="str">
        <f t="shared" ref="J36" ca="1" si="48">IF(AND(H35&lt;&gt;0,ISNUMBER(H35)),"PREENCHA ESTA LINHA --&gt;","")</f>
        <v/>
      </c>
      <c r="K36" s="198"/>
      <c r="L36" s="198"/>
      <c r="M36" s="199"/>
      <c r="N36" s="199"/>
      <c r="O36" s="199"/>
      <c r="P36" s="199"/>
      <c r="Q36" s="199"/>
      <c r="R36" s="199"/>
      <c r="S36" s="200"/>
      <c r="T36" s="201"/>
      <c r="U36" s="587">
        <v>1</v>
      </c>
      <c r="V36" s="587"/>
      <c r="W36" s="587"/>
      <c r="X36" s="587"/>
      <c r="Y36" s="587"/>
      <c r="Z36" s="587"/>
      <c r="AA36" s="587"/>
      <c r="AB36" s="587"/>
      <c r="AC36" s="587"/>
      <c r="AD36" s="587"/>
      <c r="AE36" s="587"/>
      <c r="AF36" s="587"/>
      <c r="AG36" s="534"/>
    </row>
    <row r="37" spans="1:33" ht="12.75" hidden="1"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SUMIF(CÁLCULO!$AM$15:$AW$71,CRONO!E$12,CÁLCULO!$AB$15:$AL$71)/(ORÇAMENTO!$X$15-CÁLCULO.TotalAdmLocal)*CRONO!$F37,
                        0),
                 E36*$S35),
          SUMIF(OFFSET($S37,1,0,$R35-2),($M35+1)&amp;"$",OFFSET(E37,1,0,$R35-2)))</f>
        <v>0</v>
      </c>
      <c r="F37" s="185" t="str">
        <f ca="1">IF(OR($R35&lt;&gt;2,AUTOEVENTO&lt;&gt;"manual",$F36&gt;0),"",
        IF(Import.TipoArredondamento="Tradicional",
              SUMIF(OFFSET(CÁLCULO!$M$15,CRONO!$F35,0,OFFSET(ORÇAMENTO!$D$15,CRONO!$F35,0)),1,OFFSET(ORÇAMENTO!$X$15,CRONO!$F35,0,OFFSET(ORÇAMENTO!$D$15,CRONO!$F35,0))),
              0))</f>
        <v/>
      </c>
      <c r="H37" s="203"/>
      <c r="S37" s="204" t="str">
        <f t="shared" ref="S37" ca="1" si="49">M35&amp;"$"</f>
        <v>2$</v>
      </c>
      <c r="T37" s="205"/>
      <c r="U37" s="202" cm="1">
        <f t="array" aca="1" ref="U37" ca="1">IF($R35=2,
         IF(AND(ACOMPANHAMENTO="PLE",ISNUMBER($F35)),
                SUMIF((OFFSET(CÁLCULO!$AM$15:$AW$15,$F35,0,OFFSET(ORÇAMENTO!$D$15,CRONO!$F35,0))),CRONO!U$12,OFFSET(CÁLCULO!$AB$15:$AL$15,$F35,0,OFFSET(ORÇAMENTO!$D$15,CRONO!$F35,0)))
                +IF(AND($F37&lt;&gt;"",$F37&lt;&gt;0),
                        SUMIF(CÁLCULO!$AM$15:$AW$71,CRONO!U$12,CÁLCULO!$AB$15:$AL$71)/(ORÇAMENTO!$X$15-CÁLCULO.TotalAdmLocal)*CRONO!$F37,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SUMIF(CÁLCULO!$AM$15:$AW$71,CRONO!V$12,CÁLCULO!$AB$15:$AL$71)/(ORÇAMENTO!$X$15-CÁLCULO.TotalAdmLocal)*CRONO!$F37,
                        0),
                 V36*$S35),
          SUMIF(OFFSET($S37,1,0,$R35-2),($M35+1)&amp;"$",OFFSET(V37,1,0,$R35-2)))</f>
        <v>0</v>
      </c>
      <c r="W37" s="202" cm="1">
        <f t="array" aca="1" ref="W37" ca="1">IF($R35=2,
         IF(AND(ACOMPANHAMENTO="PLE",ISNUMBER($F35)),
                SUMIF((OFFSET(CÁLCULO!$AM$15:$AW$15,$F35,0,OFFSET(ORÇAMENTO!$D$15,CRONO!$F35,0))),CRONO!W$12,OFFSET(CÁLCULO!$AB$15:$AL$15,$F35,0,OFFSET(ORÇAMENTO!$D$15,CRONO!$F35,0)))
                +IF(AND($F37&lt;&gt;"",$F37&lt;&gt;0),
                        SUMIF(CÁLCULO!$AM$15:$AW$71,CRONO!W$12,CÁLCULO!$AB$15:$AL$71)/(ORÇAMENTO!$X$15-CÁLCULO.TotalAdmLocal)*CRONO!$F37,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SUMIF(CÁLCULO!$AM$15:$AW$71,CRONO!X$12,CÁLCULO!$AB$15:$AL$71)/(ORÇAMENTO!$X$15-CÁLCULO.TotalAdmLocal)*CRONO!$F37,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SUMIF(CÁLCULO!$AM$15:$AW$71,CRONO!Y$12,CÁLCULO!$AB$15:$AL$71)/(ORÇAMENTO!$X$15-CÁLCULO.TotalAdmLocal)*CRONO!$F37,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SUMIF(CÁLCULO!$AM$15:$AW$71,CRONO!Z$12,CÁLCULO!$AB$15:$AL$71)/(ORÇAMENTO!$X$15-CÁLCULO.TotalAdmLocal)*CRONO!$F37,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SUMIF(CÁLCULO!$AM$15:$AW$71,CRONO!AA$12,CÁLCULO!$AB$15:$AL$71)/(ORÇAMENTO!$X$15-CÁLCULO.TotalAdmLocal)*CRONO!$F37,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SUMIF(CÁLCULO!$AM$15:$AW$71,CRONO!AB$12,CÁLCULO!$AB$15:$AL$71)/(ORÇAMENTO!$X$15-CÁLCULO.TotalAdmLocal)*CRONO!$F37,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SUMIF(CÁLCULO!$AM$15:$AW$71,CRONO!AC$12,CÁLCULO!$AB$15:$AL$71)/(ORÇAMENTO!$X$15-CÁLCULO.TotalAdmLocal)*CRONO!$F37,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SUMIF(CÁLCULO!$AM$15:$AW$71,CRONO!AD$12,CÁLCULO!$AB$15:$AL$71)/(ORÇAMENTO!$X$15-CÁLCULO.TotalAdmLocal)*CRONO!$F37,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SUMIF(CÁLCULO!$AM$15:$AW$71,CRONO!AE$12,CÁLCULO!$AB$15:$AL$71)/(ORÇAMENTO!$X$15-CÁLCULO.TotalAdmLocal)*CRONO!$F37,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SUMIF(CÁLCULO!$AM$15:$AW$71,CRONO!AF$12,CÁLCULO!$AB$15:$AL$71)/(ORÇAMENTO!$X$15-CÁLCULO.TotalAdmLocal)*CRONO!$F37,
                        0),
                 AF36*$S35),
          SUMIF(OFFSET($S37,1,0,$R35-2),($M35+1)&amp;"$",OFFSET(AF37,1,0,$R35-2)))</f>
        <v>0</v>
      </c>
      <c r="AG37" s="534"/>
    </row>
    <row r="38" spans="1:33" x14ac:dyDescent="0.2">
      <c r="A38" s="186" t="e">
        <f t="shared" ref="A38" ca="1" si="50">IF($M38&gt;1,_xlfn.CONCAT($I38," ",$J38),"")</f>
        <v>#NAME?</v>
      </c>
      <c r="B38" s="185">
        <f t="shared" ref="B38" ca="1" si="51">OFFSET(B38,-3,0)+1</f>
        <v>9</v>
      </c>
      <c r="C38" s="185">
        <f ca="1">IF($R38&lt;&gt;2,0,IF($S38=0,1,IF(F39&gt;0,OFFSET(QCI!$M$13,SUBSTITUTE(F39,".",""),0),OFFSET(ORÇAMENTO!$AA$15,CRONO!$F38,0))/$S38))</f>
        <v>1</v>
      </c>
      <c r="D38" s="185">
        <f ca="1">IF($R38&lt;&gt;2,0,IF($S38=0,1,IF(F39&gt;0,OFFSET(QCI!$N$13,SUBSTITUTE(F39,".",""),0),OFFSET(ORÇAMENTO!$AB$15,CRONO!$F38,0))/$S38))</f>
        <v>1</v>
      </c>
      <c r="E38" s="188" cm="1">
        <f t="array" aca="1" ref="E38" ca="1">IF(AND($R38=2,ACOMPANHAMENTO="BM"),ROUND(E39,4),E40/$S38)</f>
        <v>0</v>
      </c>
      <c r="F38" s="185" cm="1">
        <f t="array" aca="1" ref="F38" ca="1">IF(B38&lt;=ORÇAMENTO.MáximoListaCrono,MATCH(B38,ORÇAMENTO.ListaCrono,0),NA())</f>
        <v>33</v>
      </c>
      <c r="G38" s="185" t="str">
        <f t="shared" ref="G38" ca="1" si="52">IF(AND($F39&lt;&gt;-1,$S38&gt;0),"F","")</f>
        <v/>
      </c>
      <c r="H38" s="189" t="str" cm="1">
        <f t="array" aca="1" ref="H38" ca="1">IF(OR(S38=0,S38=""),"Linha",IF(AND(OR(ACOMPANHAMENTO="PLE",$R38&lt;&gt;2),$F39=0),"Linha",ROUND(1-SUM(U38:AG38),4)))</f>
        <v>Linha</v>
      </c>
      <c r="I38" s="190" t="str">
        <f ca="1">IF($F39=0,OFFSET(ORÇAMENTO!O$15,$F38,0),IF($F39&lt;&gt;-1,OFFSET(QCI!$D$13,$F39,0),""))</f>
        <v>2.3.</v>
      </c>
      <c r="J38" s="191" t="str">
        <f ca="1">IF($F39=0,OFFSET(ORÇAMENTO!R$15,$F38,0),IF($F39&lt;&gt;-1,OFFSET(QCI!$G$13,$F39,0),""))</f>
        <v>PILARES</v>
      </c>
      <c r="K38" s="191"/>
      <c r="L38" s="191"/>
      <c r="M38" s="192">
        <f ca="1">IF($F39=0,OFFSET(ORÇAMENTO!C$15,$F38,0),1)</f>
        <v>2</v>
      </c>
      <c r="N38" s="193">
        <f ca="1">IF($F39=-1,0,IF(N$13&lt;=$M38,IF(ISERROR(MATCH(N$13,OFFSET($M38,1,0,ROW($M$53)-ROW($M38)-1),0)),ROW($M$53)-ROW($M38)-1,MATCH(N$13,OFFSET($M38,1,0,ROW($M$53)-ROW($M38)-1),0)-1),0))</f>
        <v>14</v>
      </c>
      <c r="O38" s="193">
        <f ca="1">IF($F39=-1,0,IF(O$13&lt;=$M38,IF(ISERROR(MATCH(O$13,OFFSET($M38,1,0,ROW($M$53)-ROW($M38)-1),0)),ROW($M$53)-ROW($M38)-1,MATCH(O$13,OFFSET($M38,1,0,ROW($M$53)-ROW($M38)-1),0)-1),0))</f>
        <v>2</v>
      </c>
      <c r="P38" s="193">
        <f ca="1">IF($F39=-1,0,IF(P$13&lt;=$M38,IF(ISERROR(MATCH(P$13,OFFSET($M38,1,0,ROW($M$53)-ROW($M38)-1),0)),ROW($M$53)-ROW($M38)-1,MATCH(P$13,OFFSET($M38,1,0,ROW($M$53)-ROW($M38)-1),0)-1),0))</f>
        <v>0</v>
      </c>
      <c r="Q38" s="193">
        <f ca="1">IF($F39=-1,0,IF(Q$13&lt;=$M38,IF(ISERROR(MATCH(Q$13,OFFSET($M38,1,0,ROW($M$53)-ROW($M38)-1),0)),ROW($M$53)-ROW($M38)-1,MATCH(Q$13,OFFSET($M38,1,0,ROW($M$53)-ROW($M38)-1),0)-1),0))</f>
        <v>0</v>
      </c>
      <c r="R38" s="193">
        <f t="shared" ref="R38" ca="1" si="53">MIN(OFFSET(M38,0,1,,M38))</f>
        <v>2</v>
      </c>
      <c r="S38" s="194">
        <f ca="1">IF($F39=0,OFFSET(ORÇAMENTO!X$15,$F38,0),IF($F39&lt;&gt;-1,OFFSET(QCI!$O$13,$F39,0),""))</f>
        <v>0</v>
      </c>
      <c r="T38" s="195" t="s">
        <v>785</v>
      </c>
      <c r="U38" s="188" cm="1">
        <f t="array" aca="1" ref="U38" ca="1">IF(AND($R38=2,ACOMPANHAMENTO="BM"),ROUND(U39,4),U40/$S38)</f>
        <v>1</v>
      </c>
      <c r="V38" s="188" cm="1">
        <f t="array" aca="1" ref="V38" ca="1">IF(AND($R38=2,ACOMPANHAMENTO="BM"),ROUND(V39,4),V40/$S38)</f>
        <v>0</v>
      </c>
      <c r="W38" s="188" cm="1">
        <f t="array" aca="1" ref="W38" ca="1">IF(AND($R38=2,ACOMPANHAMENTO="BM"),ROUND(W39,4),W40/$S38)</f>
        <v>0</v>
      </c>
      <c r="X38" s="188" cm="1">
        <f t="array" aca="1" ref="X38" ca="1">IF(AND($R38=2,ACOMPANHAMENTO="BM"),ROUND(X39,4),X40/$S38)</f>
        <v>0</v>
      </c>
      <c r="Y38" s="188" cm="1">
        <f t="array" aca="1" ref="Y38" ca="1">IF(AND($R38=2,ACOMPANHAMENTO="BM"),ROUND(Y39,4),Y40/$S38)</f>
        <v>0</v>
      </c>
      <c r="Z38" s="188" cm="1">
        <f t="array" aca="1" ref="Z38" ca="1">IF(AND($R38=2,ACOMPANHAMENTO="BM"),ROUND(Z39,4),Z40/$S38)</f>
        <v>0</v>
      </c>
      <c r="AA38" s="188" cm="1">
        <f t="array" aca="1" ref="AA38" ca="1">IF(AND($R38=2,ACOMPANHAMENTO="BM"),ROUND(AA39,4),AA40/$S38)</f>
        <v>0</v>
      </c>
      <c r="AB38" s="188" cm="1">
        <f t="array" aca="1" ref="AB38" ca="1">IF(AND($R38=2,ACOMPANHAMENTO="BM"),ROUND(AB39,4),AB40/$S38)</f>
        <v>0</v>
      </c>
      <c r="AC38" s="188" cm="1">
        <f t="array" aca="1" ref="AC38" ca="1">IF(AND($R38=2,ACOMPANHAMENTO="BM"),ROUND(AC39,4),AC40/$S38)</f>
        <v>0</v>
      </c>
      <c r="AD38" s="188" cm="1">
        <f t="array" aca="1" ref="AD38" ca="1">IF(AND($R38=2,ACOMPANHAMENTO="BM"),ROUND(AD39,4),AD40/$S38)</f>
        <v>0</v>
      </c>
      <c r="AE38" s="188" cm="1">
        <f t="array" aca="1" ref="AE38" ca="1">IF(AND($R38=2,ACOMPANHAMENTO="BM"),ROUND(AE39,4),AE40/$S38)</f>
        <v>0</v>
      </c>
      <c r="AF38" s="188" cm="1">
        <f t="array" aca="1" ref="AF38" ca="1">IF(AND($R38=2,ACOMPANHAMENTO="BM"),ROUND(AF39,4),AF40/$S38)</f>
        <v>0</v>
      </c>
      <c r="AG38" s="534"/>
    </row>
    <row r="39" spans="1:33" ht="12.75" customHeight="1" x14ac:dyDescent="0.2">
      <c r="E39" s="587"/>
      <c r="F39" s="185">
        <f ca="1">IF(ISERROR(F38),IF(1+COUNTIF($M$13:OFFSET(M38,-1,0),1)&lt;=MAX(QCI!$D$13:$D$24),1+COUNTIF($M$13:OFFSET(M38,-1,0),1),-1),0)</f>
        <v>0</v>
      </c>
      <c r="G39" s="185" t="str" cm="1">
        <f t="array" aca="1" ref="G39" ca="1">IF(ACOMPANHAMENTO="BM",OFFSET(G39,-1,0),"")</f>
        <v/>
      </c>
      <c r="H39" s="196" t="str" cm="1">
        <f t="array" aca="1" ref="H39" ca="1">IF(OR(S38=0,S38=""),"vazia",IF(AND(OR(ACOMPANHAMENTO="PLE",$R38&lt;&gt;2),$F39=0),"calculada","--&gt;"))</f>
        <v>vazia</v>
      </c>
      <c r="I39" s="197"/>
      <c r="J39" s="198" t="str">
        <f t="shared" ref="J39" ca="1" si="54">IF(AND(H38&lt;&gt;0,ISNUMBER(H38)),"PREENCHA ESTA LINHA --&gt;","")</f>
        <v/>
      </c>
      <c r="K39" s="198"/>
      <c r="L39" s="198"/>
      <c r="M39" s="199"/>
      <c r="N39" s="199"/>
      <c r="O39" s="199"/>
      <c r="P39" s="199"/>
      <c r="Q39" s="199"/>
      <c r="R39" s="199"/>
      <c r="S39" s="200"/>
      <c r="T39" s="201"/>
      <c r="U39" s="587">
        <v>1</v>
      </c>
      <c r="V39" s="587"/>
      <c r="W39" s="587"/>
      <c r="X39" s="587"/>
      <c r="Y39" s="587"/>
      <c r="Z39" s="587"/>
      <c r="AA39" s="587"/>
      <c r="AB39" s="587"/>
      <c r="AC39" s="587"/>
      <c r="AD39" s="587"/>
      <c r="AE39" s="587"/>
      <c r="AF39" s="587"/>
      <c r="AG39" s="534"/>
    </row>
    <row r="40" spans="1:33" ht="12.75" hidden="1"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SUMIF(CÁLCULO!$AM$15:$AW$71,CRONO!E$12,CÁLCULO!$AB$15:$AL$71)/(ORÇAMENTO!$X$15-CÁLCULO.TotalAdmLocal)*CRONO!$F40,
                        0),
                 E39*$S38),
          SUMIF(OFFSET($S40,1,0,$R38-2),($M38+1)&amp;"$",OFFSET(E40,1,0,$R38-2)))</f>
        <v>0</v>
      </c>
      <c r="F40" s="185" t="str">
        <f ca="1">IF(OR($R38&lt;&gt;2,AUTOEVENTO&lt;&gt;"manual",$F39&gt;0),"",
        IF(Import.TipoArredondamento="Tradicional",
              SUMIF(OFFSET(CÁLCULO!$M$15,CRONO!$F38,0,OFFSET(ORÇAMENTO!$D$15,CRONO!$F38,0)),1,OFFSET(ORÇAMENTO!$X$15,CRONO!$F38,0,OFFSET(ORÇAMENTO!$D$15,CRONO!$F38,0))),
              0))</f>
        <v/>
      </c>
      <c r="H40" s="203"/>
      <c r="S40" s="204" t="str">
        <f t="shared" ref="S40" ca="1" si="55">M38&amp;"$"</f>
        <v>2$</v>
      </c>
      <c r="T40" s="205"/>
      <c r="U40" s="202" cm="1">
        <f t="array" aca="1" ref="U40" ca="1">IF($R38=2,
         IF(AND(ACOMPANHAMENTO="PLE",ISNUMBER($F38)),
                SUMIF((OFFSET(CÁLCULO!$AM$15:$AW$15,$F38,0,OFFSET(ORÇAMENTO!$D$15,CRONO!$F38,0))),CRONO!U$12,OFFSET(CÁLCULO!$AB$15:$AL$15,$F38,0,OFFSET(ORÇAMENTO!$D$15,CRONO!$F38,0)))
                +IF(AND($F40&lt;&gt;"",$F40&lt;&gt;0),
                        SUMIF(CÁLCULO!$AM$15:$AW$71,CRONO!U$12,CÁLCULO!$AB$15:$AL$71)/(ORÇAMENTO!$X$15-CÁLCULO.TotalAdmLocal)*CRONO!$F40,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SUMIF(CÁLCULO!$AM$15:$AW$71,CRONO!V$12,CÁLCULO!$AB$15:$AL$71)/(ORÇAMENTO!$X$15-CÁLCULO.TotalAdmLocal)*CRONO!$F40,
                        0),
                 V39*$S38),
          SUMIF(OFFSET($S40,1,0,$R38-2),($M38+1)&amp;"$",OFFSET(V40,1,0,$R38-2)))</f>
        <v>0</v>
      </c>
      <c r="W40" s="202" cm="1">
        <f t="array" aca="1" ref="W40" ca="1">IF($R38=2,
         IF(AND(ACOMPANHAMENTO="PLE",ISNUMBER($F38)),
                SUMIF((OFFSET(CÁLCULO!$AM$15:$AW$15,$F38,0,OFFSET(ORÇAMENTO!$D$15,CRONO!$F38,0))),CRONO!W$12,OFFSET(CÁLCULO!$AB$15:$AL$15,$F38,0,OFFSET(ORÇAMENTO!$D$15,CRONO!$F38,0)))
                +IF(AND($F40&lt;&gt;"",$F40&lt;&gt;0),
                        SUMIF(CÁLCULO!$AM$15:$AW$71,CRONO!W$12,CÁLCULO!$AB$15:$AL$71)/(ORÇAMENTO!$X$15-CÁLCULO.TotalAdmLocal)*CRONO!$F40,
                        0),
                 W39*$S38),
          SUMIF(OFFSET($S40,1,0,$R38-2),($M38+1)&amp;"$",OFFSET(W40,1,0,$R38-2)))</f>
        <v>0</v>
      </c>
      <c r="X40" s="202" cm="1">
        <f t="array" aca="1" ref="X40" ca="1">IF($R38=2,
         IF(AND(ACOMPANHAMENTO="PLE",ISNUMBER($F38)),
                SUMIF((OFFSET(CÁLCULO!$AM$15:$AW$15,$F38,0,OFFSET(ORÇAMENTO!$D$15,CRONO!$F38,0))),CRONO!X$12,OFFSET(CÁLCULO!$AB$15:$AL$15,$F38,0,OFFSET(ORÇAMENTO!$D$15,CRONO!$F38,0)))
                +IF(AND($F40&lt;&gt;"",$F40&lt;&gt;0),
                        SUMIF(CÁLCULO!$AM$15:$AW$71,CRONO!X$12,CÁLCULO!$AB$15:$AL$71)/(ORÇAMENTO!$X$15-CÁLCULO.TotalAdmLocal)*CRONO!$F40,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SUMIF(CÁLCULO!$AM$15:$AW$71,CRONO!Y$12,CÁLCULO!$AB$15:$AL$71)/(ORÇAMENTO!$X$15-CÁLCULO.TotalAdmLocal)*CRONO!$F40,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SUMIF(CÁLCULO!$AM$15:$AW$71,CRONO!Z$12,CÁLCULO!$AB$15:$AL$71)/(ORÇAMENTO!$X$15-CÁLCULO.TotalAdmLocal)*CRONO!$F40,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SUMIF(CÁLCULO!$AM$15:$AW$71,CRONO!AA$12,CÁLCULO!$AB$15:$AL$71)/(ORÇAMENTO!$X$15-CÁLCULO.TotalAdmLocal)*CRONO!$F40,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SUMIF(CÁLCULO!$AM$15:$AW$71,CRONO!AB$12,CÁLCULO!$AB$15:$AL$71)/(ORÇAMENTO!$X$15-CÁLCULO.TotalAdmLocal)*CRONO!$F40,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SUMIF(CÁLCULO!$AM$15:$AW$71,CRONO!AC$12,CÁLCULO!$AB$15:$AL$71)/(ORÇAMENTO!$X$15-CÁLCULO.TotalAdmLocal)*CRONO!$F40,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SUMIF(CÁLCULO!$AM$15:$AW$71,CRONO!AD$12,CÁLCULO!$AB$15:$AL$71)/(ORÇAMENTO!$X$15-CÁLCULO.TotalAdmLocal)*CRONO!$F40,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SUMIF(CÁLCULO!$AM$15:$AW$71,CRONO!AE$12,CÁLCULO!$AB$15:$AL$71)/(ORÇAMENTO!$X$15-CÁLCULO.TotalAdmLocal)*CRONO!$F40,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SUMIF(CÁLCULO!$AM$15:$AW$71,CRONO!AF$12,CÁLCULO!$AB$15:$AL$71)/(ORÇAMENTO!$X$15-CÁLCULO.TotalAdmLocal)*CRONO!$F40,
                        0),
                 AF39*$S38),
          SUMIF(OFFSET($S40,1,0,$R38-2),($M38+1)&amp;"$",OFFSET(AF40,1,0,$R38-2)))</f>
        <v>0</v>
      </c>
      <c r="AG40" s="534"/>
    </row>
    <row r="41" spans="1:33" x14ac:dyDescent="0.2">
      <c r="A41" s="186" t="e">
        <f t="shared" ref="A41" ca="1" si="56">IF($M41&gt;1,_xlfn.CONCAT($I41," ",$J41),"")</f>
        <v>#NAME?</v>
      </c>
      <c r="B41" s="185">
        <f t="shared" ref="B41" ca="1" si="57">OFFSET(B41,-3,0)+1</f>
        <v>10</v>
      </c>
      <c r="C41" s="185">
        <f ca="1">IF($R41&lt;&gt;2,0,IF($S41=0,1,IF(F42&gt;0,OFFSET(QCI!$M$13,SUBSTITUTE(F42,".",""),0),OFFSET(ORÇAMENTO!$AA$15,CRONO!$F41,0))/$S41))</f>
        <v>1</v>
      </c>
      <c r="D41" s="185">
        <f ca="1">IF($R41&lt;&gt;2,0,IF($S41=0,1,IF(F42&gt;0,OFFSET(QCI!$N$13,SUBSTITUTE(F42,".",""),0),OFFSET(ORÇAMENTO!$AB$15,CRONO!$F41,0))/$S41))</f>
        <v>1</v>
      </c>
      <c r="E41" s="188" cm="1">
        <f t="array" aca="1" ref="E41" ca="1">IF(AND($R41=2,ACOMPANHAMENTO="BM"),ROUND(E42,4),E43/$S41)</f>
        <v>0</v>
      </c>
      <c r="F41" s="185" cm="1">
        <f t="array" aca="1" ref="F41" ca="1">IF(B41&lt;=ORÇAMENTO.MáximoListaCrono,MATCH(B41,ORÇAMENTO.ListaCrono,0),NA())</f>
        <v>38</v>
      </c>
      <c r="G41" s="185" t="str">
        <f t="shared" ref="G41" ca="1" si="58">IF(AND($F42&lt;&gt;-1,$S41&gt;0),"F","")</f>
        <v/>
      </c>
      <c r="H41" s="189" t="str" cm="1">
        <f t="array" aca="1" ref="H41" ca="1">IF(OR(S41=0,S41=""),"Linha",IF(AND(OR(ACOMPANHAMENTO="PLE",$R41&lt;&gt;2),$F42=0),"Linha",ROUND(1-SUM(U41:AG41),4)))</f>
        <v>Linha</v>
      </c>
      <c r="I41" s="190" t="str">
        <f ca="1">IF($F42=0,OFFSET(ORÇAMENTO!O$15,$F41,0),IF($F42&lt;&gt;-1,OFFSET(QCI!$D$13,$F42,0),""))</f>
        <v>2.4.</v>
      </c>
      <c r="J41" s="191" t="str">
        <f ca="1">IF($F42=0,OFFSET(ORÇAMENTO!R$15,$F41,0),IF($F42&lt;&gt;-1,OFFSET(QCI!$G$13,$F42,0),""))</f>
        <v>VIGAS CINTAMENTO - REAPROVEITAMENTO DE FORMA DAS BALDRAMES</v>
      </c>
      <c r="K41" s="191"/>
      <c r="L41" s="191"/>
      <c r="M41" s="192">
        <f ca="1">IF($F42=0,OFFSET(ORÇAMENTO!C$15,$F41,0),1)</f>
        <v>2</v>
      </c>
      <c r="N41" s="193">
        <f ca="1">IF($F42=-1,0,IF(N$13&lt;=$M41,IF(ISERROR(MATCH(N$13,OFFSET($M41,1,0,ROW($M$53)-ROW($M41)-1),0)),ROW($M$53)-ROW($M41)-1,MATCH(N$13,OFFSET($M41,1,0,ROW($M$53)-ROW($M41)-1),0)-1),0))</f>
        <v>11</v>
      </c>
      <c r="O41" s="193">
        <f ca="1">IF($F42=-1,0,IF(O$13&lt;=$M41,IF(ISERROR(MATCH(O$13,OFFSET($M41,1,0,ROW($M$53)-ROW($M41)-1),0)),ROW($M$53)-ROW($M41)-1,MATCH(O$13,OFFSET($M41,1,0,ROW($M$53)-ROW($M41)-1),0)-1),0))</f>
        <v>2</v>
      </c>
      <c r="P41" s="193">
        <f ca="1">IF($F42=-1,0,IF(P$13&lt;=$M41,IF(ISERROR(MATCH(P$13,OFFSET($M41,1,0,ROW($M$53)-ROW($M41)-1),0)),ROW($M$53)-ROW($M41)-1,MATCH(P$13,OFFSET($M41,1,0,ROW($M$53)-ROW($M41)-1),0)-1),0))</f>
        <v>0</v>
      </c>
      <c r="Q41" s="193">
        <f ca="1">IF($F42=-1,0,IF(Q$13&lt;=$M41,IF(ISERROR(MATCH(Q$13,OFFSET($M41,1,0,ROW($M$53)-ROW($M41)-1),0)),ROW($M$53)-ROW($M41)-1,MATCH(Q$13,OFFSET($M41,1,0,ROW($M$53)-ROW($M41)-1),0)-1),0))</f>
        <v>0</v>
      </c>
      <c r="R41" s="193">
        <f t="shared" ref="R41" ca="1" si="59">MIN(OFFSET(M41,0,1,,M41))</f>
        <v>2</v>
      </c>
      <c r="S41" s="194">
        <f ca="1">IF($F42=0,OFFSET(ORÇAMENTO!X$15,$F41,0),IF($F42&lt;&gt;-1,OFFSET(QCI!$O$13,$F42,0),""))</f>
        <v>0</v>
      </c>
      <c r="T41" s="195" t="s">
        <v>785</v>
      </c>
      <c r="U41" s="188" cm="1">
        <f t="array" aca="1" ref="U41" ca="1">IF(AND($R41=2,ACOMPANHAMENTO="BM"),ROUND(U42,4),U43/$S41)</f>
        <v>1</v>
      </c>
      <c r="V41" s="188" cm="1">
        <f t="array" aca="1" ref="V41" ca="1">IF(AND($R41=2,ACOMPANHAMENTO="BM"),ROUND(V42,4),V43/$S41)</f>
        <v>0</v>
      </c>
      <c r="W41" s="188" cm="1">
        <f t="array" aca="1" ref="W41" ca="1">IF(AND($R41=2,ACOMPANHAMENTO="BM"),ROUND(W42,4),W43/$S41)</f>
        <v>0</v>
      </c>
      <c r="X41" s="188" cm="1">
        <f t="array" aca="1" ref="X41" ca="1">IF(AND($R41=2,ACOMPANHAMENTO="BM"),ROUND(X42,4),X43/$S41)</f>
        <v>0</v>
      </c>
      <c r="Y41" s="188" cm="1">
        <f t="array" aca="1" ref="Y41" ca="1">IF(AND($R41=2,ACOMPANHAMENTO="BM"),ROUND(Y42,4),Y43/$S41)</f>
        <v>0</v>
      </c>
      <c r="Z41" s="188" cm="1">
        <f t="array" aca="1" ref="Z41" ca="1">IF(AND($R41=2,ACOMPANHAMENTO="BM"),ROUND(Z42,4),Z43/$S41)</f>
        <v>0</v>
      </c>
      <c r="AA41" s="188" cm="1">
        <f t="array" aca="1" ref="AA41" ca="1">IF(AND($R41=2,ACOMPANHAMENTO="BM"),ROUND(AA42,4),AA43/$S41)</f>
        <v>0</v>
      </c>
      <c r="AB41" s="188" cm="1">
        <f t="array" aca="1" ref="AB41" ca="1">IF(AND($R41=2,ACOMPANHAMENTO="BM"),ROUND(AB42,4),AB43/$S41)</f>
        <v>0</v>
      </c>
      <c r="AC41" s="188" cm="1">
        <f t="array" aca="1" ref="AC41" ca="1">IF(AND($R41=2,ACOMPANHAMENTO="BM"),ROUND(AC42,4),AC43/$S41)</f>
        <v>0</v>
      </c>
      <c r="AD41" s="188" cm="1">
        <f t="array" aca="1" ref="AD41" ca="1">IF(AND($R41=2,ACOMPANHAMENTO="BM"),ROUND(AD42,4),AD43/$S41)</f>
        <v>0</v>
      </c>
      <c r="AE41" s="188" cm="1">
        <f t="array" aca="1" ref="AE41" ca="1">IF(AND($R41=2,ACOMPANHAMENTO="BM"),ROUND(AE42,4),AE43/$S41)</f>
        <v>0</v>
      </c>
      <c r="AF41" s="188" cm="1">
        <f t="array" aca="1" ref="AF41" ca="1">IF(AND($R41=2,ACOMPANHAMENTO="BM"),ROUND(AF42,4),AF43/$S41)</f>
        <v>0</v>
      </c>
      <c r="AG41" s="534"/>
    </row>
    <row r="42" spans="1:33" ht="12.75" customHeight="1" x14ac:dyDescent="0.2">
      <c r="E42" s="587"/>
      <c r="F42" s="185">
        <f ca="1">IF(ISERROR(F41),IF(1+COUNTIF($M$13:OFFSET(M41,-1,0),1)&lt;=MAX(QCI!$D$13:$D$24),1+COUNTIF($M$13:OFFSET(M41,-1,0),1),-1),0)</f>
        <v>0</v>
      </c>
      <c r="G42" s="185" t="str" cm="1">
        <f t="array" aca="1" ref="G42" ca="1">IF(ACOMPANHAMENTO="BM",OFFSET(G42,-1,0),"")</f>
        <v/>
      </c>
      <c r="H42" s="196" t="str" cm="1">
        <f t="array" aca="1" ref="H42" ca="1">IF(OR(S41=0,S41=""),"vazia",IF(AND(OR(ACOMPANHAMENTO="PLE",$R41&lt;&gt;2),$F42=0),"calculada","--&gt;"))</f>
        <v>vazia</v>
      </c>
      <c r="I42" s="197"/>
      <c r="J42" s="198" t="str">
        <f t="shared" ref="J42" ca="1" si="60">IF(AND(H41&lt;&gt;0,ISNUMBER(H41)),"PREENCHA ESTA LINHA --&gt;","")</f>
        <v/>
      </c>
      <c r="K42" s="198"/>
      <c r="L42" s="198"/>
      <c r="M42" s="199"/>
      <c r="N42" s="199"/>
      <c r="O42" s="199"/>
      <c r="P42" s="199"/>
      <c r="Q42" s="199"/>
      <c r="R42" s="199"/>
      <c r="S42" s="200"/>
      <c r="T42" s="201"/>
      <c r="U42" s="587">
        <v>1</v>
      </c>
      <c r="V42" s="587"/>
      <c r="W42" s="587"/>
      <c r="X42" s="587"/>
      <c r="Y42" s="587"/>
      <c r="Z42" s="587"/>
      <c r="AA42" s="587"/>
      <c r="AB42" s="587"/>
      <c r="AC42" s="587"/>
      <c r="AD42" s="587"/>
      <c r="AE42" s="587"/>
      <c r="AF42" s="587"/>
      <c r="AG42" s="534"/>
    </row>
    <row r="43" spans="1:33" ht="12.75" hidden="1"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SUMIF(CÁLCULO!$AM$15:$AW$71,CRONO!E$12,CÁLCULO!$AB$15:$AL$71)/(ORÇAMENTO!$X$15-CÁLCULO.TotalAdmLocal)*CRONO!$F43,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203"/>
      <c r="S43" s="204" t="str">
        <f t="shared" ref="S43" ca="1" si="61">M41&amp;"$"</f>
        <v>2$</v>
      </c>
      <c r="T43" s="205"/>
      <c r="U43" s="202" cm="1">
        <f t="array" aca="1" ref="U43" ca="1">IF($R41=2,
         IF(AND(ACOMPANHAMENTO="PLE",ISNUMBER($F41)),
                SUMIF((OFFSET(CÁLCULO!$AM$15:$AW$15,$F41,0,OFFSET(ORÇAMENTO!$D$15,CRONO!$F41,0))),CRONO!U$12,OFFSET(CÁLCULO!$AB$15:$AL$15,$F41,0,OFFSET(ORÇAMENTO!$D$15,CRONO!$F41,0)))
                +IF(AND($F43&lt;&gt;"",$F43&lt;&gt;0),
                        SUMIF(CÁLCULO!$AM$15:$AW$71,CRONO!U$12,CÁLCULO!$AB$15:$AL$71)/(ORÇAMENTO!$X$15-CÁLCULO.TotalAdmLocal)*CRONO!$F43,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SUMIF(CÁLCULO!$AM$15:$AW$71,CRONO!V$12,CÁLCULO!$AB$15:$AL$71)/(ORÇAMENTO!$X$15-CÁLCULO.TotalAdmLocal)*CRONO!$F43,
                        0),
                 V42*$S41),
          SUMIF(OFFSET($S43,1,0,$R41-2),($M41+1)&amp;"$",OFFSET(V43,1,0,$R41-2)))</f>
        <v>0</v>
      </c>
      <c r="W43" s="202" cm="1">
        <f t="array" aca="1" ref="W43" ca="1">IF($R41=2,
         IF(AND(ACOMPANHAMENTO="PLE",ISNUMBER($F41)),
                SUMIF((OFFSET(CÁLCULO!$AM$15:$AW$15,$F41,0,OFFSET(ORÇAMENTO!$D$15,CRONO!$F41,0))),CRONO!W$12,OFFSET(CÁLCULO!$AB$15:$AL$15,$F41,0,OFFSET(ORÇAMENTO!$D$15,CRONO!$F41,0)))
                +IF(AND($F43&lt;&gt;"",$F43&lt;&gt;0),
                        SUMIF(CÁLCULO!$AM$15:$AW$71,CRONO!W$12,CÁLCULO!$AB$15:$AL$71)/(ORÇAMENTO!$X$15-CÁLCULO.TotalAdmLocal)*CRONO!$F43,
                        0),
                 W42*$S41),
          SUMIF(OFFSET($S43,1,0,$R41-2),($M41+1)&amp;"$",OFFSET(W43,1,0,$R41-2)))</f>
        <v>0</v>
      </c>
      <c r="X43" s="202" cm="1">
        <f t="array" aca="1" ref="X43" ca="1">IF($R41=2,
         IF(AND(ACOMPANHAMENTO="PLE",ISNUMBER($F41)),
                SUMIF((OFFSET(CÁLCULO!$AM$15:$AW$15,$F41,0,OFFSET(ORÇAMENTO!$D$15,CRONO!$F41,0))),CRONO!X$12,OFFSET(CÁLCULO!$AB$15:$AL$15,$F41,0,OFFSET(ORÇAMENTO!$D$15,CRONO!$F41,0)))
                +IF(AND($F43&lt;&gt;"",$F43&lt;&gt;0),
                        SUMIF(CÁLCULO!$AM$15:$AW$71,CRONO!X$12,CÁLCULO!$AB$15:$AL$71)/(ORÇAMENTO!$X$15-CÁLCULO.TotalAdmLocal)*CRONO!$F43,
                        0),
                 X42*$S41),
          SUMIF(OFFSET($S43,1,0,$R41-2),($M41+1)&amp;"$",OFFSET(X43,1,0,$R41-2)))</f>
        <v>0</v>
      </c>
      <c r="Y43" s="202" cm="1">
        <f t="array" aca="1" ref="Y43" ca="1">IF($R41=2,
         IF(AND(ACOMPANHAMENTO="PLE",ISNUMBER($F41)),
                SUMIF((OFFSET(CÁLCULO!$AM$15:$AW$15,$F41,0,OFFSET(ORÇAMENTO!$D$15,CRONO!$F41,0))),CRONO!Y$12,OFFSET(CÁLCULO!$AB$15:$AL$15,$F41,0,OFFSET(ORÇAMENTO!$D$15,CRONO!$F41,0)))
                +IF(AND($F43&lt;&gt;"",$F43&lt;&gt;0),
                        SUMIF(CÁLCULO!$AM$15:$AW$71,CRONO!Y$12,CÁLCULO!$AB$15:$AL$71)/(ORÇAMENTO!$X$15-CÁLCULO.TotalAdmLocal)*CRONO!$F43,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SUMIF(CÁLCULO!$AM$15:$AW$71,CRONO!Z$12,CÁLCULO!$AB$15:$AL$71)/(ORÇAMENTO!$X$15-CÁLCULO.TotalAdmLocal)*CRONO!$F43,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SUMIF(CÁLCULO!$AM$15:$AW$71,CRONO!AA$12,CÁLCULO!$AB$15:$AL$71)/(ORÇAMENTO!$X$15-CÁLCULO.TotalAdmLocal)*CRONO!$F43,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SUMIF(CÁLCULO!$AM$15:$AW$71,CRONO!AB$12,CÁLCULO!$AB$15:$AL$71)/(ORÇAMENTO!$X$15-CÁLCULO.TotalAdmLocal)*CRONO!$F43,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SUMIF(CÁLCULO!$AM$15:$AW$71,CRONO!AC$12,CÁLCULO!$AB$15:$AL$71)/(ORÇAMENTO!$X$15-CÁLCULO.TotalAdmLocal)*CRONO!$F43,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SUMIF(CÁLCULO!$AM$15:$AW$71,CRONO!AD$12,CÁLCULO!$AB$15:$AL$71)/(ORÇAMENTO!$X$15-CÁLCULO.TotalAdmLocal)*CRONO!$F43,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SUMIF(CÁLCULO!$AM$15:$AW$71,CRONO!AE$12,CÁLCULO!$AB$15:$AL$71)/(ORÇAMENTO!$X$15-CÁLCULO.TotalAdmLocal)*CRONO!$F43,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SUMIF(CÁLCULO!$AM$15:$AW$71,CRONO!AF$12,CÁLCULO!$AB$15:$AL$71)/(ORÇAMENTO!$X$15-CÁLCULO.TotalAdmLocal)*CRONO!$F43,
                        0),
                 AF42*$S41),
          SUMIF(OFFSET($S43,1,0,$R41-2),($M41+1)&amp;"$",OFFSET(AF43,1,0,$R41-2)))</f>
        <v>0</v>
      </c>
      <c r="AG43" s="534"/>
    </row>
    <row r="44" spans="1:33" x14ac:dyDescent="0.2">
      <c r="A44" s="186" t="e">
        <f t="shared" ref="A44" ca="1" si="62">IF($M44&gt;1,_xlfn.CONCAT($I44," ",$J44),"")</f>
        <v>#NAME?</v>
      </c>
      <c r="B44" s="185">
        <f t="shared" ref="B44" ca="1" si="63">OFFSET(B44,-3,0)+1</f>
        <v>11</v>
      </c>
      <c r="C44" s="185">
        <f ca="1">IF($R44&lt;&gt;2,0,IF($S44=0,1,IF(F45&gt;0,OFFSET(QCI!$M$13,SUBSTITUTE(F45,".",""),0),OFFSET(ORÇAMENTO!$AA$15,CRONO!$F44,0))/$S44))</f>
        <v>1</v>
      </c>
      <c r="D44" s="185">
        <f ca="1">IF($R44&lt;&gt;2,0,IF($S44=0,1,IF(F45&gt;0,OFFSET(QCI!$N$13,SUBSTITUTE(F45,".",""),0),OFFSET(ORÇAMENTO!$AB$15,CRONO!$F44,0))/$S44))</f>
        <v>1</v>
      </c>
      <c r="E44" s="188" cm="1">
        <f t="array" aca="1" ref="E44" ca="1">IF(AND($R44=2,ACOMPANHAMENTO="BM"),ROUND(E45,4),E46/$S44)</f>
        <v>0</v>
      </c>
      <c r="F44" s="185" cm="1">
        <f t="array" aca="1" ref="F44" ca="1">IF(B44&lt;=ORÇAMENTO.MáximoListaCrono,MATCH(B44,ORÇAMENTO.ListaCrono,0),NA())</f>
        <v>42</v>
      </c>
      <c r="G44" s="185" t="str">
        <f t="shared" ref="G44" ca="1" si="64">IF(AND($F45&lt;&gt;-1,$S44&gt;0),"F","")</f>
        <v/>
      </c>
      <c r="H44" s="189" t="str" cm="1">
        <f t="array" aca="1" ref="H44" ca="1">IF(OR(S44=0,S44=""),"Linha",IF(AND(OR(ACOMPANHAMENTO="PLE",$R44&lt;&gt;2),$F45=0),"Linha",ROUND(1-SUM(U44:AG44),4)))</f>
        <v>Linha</v>
      </c>
      <c r="I44" s="190" t="str">
        <f ca="1">IF($F45=0,OFFSET(ORÇAMENTO!O$15,$F44,0),IF($F45&lt;&gt;-1,OFFSET(QCI!$D$13,$F45,0),""))</f>
        <v>2.5.</v>
      </c>
      <c r="J44" s="191" t="str">
        <f ca="1">IF($F45=0,OFFSET(ORÇAMENTO!R$15,$F44,0),IF($F45&lt;&gt;-1,OFFSET(QCI!$G$13,$F45,0),""))</f>
        <v>OITÃO EM ALVENARIA</v>
      </c>
      <c r="K44" s="191"/>
      <c r="L44" s="191"/>
      <c r="M44" s="192">
        <f ca="1">IF($F45=0,OFFSET(ORÇAMENTO!C$15,$F44,0),1)</f>
        <v>2</v>
      </c>
      <c r="N44" s="193">
        <f ca="1">IF($F45=-1,0,IF(N$13&lt;=$M44,IF(ISERROR(MATCH(N$13,OFFSET($M44,1,0,ROW($M$53)-ROW($M44)-1),0)),ROW($M$53)-ROW($M44)-1,MATCH(N$13,OFFSET($M44,1,0,ROW($M$53)-ROW($M44)-1),0)-1),0))</f>
        <v>8</v>
      </c>
      <c r="O44" s="193">
        <f ca="1">IF($F45=-1,0,IF(O$13&lt;=$M44,IF(ISERROR(MATCH(O$13,OFFSET($M44,1,0,ROW($M$53)-ROW($M44)-1),0)),ROW($M$53)-ROW($M44)-1,MATCH(O$13,OFFSET($M44,1,0,ROW($M$53)-ROW($M44)-1),0)-1),0))</f>
        <v>2</v>
      </c>
      <c r="P44" s="193">
        <f ca="1">IF($F45=-1,0,IF(P$13&lt;=$M44,IF(ISERROR(MATCH(P$13,OFFSET($M44,1,0,ROW($M$53)-ROW($M44)-1),0)),ROW($M$53)-ROW($M44)-1,MATCH(P$13,OFFSET($M44,1,0,ROW($M$53)-ROW($M44)-1),0)-1),0))</f>
        <v>0</v>
      </c>
      <c r="Q44" s="193">
        <f ca="1">IF($F45=-1,0,IF(Q$13&lt;=$M44,IF(ISERROR(MATCH(Q$13,OFFSET($M44,1,0,ROW($M$53)-ROW($M44)-1),0)),ROW($M$53)-ROW($M44)-1,MATCH(Q$13,OFFSET($M44,1,0,ROW($M$53)-ROW($M44)-1),0)-1),0))</f>
        <v>0</v>
      </c>
      <c r="R44" s="193">
        <f t="shared" ref="R44" ca="1" si="65">MIN(OFFSET(M44,0,1,,M44))</f>
        <v>2</v>
      </c>
      <c r="S44" s="194">
        <f ca="1">IF($F45=0,OFFSET(ORÇAMENTO!X$15,$F44,0),IF($F45&lt;&gt;-1,OFFSET(QCI!$O$13,$F45,0),""))</f>
        <v>0</v>
      </c>
      <c r="T44" s="195" t="s">
        <v>785</v>
      </c>
      <c r="U44" s="188" cm="1">
        <f t="array" aca="1" ref="U44" ca="1">IF(AND($R44=2,ACOMPANHAMENTO="BM"),ROUND(U45,4),U46/$S44)</f>
        <v>1</v>
      </c>
      <c r="V44" s="188" cm="1">
        <f t="array" aca="1" ref="V44" ca="1">IF(AND($R44=2,ACOMPANHAMENTO="BM"),ROUND(V45,4),V46/$S44)</f>
        <v>0</v>
      </c>
      <c r="W44" s="188" cm="1">
        <f t="array" aca="1" ref="W44" ca="1">IF(AND($R44=2,ACOMPANHAMENTO="BM"),ROUND(W45,4),W46/$S44)</f>
        <v>0</v>
      </c>
      <c r="X44" s="188" cm="1">
        <f t="array" aca="1" ref="X44" ca="1">IF(AND($R44=2,ACOMPANHAMENTO="BM"),ROUND(X45,4),X46/$S44)</f>
        <v>0</v>
      </c>
      <c r="Y44" s="188" cm="1">
        <f t="array" aca="1" ref="Y44" ca="1">IF(AND($R44=2,ACOMPANHAMENTO="BM"),ROUND(Y45,4),Y46/$S44)</f>
        <v>0</v>
      </c>
      <c r="Z44" s="188" cm="1">
        <f t="array" aca="1" ref="Z44" ca="1">IF(AND($R44=2,ACOMPANHAMENTO="BM"),ROUND(Z45,4),Z46/$S44)</f>
        <v>0</v>
      </c>
      <c r="AA44" s="188" cm="1">
        <f t="array" aca="1" ref="AA44" ca="1">IF(AND($R44=2,ACOMPANHAMENTO="BM"),ROUND(AA45,4),AA46/$S44)</f>
        <v>0</v>
      </c>
      <c r="AB44" s="188" cm="1">
        <f t="array" aca="1" ref="AB44" ca="1">IF(AND($R44=2,ACOMPANHAMENTO="BM"),ROUND(AB45,4),AB46/$S44)</f>
        <v>0</v>
      </c>
      <c r="AC44" s="188" cm="1">
        <f t="array" aca="1" ref="AC44" ca="1">IF(AND($R44=2,ACOMPANHAMENTO="BM"),ROUND(AC45,4),AC46/$S44)</f>
        <v>0</v>
      </c>
      <c r="AD44" s="188" cm="1">
        <f t="array" aca="1" ref="AD44" ca="1">IF(AND($R44=2,ACOMPANHAMENTO="BM"),ROUND(AD45,4),AD46/$S44)</f>
        <v>0</v>
      </c>
      <c r="AE44" s="188" cm="1">
        <f t="array" aca="1" ref="AE44" ca="1">IF(AND($R44=2,ACOMPANHAMENTO="BM"),ROUND(AE45,4),AE46/$S44)</f>
        <v>0</v>
      </c>
      <c r="AF44" s="188" cm="1">
        <f t="array" aca="1" ref="AF44" ca="1">IF(AND($R44=2,ACOMPANHAMENTO="BM"),ROUND(AF45,4),AF46/$S44)</f>
        <v>0</v>
      </c>
      <c r="AG44" s="534"/>
    </row>
    <row r="45" spans="1:33" ht="12.75" customHeight="1" x14ac:dyDescent="0.2">
      <c r="E45" s="587"/>
      <c r="F45" s="185">
        <f ca="1">IF(ISERROR(F44),IF(1+COUNTIF($M$13:OFFSET(M44,-1,0),1)&lt;=MAX(QCI!$D$13:$D$24),1+COUNTIF($M$13:OFFSET(M44,-1,0),1),-1),0)</f>
        <v>0</v>
      </c>
      <c r="G45" s="185" t="str" cm="1">
        <f t="array" aca="1" ref="G45" ca="1">IF(ACOMPANHAMENTO="BM",OFFSET(G45,-1,0),"")</f>
        <v/>
      </c>
      <c r="H45" s="196" t="str" cm="1">
        <f t="array" aca="1" ref="H45" ca="1">IF(OR(S44=0,S44=""),"vazia",IF(AND(OR(ACOMPANHAMENTO="PLE",$R44&lt;&gt;2),$F45=0),"calculada","--&gt;"))</f>
        <v>vazia</v>
      </c>
      <c r="I45" s="197"/>
      <c r="J45" s="198" t="str">
        <f t="shared" ref="J45" ca="1" si="66">IF(AND(H44&lt;&gt;0,ISNUMBER(H44)),"PREENCHA ESTA LINHA --&gt;","")</f>
        <v/>
      </c>
      <c r="K45" s="198"/>
      <c r="L45" s="198"/>
      <c r="M45" s="199"/>
      <c r="N45" s="199"/>
      <c r="O45" s="199"/>
      <c r="P45" s="199"/>
      <c r="Q45" s="199"/>
      <c r="R45" s="199"/>
      <c r="S45" s="200"/>
      <c r="T45" s="201"/>
      <c r="U45" s="587">
        <v>1</v>
      </c>
      <c r="V45" s="587"/>
      <c r="W45" s="587"/>
      <c r="X45" s="587"/>
      <c r="Y45" s="587"/>
      <c r="Z45" s="587"/>
      <c r="AA45" s="587"/>
      <c r="AB45" s="587"/>
      <c r="AC45" s="587"/>
      <c r="AD45" s="587"/>
      <c r="AE45" s="587"/>
      <c r="AF45" s="587"/>
      <c r="AG45" s="534"/>
    </row>
    <row r="46" spans="1:33" ht="12.75" hidden="1" customHeight="1" x14ac:dyDescent="0.2">
      <c r="D46" s="533"/>
      <c r="E46" s="202" cm="1">
        <f t="array" aca="1" ref="E46" ca="1">IF($R44=2,
         IF(AND(ACOMPANHAMENTO="PLE",ISNUMBER($F44)),
                SUMIF((OFFSET(CÁLCULO!$AM$15:$AW$15,$F44,0,OFFSET(ORÇAMENTO!$D$15,CRONO!$F44,0))),CRONO!E$12,OFFSET(CÁLCULO!$AB$15:$AL$15,$F44,0,OFFSET(ORÇAMENTO!$D$15,CRONO!$F44,0)))
                +IF(AND($F46&lt;&gt;"",$F46&lt;&gt;0),
                        SUMIF(CÁLCULO!$AM$15:$AW$71,CRONO!E$12,CÁLCULO!$AB$15:$AL$71)/(ORÇAMENTO!$X$15-CÁLCULO.TotalAdmLocal)*CRONO!$F46,
                        0),
                 E45*$S44),
          SUMIF(OFFSET($S46,1,0,$R44-2),($M44+1)&amp;"$",OFFSET(E46,1,0,$R44-2)))</f>
        <v>0</v>
      </c>
      <c r="F46" s="185" t="str">
        <f ca="1">IF(OR($R44&lt;&gt;2,AUTOEVENTO&lt;&gt;"manual",$F45&gt;0),"",
        IF(Import.TipoArredondamento="Tradicional",
              SUMIF(OFFSET(CÁLCULO!$M$15,CRONO!$F44,0,OFFSET(ORÇAMENTO!$D$15,CRONO!$F44,0)),1,OFFSET(ORÇAMENTO!$X$15,CRONO!$F44,0,OFFSET(ORÇAMENTO!$D$15,CRONO!$F44,0))),
              0))</f>
        <v/>
      </c>
      <c r="H46" s="203"/>
      <c r="S46" s="204" t="str">
        <f t="shared" ref="S46" ca="1" si="67">M44&amp;"$"</f>
        <v>2$</v>
      </c>
      <c r="T46" s="205"/>
      <c r="U46" s="202" cm="1">
        <f t="array" aca="1" ref="U46" ca="1">IF($R44=2,
         IF(AND(ACOMPANHAMENTO="PLE",ISNUMBER($F44)),
                SUMIF((OFFSET(CÁLCULO!$AM$15:$AW$15,$F44,0,OFFSET(ORÇAMENTO!$D$15,CRONO!$F44,0))),CRONO!U$12,OFFSET(CÁLCULO!$AB$15:$AL$15,$F44,0,OFFSET(ORÇAMENTO!$D$15,CRONO!$F44,0)))
                +IF(AND($F46&lt;&gt;"",$F46&lt;&gt;0),
                        SUMIF(CÁLCULO!$AM$15:$AW$71,CRONO!U$12,CÁLCULO!$AB$15:$AL$71)/(ORÇAMENTO!$X$15-CÁLCULO.TotalAdmLocal)*CRONO!$F46,
                        0),
                 U45*$S44),
          SUMIF(OFFSET($S46,1,0,$R44-2),($M44+1)&amp;"$",OFFSET(U46,1,0,$R44-2)))</f>
        <v>0</v>
      </c>
      <c r="V46" s="202" cm="1">
        <f t="array" aca="1" ref="V46" ca="1">IF($R44=2,
         IF(AND(ACOMPANHAMENTO="PLE",ISNUMBER($F44)),
                SUMIF((OFFSET(CÁLCULO!$AM$15:$AW$15,$F44,0,OFFSET(ORÇAMENTO!$D$15,CRONO!$F44,0))),CRONO!V$12,OFFSET(CÁLCULO!$AB$15:$AL$15,$F44,0,OFFSET(ORÇAMENTO!$D$15,CRONO!$F44,0)))
                +IF(AND($F46&lt;&gt;"",$F46&lt;&gt;0),
                        SUMIF(CÁLCULO!$AM$15:$AW$71,CRONO!V$12,CÁLCULO!$AB$15:$AL$71)/(ORÇAMENTO!$X$15-CÁLCULO.TotalAdmLocal)*CRONO!$F46,
                        0),
                 V45*$S44),
          SUMIF(OFFSET($S46,1,0,$R44-2),($M44+1)&amp;"$",OFFSET(V46,1,0,$R44-2)))</f>
        <v>0</v>
      </c>
      <c r="W46" s="202" cm="1">
        <f t="array" aca="1" ref="W46" ca="1">IF($R44=2,
         IF(AND(ACOMPANHAMENTO="PLE",ISNUMBER($F44)),
                SUMIF((OFFSET(CÁLCULO!$AM$15:$AW$15,$F44,0,OFFSET(ORÇAMENTO!$D$15,CRONO!$F44,0))),CRONO!W$12,OFFSET(CÁLCULO!$AB$15:$AL$15,$F44,0,OFFSET(ORÇAMENTO!$D$15,CRONO!$F44,0)))
                +IF(AND($F46&lt;&gt;"",$F46&lt;&gt;0),
                        SUMIF(CÁLCULO!$AM$15:$AW$71,CRONO!W$12,CÁLCULO!$AB$15:$AL$71)/(ORÇAMENTO!$X$15-CÁLCULO.TotalAdmLocal)*CRONO!$F46,
                        0),
                 W45*$S44),
          SUMIF(OFFSET($S46,1,0,$R44-2),($M44+1)&amp;"$",OFFSET(W46,1,0,$R44-2)))</f>
        <v>0</v>
      </c>
      <c r="X46" s="202" cm="1">
        <f t="array" aca="1" ref="X46" ca="1">IF($R44=2,
         IF(AND(ACOMPANHAMENTO="PLE",ISNUMBER($F44)),
                SUMIF((OFFSET(CÁLCULO!$AM$15:$AW$15,$F44,0,OFFSET(ORÇAMENTO!$D$15,CRONO!$F44,0))),CRONO!X$12,OFFSET(CÁLCULO!$AB$15:$AL$15,$F44,0,OFFSET(ORÇAMENTO!$D$15,CRONO!$F44,0)))
                +IF(AND($F46&lt;&gt;"",$F46&lt;&gt;0),
                        SUMIF(CÁLCULO!$AM$15:$AW$71,CRONO!X$12,CÁLCULO!$AB$15:$AL$71)/(ORÇAMENTO!$X$15-CÁLCULO.TotalAdmLocal)*CRONO!$F46,
                        0),
                 X45*$S44),
          SUMIF(OFFSET($S46,1,0,$R44-2),($M44+1)&amp;"$",OFFSET(X46,1,0,$R44-2)))</f>
        <v>0</v>
      </c>
      <c r="Y46" s="202" cm="1">
        <f t="array" aca="1" ref="Y46" ca="1">IF($R44=2,
         IF(AND(ACOMPANHAMENTO="PLE",ISNUMBER($F44)),
                SUMIF((OFFSET(CÁLCULO!$AM$15:$AW$15,$F44,0,OFFSET(ORÇAMENTO!$D$15,CRONO!$F44,0))),CRONO!Y$12,OFFSET(CÁLCULO!$AB$15:$AL$15,$F44,0,OFFSET(ORÇAMENTO!$D$15,CRONO!$F44,0)))
                +IF(AND($F46&lt;&gt;"",$F46&lt;&gt;0),
                        SUMIF(CÁLCULO!$AM$15:$AW$71,CRONO!Y$12,CÁLCULO!$AB$15:$AL$71)/(ORÇAMENTO!$X$15-CÁLCULO.TotalAdmLocal)*CRONO!$F46,
                        0),
                 Y45*$S44),
          SUMIF(OFFSET($S46,1,0,$R44-2),($M44+1)&amp;"$",OFFSET(Y46,1,0,$R44-2)))</f>
        <v>0</v>
      </c>
      <c r="Z46" s="202" cm="1">
        <f t="array" aca="1" ref="Z46" ca="1">IF($R44=2,
         IF(AND(ACOMPANHAMENTO="PLE",ISNUMBER($F44)),
                SUMIF((OFFSET(CÁLCULO!$AM$15:$AW$15,$F44,0,OFFSET(ORÇAMENTO!$D$15,CRONO!$F44,0))),CRONO!Z$12,OFFSET(CÁLCULO!$AB$15:$AL$15,$F44,0,OFFSET(ORÇAMENTO!$D$15,CRONO!$F44,0)))
                +IF(AND($F46&lt;&gt;"",$F46&lt;&gt;0),
                        SUMIF(CÁLCULO!$AM$15:$AW$71,CRONO!Z$12,CÁLCULO!$AB$15:$AL$71)/(ORÇAMENTO!$X$15-CÁLCULO.TotalAdmLocal)*CRONO!$F46,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SUMIF(CÁLCULO!$AM$15:$AW$71,CRONO!AA$12,CÁLCULO!$AB$15:$AL$71)/(ORÇAMENTO!$X$15-CÁLCULO.TotalAdmLocal)*CRONO!$F46,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SUMIF(CÁLCULO!$AM$15:$AW$71,CRONO!AB$12,CÁLCULO!$AB$15:$AL$71)/(ORÇAMENTO!$X$15-CÁLCULO.TotalAdmLocal)*CRONO!$F46,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SUMIF(CÁLCULO!$AM$15:$AW$71,CRONO!AC$12,CÁLCULO!$AB$15:$AL$71)/(ORÇAMENTO!$X$15-CÁLCULO.TotalAdmLocal)*CRONO!$F46,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SUMIF(CÁLCULO!$AM$15:$AW$71,CRONO!AD$12,CÁLCULO!$AB$15:$AL$71)/(ORÇAMENTO!$X$15-CÁLCULO.TotalAdmLocal)*CRONO!$F46,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SUMIF(CÁLCULO!$AM$15:$AW$71,CRONO!AE$12,CÁLCULO!$AB$15:$AL$71)/(ORÇAMENTO!$X$15-CÁLCULO.TotalAdmLocal)*CRONO!$F46,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SUMIF(CÁLCULO!$AM$15:$AW$71,CRONO!AF$12,CÁLCULO!$AB$15:$AL$71)/(ORÇAMENTO!$X$15-CÁLCULO.TotalAdmLocal)*CRONO!$F46,
                        0),
                 AF45*$S44),
          SUMIF(OFFSET($S46,1,0,$R44-2),($M44+1)&amp;"$",OFFSET(AF46,1,0,$R44-2)))</f>
        <v>0</v>
      </c>
      <c r="AG46" s="534"/>
    </row>
    <row r="47" spans="1:33" x14ac:dyDescent="0.2">
      <c r="A47" s="186" t="e">
        <f t="shared" ref="A47" ca="1" si="68">IF($M47&gt;1,_xlfn.CONCAT($I47," ",$J47),"")</f>
        <v>#NAME?</v>
      </c>
      <c r="B47" s="185">
        <f t="shared" ref="B47" ca="1" si="69">OFFSET(B47,-3,0)+1</f>
        <v>12</v>
      </c>
      <c r="C47" s="185">
        <f ca="1">IF($R47&lt;&gt;2,0,IF($S47=0,1,IF(F48&gt;0,OFFSET(QCI!$M$13,SUBSTITUTE(F48,".",""),0),OFFSET(ORÇAMENTO!$AA$15,CRONO!$F47,0))/$S47))</f>
        <v>1</v>
      </c>
      <c r="D47" s="185">
        <f ca="1">IF($R47&lt;&gt;2,0,IF($S47=0,1,IF(F48&gt;0,OFFSET(QCI!$N$13,SUBSTITUTE(F48,".",""),0),OFFSET(ORÇAMENTO!$AB$15,CRONO!$F47,0))/$S47))</f>
        <v>1</v>
      </c>
      <c r="E47" s="188" cm="1">
        <f t="array" aca="1" ref="E47" ca="1">IF(AND($R47=2,ACOMPANHAMENTO="BM"),ROUND(E48,4),E49/$S47)</f>
        <v>0</v>
      </c>
      <c r="F47" s="185" cm="1">
        <f t="array" aca="1" ref="F47" ca="1">IF(B47&lt;=ORÇAMENTO.MáximoListaCrono,MATCH(B47,ORÇAMENTO.ListaCrono,0),NA())</f>
        <v>48</v>
      </c>
      <c r="G47" s="185" t="str">
        <f t="shared" ref="G47" ca="1" si="70">IF(AND($F48&lt;&gt;-1,$S47&gt;0),"F","")</f>
        <v/>
      </c>
      <c r="H47" s="189" t="str" cm="1">
        <f t="array" aca="1" ref="H47" ca="1">IF(OR(S47=0,S47=""),"Linha",IF(AND(OR(ACOMPANHAMENTO="PLE",$R47&lt;&gt;2),$F48=0),"Linha",ROUND(1-SUM(U47:AG47),4)))</f>
        <v>Linha</v>
      </c>
      <c r="I47" s="190" t="str">
        <f ca="1">IF($F48=0,OFFSET(ORÇAMENTO!O$15,$F47,0),IF($F48&lt;&gt;-1,OFFSET(QCI!$D$13,$F48,0),""))</f>
        <v>2.6.</v>
      </c>
      <c r="J47" s="191" t="str">
        <f ca="1">IF($F48=0,OFFSET(ORÇAMENTO!R$15,$F47,0),IF($F48&lt;&gt;-1,OFFSET(QCI!$G$13,$F48,0),""))</f>
        <v>COBERTURA</v>
      </c>
      <c r="K47" s="191"/>
      <c r="L47" s="191"/>
      <c r="M47" s="192">
        <f ca="1">IF($F48=0,OFFSET(ORÇAMENTO!C$15,$F47,0),1)</f>
        <v>2</v>
      </c>
      <c r="N47" s="193">
        <f ca="1">IF($F48=-1,0,IF(N$13&lt;=$M47,IF(ISERROR(MATCH(N$13,OFFSET($M47,1,0,ROW($M$53)-ROW($M47)-1),0)),ROW($M$53)-ROW($M47)-1,MATCH(N$13,OFFSET($M47,1,0,ROW($M$53)-ROW($M47)-1),0)-1),0))</f>
        <v>5</v>
      </c>
      <c r="O47" s="193">
        <f ca="1">IF($F48=-1,0,IF(O$13&lt;=$M47,IF(ISERROR(MATCH(O$13,OFFSET($M47,1,0,ROW($M$53)-ROW($M47)-1),0)),ROW($M$53)-ROW($M47)-1,MATCH(O$13,OFFSET($M47,1,0,ROW($M$53)-ROW($M47)-1),0)-1),0))</f>
        <v>2</v>
      </c>
      <c r="P47" s="193">
        <f ca="1">IF($F48=-1,0,IF(P$13&lt;=$M47,IF(ISERROR(MATCH(P$13,OFFSET($M47,1,0,ROW($M$53)-ROW($M47)-1),0)),ROW($M$53)-ROW($M47)-1,MATCH(P$13,OFFSET($M47,1,0,ROW($M$53)-ROW($M47)-1),0)-1),0))</f>
        <v>0</v>
      </c>
      <c r="Q47" s="193">
        <f ca="1">IF($F48=-1,0,IF(Q$13&lt;=$M47,IF(ISERROR(MATCH(Q$13,OFFSET($M47,1,0,ROW($M$53)-ROW($M47)-1),0)),ROW($M$53)-ROW($M47)-1,MATCH(Q$13,OFFSET($M47,1,0,ROW($M$53)-ROW($M47)-1),0)-1),0))</f>
        <v>0</v>
      </c>
      <c r="R47" s="193">
        <f t="shared" ref="R47" ca="1" si="71">MIN(OFFSET(M47,0,1,,M47))</f>
        <v>2</v>
      </c>
      <c r="S47" s="194">
        <f ca="1">IF($F48=0,OFFSET(ORÇAMENTO!X$15,$F47,0),IF($F48&lt;&gt;-1,OFFSET(QCI!$O$13,$F48,0),""))</f>
        <v>0</v>
      </c>
      <c r="T47" s="195" t="s">
        <v>785</v>
      </c>
      <c r="U47" s="188" cm="1">
        <f t="array" aca="1" ref="U47" ca="1">IF(AND($R47=2,ACOMPANHAMENTO="BM"),ROUND(U48,4),U49/$S47)</f>
        <v>1</v>
      </c>
      <c r="V47" s="188" cm="1">
        <f t="array" aca="1" ref="V47" ca="1">IF(AND($R47=2,ACOMPANHAMENTO="BM"),ROUND(V48,4),V49/$S47)</f>
        <v>0</v>
      </c>
      <c r="W47" s="188" cm="1">
        <f t="array" aca="1" ref="W47" ca="1">IF(AND($R47=2,ACOMPANHAMENTO="BM"),ROUND(W48,4),W49/$S47)</f>
        <v>0</v>
      </c>
      <c r="X47" s="188" cm="1">
        <f t="array" aca="1" ref="X47" ca="1">IF(AND($R47=2,ACOMPANHAMENTO="BM"),ROUND(X48,4),X49/$S47)</f>
        <v>0</v>
      </c>
      <c r="Y47" s="188" cm="1">
        <f t="array" aca="1" ref="Y47" ca="1">IF(AND($R47=2,ACOMPANHAMENTO="BM"),ROUND(Y48,4),Y49/$S47)</f>
        <v>0</v>
      </c>
      <c r="Z47" s="188" cm="1">
        <f t="array" aca="1" ref="Z47" ca="1">IF(AND($R47=2,ACOMPANHAMENTO="BM"),ROUND(Z48,4),Z49/$S47)</f>
        <v>0</v>
      </c>
      <c r="AA47" s="188" cm="1">
        <f t="array" aca="1" ref="AA47" ca="1">IF(AND($R47=2,ACOMPANHAMENTO="BM"),ROUND(AA48,4),AA49/$S47)</f>
        <v>0</v>
      </c>
      <c r="AB47" s="188" cm="1">
        <f t="array" aca="1" ref="AB47" ca="1">IF(AND($R47=2,ACOMPANHAMENTO="BM"),ROUND(AB48,4),AB49/$S47)</f>
        <v>0</v>
      </c>
      <c r="AC47" s="188" cm="1">
        <f t="array" aca="1" ref="AC47" ca="1">IF(AND($R47=2,ACOMPANHAMENTO="BM"),ROUND(AC48,4),AC49/$S47)</f>
        <v>0</v>
      </c>
      <c r="AD47" s="188" cm="1">
        <f t="array" aca="1" ref="AD47" ca="1">IF(AND($R47=2,ACOMPANHAMENTO="BM"),ROUND(AD48,4),AD49/$S47)</f>
        <v>0</v>
      </c>
      <c r="AE47" s="188" cm="1">
        <f t="array" aca="1" ref="AE47" ca="1">IF(AND($R47=2,ACOMPANHAMENTO="BM"),ROUND(AE48,4),AE49/$S47)</f>
        <v>0</v>
      </c>
      <c r="AF47" s="188" cm="1">
        <f t="array" aca="1" ref="AF47" ca="1">IF(AND($R47=2,ACOMPANHAMENTO="BM"),ROUND(AF48,4),AF49/$S47)</f>
        <v>0</v>
      </c>
      <c r="AG47" s="534"/>
    </row>
    <row r="48" spans="1:33" ht="12.75" customHeight="1" x14ac:dyDescent="0.2">
      <c r="E48" s="587"/>
      <c r="F48" s="185">
        <f ca="1">IF(ISERROR(F47),IF(1+COUNTIF($M$13:OFFSET(M47,-1,0),1)&lt;=MAX(QCI!$D$13:$D$24),1+COUNTIF($M$13:OFFSET(M47,-1,0),1),-1),0)</f>
        <v>0</v>
      </c>
      <c r="G48" s="185" t="str" cm="1">
        <f t="array" aca="1" ref="G48" ca="1">IF(ACOMPANHAMENTO="BM",OFFSET(G48,-1,0),"")</f>
        <v/>
      </c>
      <c r="H48" s="196" t="str" cm="1">
        <f t="array" aca="1" ref="H48" ca="1">IF(OR(S47=0,S47=""),"vazia",IF(AND(OR(ACOMPANHAMENTO="PLE",$R47&lt;&gt;2),$F48=0),"calculada","--&gt;"))</f>
        <v>vazia</v>
      </c>
      <c r="I48" s="197"/>
      <c r="J48" s="198" t="str">
        <f t="shared" ref="J48" ca="1" si="72">IF(AND(H47&lt;&gt;0,ISNUMBER(H47)),"PREENCHA ESTA LINHA --&gt;","")</f>
        <v/>
      </c>
      <c r="K48" s="198"/>
      <c r="L48" s="198"/>
      <c r="M48" s="199"/>
      <c r="N48" s="199"/>
      <c r="O48" s="199"/>
      <c r="P48" s="199"/>
      <c r="Q48" s="199"/>
      <c r="R48" s="199"/>
      <c r="S48" s="200"/>
      <c r="T48" s="201"/>
      <c r="U48" s="587">
        <v>1</v>
      </c>
      <c r="V48" s="587"/>
      <c r="W48" s="587"/>
      <c r="X48" s="587"/>
      <c r="Y48" s="587"/>
      <c r="Z48" s="587"/>
      <c r="AA48" s="587"/>
      <c r="AB48" s="587"/>
      <c r="AC48" s="587"/>
      <c r="AD48" s="587"/>
      <c r="AE48" s="587"/>
      <c r="AF48" s="587"/>
      <c r="AG48" s="534"/>
    </row>
    <row r="49" spans="1:33" ht="12.75" hidden="1" customHeight="1" x14ac:dyDescent="0.2">
      <c r="D49" s="533"/>
      <c r="E49" s="202" cm="1">
        <f t="array" aca="1" ref="E49" ca="1">IF($R47=2,
         IF(AND(ACOMPANHAMENTO="PLE",ISNUMBER($F47)),
                SUMIF((OFFSET(CÁLCULO!$AM$15:$AW$15,$F47,0,OFFSET(ORÇAMENTO!$D$15,CRONO!$F47,0))),CRONO!E$12,OFFSET(CÁLCULO!$AB$15:$AL$15,$F47,0,OFFSET(ORÇAMENTO!$D$15,CRONO!$F47,0)))
                +IF(AND($F49&lt;&gt;"",$F49&lt;&gt;0),
                        SUMIF(CÁLCULO!$AM$15:$AW$71,CRONO!E$12,CÁLCULO!$AB$15:$AL$71)/(ORÇAMENTO!$X$15-CÁLCULO.TotalAdmLocal)*CRONO!$F49,
                        0),
                 E48*$S47),
          SUMIF(OFFSET($S49,1,0,$R47-2),($M47+1)&amp;"$",OFFSET(E49,1,0,$R47-2)))</f>
        <v>0</v>
      </c>
      <c r="F49" s="185" t="str">
        <f ca="1">IF(OR($R47&lt;&gt;2,AUTOEVENTO&lt;&gt;"manual",$F48&gt;0),"",
        IF(Import.TipoArredondamento="Tradicional",
              SUMIF(OFFSET(CÁLCULO!$M$15,CRONO!$F47,0,OFFSET(ORÇAMENTO!$D$15,CRONO!$F47,0)),1,OFFSET(ORÇAMENTO!$X$15,CRONO!$F47,0,OFFSET(ORÇAMENTO!$D$15,CRONO!$F47,0))),
              0))</f>
        <v/>
      </c>
      <c r="H49" s="203"/>
      <c r="S49" s="204" t="str">
        <f t="shared" ref="S49" ca="1" si="73">M47&amp;"$"</f>
        <v>2$</v>
      </c>
      <c r="T49" s="205"/>
      <c r="U49" s="202" cm="1">
        <f t="array" aca="1" ref="U49" ca="1">IF($R47=2,
         IF(AND(ACOMPANHAMENTO="PLE",ISNUMBER($F47)),
                SUMIF((OFFSET(CÁLCULO!$AM$15:$AW$15,$F47,0,OFFSET(ORÇAMENTO!$D$15,CRONO!$F47,0))),CRONO!U$12,OFFSET(CÁLCULO!$AB$15:$AL$15,$F47,0,OFFSET(ORÇAMENTO!$D$15,CRONO!$F47,0)))
                +IF(AND($F49&lt;&gt;"",$F49&lt;&gt;0),
                        SUMIF(CÁLCULO!$AM$15:$AW$71,CRONO!U$12,CÁLCULO!$AB$15:$AL$71)/(ORÇAMENTO!$X$15-CÁLCULO.TotalAdmLocal)*CRONO!$F49,
                        0),
                 U48*$S47),
          SUMIF(OFFSET($S49,1,0,$R47-2),($M47+1)&amp;"$",OFFSET(U49,1,0,$R47-2)))</f>
        <v>0</v>
      </c>
      <c r="V49" s="202" cm="1">
        <f t="array" aca="1" ref="V49" ca="1">IF($R47=2,
         IF(AND(ACOMPANHAMENTO="PLE",ISNUMBER($F47)),
                SUMIF((OFFSET(CÁLCULO!$AM$15:$AW$15,$F47,0,OFFSET(ORÇAMENTO!$D$15,CRONO!$F47,0))),CRONO!V$12,OFFSET(CÁLCULO!$AB$15:$AL$15,$F47,0,OFFSET(ORÇAMENTO!$D$15,CRONO!$F47,0)))
                +IF(AND($F49&lt;&gt;"",$F49&lt;&gt;0),
                        SUMIF(CÁLCULO!$AM$15:$AW$71,CRONO!V$12,CÁLCULO!$AB$15:$AL$71)/(ORÇAMENTO!$X$15-CÁLCULO.TotalAdmLocal)*CRONO!$F49,
                        0),
                 V48*$S47),
          SUMIF(OFFSET($S49,1,0,$R47-2),($M47+1)&amp;"$",OFFSET(V49,1,0,$R47-2)))</f>
        <v>0</v>
      </c>
      <c r="W49" s="202" cm="1">
        <f t="array" aca="1" ref="W49" ca="1">IF($R47=2,
         IF(AND(ACOMPANHAMENTO="PLE",ISNUMBER($F47)),
                SUMIF((OFFSET(CÁLCULO!$AM$15:$AW$15,$F47,0,OFFSET(ORÇAMENTO!$D$15,CRONO!$F47,0))),CRONO!W$12,OFFSET(CÁLCULO!$AB$15:$AL$15,$F47,0,OFFSET(ORÇAMENTO!$D$15,CRONO!$F47,0)))
                +IF(AND($F49&lt;&gt;"",$F49&lt;&gt;0),
                        SUMIF(CÁLCULO!$AM$15:$AW$71,CRONO!W$12,CÁLCULO!$AB$15:$AL$71)/(ORÇAMENTO!$X$15-CÁLCULO.TotalAdmLocal)*CRONO!$F49,
                        0),
                 W48*$S47),
          SUMIF(OFFSET($S49,1,0,$R47-2),($M47+1)&amp;"$",OFFSET(W49,1,0,$R47-2)))</f>
        <v>0</v>
      </c>
      <c r="X49" s="202" cm="1">
        <f t="array" aca="1" ref="X49" ca="1">IF($R47=2,
         IF(AND(ACOMPANHAMENTO="PLE",ISNUMBER($F47)),
                SUMIF((OFFSET(CÁLCULO!$AM$15:$AW$15,$F47,0,OFFSET(ORÇAMENTO!$D$15,CRONO!$F47,0))),CRONO!X$12,OFFSET(CÁLCULO!$AB$15:$AL$15,$F47,0,OFFSET(ORÇAMENTO!$D$15,CRONO!$F47,0)))
                +IF(AND($F49&lt;&gt;"",$F49&lt;&gt;0),
                        SUMIF(CÁLCULO!$AM$15:$AW$71,CRONO!X$12,CÁLCULO!$AB$15:$AL$71)/(ORÇAMENTO!$X$15-CÁLCULO.TotalAdmLocal)*CRONO!$F49,
                        0),
                 X48*$S47),
          SUMIF(OFFSET($S49,1,0,$R47-2),($M47+1)&amp;"$",OFFSET(X49,1,0,$R47-2)))</f>
        <v>0</v>
      </c>
      <c r="Y49" s="202" cm="1">
        <f t="array" aca="1" ref="Y49" ca="1">IF($R47=2,
         IF(AND(ACOMPANHAMENTO="PLE",ISNUMBER($F47)),
                SUMIF((OFFSET(CÁLCULO!$AM$15:$AW$15,$F47,0,OFFSET(ORÇAMENTO!$D$15,CRONO!$F47,0))),CRONO!Y$12,OFFSET(CÁLCULO!$AB$15:$AL$15,$F47,0,OFFSET(ORÇAMENTO!$D$15,CRONO!$F47,0)))
                +IF(AND($F49&lt;&gt;"",$F49&lt;&gt;0),
                        SUMIF(CÁLCULO!$AM$15:$AW$71,CRONO!Y$12,CÁLCULO!$AB$15:$AL$71)/(ORÇAMENTO!$X$15-CÁLCULO.TotalAdmLocal)*CRONO!$F49,
                        0),
                 Y48*$S47),
          SUMIF(OFFSET($S49,1,0,$R47-2),($M47+1)&amp;"$",OFFSET(Y49,1,0,$R47-2)))</f>
        <v>0</v>
      </c>
      <c r="Z49" s="202" cm="1">
        <f t="array" aca="1" ref="Z49" ca="1">IF($R47=2,
         IF(AND(ACOMPANHAMENTO="PLE",ISNUMBER($F47)),
                SUMIF((OFFSET(CÁLCULO!$AM$15:$AW$15,$F47,0,OFFSET(ORÇAMENTO!$D$15,CRONO!$F47,0))),CRONO!Z$12,OFFSET(CÁLCULO!$AB$15:$AL$15,$F47,0,OFFSET(ORÇAMENTO!$D$15,CRONO!$F47,0)))
                +IF(AND($F49&lt;&gt;"",$F49&lt;&gt;0),
                        SUMIF(CÁLCULO!$AM$15:$AW$71,CRONO!Z$12,CÁLCULO!$AB$15:$AL$71)/(ORÇAMENTO!$X$15-CÁLCULO.TotalAdmLocal)*CRONO!$F49,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SUMIF(CÁLCULO!$AM$15:$AW$71,CRONO!AA$12,CÁLCULO!$AB$15:$AL$71)/(ORÇAMENTO!$X$15-CÁLCULO.TotalAdmLocal)*CRONO!$F49,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SUMIF(CÁLCULO!$AM$15:$AW$71,CRONO!AB$12,CÁLCULO!$AB$15:$AL$71)/(ORÇAMENTO!$X$15-CÁLCULO.TotalAdmLocal)*CRONO!$F49,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SUMIF(CÁLCULO!$AM$15:$AW$71,CRONO!AC$12,CÁLCULO!$AB$15:$AL$71)/(ORÇAMENTO!$X$15-CÁLCULO.TotalAdmLocal)*CRONO!$F49,
                        0),
                 AC48*$S47),
          SUMIF(OFFSET($S49,1,0,$R47-2),($M47+1)&amp;"$",OFFSET(AC49,1,0,$R47-2)))</f>
        <v>0</v>
      </c>
      <c r="AD49" s="202" cm="1">
        <f t="array" aca="1" ref="AD49" ca="1">IF($R47=2,
         IF(AND(ACOMPANHAMENTO="PLE",ISNUMBER($F47)),
                SUMIF((OFFSET(CÁLCULO!$AM$15:$AW$15,$F47,0,OFFSET(ORÇAMENTO!$D$15,CRONO!$F47,0))),CRONO!AD$12,OFFSET(CÁLCULO!$AB$15:$AL$15,$F47,0,OFFSET(ORÇAMENTO!$D$15,CRONO!$F47,0)))
                +IF(AND($F49&lt;&gt;"",$F49&lt;&gt;0),
                        SUMIF(CÁLCULO!$AM$15:$AW$71,CRONO!AD$12,CÁLCULO!$AB$15:$AL$71)/(ORÇAMENTO!$X$15-CÁLCULO.TotalAdmLocal)*CRONO!$F49,
                        0),
                 AD48*$S47),
          SUMIF(OFFSET($S49,1,0,$R47-2),($M47+1)&amp;"$",OFFSET(AD49,1,0,$R47-2)))</f>
        <v>0</v>
      </c>
      <c r="AE49" s="202" cm="1">
        <f t="array" aca="1" ref="AE49" ca="1">IF($R47=2,
         IF(AND(ACOMPANHAMENTO="PLE",ISNUMBER($F47)),
                SUMIF((OFFSET(CÁLCULO!$AM$15:$AW$15,$F47,0,OFFSET(ORÇAMENTO!$D$15,CRONO!$F47,0))),CRONO!AE$12,OFFSET(CÁLCULO!$AB$15:$AL$15,$F47,0,OFFSET(ORÇAMENTO!$D$15,CRONO!$F47,0)))
                +IF(AND($F49&lt;&gt;"",$F49&lt;&gt;0),
                        SUMIF(CÁLCULO!$AM$15:$AW$71,CRONO!AE$12,CÁLCULO!$AB$15:$AL$71)/(ORÇAMENTO!$X$15-CÁLCULO.TotalAdmLocal)*CRONO!$F49,
                        0),
                 AE48*$S47),
          SUMIF(OFFSET($S49,1,0,$R47-2),($M47+1)&amp;"$",OFFSET(AE49,1,0,$R47-2)))</f>
        <v>0</v>
      </c>
      <c r="AF49" s="202" cm="1">
        <f t="array" aca="1" ref="AF49" ca="1">IF($R47=2,
         IF(AND(ACOMPANHAMENTO="PLE",ISNUMBER($F47)),
                SUMIF((OFFSET(CÁLCULO!$AM$15:$AW$15,$F47,0,OFFSET(ORÇAMENTO!$D$15,CRONO!$F47,0))),CRONO!AF$12,OFFSET(CÁLCULO!$AB$15:$AL$15,$F47,0,OFFSET(ORÇAMENTO!$D$15,CRONO!$F47,0)))
                +IF(AND($F49&lt;&gt;"",$F49&lt;&gt;0),
                        SUMIF(CÁLCULO!$AM$15:$AW$71,CRONO!AF$12,CÁLCULO!$AB$15:$AL$71)/(ORÇAMENTO!$X$15-CÁLCULO.TotalAdmLocal)*CRONO!$F49,
                        0),
                 AF48*$S47),
          SUMIF(OFFSET($S49,1,0,$R47-2),($M47+1)&amp;"$",OFFSET(AF49,1,0,$R47-2)))</f>
        <v>0</v>
      </c>
      <c r="AG49" s="534"/>
    </row>
    <row r="50" spans="1:33" x14ac:dyDescent="0.2">
      <c r="A50" s="186" t="e">
        <f t="shared" ref="A50" ca="1" si="74">IF($M50&gt;1,_xlfn.CONCAT($I50," ",$J50),"")</f>
        <v>#NAME?</v>
      </c>
      <c r="B50" s="185">
        <f t="shared" ref="B50" ca="1" si="75">OFFSET(B50,-3,0)+1</f>
        <v>13</v>
      </c>
      <c r="C50" s="185">
        <f ca="1">IF($R50&lt;&gt;2,0,IF($S50=0,1,IF(F51&gt;0,OFFSET(QCI!$M$13,SUBSTITUTE(F51,".",""),0),OFFSET(ORÇAMENTO!$AA$15,CRONO!$F50,0))/$S50))</f>
        <v>1</v>
      </c>
      <c r="D50" s="185">
        <f ca="1">IF($R50&lt;&gt;2,0,IF($S50=0,1,IF(F51&gt;0,OFFSET(QCI!$N$13,SUBSTITUTE(F51,".",""),0),OFFSET(ORÇAMENTO!$AB$15,CRONO!$F50,0))/$S50))</f>
        <v>1</v>
      </c>
      <c r="E50" s="188" cm="1">
        <f t="array" aca="1" ref="E50" ca="1">IF(AND($R50=2,ACOMPANHAMENTO="BM"),ROUND(E51,4),E52/$S50)</f>
        <v>0</v>
      </c>
      <c r="F50" s="185" cm="1">
        <f t="array" aca="1" ref="F50" ca="1">IF(B50&lt;=ORÇAMENTO.MáximoListaCrono,MATCH(B50,ORÇAMENTO.ListaCrono,0),NA())</f>
        <v>53</v>
      </c>
      <c r="G50" s="185" t="str">
        <f t="shared" ref="G50" ca="1" si="76">IF(AND($F51&lt;&gt;-1,$S50&gt;0),"F","")</f>
        <v/>
      </c>
      <c r="H50" s="189" t="str" cm="1">
        <f t="array" aca="1" ref="H50" ca="1">IF(OR(S50=0,S50=""),"Linha",IF(AND(OR(ACOMPANHAMENTO="PLE",$R50&lt;&gt;2),$F51=0),"Linha",ROUND(1-SUM(U50:AG50),4)))</f>
        <v>Linha</v>
      </c>
      <c r="I50" s="190" t="str">
        <f ca="1">IF($F51=0,OFFSET(ORÇAMENTO!O$15,$F50,0),IF($F51&lt;&gt;-1,OFFSET(QCI!$D$13,$F51,0),""))</f>
        <v>2.7.</v>
      </c>
      <c r="J50" s="191" t="str">
        <f ca="1">IF($F51=0,OFFSET(ORÇAMENTO!R$15,$F50,0),IF($F51&lt;&gt;-1,OFFSET(QCI!$G$13,$F51,0),""))</f>
        <v>PINTURA DOS PILARES E VIGAS</v>
      </c>
      <c r="K50" s="191"/>
      <c r="L50" s="191"/>
      <c r="M50" s="192">
        <f ca="1">IF($F51=0,OFFSET(ORÇAMENTO!C$15,$F50,0),1)</f>
        <v>2</v>
      </c>
      <c r="N50" s="193">
        <f ca="1">IF($F51=-1,0,IF(N$13&lt;=$M50,IF(ISERROR(MATCH(N$13,OFFSET($M50,1,0,ROW($M$53)-ROW($M50)-1),0)),ROW($M$53)-ROW($M50)-1,MATCH(N$13,OFFSET($M50,1,0,ROW($M$53)-ROW($M50)-1),0)-1),0))</f>
        <v>2</v>
      </c>
      <c r="O50" s="193">
        <f ca="1">IF($F51=-1,0,IF(O$13&lt;=$M50,IF(ISERROR(MATCH(O$13,OFFSET($M50,1,0,ROW($M$53)-ROW($M50)-1),0)),ROW($M$53)-ROW($M50)-1,MATCH(O$13,OFFSET($M50,1,0,ROW($M$53)-ROW($M50)-1),0)-1),0))</f>
        <v>2</v>
      </c>
      <c r="P50" s="193">
        <f ca="1">IF($F51=-1,0,IF(P$13&lt;=$M50,IF(ISERROR(MATCH(P$13,OFFSET($M50,1,0,ROW($M$53)-ROW($M50)-1),0)),ROW($M$53)-ROW($M50)-1,MATCH(P$13,OFFSET($M50,1,0,ROW($M$53)-ROW($M50)-1),0)-1),0))</f>
        <v>0</v>
      </c>
      <c r="Q50" s="193">
        <f ca="1">IF($F51=-1,0,IF(Q$13&lt;=$M50,IF(ISERROR(MATCH(Q$13,OFFSET($M50,1,0,ROW($M$53)-ROW($M50)-1),0)),ROW($M$53)-ROW($M50)-1,MATCH(Q$13,OFFSET($M50,1,0,ROW($M$53)-ROW($M50)-1),0)-1),0))</f>
        <v>0</v>
      </c>
      <c r="R50" s="193">
        <f t="shared" ref="R50" ca="1" si="77">MIN(OFFSET(M50,0,1,,M50))</f>
        <v>2</v>
      </c>
      <c r="S50" s="194">
        <f ca="1">IF($F51=0,OFFSET(ORÇAMENTO!X$15,$F50,0),IF($F51&lt;&gt;-1,OFFSET(QCI!$O$13,$F51,0),""))</f>
        <v>0</v>
      </c>
      <c r="T50" s="195" t="s">
        <v>785</v>
      </c>
      <c r="U50" s="188" cm="1">
        <f t="array" aca="1" ref="U50" ca="1">IF(AND($R50=2,ACOMPANHAMENTO="BM"),ROUND(U51,4),U52/$S50)</f>
        <v>1</v>
      </c>
      <c r="V50" s="188" cm="1">
        <f t="array" aca="1" ref="V50" ca="1">IF(AND($R50=2,ACOMPANHAMENTO="BM"),ROUND(V51,4),V52/$S50)</f>
        <v>0</v>
      </c>
      <c r="W50" s="188" cm="1">
        <f t="array" aca="1" ref="W50" ca="1">IF(AND($R50=2,ACOMPANHAMENTO="BM"),ROUND(W51,4),W52/$S50)</f>
        <v>0</v>
      </c>
      <c r="X50" s="188" cm="1">
        <f t="array" aca="1" ref="X50" ca="1">IF(AND($R50=2,ACOMPANHAMENTO="BM"),ROUND(X51,4),X52/$S50)</f>
        <v>0</v>
      </c>
      <c r="Y50" s="188" cm="1">
        <f t="array" aca="1" ref="Y50" ca="1">IF(AND($R50=2,ACOMPANHAMENTO="BM"),ROUND(Y51,4),Y52/$S50)</f>
        <v>0</v>
      </c>
      <c r="Z50" s="188" cm="1">
        <f t="array" aca="1" ref="Z50" ca="1">IF(AND($R50=2,ACOMPANHAMENTO="BM"),ROUND(Z51,4),Z52/$S50)</f>
        <v>0</v>
      </c>
      <c r="AA50" s="188" cm="1">
        <f t="array" aca="1" ref="AA50" ca="1">IF(AND($R50=2,ACOMPANHAMENTO="BM"),ROUND(AA51,4),AA52/$S50)</f>
        <v>0</v>
      </c>
      <c r="AB50" s="188" cm="1">
        <f t="array" aca="1" ref="AB50" ca="1">IF(AND($R50=2,ACOMPANHAMENTO="BM"),ROUND(AB51,4),AB52/$S50)</f>
        <v>0</v>
      </c>
      <c r="AC50" s="188" cm="1">
        <f t="array" aca="1" ref="AC50" ca="1">IF(AND($R50=2,ACOMPANHAMENTO="BM"),ROUND(AC51,4),AC52/$S50)</f>
        <v>0</v>
      </c>
      <c r="AD50" s="188" cm="1">
        <f t="array" aca="1" ref="AD50" ca="1">IF(AND($R50=2,ACOMPANHAMENTO="BM"),ROUND(AD51,4),AD52/$S50)</f>
        <v>0</v>
      </c>
      <c r="AE50" s="188" cm="1">
        <f t="array" aca="1" ref="AE50" ca="1">IF(AND($R50=2,ACOMPANHAMENTO="BM"),ROUND(AE51,4),AE52/$S50)</f>
        <v>0</v>
      </c>
      <c r="AF50" s="188" cm="1">
        <f t="array" aca="1" ref="AF50" ca="1">IF(AND($R50=2,ACOMPANHAMENTO="BM"),ROUND(AF51,4),AF52/$S50)</f>
        <v>0</v>
      </c>
      <c r="AG50" s="534"/>
    </row>
    <row r="51" spans="1:33" ht="12.75" customHeight="1" x14ac:dyDescent="0.2">
      <c r="E51" s="587"/>
      <c r="F51" s="185">
        <f ca="1">IF(ISERROR(F50),IF(1+COUNTIF($M$13:OFFSET(M50,-1,0),1)&lt;=MAX(QCI!$D$13:$D$24),1+COUNTIF($M$13:OFFSET(M50,-1,0),1),-1),0)</f>
        <v>0</v>
      </c>
      <c r="G51" s="185" t="str" cm="1">
        <f t="array" aca="1" ref="G51" ca="1">IF(ACOMPANHAMENTO="BM",OFFSET(G51,-1,0),"")</f>
        <v/>
      </c>
      <c r="H51" s="196" t="str" cm="1">
        <f t="array" aca="1" ref="H51" ca="1">IF(OR(S50=0,S50=""),"vazia",IF(AND(OR(ACOMPANHAMENTO="PLE",$R50&lt;&gt;2),$F51=0),"calculada","--&gt;"))</f>
        <v>vazia</v>
      </c>
      <c r="I51" s="197"/>
      <c r="J51" s="198" t="str">
        <f t="shared" ref="J51" ca="1" si="78">IF(AND(H50&lt;&gt;0,ISNUMBER(H50)),"PREENCHA ESTA LINHA --&gt;","")</f>
        <v/>
      </c>
      <c r="K51" s="198"/>
      <c r="L51" s="198"/>
      <c r="M51" s="199"/>
      <c r="N51" s="199"/>
      <c r="O51" s="199"/>
      <c r="P51" s="199"/>
      <c r="Q51" s="199"/>
      <c r="R51" s="199"/>
      <c r="S51" s="200"/>
      <c r="T51" s="201"/>
      <c r="U51" s="587">
        <v>1</v>
      </c>
      <c r="V51" s="587"/>
      <c r="W51" s="587"/>
      <c r="X51" s="587"/>
      <c r="Y51" s="587"/>
      <c r="Z51" s="587"/>
      <c r="AA51" s="587"/>
      <c r="AB51" s="587"/>
      <c r="AC51" s="587"/>
      <c r="AD51" s="587"/>
      <c r="AE51" s="587"/>
      <c r="AF51" s="587"/>
      <c r="AG51" s="534"/>
    </row>
    <row r="52" spans="1:33" ht="12.75" hidden="1" customHeight="1" x14ac:dyDescent="0.2">
      <c r="D52" s="533"/>
      <c r="E52" s="202" cm="1">
        <f t="array" aca="1" ref="E52" ca="1">IF($R50=2,
         IF(AND(ACOMPANHAMENTO="PLE",ISNUMBER($F50)),
                SUMIF((OFFSET(CÁLCULO!$AM$15:$AW$15,$F50,0,OFFSET(ORÇAMENTO!$D$15,CRONO!$F50,0))),CRONO!E$12,OFFSET(CÁLCULO!$AB$15:$AL$15,$F50,0,OFFSET(ORÇAMENTO!$D$15,CRONO!$F50,0)))
                +IF(AND($F52&lt;&gt;"",$F52&lt;&gt;0),
                        SUMIF(CÁLCULO!$AM$15:$AW$71,CRONO!E$12,CÁLCULO!$AB$15:$AL$71)/(ORÇAMENTO!$X$15-CÁLCULO.TotalAdmLocal)*CRONO!$F52,
                        0),
                 E51*$S50),
          SUMIF(OFFSET($S52,1,0,$R50-2),($M50+1)&amp;"$",OFFSET(E52,1,0,$R50-2)))</f>
        <v>0</v>
      </c>
      <c r="F52" s="185" t="str">
        <f ca="1">IF(OR($R50&lt;&gt;2,AUTOEVENTO&lt;&gt;"manual",$F51&gt;0),"",
        IF(Import.TipoArredondamento="Tradicional",
              SUMIF(OFFSET(CÁLCULO!$M$15,CRONO!$F50,0,OFFSET(ORÇAMENTO!$D$15,CRONO!$F50,0)),1,OFFSET(ORÇAMENTO!$X$15,CRONO!$F50,0,OFFSET(ORÇAMENTO!$D$15,CRONO!$F50,0))),
              0))</f>
        <v/>
      </c>
      <c r="H52" s="203"/>
      <c r="S52" s="204" t="str">
        <f t="shared" ref="S52" ca="1" si="79">M50&amp;"$"</f>
        <v>2$</v>
      </c>
      <c r="T52" s="205"/>
      <c r="U52" s="202" cm="1">
        <f t="array" aca="1" ref="U52" ca="1">IF($R50=2,
         IF(AND(ACOMPANHAMENTO="PLE",ISNUMBER($F50)),
                SUMIF((OFFSET(CÁLCULO!$AM$15:$AW$15,$F50,0,OFFSET(ORÇAMENTO!$D$15,CRONO!$F50,0))),CRONO!U$12,OFFSET(CÁLCULO!$AB$15:$AL$15,$F50,0,OFFSET(ORÇAMENTO!$D$15,CRONO!$F50,0)))
                +IF(AND($F52&lt;&gt;"",$F52&lt;&gt;0),
                        SUMIF(CÁLCULO!$AM$15:$AW$71,CRONO!U$12,CÁLCULO!$AB$15:$AL$71)/(ORÇAMENTO!$X$15-CÁLCULO.TotalAdmLocal)*CRONO!$F52,
                        0),
                 U51*$S50),
          SUMIF(OFFSET($S52,1,0,$R50-2),($M50+1)&amp;"$",OFFSET(U52,1,0,$R50-2)))</f>
        <v>0</v>
      </c>
      <c r="V52" s="202" cm="1">
        <f t="array" aca="1" ref="V52" ca="1">IF($R50=2,
         IF(AND(ACOMPANHAMENTO="PLE",ISNUMBER($F50)),
                SUMIF((OFFSET(CÁLCULO!$AM$15:$AW$15,$F50,0,OFFSET(ORÇAMENTO!$D$15,CRONO!$F50,0))),CRONO!V$12,OFFSET(CÁLCULO!$AB$15:$AL$15,$F50,0,OFFSET(ORÇAMENTO!$D$15,CRONO!$F50,0)))
                +IF(AND($F52&lt;&gt;"",$F52&lt;&gt;0),
                        SUMIF(CÁLCULO!$AM$15:$AW$71,CRONO!V$12,CÁLCULO!$AB$15:$AL$71)/(ORÇAMENTO!$X$15-CÁLCULO.TotalAdmLocal)*CRONO!$F52,
                        0),
                 V51*$S50),
          SUMIF(OFFSET($S52,1,0,$R50-2),($M50+1)&amp;"$",OFFSET(V52,1,0,$R50-2)))</f>
        <v>0</v>
      </c>
      <c r="W52" s="202" cm="1">
        <f t="array" aca="1" ref="W52" ca="1">IF($R50=2,
         IF(AND(ACOMPANHAMENTO="PLE",ISNUMBER($F50)),
                SUMIF((OFFSET(CÁLCULO!$AM$15:$AW$15,$F50,0,OFFSET(ORÇAMENTO!$D$15,CRONO!$F50,0))),CRONO!W$12,OFFSET(CÁLCULO!$AB$15:$AL$15,$F50,0,OFFSET(ORÇAMENTO!$D$15,CRONO!$F50,0)))
                +IF(AND($F52&lt;&gt;"",$F52&lt;&gt;0),
                        SUMIF(CÁLCULO!$AM$15:$AW$71,CRONO!W$12,CÁLCULO!$AB$15:$AL$71)/(ORÇAMENTO!$X$15-CÁLCULO.TotalAdmLocal)*CRONO!$F52,
                        0),
                 W51*$S50),
          SUMIF(OFFSET($S52,1,0,$R50-2),($M50+1)&amp;"$",OFFSET(W52,1,0,$R50-2)))</f>
        <v>0</v>
      </c>
      <c r="X52" s="202" cm="1">
        <f t="array" aca="1" ref="X52" ca="1">IF($R50=2,
         IF(AND(ACOMPANHAMENTO="PLE",ISNUMBER($F50)),
                SUMIF((OFFSET(CÁLCULO!$AM$15:$AW$15,$F50,0,OFFSET(ORÇAMENTO!$D$15,CRONO!$F50,0))),CRONO!X$12,OFFSET(CÁLCULO!$AB$15:$AL$15,$F50,0,OFFSET(ORÇAMENTO!$D$15,CRONO!$F50,0)))
                +IF(AND($F52&lt;&gt;"",$F52&lt;&gt;0),
                        SUMIF(CÁLCULO!$AM$15:$AW$71,CRONO!X$12,CÁLCULO!$AB$15:$AL$71)/(ORÇAMENTO!$X$15-CÁLCULO.TotalAdmLocal)*CRONO!$F52,
                        0),
                 X51*$S50),
          SUMIF(OFFSET($S52,1,0,$R50-2),($M50+1)&amp;"$",OFFSET(X52,1,0,$R50-2)))</f>
        <v>0</v>
      </c>
      <c r="Y52" s="202" cm="1">
        <f t="array" aca="1" ref="Y52" ca="1">IF($R50=2,
         IF(AND(ACOMPANHAMENTO="PLE",ISNUMBER($F50)),
                SUMIF((OFFSET(CÁLCULO!$AM$15:$AW$15,$F50,0,OFFSET(ORÇAMENTO!$D$15,CRONO!$F50,0))),CRONO!Y$12,OFFSET(CÁLCULO!$AB$15:$AL$15,$F50,0,OFFSET(ORÇAMENTO!$D$15,CRONO!$F50,0)))
                +IF(AND($F52&lt;&gt;"",$F52&lt;&gt;0),
                        SUMIF(CÁLCULO!$AM$15:$AW$71,CRONO!Y$12,CÁLCULO!$AB$15:$AL$71)/(ORÇAMENTO!$X$15-CÁLCULO.TotalAdmLocal)*CRONO!$F52,
                        0),
                 Y51*$S50),
          SUMIF(OFFSET($S52,1,0,$R50-2),($M50+1)&amp;"$",OFFSET(Y52,1,0,$R50-2)))</f>
        <v>0</v>
      </c>
      <c r="Z52" s="202" cm="1">
        <f t="array" aca="1" ref="Z52" ca="1">IF($R50=2,
         IF(AND(ACOMPANHAMENTO="PLE",ISNUMBER($F50)),
                SUMIF((OFFSET(CÁLCULO!$AM$15:$AW$15,$F50,0,OFFSET(ORÇAMENTO!$D$15,CRONO!$F50,0))),CRONO!Z$12,OFFSET(CÁLCULO!$AB$15:$AL$15,$F50,0,OFFSET(ORÇAMENTO!$D$15,CRONO!$F50,0)))
                +IF(AND($F52&lt;&gt;"",$F52&lt;&gt;0),
                        SUMIF(CÁLCULO!$AM$15:$AW$71,CRONO!Z$12,CÁLCULO!$AB$15:$AL$71)/(ORÇAMENTO!$X$15-CÁLCULO.TotalAdmLocal)*CRONO!$F52,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SUMIF(CÁLCULO!$AM$15:$AW$71,CRONO!AA$12,CÁLCULO!$AB$15:$AL$71)/(ORÇAMENTO!$X$15-CÁLCULO.TotalAdmLocal)*CRONO!$F52,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SUMIF(CÁLCULO!$AM$15:$AW$71,CRONO!AB$12,CÁLCULO!$AB$15:$AL$71)/(ORÇAMENTO!$X$15-CÁLCULO.TotalAdmLocal)*CRONO!$F52,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SUMIF(CÁLCULO!$AM$15:$AW$71,CRONO!AC$12,CÁLCULO!$AB$15:$AL$71)/(ORÇAMENTO!$X$15-CÁLCULO.TotalAdmLocal)*CRONO!$F52,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SUMIF(CÁLCULO!$AM$15:$AW$71,CRONO!AD$12,CÁLCULO!$AB$15:$AL$71)/(ORÇAMENTO!$X$15-CÁLCULO.TotalAdmLocal)*CRONO!$F52,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SUMIF(CÁLCULO!$AM$15:$AW$71,CRONO!AE$12,CÁLCULO!$AB$15:$AL$71)/(ORÇAMENTO!$X$15-CÁLCULO.TotalAdmLocal)*CRONO!$F52,
                        0),
                 AE51*$S50),
          SUMIF(OFFSET($S52,1,0,$R50-2),($M50+1)&amp;"$",OFFSET(AE52,1,0,$R50-2)))</f>
        <v>0</v>
      </c>
      <c r="AF52" s="202" cm="1">
        <f t="array" aca="1" ref="AF52" ca="1">IF($R50=2,
         IF(AND(ACOMPANHAMENTO="PLE",ISNUMBER($F50)),
                SUMIF((OFFSET(CÁLCULO!$AM$15:$AW$15,$F50,0,OFFSET(ORÇAMENTO!$D$15,CRONO!$F50,0))),CRONO!AF$12,OFFSET(CÁLCULO!$AB$15:$AL$15,$F50,0,OFFSET(ORÇAMENTO!$D$15,CRONO!$F50,0)))
                +IF(AND($F52&lt;&gt;"",$F52&lt;&gt;0),
                        SUMIF(CÁLCULO!$AM$15:$AW$71,CRONO!AF$12,CÁLCULO!$AB$15:$AL$71)/(ORÇAMENTO!$X$15-CÁLCULO.TotalAdmLocal)*CRONO!$F52,
                        0),
                 AF51*$S50),
          SUMIF(OFFSET($S52,1,0,$R50-2),($M50+1)&amp;"$",OFFSET(AF52,1,0,$R50-2)))</f>
        <v>0</v>
      </c>
      <c r="AG52" s="534"/>
    </row>
    <row r="53" spans="1:33" ht="5.0999999999999996" customHeight="1" x14ac:dyDescent="0.2">
      <c r="E53" s="640"/>
      <c r="G53" s="185" t="s">
        <v>536</v>
      </c>
      <c r="H53" s="432"/>
      <c r="I53" s="641"/>
      <c r="J53" s="642"/>
      <c r="K53" s="642"/>
      <c r="L53" s="642"/>
      <c r="M53" s="643" t="s">
        <v>797</v>
      </c>
      <c r="N53" s="643"/>
      <c r="O53" s="643"/>
      <c r="P53" s="643"/>
      <c r="Q53" s="643"/>
      <c r="R53" s="643"/>
      <c r="S53" s="644"/>
      <c r="T53" s="644"/>
      <c r="U53" s="642"/>
      <c r="V53" s="642"/>
      <c r="W53" s="642"/>
      <c r="X53" s="642"/>
      <c r="Y53" s="642"/>
      <c r="Z53" s="642"/>
      <c r="AA53" s="642"/>
      <c r="AB53" s="642"/>
      <c r="AC53" s="642"/>
      <c r="AD53" s="642"/>
      <c r="AE53" s="642"/>
      <c r="AF53" s="642"/>
      <c r="AG53" s="534"/>
    </row>
    <row r="54" spans="1:33" ht="12.75" customHeight="1" x14ac:dyDescent="0.2">
      <c r="E54" s="528" t="e">
        <f ca="1">E58/$R$54</f>
        <v>#DIV/0!</v>
      </c>
      <c r="G54" s="185" t="s">
        <v>536</v>
      </c>
      <c r="I54" s="775" t="str">
        <f ca="1">"Total:    R$ "&amp;TEXT(R54,"#.##0,00")</f>
        <v>Total:    R$ 0,00</v>
      </c>
      <c r="J54" s="775"/>
      <c r="K54" s="775"/>
      <c r="L54" s="227"/>
      <c r="R54" s="228">
        <f ca="1">SUMIF(M12:M53,1,S12:S53)</f>
        <v>0</v>
      </c>
      <c r="S54" s="229"/>
      <c r="T54" s="230" t="s">
        <v>798</v>
      </c>
      <c r="U54" s="528" t="e">
        <f t="shared" ref="U54:AF54" ca="1" si="80">ROUND(U58,2)/$R$54</f>
        <v>#DIV/0!</v>
      </c>
      <c r="V54" s="528" t="e">
        <f t="shared" ca="1" si="80"/>
        <v>#DIV/0!</v>
      </c>
      <c r="W54" s="528" t="e">
        <f t="shared" ca="1" si="80"/>
        <v>#DIV/0!</v>
      </c>
      <c r="X54" s="528" t="e">
        <f t="shared" ca="1" si="80"/>
        <v>#DIV/0!</v>
      </c>
      <c r="Y54" s="528" t="e">
        <f t="shared" ca="1" si="80"/>
        <v>#DIV/0!</v>
      </c>
      <c r="Z54" s="528" t="e">
        <f t="shared" ca="1" si="80"/>
        <v>#DIV/0!</v>
      </c>
      <c r="AA54" s="528" t="e">
        <f t="shared" ca="1" si="80"/>
        <v>#DIV/0!</v>
      </c>
      <c r="AB54" s="528" t="e">
        <f t="shared" ca="1" si="80"/>
        <v>#DIV/0!</v>
      </c>
      <c r="AC54" s="528" t="e">
        <f t="shared" ca="1" si="80"/>
        <v>#DIV/0!</v>
      </c>
      <c r="AD54" s="528" t="e">
        <f t="shared" ca="1" si="80"/>
        <v>#DIV/0!</v>
      </c>
      <c r="AE54" s="528" t="e">
        <f t="shared" ca="1" si="80"/>
        <v>#DIV/0!</v>
      </c>
      <c r="AF54" s="539" t="e">
        <f t="shared" ca="1" si="80"/>
        <v>#DIV/0!</v>
      </c>
      <c r="AG54" s="534"/>
    </row>
    <row r="55" spans="1:33" ht="15" customHeight="1" x14ac:dyDescent="0.2">
      <c r="E55" s="231">
        <f ca="1">IF(E$12=1,ROUND(E60,2),ROUND(E60,2)-ROUND(D60,2))</f>
        <v>0</v>
      </c>
      <c r="G55" s="185" t="s">
        <v>536</v>
      </c>
      <c r="I55" s="775"/>
      <c r="J55" s="775"/>
      <c r="K55" s="775"/>
      <c r="L55" s="232"/>
      <c r="R55" s="228"/>
      <c r="S55" s="233"/>
      <c r="T55" s="234" t="str">
        <f>IF(import.recurso="FGTS","Financiamento:","Repasse:")</f>
        <v>Repasse:</v>
      </c>
      <c r="U55" s="231">
        <f t="shared" ref="U55:AF55" ca="1" si="81">IF(U$12=1,ROUND(U60,2),ROUND(U60,2)-ROUND(T60,2))</f>
        <v>0</v>
      </c>
      <c r="V55" s="231">
        <f t="shared" ca="1" si="81"/>
        <v>0</v>
      </c>
      <c r="W55" s="231">
        <f t="shared" ca="1" si="81"/>
        <v>0</v>
      </c>
      <c r="X55" s="231">
        <f t="shared" ca="1" si="81"/>
        <v>0</v>
      </c>
      <c r="Y55" s="231">
        <f t="shared" ca="1" si="81"/>
        <v>0</v>
      </c>
      <c r="Z55" s="231">
        <f t="shared" ca="1" si="81"/>
        <v>0</v>
      </c>
      <c r="AA55" s="231">
        <f t="shared" ca="1" si="81"/>
        <v>0</v>
      </c>
      <c r="AB55" s="231">
        <f t="shared" ca="1" si="81"/>
        <v>0</v>
      </c>
      <c r="AC55" s="231">
        <f t="shared" ca="1" si="81"/>
        <v>0</v>
      </c>
      <c r="AD55" s="231">
        <f t="shared" ca="1" si="81"/>
        <v>0</v>
      </c>
      <c r="AE55" s="231">
        <f t="shared" ca="1" si="81"/>
        <v>0</v>
      </c>
      <c r="AF55" s="231">
        <f t="shared" ca="1" si="81"/>
        <v>0</v>
      </c>
      <c r="AG55" s="534"/>
    </row>
    <row r="56" spans="1:33" ht="12.75" customHeight="1" x14ac:dyDescent="0.2">
      <c r="E56" s="529">
        <f ca="1">IF(E$12=1,ROUND(E61,2),ROUND(E61,2)-ROUND(D61,2))</f>
        <v>0</v>
      </c>
      <c r="G56" s="185" t="s">
        <v>536</v>
      </c>
      <c r="I56" s="235"/>
      <c r="L56" s="236" t="s">
        <v>799</v>
      </c>
      <c r="R56" s="228"/>
      <c r="S56" s="237"/>
      <c r="T56" s="238" t="s">
        <v>800</v>
      </c>
      <c r="U56" s="529">
        <f t="shared" ref="U56:AF56" ca="1" si="82">IF(U$12=1,ROUND(U61,2),ROUND(U61,2)-ROUND(T61,2))</f>
        <v>0</v>
      </c>
      <c r="V56" s="529">
        <f t="shared" ca="1" si="82"/>
        <v>0</v>
      </c>
      <c r="W56" s="529">
        <f t="shared" ca="1" si="82"/>
        <v>0</v>
      </c>
      <c r="X56" s="529">
        <f t="shared" ca="1" si="82"/>
        <v>0</v>
      </c>
      <c r="Y56" s="529">
        <f t="shared" ca="1" si="82"/>
        <v>0</v>
      </c>
      <c r="Z56" s="529">
        <f t="shared" ca="1" si="82"/>
        <v>0</v>
      </c>
      <c r="AA56" s="529">
        <f t="shared" ca="1" si="82"/>
        <v>0</v>
      </c>
      <c r="AB56" s="529">
        <f t="shared" ca="1" si="82"/>
        <v>0</v>
      </c>
      <c r="AC56" s="529">
        <f t="shared" ca="1" si="82"/>
        <v>0</v>
      </c>
      <c r="AD56" s="529">
        <f t="shared" ca="1" si="82"/>
        <v>0</v>
      </c>
      <c r="AE56" s="529">
        <f t="shared" ca="1" si="82"/>
        <v>0</v>
      </c>
      <c r="AF56" s="529">
        <f t="shared" ca="1" si="82"/>
        <v>0</v>
      </c>
      <c r="AG56" s="534"/>
    </row>
    <row r="57" spans="1:33" x14ac:dyDescent="0.2">
      <c r="E57" s="239">
        <f ca="1">IF(E$12=1,ROUND(E62,2),ROUND(E62,2)-ROUND(D62,2))</f>
        <v>0</v>
      </c>
      <c r="G57" s="185" t="s">
        <v>536</v>
      </c>
      <c r="I57" s="235"/>
      <c r="L57" s="236"/>
      <c r="R57" s="228"/>
      <c r="S57" s="240"/>
      <c r="T57" s="241" t="s">
        <v>801</v>
      </c>
      <c r="U57" s="239">
        <f t="shared" ref="U57:AF57" ca="1" si="83">IF(U$12=1,ROUND(U62,2),ROUND(U62,2)-ROUND(T62,2))</f>
        <v>0</v>
      </c>
      <c r="V57" s="239">
        <f t="shared" ca="1" si="83"/>
        <v>0</v>
      </c>
      <c r="W57" s="239">
        <f t="shared" ca="1" si="83"/>
        <v>0</v>
      </c>
      <c r="X57" s="239">
        <f t="shared" ca="1" si="83"/>
        <v>0</v>
      </c>
      <c r="Y57" s="239">
        <f t="shared" ca="1" si="83"/>
        <v>0</v>
      </c>
      <c r="Z57" s="239">
        <f t="shared" ca="1" si="83"/>
        <v>0</v>
      </c>
      <c r="AA57" s="239">
        <f t="shared" ca="1" si="83"/>
        <v>0</v>
      </c>
      <c r="AB57" s="239">
        <f t="shared" ca="1" si="83"/>
        <v>0</v>
      </c>
      <c r="AC57" s="239">
        <f t="shared" ca="1" si="83"/>
        <v>0</v>
      </c>
      <c r="AD57" s="239">
        <f t="shared" ca="1" si="83"/>
        <v>0</v>
      </c>
      <c r="AE57" s="239">
        <f t="shared" ca="1" si="83"/>
        <v>0</v>
      </c>
      <c r="AF57" s="239">
        <f t="shared" ca="1" si="83"/>
        <v>0</v>
      </c>
      <c r="AG57" s="534"/>
    </row>
    <row r="58" spans="1:33" x14ac:dyDescent="0.2">
      <c r="E58" s="530">
        <f ca="1">IF(E$12=1,ROUND(E63,2),ROUND(E63,2)-ROUND(D63,2))</f>
        <v>0</v>
      </c>
      <c r="G58" s="185" t="s">
        <v>536</v>
      </c>
      <c r="H58" s="536"/>
      <c r="L58" s="242"/>
      <c r="S58" s="243"/>
      <c r="T58" s="244" t="s">
        <v>802</v>
      </c>
      <c r="U58" s="530">
        <f t="shared" ref="U58:AF58" ca="1" si="84">IF(U$12=1,ROUND(U63,2),ROUND(U63,2)-ROUND(T63,2))</f>
        <v>0</v>
      </c>
      <c r="V58" s="530">
        <f t="shared" ca="1" si="84"/>
        <v>0</v>
      </c>
      <c r="W58" s="530">
        <f t="shared" ca="1" si="84"/>
        <v>0</v>
      </c>
      <c r="X58" s="530">
        <f t="shared" ca="1" si="84"/>
        <v>0</v>
      </c>
      <c r="Y58" s="530">
        <f t="shared" ca="1" si="84"/>
        <v>0</v>
      </c>
      <c r="Z58" s="530">
        <f t="shared" ca="1" si="84"/>
        <v>0</v>
      </c>
      <c r="AA58" s="530">
        <f t="shared" ca="1" si="84"/>
        <v>0</v>
      </c>
      <c r="AB58" s="530">
        <f t="shared" ca="1" si="84"/>
        <v>0</v>
      </c>
      <c r="AC58" s="530">
        <f t="shared" ca="1" si="84"/>
        <v>0</v>
      </c>
      <c r="AD58" s="530">
        <f t="shared" ca="1" si="84"/>
        <v>0</v>
      </c>
      <c r="AE58" s="530">
        <f t="shared" ca="1" si="84"/>
        <v>0</v>
      </c>
      <c r="AF58" s="530">
        <f t="shared" ca="1" si="84"/>
        <v>0</v>
      </c>
      <c r="AG58" s="534"/>
    </row>
    <row r="59" spans="1:33" x14ac:dyDescent="0.2">
      <c r="E59" s="528" t="e">
        <f ca="1">ROUND(ROUND(E63,2)/$R$54,4)</f>
        <v>#DIV/0!</v>
      </c>
      <c r="G59" s="185" t="s">
        <v>536</v>
      </c>
      <c r="L59" s="227"/>
      <c r="S59" s="229"/>
      <c r="T59" s="230" t="s">
        <v>798</v>
      </c>
      <c r="U59" s="528" t="e">
        <f t="shared" ref="U59:AF59" ca="1" si="85">ROUND(ROUND(U63,2)/$R$54,4)</f>
        <v>#DIV/0!</v>
      </c>
      <c r="V59" s="528" t="e">
        <f t="shared" ca="1" si="85"/>
        <v>#DIV/0!</v>
      </c>
      <c r="W59" s="528" t="e">
        <f t="shared" ca="1" si="85"/>
        <v>#DIV/0!</v>
      </c>
      <c r="X59" s="528" t="e">
        <f t="shared" ca="1" si="85"/>
        <v>#DIV/0!</v>
      </c>
      <c r="Y59" s="528" t="e">
        <f t="shared" ca="1" si="85"/>
        <v>#DIV/0!</v>
      </c>
      <c r="Z59" s="528" t="e">
        <f t="shared" ca="1" si="85"/>
        <v>#DIV/0!</v>
      </c>
      <c r="AA59" s="528" t="e">
        <f t="shared" ca="1" si="85"/>
        <v>#DIV/0!</v>
      </c>
      <c r="AB59" s="528" t="e">
        <f t="shared" ca="1" si="85"/>
        <v>#DIV/0!</v>
      </c>
      <c r="AC59" s="528" t="e">
        <f t="shared" ca="1" si="85"/>
        <v>#DIV/0!</v>
      </c>
      <c r="AD59" s="528" t="e">
        <f t="shared" ca="1" si="85"/>
        <v>#DIV/0!</v>
      </c>
      <c r="AE59" s="528" t="e">
        <f t="shared" ca="1" si="85"/>
        <v>#DIV/0!</v>
      </c>
      <c r="AF59" s="528" t="e">
        <f t="shared" ca="1" si="85"/>
        <v>#DIV/0!</v>
      </c>
      <c r="AG59" s="534"/>
    </row>
    <row r="60" spans="1:33" x14ac:dyDescent="0.2">
      <c r="E60" s="231">
        <f ca="1">ROUND(E63-E62-E61,2)</f>
        <v>0</v>
      </c>
      <c r="G60" s="185" t="s">
        <v>536</v>
      </c>
      <c r="L60" s="232"/>
      <c r="S60" s="233"/>
      <c r="T60" s="234" t="str">
        <f>IF(import.recurso="FGTS","Financiamento:","Repasse:")</f>
        <v>Repasse:</v>
      </c>
      <c r="U60" s="231">
        <f t="shared" ref="U60:AF60" ca="1" si="86">ROUND(U63-U62-U61,2)</f>
        <v>0</v>
      </c>
      <c r="V60" s="231">
        <f t="shared" ca="1" si="86"/>
        <v>0</v>
      </c>
      <c r="W60" s="231">
        <f t="shared" ca="1" si="86"/>
        <v>0</v>
      </c>
      <c r="X60" s="231">
        <f t="shared" ca="1" si="86"/>
        <v>0</v>
      </c>
      <c r="Y60" s="231">
        <f t="shared" ca="1" si="86"/>
        <v>0</v>
      </c>
      <c r="Z60" s="231">
        <f t="shared" ca="1" si="86"/>
        <v>0</v>
      </c>
      <c r="AA60" s="231">
        <f t="shared" ca="1" si="86"/>
        <v>0</v>
      </c>
      <c r="AB60" s="231">
        <f t="shared" ca="1" si="86"/>
        <v>0</v>
      </c>
      <c r="AC60" s="231">
        <f t="shared" ca="1" si="86"/>
        <v>0</v>
      </c>
      <c r="AD60" s="231">
        <f t="shared" ca="1" si="86"/>
        <v>0</v>
      </c>
      <c r="AE60" s="231">
        <f t="shared" ca="1" si="86"/>
        <v>0</v>
      </c>
      <c r="AF60" s="231">
        <f t="shared" ca="1" si="86"/>
        <v>0</v>
      </c>
      <c r="AG60" s="534"/>
    </row>
    <row r="61" spans="1:33" x14ac:dyDescent="0.2">
      <c r="E61" s="529" cm="1">
        <f t="array" aca="1" ref="E61" ca="1">IF(E$12=1,0,OFFSET(E61,0,-1))+SUM((OFFSET($C$13,1,0):OFFSET($C$53,-3,0))*IF(ISNUMBER(OFFSET(E$11,5,0):OFFSET(E$53,-1,0)),OFFSET(E$11,5,0):OFFSET(E$53,-1,0),0))</f>
        <v>0</v>
      </c>
      <c r="G61" s="185" t="s">
        <v>536</v>
      </c>
      <c r="L61" s="236" t="s">
        <v>803</v>
      </c>
      <c r="S61" s="237"/>
      <c r="T61" s="238" t="s">
        <v>800</v>
      </c>
      <c r="U61" s="529" cm="1">
        <f t="array" aca="1" ref="U61" ca="1">IF(U$12=1,0,OFFSET(U61,0,-1))+SUM((OFFSET($C$13,1,0):OFFSET($C$53,-3,0))*IF(ISNUMBER(OFFSET(U$11,5,0):OFFSET(U$53,-1,0)),OFFSET(U$11,5,0):OFFSET(U$53,-1,0),0))</f>
        <v>0</v>
      </c>
      <c r="V61" s="529" cm="1">
        <f t="array" aca="1" ref="V61" ca="1">IF(V$12=1,0,OFFSET(V61,0,-1))+SUM((OFFSET($C$13,1,0):OFFSET($C$53,-3,0))*IF(ISNUMBER(OFFSET(V$11,5,0):OFFSET(V$53,-1,0)),OFFSET(V$11,5,0):OFFSET(V$53,-1,0),0))</f>
        <v>0</v>
      </c>
      <c r="W61" s="529" cm="1">
        <f t="array" aca="1" ref="W61" ca="1">IF(W$12=1,0,OFFSET(W61,0,-1))+SUM((OFFSET($C$13,1,0):OFFSET($C$53,-3,0))*IF(ISNUMBER(OFFSET(W$11,5,0):OFFSET(W$53,-1,0)),OFFSET(W$11,5,0):OFFSET(W$53,-1,0),0))</f>
        <v>0</v>
      </c>
      <c r="X61" s="529" cm="1">
        <f t="array" aca="1" ref="X61" ca="1">IF(X$12=1,0,OFFSET(X61,0,-1))+SUM((OFFSET($C$13,1,0):OFFSET($C$53,-3,0))*IF(ISNUMBER(OFFSET(X$11,5,0):OFFSET(X$53,-1,0)),OFFSET(X$11,5,0):OFFSET(X$53,-1,0),0))</f>
        <v>0</v>
      </c>
      <c r="Y61" s="529" cm="1">
        <f t="array" aca="1" ref="Y61" ca="1">IF(Y$12=1,0,OFFSET(Y61,0,-1))+SUM((OFFSET($C$13,1,0):OFFSET($C$53,-3,0))*IF(ISNUMBER(OFFSET(Y$11,5,0):OFFSET(Y$53,-1,0)),OFFSET(Y$11,5,0):OFFSET(Y$53,-1,0),0))</f>
        <v>0</v>
      </c>
      <c r="Z61" s="529" cm="1">
        <f t="array" aca="1" ref="Z61" ca="1">IF(Z$12=1,0,OFFSET(Z61,0,-1))+SUM((OFFSET($C$13,1,0):OFFSET($C$53,-3,0))*IF(ISNUMBER(OFFSET(Z$11,5,0):OFFSET(Z$53,-1,0)),OFFSET(Z$11,5,0):OFFSET(Z$53,-1,0),0))</f>
        <v>0</v>
      </c>
      <c r="AA61" s="529" cm="1">
        <f t="array" aca="1" ref="AA61" ca="1">IF(AA$12=1,0,OFFSET(AA61,0,-1))+SUM((OFFSET($C$13,1,0):OFFSET($C$53,-3,0))*IF(ISNUMBER(OFFSET(AA$11,5,0):OFFSET(AA$53,-1,0)),OFFSET(AA$11,5,0):OFFSET(AA$53,-1,0),0))</f>
        <v>0</v>
      </c>
      <c r="AB61" s="529" cm="1">
        <f t="array" aca="1" ref="AB61" ca="1">IF(AB$12=1,0,OFFSET(AB61,0,-1))+SUM((OFFSET($C$13,1,0):OFFSET($C$53,-3,0))*IF(ISNUMBER(OFFSET(AB$11,5,0):OFFSET(AB$53,-1,0)),OFFSET(AB$11,5,0):OFFSET(AB$53,-1,0),0))</f>
        <v>0</v>
      </c>
      <c r="AC61" s="529" cm="1">
        <f t="array" aca="1" ref="AC61" ca="1">IF(AC$12=1,0,OFFSET(AC61,0,-1))+SUM((OFFSET($C$13,1,0):OFFSET($C$53,-3,0))*IF(ISNUMBER(OFFSET(AC$11,5,0):OFFSET(AC$53,-1,0)),OFFSET(AC$11,5,0):OFFSET(AC$53,-1,0),0))</f>
        <v>0</v>
      </c>
      <c r="AD61" s="529" cm="1">
        <f t="array" aca="1" ref="AD61" ca="1">IF(AD$12=1,0,OFFSET(AD61,0,-1))+SUM((OFFSET($C$13,1,0):OFFSET($C$53,-3,0))*IF(ISNUMBER(OFFSET(AD$11,5,0):OFFSET(AD$53,-1,0)),OFFSET(AD$11,5,0):OFFSET(AD$53,-1,0),0))</f>
        <v>0</v>
      </c>
      <c r="AE61" s="529" cm="1">
        <f t="array" aca="1" ref="AE61" ca="1">IF(AE$12=1,0,OFFSET(AE61,0,-1))+SUM((OFFSET($C$13,1,0):OFFSET($C$53,-3,0))*IF(ISNUMBER(OFFSET(AE$11,5,0):OFFSET(AE$53,-1,0)),OFFSET(AE$11,5,0):OFFSET(AE$53,-1,0),0))</f>
        <v>0</v>
      </c>
      <c r="AF61" s="529" cm="1">
        <f t="array" aca="1" ref="AF61" ca="1">IF(AF$12=1,0,OFFSET(AF61,0,-1))+SUM((OFFSET($C$13,1,0):OFFSET($C$53,-3,0))*IF(ISNUMBER(OFFSET(AF$11,5,0):OFFSET(AF$53,-1,0)),OFFSET(AF$11,5,0):OFFSET(AF$53,-1,0),0))</f>
        <v>0</v>
      </c>
      <c r="AG61" s="534"/>
    </row>
    <row r="62" spans="1:33" x14ac:dyDescent="0.2">
      <c r="E62" s="239" cm="1">
        <f t="array" aca="1" ref="E62" ca="1">IF(E$12=1,0,OFFSET(E62,0,-1))+SUM((OFFSET($D$13,1,0):OFFSET($D$53,-3,0))*IF(ISNUMBER(OFFSET(E$11,5,0):OFFSET(E$53,-1,0)),OFFSET(E$11,5,0):OFFSET(E$53,-1,0),0))</f>
        <v>0</v>
      </c>
      <c r="G62" s="185" t="s">
        <v>536</v>
      </c>
      <c r="L62" s="236"/>
      <c r="S62" s="240"/>
      <c r="T62" s="241" t="s">
        <v>801</v>
      </c>
      <c r="U62" s="239" cm="1">
        <f t="array" aca="1" ref="U62" ca="1">IF(U$12=1,0,OFFSET(U62,0,-1))+SUM((OFFSET($D$13,1,0):OFFSET($D$53,-3,0))*IF(ISNUMBER(OFFSET(U$11,5,0):OFFSET(U$53,-1,0)),OFFSET(U$11,5,0):OFFSET(U$53,-1,0),0))</f>
        <v>0</v>
      </c>
      <c r="V62" s="239" cm="1">
        <f t="array" aca="1" ref="V62" ca="1">IF(V$12=1,0,OFFSET(V62,0,-1))+SUM((OFFSET($D$13,1,0):OFFSET($D$53,-3,0))*IF(ISNUMBER(OFFSET(V$11,5,0):OFFSET(V$53,-1,0)),OFFSET(V$11,5,0):OFFSET(V$53,-1,0),0))</f>
        <v>0</v>
      </c>
      <c r="W62" s="239" cm="1">
        <f t="array" aca="1" ref="W62" ca="1">IF(W$12=1,0,OFFSET(W62,0,-1))+SUM((OFFSET($D$13,1,0):OFFSET($D$53,-3,0))*IF(ISNUMBER(OFFSET(W$11,5,0):OFFSET(W$53,-1,0)),OFFSET(W$11,5,0):OFFSET(W$53,-1,0),0))</f>
        <v>0</v>
      </c>
      <c r="X62" s="239" cm="1">
        <f t="array" aca="1" ref="X62" ca="1">IF(X$12=1,0,OFFSET(X62,0,-1))+SUM((OFFSET($D$13,1,0):OFFSET($D$53,-3,0))*IF(ISNUMBER(OFFSET(X$11,5,0):OFFSET(X$53,-1,0)),OFFSET(X$11,5,0):OFFSET(X$53,-1,0),0))</f>
        <v>0</v>
      </c>
      <c r="Y62" s="239" cm="1">
        <f t="array" aca="1" ref="Y62" ca="1">IF(Y$12=1,0,OFFSET(Y62,0,-1))+SUM((OFFSET($D$13,1,0):OFFSET($D$53,-3,0))*IF(ISNUMBER(OFFSET(Y$11,5,0):OFFSET(Y$53,-1,0)),OFFSET(Y$11,5,0):OFFSET(Y$53,-1,0),0))</f>
        <v>0</v>
      </c>
      <c r="Z62" s="239" cm="1">
        <f t="array" aca="1" ref="Z62" ca="1">IF(Z$12=1,0,OFFSET(Z62,0,-1))+SUM((OFFSET($D$13,1,0):OFFSET($D$53,-3,0))*IF(ISNUMBER(OFFSET(Z$11,5,0):OFFSET(Z$53,-1,0)),OFFSET(Z$11,5,0):OFFSET(Z$53,-1,0),0))</f>
        <v>0</v>
      </c>
      <c r="AA62" s="239" cm="1">
        <f t="array" aca="1" ref="AA62" ca="1">IF(AA$12=1,0,OFFSET(AA62,0,-1))+SUM((OFFSET($D$13,1,0):OFFSET($D$53,-3,0))*IF(ISNUMBER(OFFSET(AA$11,5,0):OFFSET(AA$53,-1,0)),OFFSET(AA$11,5,0):OFFSET(AA$53,-1,0),0))</f>
        <v>0</v>
      </c>
      <c r="AB62" s="239" cm="1">
        <f t="array" aca="1" ref="AB62" ca="1">IF(AB$12=1,0,OFFSET(AB62,0,-1))+SUM((OFFSET($D$13,1,0):OFFSET($D$53,-3,0))*IF(ISNUMBER(OFFSET(AB$11,5,0):OFFSET(AB$53,-1,0)),OFFSET(AB$11,5,0):OFFSET(AB$53,-1,0),0))</f>
        <v>0</v>
      </c>
      <c r="AC62" s="239" cm="1">
        <f t="array" aca="1" ref="AC62" ca="1">IF(AC$12=1,0,OFFSET(AC62,0,-1))+SUM((OFFSET($D$13,1,0):OFFSET($D$53,-3,0))*IF(ISNUMBER(OFFSET(AC$11,5,0):OFFSET(AC$53,-1,0)),OFFSET(AC$11,5,0):OFFSET(AC$53,-1,0),0))</f>
        <v>0</v>
      </c>
      <c r="AD62" s="239" cm="1">
        <f t="array" aca="1" ref="AD62" ca="1">IF(AD$12=1,0,OFFSET(AD62,0,-1))+SUM((OFFSET($D$13,1,0):OFFSET($D$53,-3,0))*IF(ISNUMBER(OFFSET(AD$11,5,0):OFFSET(AD$53,-1,0)),OFFSET(AD$11,5,0):OFFSET(AD$53,-1,0),0))</f>
        <v>0</v>
      </c>
      <c r="AE62" s="239" cm="1">
        <f t="array" aca="1" ref="AE62" ca="1">IF(AE$12=1,0,OFFSET(AE62,0,-1))+SUM((OFFSET($D$13,1,0):OFFSET($D$53,-3,0))*IF(ISNUMBER(OFFSET(AE$11,5,0):OFFSET(AE$53,-1,0)),OFFSET(AE$11,5,0):OFFSET(AE$53,-1,0),0))</f>
        <v>0</v>
      </c>
      <c r="AF62" s="239" cm="1">
        <f t="array" aca="1" ref="AF62" ca="1">IF(AF$12=1,0,OFFSET(AF62,0,-1))+SUM((OFFSET($D$13,1,0):OFFSET($D$53,-3,0))*IF(ISNUMBER(OFFSET(AF$11,5,0):OFFSET(AF$53,-1,0)),OFFSET(AF$11,5,0):OFFSET(AF$53,-1,0),0))</f>
        <v>0</v>
      </c>
      <c r="AG62" s="534"/>
    </row>
    <row r="63" spans="1:33" ht="13.5" thickBot="1" x14ac:dyDescent="0.25">
      <c r="D63" s="533"/>
      <c r="E63" s="531">
        <f ca="1">SUMIF($S$12:$S$53,"1$",E12:E53)+IF(E$12&gt;1,OFFSET(E63,0,-1),0)</f>
        <v>0</v>
      </c>
      <c r="G63" s="185" t="s">
        <v>536</v>
      </c>
      <c r="H63" s="522" t="str" cm="1">
        <f t="array" ref="H63">IF(ACOMPANHAMENTO="BM","Selecione o Macrosserviço da Administração Local:","")</f>
        <v>Selecione o Macrosserviço da Administração Local:</v>
      </c>
      <c r="I63"/>
      <c r="L63" s="236"/>
      <c r="S63" s="237"/>
      <c r="T63" s="526" t="s">
        <v>802</v>
      </c>
      <c r="U63" s="531">
        <f t="shared" ref="U63:AF63" ca="1" si="87">SUMIF($S$12:$S$53,"1$",U12:U53)+IF(U$12&gt;1,OFFSET(U63,0,-1),0)</f>
        <v>0</v>
      </c>
      <c r="V63" s="531">
        <f t="shared" ca="1" si="87"/>
        <v>0</v>
      </c>
      <c r="W63" s="531">
        <f t="shared" ca="1" si="87"/>
        <v>0</v>
      </c>
      <c r="X63" s="531">
        <f t="shared" ca="1" si="87"/>
        <v>0</v>
      </c>
      <c r="Y63" s="531">
        <f t="shared" ca="1" si="87"/>
        <v>0</v>
      </c>
      <c r="Z63" s="531">
        <f t="shared" ca="1" si="87"/>
        <v>0</v>
      </c>
      <c r="AA63" s="531">
        <f t="shared" ca="1" si="87"/>
        <v>0</v>
      </c>
      <c r="AB63" s="531">
        <f t="shared" ca="1" si="87"/>
        <v>0</v>
      </c>
      <c r="AC63" s="531">
        <f t="shared" ca="1" si="87"/>
        <v>0</v>
      </c>
      <c r="AD63" s="531">
        <f t="shared" ca="1" si="87"/>
        <v>0</v>
      </c>
      <c r="AE63" s="531">
        <f t="shared" ca="1" si="87"/>
        <v>0</v>
      </c>
      <c r="AF63" s="540">
        <f t="shared" ca="1" si="87"/>
        <v>0</v>
      </c>
      <c r="AG63" s="534"/>
    </row>
    <row r="64" spans="1:33" ht="13.5" thickBot="1" x14ac:dyDescent="0.25">
      <c r="D64" s="533"/>
      <c r="E64" s="532" t="str">
        <f ca="1">IF($F$64="","",
  IF(ACOMPANHAMENTO="PLE",
     IF(AUTOEVENTO="Manual",
         IF(AdmLocal="Automática",
              E59,
              SUMIF(OFFSET(CRONOPLE!$F$14,CRONOPLE!$A$8+1,1,1,OFFSET(CRONOPLE!$AF$12,0,-1)),"&lt;="&amp;E$12,OFFSET(EVENTOS!$G$14,CRONOPLE!$A$8+1,1,1,OFFSET(CRONOPLE!$AF$12,0,-1)))/OFFSET(EVENTOS!$G$14,CRONOPLE!$A$8+1,-1)),
         SUMIFS(OFFSET(CÁLCULO!$AA$15,$F$64,1,OFFSET(ORÇAMENTO!$D$15,$F$64,0),CÁLCULO.FrentesPreenchidas),OFFSET(CÁLCULO!$AL$15,$F$64,1,OFFSET(ORÇAMENTO!$D$15,$F$64,0),CÁLCULO.FrentesPreenchidas),"&lt;="&amp;E$12)/OFFSET(ORÇAMENTO!$X$15,$F$64,0)),
     IF(ACOMPANHAMENTO="BM",SUM(OFFSET($T$13,$F$64+2,1,1,E$12))/OFFSET($S$13,$F$64,0),"")))</f>
        <v/>
      </c>
      <c r="F64" s="185" t="str">
        <f>IF(ACOMPANHAMENTO="PLE",
    IF(AUTOEVENTO="Manual",
        IF(AdmLocal="Automática",1,IF(CRONOPLE!$D$8&lt;&gt;"","",MATCH(Import.EventoAdmLocal,EVENTOS!$B$15:$B$65,0))),
        IF(CRONOPLE!$D$8&lt;&gt;"","",CRONOPLE!$A$10)),
    IF($H$65&lt;&gt;"","",MATCH(Import.MacrosserviçoAdmLocal,$A$13:$A$53,0)-1))</f>
        <v/>
      </c>
      <c r="G64" s="185" t="s">
        <v>536</v>
      </c>
      <c r="H64" s="728"/>
      <c r="I64" s="770"/>
      <c r="J64" s="729"/>
      <c r="L64" s="242"/>
      <c r="S64" s="525"/>
      <c r="T64" s="527" t="s">
        <v>804</v>
      </c>
      <c r="U64" s="532" t="str">
        <f ca="1">IF($F$64="","",
  IF(ACOMPANHAMENTO="PLE",
     IF(AUTOEVENTO="Manual",
         IF(AdmLocal="Automática",
              U59,
              SUMIF(OFFSET(CRONOPLE!$F$14,CRONOPLE!$A$8+1,1,1,OFFSET(CRONOPLE!$AF$12,0,-1)),"&lt;="&amp;U$12,OFFSET(EVENTOS!$G$14,CRONOPLE!$A$8+1,1,1,OFFSET(CRONOPLE!$AF$12,0,-1)))/OFFSET(EVENTOS!$G$14,CRONOPLE!$A$8+1,-1)),
         SUMIFS(OFFSET(CÁLCULO!$AA$15,$F$64,1,OFFSET(ORÇAMENTO!$D$15,$F$64,0),CÁLCULO.FrentesPreenchidas),OFFSET(CÁLCULO!$AL$15,$F$64,1,OFFSET(ORÇAMENTO!$D$15,$F$64,0),CÁLCULO.FrentesPreenchidas),"&lt;="&amp;U$12)/OFFSET(ORÇAMENTO!$X$15,$F$64,0)),
     IF(ACOMPANHAMENTO="BM",SUM(OFFSET($T$13,$F$64+2,1,1,U$12))/OFFSET($S$13,$F$64,0),"")))</f>
        <v/>
      </c>
      <c r="V64" s="532" t="str">
        <f ca="1">IF($F$64="","",
  IF(ACOMPANHAMENTO="PLE",
     IF(AUTOEVENTO="Manual",
         IF(AdmLocal="Automática",
              V59,
              SUMIF(OFFSET(CRONOPLE!$F$14,CRONOPLE!$A$8+1,1,1,OFFSET(CRONOPLE!$AF$12,0,-1)),"&lt;="&amp;V$12,OFFSET(EVENTOS!$G$14,CRONOPLE!$A$8+1,1,1,OFFSET(CRONOPLE!$AF$12,0,-1)))/OFFSET(EVENTOS!$G$14,CRONOPLE!$A$8+1,-1)),
         SUMIFS(OFFSET(CÁLCULO!$AA$15,$F$64,1,OFFSET(ORÇAMENTO!$D$15,$F$64,0),CÁLCULO.FrentesPreenchidas),OFFSET(CÁLCULO!$AL$15,$F$64,1,OFFSET(ORÇAMENTO!$D$15,$F$64,0),CÁLCULO.FrentesPreenchidas),"&lt;="&amp;V$12)/OFFSET(ORÇAMENTO!$X$15,$F$64,0)),
     IF(ACOMPANHAMENTO="BM",SUM(OFFSET($T$13,$F$64+2,1,1,V$12))/OFFSET($S$13,$F$64,0),"")))</f>
        <v/>
      </c>
      <c r="W64" s="532" t="str">
        <f ca="1">IF($F$64="","",
  IF(ACOMPANHAMENTO="PLE",
     IF(AUTOEVENTO="Manual",
         IF(AdmLocal="Automática",
              W59,
              SUMIF(OFFSET(CRONOPLE!$F$14,CRONOPLE!$A$8+1,1,1,OFFSET(CRONOPLE!$AF$12,0,-1)),"&lt;="&amp;W$12,OFFSET(EVENTOS!$G$14,CRONOPLE!$A$8+1,1,1,OFFSET(CRONOPLE!$AF$12,0,-1)))/OFFSET(EVENTOS!$G$14,CRONOPLE!$A$8+1,-1)),
         SUMIFS(OFFSET(CÁLCULO!$AA$15,$F$64,1,OFFSET(ORÇAMENTO!$D$15,$F$64,0),CÁLCULO.FrentesPreenchidas),OFFSET(CÁLCULO!$AL$15,$F$64,1,OFFSET(ORÇAMENTO!$D$15,$F$64,0),CÁLCULO.FrentesPreenchidas),"&lt;="&amp;W$12)/OFFSET(ORÇAMENTO!$X$15,$F$64,0)),
     IF(ACOMPANHAMENTO="BM",SUM(OFFSET($T$13,$F$64+2,1,1,W$12))/OFFSET($S$13,$F$64,0),"")))</f>
        <v/>
      </c>
      <c r="X64" s="532" t="str">
        <f ca="1">IF($F$64="","",
  IF(ACOMPANHAMENTO="PLE",
     IF(AUTOEVENTO="Manual",
         IF(AdmLocal="Automática",
              X59,
              SUMIF(OFFSET(CRONOPLE!$F$14,CRONOPLE!$A$8+1,1,1,OFFSET(CRONOPLE!$AF$12,0,-1)),"&lt;="&amp;X$12,OFFSET(EVENTOS!$G$14,CRONOPLE!$A$8+1,1,1,OFFSET(CRONOPLE!$AF$12,0,-1)))/OFFSET(EVENTOS!$G$14,CRONOPLE!$A$8+1,-1)),
         SUMIFS(OFFSET(CÁLCULO!$AA$15,$F$64,1,OFFSET(ORÇAMENTO!$D$15,$F$64,0),CÁLCULO.FrentesPreenchidas),OFFSET(CÁLCULO!$AL$15,$F$64,1,OFFSET(ORÇAMENTO!$D$15,$F$64,0),CÁLCULO.FrentesPreenchidas),"&lt;="&amp;X$12)/OFFSET(ORÇAMENTO!$X$15,$F$64,0)),
     IF(ACOMPANHAMENTO="BM",SUM(OFFSET($T$13,$F$64+2,1,1,X$12))/OFFSET($S$13,$F$64,0),"")))</f>
        <v/>
      </c>
      <c r="Y64" s="532" t="str">
        <f ca="1">IF($F$64="","",
  IF(ACOMPANHAMENTO="PLE",
     IF(AUTOEVENTO="Manual",
         IF(AdmLocal="Automática",
              Y59,
              SUMIF(OFFSET(CRONOPLE!$F$14,CRONOPLE!$A$8+1,1,1,OFFSET(CRONOPLE!$AF$12,0,-1)),"&lt;="&amp;Y$12,OFFSET(EVENTOS!$G$14,CRONOPLE!$A$8+1,1,1,OFFSET(CRONOPLE!$AF$12,0,-1)))/OFFSET(EVENTOS!$G$14,CRONOPLE!$A$8+1,-1)),
         SUMIFS(OFFSET(CÁLCULO!$AA$15,$F$64,1,OFFSET(ORÇAMENTO!$D$15,$F$64,0),CÁLCULO.FrentesPreenchidas),OFFSET(CÁLCULO!$AL$15,$F$64,1,OFFSET(ORÇAMENTO!$D$15,$F$64,0),CÁLCULO.FrentesPreenchidas),"&lt;="&amp;Y$12)/OFFSET(ORÇAMENTO!$X$15,$F$64,0)),
     IF(ACOMPANHAMENTO="BM",SUM(OFFSET($T$13,$F$64+2,1,1,Y$12))/OFFSET($S$13,$F$64,0),"")))</f>
        <v/>
      </c>
      <c r="Z64" s="532" t="str">
        <f ca="1">IF($F$64="","",
  IF(ACOMPANHAMENTO="PLE",
     IF(AUTOEVENTO="Manual",
         IF(AdmLocal="Automática",
              Z59,
              SUMIF(OFFSET(CRONOPLE!$F$14,CRONOPLE!$A$8+1,1,1,OFFSET(CRONOPLE!$AF$12,0,-1)),"&lt;="&amp;Z$12,OFFSET(EVENTOS!$G$14,CRONOPLE!$A$8+1,1,1,OFFSET(CRONOPLE!$AF$12,0,-1)))/OFFSET(EVENTOS!$G$14,CRONOPLE!$A$8+1,-1)),
         SUMIFS(OFFSET(CÁLCULO!$AA$15,$F$64,1,OFFSET(ORÇAMENTO!$D$15,$F$64,0),CÁLCULO.FrentesPreenchidas),OFFSET(CÁLCULO!$AL$15,$F$64,1,OFFSET(ORÇAMENTO!$D$15,$F$64,0),CÁLCULO.FrentesPreenchidas),"&lt;="&amp;Z$12)/OFFSET(ORÇAMENTO!$X$15,$F$64,0)),
     IF(ACOMPANHAMENTO="BM",SUM(OFFSET($T$13,$F$64+2,1,1,Z$12))/OFFSET($S$13,$F$64,0),"")))</f>
        <v/>
      </c>
      <c r="AA64" s="532" t="str">
        <f ca="1">IF($F$64="","",
  IF(ACOMPANHAMENTO="PLE",
     IF(AUTOEVENTO="Manual",
         IF(AdmLocal="Automática",
              AA59,
              SUMIF(OFFSET(CRONOPLE!$F$14,CRONOPLE!$A$8+1,1,1,OFFSET(CRONOPLE!$AF$12,0,-1)),"&lt;="&amp;AA$12,OFFSET(EVENTOS!$G$14,CRONOPLE!$A$8+1,1,1,OFFSET(CRONOPLE!$AF$12,0,-1)))/OFFSET(EVENTOS!$G$14,CRONOPLE!$A$8+1,-1)),
         SUMIFS(OFFSET(CÁLCULO!$AA$15,$F$64,1,OFFSET(ORÇAMENTO!$D$15,$F$64,0),CÁLCULO.FrentesPreenchidas),OFFSET(CÁLCULO!$AL$15,$F$64,1,OFFSET(ORÇAMENTO!$D$15,$F$64,0),CÁLCULO.FrentesPreenchidas),"&lt;="&amp;AA$12)/OFFSET(ORÇAMENTO!$X$15,$F$64,0)),
     IF(ACOMPANHAMENTO="BM",SUM(OFFSET($T$13,$F$64+2,1,1,AA$12))/OFFSET($S$13,$F$64,0),"")))</f>
        <v/>
      </c>
      <c r="AB64" s="532" t="str">
        <f ca="1">IF($F$64="","",
  IF(ACOMPANHAMENTO="PLE",
     IF(AUTOEVENTO="Manual",
         IF(AdmLocal="Automática",
              AB59,
              SUMIF(OFFSET(CRONOPLE!$F$14,CRONOPLE!$A$8+1,1,1,OFFSET(CRONOPLE!$AF$12,0,-1)),"&lt;="&amp;AB$12,OFFSET(EVENTOS!$G$14,CRONOPLE!$A$8+1,1,1,OFFSET(CRONOPLE!$AF$12,0,-1)))/OFFSET(EVENTOS!$G$14,CRONOPLE!$A$8+1,-1)),
         SUMIFS(OFFSET(CÁLCULO!$AA$15,$F$64,1,OFFSET(ORÇAMENTO!$D$15,$F$64,0),CÁLCULO.FrentesPreenchidas),OFFSET(CÁLCULO!$AL$15,$F$64,1,OFFSET(ORÇAMENTO!$D$15,$F$64,0),CÁLCULO.FrentesPreenchidas),"&lt;="&amp;AB$12)/OFFSET(ORÇAMENTO!$X$15,$F$64,0)),
     IF(ACOMPANHAMENTO="BM",SUM(OFFSET($T$13,$F$64+2,1,1,AB$12))/OFFSET($S$13,$F$64,0),"")))</f>
        <v/>
      </c>
      <c r="AC64" s="532" t="str">
        <f ca="1">IF($F$64="","",
  IF(ACOMPANHAMENTO="PLE",
     IF(AUTOEVENTO="Manual",
         IF(AdmLocal="Automática",
              AC59,
              SUMIF(OFFSET(CRONOPLE!$F$14,CRONOPLE!$A$8+1,1,1,OFFSET(CRONOPLE!$AF$12,0,-1)),"&lt;="&amp;AC$12,OFFSET(EVENTOS!$G$14,CRONOPLE!$A$8+1,1,1,OFFSET(CRONOPLE!$AF$12,0,-1)))/OFFSET(EVENTOS!$G$14,CRONOPLE!$A$8+1,-1)),
         SUMIFS(OFFSET(CÁLCULO!$AA$15,$F$64,1,OFFSET(ORÇAMENTO!$D$15,$F$64,0),CÁLCULO.FrentesPreenchidas),OFFSET(CÁLCULO!$AL$15,$F$64,1,OFFSET(ORÇAMENTO!$D$15,$F$64,0),CÁLCULO.FrentesPreenchidas),"&lt;="&amp;AC$12)/OFFSET(ORÇAMENTO!$X$15,$F$64,0)),
     IF(ACOMPANHAMENTO="BM",SUM(OFFSET($T$13,$F$64+2,1,1,AC$12))/OFFSET($S$13,$F$64,0),"")))</f>
        <v/>
      </c>
      <c r="AD64" s="532" t="str">
        <f ca="1">IF($F$64="","",
  IF(ACOMPANHAMENTO="PLE",
     IF(AUTOEVENTO="Manual",
         IF(AdmLocal="Automática",
              AD59,
              SUMIF(OFFSET(CRONOPLE!$F$14,CRONOPLE!$A$8+1,1,1,OFFSET(CRONOPLE!$AF$12,0,-1)),"&lt;="&amp;AD$12,OFFSET(EVENTOS!$G$14,CRONOPLE!$A$8+1,1,1,OFFSET(CRONOPLE!$AF$12,0,-1)))/OFFSET(EVENTOS!$G$14,CRONOPLE!$A$8+1,-1)),
         SUMIFS(OFFSET(CÁLCULO!$AA$15,$F$64,1,OFFSET(ORÇAMENTO!$D$15,$F$64,0),CÁLCULO.FrentesPreenchidas),OFFSET(CÁLCULO!$AL$15,$F$64,1,OFFSET(ORÇAMENTO!$D$15,$F$64,0),CÁLCULO.FrentesPreenchidas),"&lt;="&amp;AD$12)/OFFSET(ORÇAMENTO!$X$15,$F$64,0)),
     IF(ACOMPANHAMENTO="BM",SUM(OFFSET($T$13,$F$64+2,1,1,AD$12))/OFFSET($S$13,$F$64,0),"")))</f>
        <v/>
      </c>
      <c r="AE64" s="532" t="str">
        <f ca="1">IF($F$64="","",
  IF(ACOMPANHAMENTO="PLE",
     IF(AUTOEVENTO="Manual",
         IF(AdmLocal="Automática",
              AE59,
              SUMIF(OFFSET(CRONOPLE!$F$14,CRONOPLE!$A$8+1,1,1,OFFSET(CRONOPLE!$AF$12,0,-1)),"&lt;="&amp;AE$12,OFFSET(EVENTOS!$G$14,CRONOPLE!$A$8+1,1,1,OFFSET(CRONOPLE!$AF$12,0,-1)))/OFFSET(EVENTOS!$G$14,CRONOPLE!$A$8+1,-1)),
         SUMIFS(OFFSET(CÁLCULO!$AA$15,$F$64,1,OFFSET(ORÇAMENTO!$D$15,$F$64,0),CÁLCULO.FrentesPreenchidas),OFFSET(CÁLCULO!$AL$15,$F$64,1,OFFSET(ORÇAMENTO!$D$15,$F$64,0),CÁLCULO.FrentesPreenchidas),"&lt;="&amp;AE$12)/OFFSET(ORÇAMENTO!$X$15,$F$64,0)),
     IF(ACOMPANHAMENTO="BM",SUM(OFFSET($T$13,$F$64+2,1,1,AE$12))/OFFSET($S$13,$F$64,0),"")))</f>
        <v/>
      </c>
      <c r="AF64" s="532" t="str">
        <f ca="1">IF($F$64="","",
  IF(ACOMPANHAMENTO="PLE",
     IF(AUTOEVENTO="Manual",
         IF(AdmLocal="Automática",
              AF59,
              SUMIF(OFFSET(CRONOPLE!$F$14,CRONOPLE!$A$8+1,1,1,OFFSET(CRONOPLE!$AF$12,0,-1)),"&lt;="&amp;AF$12,OFFSET(EVENTOS!$G$14,CRONOPLE!$A$8+1,1,1,OFFSET(CRONOPLE!$AF$12,0,-1)))/OFFSET(EVENTOS!$G$14,CRONOPLE!$A$8+1,-1)),
         SUMIFS(OFFSET(CÁLCULO!$AA$15,$F$64,1,OFFSET(ORÇAMENTO!$D$15,$F$64,0),CÁLCULO.FrentesPreenchidas),OFFSET(CÁLCULO!$AL$15,$F$64,1,OFFSET(ORÇAMENTO!$D$15,$F$64,0),CÁLCULO.FrentesPreenchidas),"&lt;="&amp;AF$12)/OFFSET(ORÇAMENTO!$X$15,$F$64,0)),
     IF(ACOMPANHAMENTO="BM",SUM(OFFSET($T$13,$F$64+2,1,1,AF$12))/OFFSET($S$13,$F$64,0),"")))</f>
        <v/>
      </c>
      <c r="AG64" s="534"/>
    </row>
    <row r="65" spans="7:33" ht="17.100000000000001" customHeight="1" x14ac:dyDescent="0.25">
      <c r="G65" s="185" t="s">
        <v>536</v>
      </c>
      <c r="H65" s="571" t="str" cm="1">
        <f t="array" ref="H65">IF(AND(ACOMPANHAMENTO="BM",$H$64=""),"↑ Não foi indicado o Macrosserviço de Administração Local","")</f>
        <v>↑ Não foi indicado o Macrosserviço de Administração Local</v>
      </c>
      <c r="T65" s="583" t="str">
        <f ca="1">IF(COUNTIF(U65:AG65,"%Adm&gt;%Global")&gt;0,"Verificar proporcionalidade da Administração Local","")</f>
        <v/>
      </c>
      <c r="U65" s="535" t="str">
        <f ca="1">IF(U64="","",IF(ROUND(U64,4)&gt;ROUND(U59,4),"%Adm&gt;%Global",""))</f>
        <v/>
      </c>
      <c r="V65" s="535" t="str">
        <f t="shared" ref="V65:AG65" ca="1" si="88">IF(V64="","",IF(ROUND(V64,4)&gt;ROUND(V59,4),"%Adm&gt;%Global",""))</f>
        <v/>
      </c>
      <c r="W65" s="535" t="str">
        <f t="shared" ca="1" si="88"/>
        <v/>
      </c>
      <c r="X65" s="535" t="str">
        <f t="shared" ca="1" si="88"/>
        <v/>
      </c>
      <c r="Y65" s="535" t="str">
        <f t="shared" ca="1" si="88"/>
        <v/>
      </c>
      <c r="Z65" s="535" t="str">
        <f t="shared" ca="1" si="88"/>
        <v/>
      </c>
      <c r="AA65" s="535" t="str">
        <f t="shared" ca="1" si="88"/>
        <v/>
      </c>
      <c r="AB65" s="535" t="str">
        <f t="shared" ca="1" si="88"/>
        <v/>
      </c>
      <c r="AC65" s="535" t="str">
        <f t="shared" ca="1" si="88"/>
        <v/>
      </c>
      <c r="AD65" s="535" t="str">
        <f t="shared" ca="1" si="88"/>
        <v/>
      </c>
      <c r="AE65" s="535" t="str">
        <f t="shared" ca="1" si="88"/>
        <v/>
      </c>
      <c r="AF65" s="535" t="str">
        <f t="shared" ca="1" si="88"/>
        <v/>
      </c>
      <c r="AG65" s="535" t="str">
        <f t="shared" si="88"/>
        <v/>
      </c>
    </row>
    <row r="66" spans="7:33" ht="32.25" customHeight="1" x14ac:dyDescent="0.2">
      <c r="G66" s="185" t="s">
        <v>536</v>
      </c>
      <c r="I66" s="716" t="str">
        <f>Import.Município</f>
        <v>SÃO LUIZ GONZAGA/RS</v>
      </c>
      <c r="J66" s="716"/>
      <c r="K66" s="716"/>
      <c r="L66" s="716"/>
      <c r="M66" s="716"/>
      <c r="N66" s="716"/>
      <c r="O66" s="716"/>
      <c r="P66" s="716"/>
      <c r="Q66" s="716"/>
      <c r="R66" s="716"/>
      <c r="S66" s="716"/>
      <c r="AA66" s="460"/>
      <c r="AB66" s="460"/>
      <c r="AC66" s="460"/>
      <c r="AD66" s="460"/>
      <c r="AE66" s="462"/>
      <c r="AF66" s="462"/>
    </row>
    <row r="67" spans="7:33" x14ac:dyDescent="0.2">
      <c r="G67" s="185" t="s">
        <v>536</v>
      </c>
      <c r="I67" s="9" t="s">
        <v>693</v>
      </c>
      <c r="J67"/>
      <c r="K67"/>
      <c r="L67"/>
      <c r="AA67" s="181" t="s">
        <v>696</v>
      </c>
      <c r="AB67" s="181"/>
      <c r="AC67" s="181"/>
      <c r="AD67" s="181"/>
      <c r="AE67" s="185"/>
      <c r="AF67" s="185"/>
    </row>
    <row r="68" spans="7:33" x14ac:dyDescent="0.2">
      <c r="G68" s="185" t="s">
        <v>536</v>
      </c>
      <c r="I68"/>
      <c r="J68"/>
      <c r="K68"/>
      <c r="L68"/>
      <c r="AA68" s="398" t="str">
        <f t="array" aca="1" ref="AA68:AA70" ca="1">OFFSET(Import.RespOrçamento,0,-1) &amp; " " &amp; Import.RespOrçamento</f>
        <v>Nome: ÍGOR KIST</v>
      </c>
      <c r="AC68"/>
      <c r="AD68" s="79"/>
      <c r="AE68" s="185"/>
      <c r="AF68" s="185"/>
    </row>
    <row r="69" spans="7:33" x14ac:dyDescent="0.2">
      <c r="G69" s="185" t="s">
        <v>536</v>
      </c>
      <c r="I69" s="769">
        <f>DADOS!$C$25</f>
        <v>46237</v>
      </c>
      <c r="J69" s="769"/>
      <c r="K69" s="769"/>
      <c r="L69" s="180"/>
      <c r="M69" s="245"/>
      <c r="N69" s="245"/>
      <c r="O69" s="245"/>
      <c r="P69" s="245"/>
      <c r="Q69" s="245"/>
      <c r="R69" s="245"/>
      <c r="S69" s="246"/>
      <c r="AA69" s="398" t="str">
        <f ca="1"/>
        <v>CREA/CAU: RS246150</v>
      </c>
      <c r="AC69" s="79"/>
      <c r="AD69" s="79"/>
      <c r="AE69" s="185"/>
      <c r="AF69" s="185"/>
    </row>
    <row r="70" spans="7:33" x14ac:dyDescent="0.2">
      <c r="G70" s="185" t="s">
        <v>536</v>
      </c>
      <c r="I70" s="9" t="s">
        <v>694</v>
      </c>
      <c r="J70"/>
      <c r="K70"/>
      <c r="L70"/>
      <c r="AA70" s="398" t="str">
        <f ca="1"/>
        <v>ART/RRT: 14571519</v>
      </c>
      <c r="AC70" s="79"/>
      <c r="AD70" s="79"/>
      <c r="AE70" s="185"/>
      <c r="AF70" s="185"/>
    </row>
  </sheetData>
  <sheetProtection algorithmName="SHA-512" hashValue="tcwPTYO1zuboP90bhEW+QLVJRbClKQE0zCo8AA6A+DyRGn52P1DbXN1nrM4fnI+q85rl0VYzqouPLd4oCtVgfA==" saltValue="nE3Xg8nNbTsz/hVz+iDkwQ==" spinCount="100000" sheet="1" objects="1" scenarios="1" autoFilter="0"/>
  <autoFilter ref="G13:G70">
    <filterColumn colId="0">
      <filters>
        <filter val="F"/>
      </filters>
    </filterColumn>
  </autoFilter>
  <mergeCells count="18">
    <mergeCell ref="T12:T13"/>
    <mergeCell ref="L8:T8"/>
    <mergeCell ref="U8:Y8"/>
    <mergeCell ref="K10:T11"/>
    <mergeCell ref="I54:K55"/>
    <mergeCell ref="H12:H13"/>
    <mergeCell ref="I12:I13"/>
    <mergeCell ref="J12:J13"/>
    <mergeCell ref="I69:K69"/>
    <mergeCell ref="I66:S66"/>
    <mergeCell ref="H64:J64"/>
    <mergeCell ref="S12:S13"/>
    <mergeCell ref="G8:G11"/>
    <mergeCell ref="I8:J8"/>
    <mergeCell ref="H7:H9"/>
    <mergeCell ref="AE4:AF4"/>
    <mergeCell ref="AE5:AF5"/>
    <mergeCell ref="Z8:AE8"/>
  </mergeCells>
  <phoneticPr fontId="38" type="noConversion"/>
  <conditionalFormatting sqref="U12:U13">
    <cfRule type="expression" dxfId="188" priority="16575" stopIfTrue="1">
      <formula>NOT(ISNUMBER(T$12))</formula>
    </cfRule>
  </conditionalFormatting>
  <conditionalFormatting sqref="E2 U2:AF2">
    <cfRule type="expression" dxfId="187" priority="16576" stopIfTrue="1">
      <formula>AND(ISNUMBER($H1),$H1&lt;&gt;0)</formula>
    </cfRule>
  </conditionalFormatting>
  <conditionalFormatting sqref="I2:S2">
    <cfRule type="expression" dxfId="186" priority="16577" stopIfTrue="1">
      <formula>$M1=2</formula>
    </cfRule>
    <cfRule type="expression" dxfId="185" priority="16578" stopIfTrue="1">
      <formula>AND($M1=1,$S1&lt;&gt;"")</formula>
    </cfRule>
  </conditionalFormatting>
  <conditionalFormatting sqref="I1:S1">
    <cfRule type="expression" dxfId="184" priority="16579" stopIfTrue="1">
      <formula>$M1=2</formula>
    </cfRule>
    <cfRule type="expression" dxfId="183" priority="16580" stopIfTrue="1">
      <formula>AND($M1=1,$S1&lt;&gt;"")</formula>
    </cfRule>
  </conditionalFormatting>
  <conditionalFormatting sqref="E54 E56 E58:E59 E61 E63 U63:AF63 U54:AF54 U56:AF56 U58:AF59 U61:AF61">
    <cfRule type="expression" dxfId="182" priority="16581" stopIfTrue="1">
      <formula>D$59=1</formula>
    </cfRule>
  </conditionalFormatting>
  <conditionalFormatting sqref="E55 E57 E60 E62 E64 U55:AF55 U57:AF57 U60:AF60 U62:AF62 U64:AF64">
    <cfRule type="expression" dxfId="181" priority="16582" stopIfTrue="1">
      <formula>D$59=1</formula>
    </cfRule>
  </conditionalFormatting>
  <conditionalFormatting sqref="AF7:AF8">
    <cfRule type="expression" dxfId="180" priority="16586" stopIfTrue="1">
      <formula>OR(TIPOORCAMENTO&lt;&gt;"Licitado",QCI.ExisteManual)</formula>
    </cfRule>
  </conditionalFormatting>
  <conditionalFormatting sqref="Z7:AE8">
    <cfRule type="expression" dxfId="179" priority="16574" stopIfTrue="1">
      <formula>QCI.ExisteManual</formula>
    </cfRule>
  </conditionalFormatting>
  <conditionalFormatting sqref="H2">
    <cfRule type="expression" dxfId="178" priority="12720">
      <formula>AND(H1&lt;&gt;0,ISNUMBER(H1))</formula>
    </cfRule>
  </conditionalFormatting>
  <conditionalFormatting sqref="E64 U64:AF64">
    <cfRule type="expression" dxfId="177" priority="12711">
      <formula>ROUND(E64,4)&gt;ROUND(E59,4)</formula>
    </cfRule>
  </conditionalFormatting>
  <conditionalFormatting sqref="H1">
    <cfRule type="expression" dxfId="176" priority="12710">
      <formula>AND(H1&lt;&gt;0,ISNUMBER(H1))</formula>
    </cfRule>
  </conditionalFormatting>
  <conditionalFormatting sqref="H64:J64">
    <cfRule type="expression" dxfId="175" priority="12709">
      <formula>$H$63=""</formula>
    </cfRule>
  </conditionalFormatting>
  <conditionalFormatting sqref="E64">
    <cfRule type="expression" dxfId="174" priority="12702" stopIfTrue="1">
      <formula>D$59=1</formula>
    </cfRule>
  </conditionalFormatting>
  <conditionalFormatting sqref="E1">
    <cfRule type="expression" dxfId="173" priority="12699" stopIfTrue="1">
      <formula>E1&lt;&gt;0</formula>
    </cfRule>
  </conditionalFormatting>
  <conditionalFormatting sqref="E2">
    <cfRule type="expression" dxfId="172" priority="12698">
      <formula>AND(_xlfn.SINGLE(ACOMPANHAMENTO)="BM",E2&gt;ROUND(E2,4))</formula>
    </cfRule>
  </conditionalFormatting>
  <conditionalFormatting sqref="E64">
    <cfRule type="expression" dxfId="171" priority="12697" stopIfTrue="1">
      <formula>D$59=1</formula>
    </cfRule>
  </conditionalFormatting>
  <conditionalFormatting sqref="U1:AF1">
    <cfRule type="expression" dxfId="170" priority="2653" stopIfTrue="1">
      <formula>U1&lt;&gt;0</formula>
    </cfRule>
  </conditionalFormatting>
  <conditionalFormatting sqref="U2:AF2">
    <cfRule type="expression" dxfId="169" priority="2652">
      <formula>AND(_xlfn.SINGLE(ACOMPANHAMENTO)="BM",U2&gt;ROUND(U2,4))</formula>
    </cfRule>
  </conditionalFormatting>
  <conditionalFormatting sqref="E15 E18 E21 U15:AF15 U18:AF18 U21:AF21">
    <cfRule type="expression" dxfId="168" priority="183" stopIfTrue="1">
      <formula>AND(ISNUMBER($H14),$H14&lt;&gt;0)</formula>
    </cfRule>
  </conditionalFormatting>
  <conditionalFormatting sqref="I15:S15 I18:S18 I21:S21">
    <cfRule type="expression" dxfId="167" priority="184" stopIfTrue="1">
      <formula>$M14=2</formula>
    </cfRule>
    <cfRule type="expression" dxfId="166" priority="185" stopIfTrue="1">
      <formula>AND($M14=1,$S14&lt;&gt;"")</formula>
    </cfRule>
  </conditionalFormatting>
  <conditionalFormatting sqref="I14:S14 I17:S17 I20:S20">
    <cfRule type="expression" dxfId="165" priority="186" stopIfTrue="1">
      <formula>$M14=2</formula>
    </cfRule>
    <cfRule type="expression" dxfId="164" priority="187" stopIfTrue="1">
      <formula>AND($M14=1,$S14&lt;&gt;"")</formula>
    </cfRule>
  </conditionalFormatting>
  <conditionalFormatting sqref="H15 H18 H21">
    <cfRule type="expression" dxfId="163" priority="182">
      <formula>AND(H14&lt;&gt;0,ISNUMBER(H14))</formula>
    </cfRule>
  </conditionalFormatting>
  <conditionalFormatting sqref="H14 H17 H20">
    <cfRule type="expression" dxfId="162" priority="181">
      <formula>AND(H14&lt;&gt;0,ISNUMBER(H14))</formula>
    </cfRule>
  </conditionalFormatting>
  <conditionalFormatting sqref="E14 E17 E20">
    <cfRule type="expression" dxfId="161" priority="180" stopIfTrue="1">
      <formula>E14&lt;&gt;0</formula>
    </cfRule>
  </conditionalFormatting>
  <conditionalFormatting sqref="E15 E18 E21">
    <cfRule type="expression" dxfId="160" priority="179">
      <formula>AND(_xlfn.SINGLE(ACOMPANHAMENTO)="BM",E15&gt;ROUND(E15,4))</formula>
    </cfRule>
  </conditionalFormatting>
  <conditionalFormatting sqref="U14:AF14 U17:AF17 U20:AF20">
    <cfRule type="expression" dxfId="159" priority="178" stopIfTrue="1">
      <formula>U14&lt;&gt;0</formula>
    </cfRule>
  </conditionalFormatting>
  <conditionalFormatting sqref="U15:AF15 U18:AF18 U21:AF21">
    <cfRule type="expression" dxfId="158" priority="177">
      <formula>AND(_xlfn.SINGLE(ACOMPANHAMENTO)="BM",U15&gt;ROUND(U15,4))</formula>
    </cfRule>
  </conditionalFormatting>
  <conditionalFormatting sqref="E24 E27 E30 U24:AF24 U27:AF27 U30:AF30">
    <cfRule type="expression" dxfId="157" priority="172" stopIfTrue="1">
      <formula>AND(ISNUMBER($H23),$H23&lt;&gt;0)</formula>
    </cfRule>
  </conditionalFormatting>
  <conditionalFormatting sqref="I24:S24 I27:S27 I30:S30">
    <cfRule type="expression" dxfId="156" priority="173" stopIfTrue="1">
      <formula>$M23=2</formula>
    </cfRule>
    <cfRule type="expression" dxfId="155" priority="174" stopIfTrue="1">
      <formula>AND($M23=1,$S23&lt;&gt;"")</formula>
    </cfRule>
  </conditionalFormatting>
  <conditionalFormatting sqref="I23:S23 I26:S26 I29:S29">
    <cfRule type="expression" dxfId="154" priority="175" stopIfTrue="1">
      <formula>$M23=2</formula>
    </cfRule>
    <cfRule type="expression" dxfId="153" priority="176" stopIfTrue="1">
      <formula>AND($M23=1,$S23&lt;&gt;"")</formula>
    </cfRule>
  </conditionalFormatting>
  <conditionalFormatting sqref="H24 H27 H30">
    <cfRule type="expression" dxfId="152" priority="171">
      <formula>AND(H23&lt;&gt;0,ISNUMBER(H23))</formula>
    </cfRule>
  </conditionalFormatting>
  <conditionalFormatting sqref="H23 H26 H29">
    <cfRule type="expression" dxfId="151" priority="170">
      <formula>AND(H23&lt;&gt;0,ISNUMBER(H23))</formula>
    </cfRule>
  </conditionalFormatting>
  <conditionalFormatting sqref="E23 E26 E29">
    <cfRule type="expression" dxfId="150" priority="169" stopIfTrue="1">
      <formula>E23&lt;&gt;0</formula>
    </cfRule>
  </conditionalFormatting>
  <conditionalFormatting sqref="E24 E27 E30">
    <cfRule type="expression" dxfId="149" priority="168">
      <formula>AND(_xlfn.SINGLE(ACOMPANHAMENTO)="BM",E24&gt;ROUND(E24,4))</formula>
    </cfRule>
  </conditionalFormatting>
  <conditionalFormatting sqref="U23:AF23 U26:AF26 U29:AF29">
    <cfRule type="expression" dxfId="148" priority="167" stopIfTrue="1">
      <formula>U23&lt;&gt;0</formula>
    </cfRule>
  </conditionalFormatting>
  <conditionalFormatting sqref="U24:AF24 U27:AF27 U30:AF30">
    <cfRule type="expression" dxfId="147" priority="166">
      <formula>AND(_xlfn.SINGLE(ACOMPANHAMENTO)="BM",U24&gt;ROUND(U24,4))</formula>
    </cfRule>
  </conditionalFormatting>
  <conditionalFormatting sqref="E33 E36 E39 U33:AF33 U36:AF36 U39:AF39">
    <cfRule type="expression" dxfId="146" priority="161" stopIfTrue="1">
      <formula>AND(ISNUMBER($H32),$H32&lt;&gt;0)</formula>
    </cfRule>
  </conditionalFormatting>
  <conditionalFormatting sqref="I33:S33 I36:S36 I39:S39">
    <cfRule type="expression" dxfId="145" priority="162" stopIfTrue="1">
      <formula>$M32=2</formula>
    </cfRule>
    <cfRule type="expression" dxfId="144" priority="163" stopIfTrue="1">
      <formula>AND($M32=1,$S32&lt;&gt;"")</formula>
    </cfRule>
  </conditionalFormatting>
  <conditionalFormatting sqref="I32:S32 I35:S35 I38:S38">
    <cfRule type="expression" dxfId="143" priority="164" stopIfTrue="1">
      <formula>$M32=2</formula>
    </cfRule>
    <cfRule type="expression" dxfId="142" priority="165" stopIfTrue="1">
      <formula>AND($M32=1,$S32&lt;&gt;"")</formula>
    </cfRule>
  </conditionalFormatting>
  <conditionalFormatting sqref="H33 H36 H39">
    <cfRule type="expression" dxfId="141" priority="160">
      <formula>AND(H32&lt;&gt;0,ISNUMBER(H32))</formula>
    </cfRule>
  </conditionalFormatting>
  <conditionalFormatting sqref="H32 H35 H38">
    <cfRule type="expression" dxfId="140" priority="159">
      <formula>AND(H32&lt;&gt;0,ISNUMBER(H32))</formula>
    </cfRule>
  </conditionalFormatting>
  <conditionalFormatting sqref="E32 E35 E38">
    <cfRule type="expression" dxfId="139" priority="158" stopIfTrue="1">
      <formula>E32&lt;&gt;0</formula>
    </cfRule>
  </conditionalFormatting>
  <conditionalFormatting sqref="E33 E36 E39">
    <cfRule type="expression" dxfId="138" priority="157">
      <formula>AND(_xlfn.SINGLE(ACOMPANHAMENTO)="BM",E33&gt;ROUND(E33,4))</formula>
    </cfRule>
  </conditionalFormatting>
  <conditionalFormatting sqref="U32:AF32 U35:AF35 U38:AF38">
    <cfRule type="expression" dxfId="137" priority="156" stopIfTrue="1">
      <formula>U32&lt;&gt;0</formula>
    </cfRule>
  </conditionalFormatting>
  <conditionalFormatting sqref="U33:AF33 U36:AF36 U39:AF39">
    <cfRule type="expression" dxfId="136" priority="155">
      <formula>AND(_xlfn.SINGLE(ACOMPANHAMENTO)="BM",U33&gt;ROUND(U33,4))</formula>
    </cfRule>
  </conditionalFormatting>
  <conditionalFormatting sqref="E42 E45 E48 U42:AF42 U45:AF45 U48:AF48">
    <cfRule type="expression" dxfId="135" priority="150" stopIfTrue="1">
      <formula>AND(ISNUMBER($H41),$H41&lt;&gt;0)</formula>
    </cfRule>
  </conditionalFormatting>
  <conditionalFormatting sqref="I42:S42 I45:S45 I48:S48">
    <cfRule type="expression" dxfId="134" priority="151" stopIfTrue="1">
      <formula>$M41=2</formula>
    </cfRule>
    <cfRule type="expression" dxfId="133" priority="152" stopIfTrue="1">
      <formula>AND($M41=1,$S41&lt;&gt;"")</formula>
    </cfRule>
  </conditionalFormatting>
  <conditionalFormatting sqref="I41:S41 I44:S44 I47:S47">
    <cfRule type="expression" dxfId="132" priority="153" stopIfTrue="1">
      <formula>$M41=2</formula>
    </cfRule>
    <cfRule type="expression" dxfId="131" priority="154" stopIfTrue="1">
      <formula>AND($M41=1,$S41&lt;&gt;"")</formula>
    </cfRule>
  </conditionalFormatting>
  <conditionalFormatting sqref="H42 H45 H48">
    <cfRule type="expression" dxfId="130" priority="149">
      <formula>AND(H41&lt;&gt;0,ISNUMBER(H41))</formula>
    </cfRule>
  </conditionalFormatting>
  <conditionalFormatting sqref="H41 H44 H47">
    <cfRule type="expression" dxfId="129" priority="148">
      <formula>AND(H41&lt;&gt;0,ISNUMBER(H41))</formula>
    </cfRule>
  </conditionalFormatting>
  <conditionalFormatting sqref="E41 E44 E47">
    <cfRule type="expression" dxfId="128" priority="147" stopIfTrue="1">
      <formula>E41&lt;&gt;0</formula>
    </cfRule>
  </conditionalFormatting>
  <conditionalFormatting sqref="E42 E45 E48">
    <cfRule type="expression" dxfId="127" priority="146">
      <formula>AND(_xlfn.SINGLE(ACOMPANHAMENTO)="BM",E42&gt;ROUND(E42,4))</formula>
    </cfRule>
  </conditionalFormatting>
  <conditionalFormatting sqref="U41:AF41 U44:AF44 U47:AF47">
    <cfRule type="expression" dxfId="126" priority="145" stopIfTrue="1">
      <formula>U41&lt;&gt;0</formula>
    </cfRule>
  </conditionalFormatting>
  <conditionalFormatting sqref="U42:AF42 U45:AF45 U48:AF48">
    <cfRule type="expression" dxfId="125" priority="144">
      <formula>AND(_xlfn.SINGLE(ACOMPANHAMENTO)="BM",U42&gt;ROUND(U42,4))</formula>
    </cfRule>
  </conditionalFormatting>
  <conditionalFormatting sqref="E51 U51:AF51">
    <cfRule type="expression" dxfId="124" priority="139" stopIfTrue="1">
      <formula>AND(ISNUMBER($H50),$H50&lt;&gt;0)</formula>
    </cfRule>
  </conditionalFormatting>
  <conditionalFormatting sqref="I51:S51">
    <cfRule type="expression" dxfId="123" priority="140" stopIfTrue="1">
      <formula>$M50=2</formula>
    </cfRule>
    <cfRule type="expression" dxfId="122" priority="141" stopIfTrue="1">
      <formula>AND($M50=1,$S50&lt;&gt;"")</formula>
    </cfRule>
  </conditionalFormatting>
  <conditionalFormatting sqref="I50:S50">
    <cfRule type="expression" dxfId="121" priority="142" stopIfTrue="1">
      <formula>$M50=2</formula>
    </cfRule>
    <cfRule type="expression" dxfId="120" priority="143" stopIfTrue="1">
      <formula>AND($M50=1,$S50&lt;&gt;"")</formula>
    </cfRule>
  </conditionalFormatting>
  <conditionalFormatting sqref="H51">
    <cfRule type="expression" dxfId="119" priority="138">
      <formula>AND(H50&lt;&gt;0,ISNUMBER(H50))</formula>
    </cfRule>
  </conditionalFormatting>
  <conditionalFormatting sqref="H50">
    <cfRule type="expression" dxfId="118" priority="137">
      <formula>AND(H50&lt;&gt;0,ISNUMBER(H50))</formula>
    </cfRule>
  </conditionalFormatting>
  <conditionalFormatting sqref="E50">
    <cfRule type="expression" dxfId="117" priority="136" stopIfTrue="1">
      <formula>E50&lt;&gt;0</formula>
    </cfRule>
  </conditionalFormatting>
  <conditionalFormatting sqref="E51">
    <cfRule type="expression" dxfId="116" priority="135">
      <formula>AND(_xlfn.SINGLE(ACOMPANHAMENTO)="BM",E51&gt;ROUND(E51,4))</formula>
    </cfRule>
  </conditionalFormatting>
  <conditionalFormatting sqref="U50:AF50">
    <cfRule type="expression" dxfId="115" priority="134" stopIfTrue="1">
      <formula>U50&lt;&gt;0</formula>
    </cfRule>
  </conditionalFormatting>
  <conditionalFormatting sqref="U51:AF51">
    <cfRule type="expression" dxfId="114" priority="133">
      <formula>AND(_xlfn.SINGLE(ACOMPANHAMENTO)="BM",U51&gt;ROUND(U51,4))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U50:AF50"/>
    <dataValidation type="whole" operator="greaterThan" allowBlank="1" showErrorMessage="1" sqref="U12">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U51:AG51">
      <formula1>0</formula1>
      <formula2>CRONO.MaxParc</formula2>
    </dataValidation>
    <dataValidation type="date" operator="greaterThan" allowBlank="1" showInputMessage="1" showErrorMessage="1" errorTitle="Erro" error="Digite somente datas." sqref="U13">
      <formula1>36526</formula1>
    </dataValidation>
    <dataValidation type="list" allowBlank="1" showErrorMessage="1" errorTitle="Atenção" error="Selecione uma opção da lista." sqref="H64:J64">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683" t="s">
        <v>650</v>
      </c>
      <c r="E3" s="683"/>
      <c r="F3" s="87" t="s">
        <v>707</v>
      </c>
      <c r="G3" s="683" t="s">
        <v>652</v>
      </c>
      <c r="H3" s="683"/>
      <c r="I3" s="683"/>
      <c r="J3" s="776" t="s">
        <v>808</v>
      </c>
      <c r="K3" s="776"/>
      <c r="L3" s="776"/>
      <c r="M3" s="777" t="s">
        <v>809</v>
      </c>
      <c r="N3" s="777"/>
      <c r="O3" s="777"/>
      <c r="Z3" s="102">
        <f ca="1">MAX(Z7:AB7)</f>
        <v>0</v>
      </c>
      <c r="AA3" s="273" cm="1">
        <f t="array" aca="1" ref="AA3" ca="1">IF(OR($O$24=ORÇAMENTO.SumINVMANUAL+QCI.SumINVMANUAL,$O$24=0),0,MIN(MAX(0,($Z$3*$O$24-ORÇAMENTO.SumCPMANUAL-QCI.SumCPMANUAL)/($O$24-ORÇAMENTO.SumINVMANUAL-QCI.SumINVMANUAL)),1))</f>
        <v>0</v>
      </c>
      <c r="AB3" s="92"/>
    </row>
    <row r="4" spans="1:31" x14ac:dyDescent="0.2">
      <c r="A4" t="s">
        <v>977</v>
      </c>
      <c r="D4" s="680" t="str">
        <f>Import.CR</f>
        <v>0</v>
      </c>
      <c r="E4" s="680"/>
      <c r="F4" s="56" t="str">
        <f>Import.TransfereGOV</f>
        <v>0</v>
      </c>
      <c r="G4" s="680" t="str">
        <f>Import.Proponente</f>
        <v>PREFEITURA MUNICIPAL DE SÃO LUIZ GONZAGA</v>
      </c>
      <c r="H4" s="680"/>
      <c r="I4" s="680"/>
      <c r="J4" s="778" t="str">
        <f>Import.Município</f>
        <v>SÃO LUIZ GONZAGA/RS</v>
      </c>
      <c r="K4" s="778"/>
      <c r="L4" s="778"/>
      <c r="M4" s="777"/>
      <c r="N4" s="777"/>
      <c r="O4" s="777"/>
      <c r="R4" s="129"/>
      <c r="Z4" s="92"/>
      <c r="AA4" s="92"/>
      <c r="AB4" s="92"/>
    </row>
    <row r="5" spans="1:31" ht="5.0999999999999996" customHeight="1" x14ac:dyDescent="0.2">
      <c r="A5" t="s">
        <v>978</v>
      </c>
      <c r="M5" s="265"/>
      <c r="O5" s="4"/>
    </row>
    <row r="6" spans="1:31" x14ac:dyDescent="0.2">
      <c r="A6" t="s">
        <v>979</v>
      </c>
      <c r="D6" s="683" t="s">
        <v>708</v>
      </c>
      <c r="E6" s="683"/>
      <c r="F6" s="683"/>
      <c r="G6" s="683"/>
      <c r="H6" s="683"/>
      <c r="I6" s="683"/>
      <c r="J6" s="683"/>
      <c r="K6" s="683"/>
      <c r="L6" s="274" t="s">
        <v>715</v>
      </c>
      <c r="M6" s="87" t="str">
        <f>IF(import.recurso="FGTS","FINANCIAMENTO","REPASSE")</f>
        <v>REPASSE</v>
      </c>
      <c r="N6" s="87" t="s">
        <v>810</v>
      </c>
      <c r="O6" s="87" t="s">
        <v>811</v>
      </c>
      <c r="Z6" t="s">
        <v>812</v>
      </c>
      <c r="AA6" t="s">
        <v>813</v>
      </c>
      <c r="AB6" t="s">
        <v>814</v>
      </c>
    </row>
    <row r="7" spans="1:31" ht="12.75" customHeight="1" x14ac:dyDescent="0.2">
      <c r="A7" s="658" t="s">
        <v>982</v>
      </c>
      <c r="C7" s="709" t="s">
        <v>655</v>
      </c>
      <c r="D7" s="680" t="str">
        <f>Import.Apelido</f>
        <v>OBRAS COMPLEMENTARES NA EMEF SANTA RITA</v>
      </c>
      <c r="E7" s="680"/>
      <c r="F7" s="680"/>
      <c r="G7" s="680"/>
      <c r="H7" s="680"/>
      <c r="I7" s="680"/>
      <c r="J7" s="680"/>
      <c r="K7" s="680"/>
      <c r="L7" s="275" t="str">
        <f>import.recurso</f>
        <v>OGU</v>
      </c>
      <c r="M7" s="276">
        <f>Import.Repasse</f>
        <v>0</v>
      </c>
      <c r="N7" s="276">
        <f>Import.Contrapartida</f>
        <v>0</v>
      </c>
      <c r="O7" s="276">
        <f>M7+N7</f>
        <v>0</v>
      </c>
      <c r="Z7" s="102">
        <f>ROUND(Import.CPMinPerc,4)</f>
        <v>0</v>
      </c>
      <c r="AA7" s="102">
        <f ca="1">IF($O$24=0,0,Import.CPMinAbsoluta/$O$24)</f>
        <v>0</v>
      </c>
      <c r="AB7" s="102">
        <f ca="1">IF($O$24=0,0,($O$24-$AB$24-Import.Repasse)/($O$24))</f>
        <v>0</v>
      </c>
    </row>
    <row r="8" spans="1:31" x14ac:dyDescent="0.2">
      <c r="A8" t="s">
        <v>819</v>
      </c>
      <c r="C8" s="709"/>
      <c r="D8" s="92"/>
      <c r="E8" s="92"/>
      <c r="F8" s="277"/>
      <c r="G8" s="92"/>
      <c r="H8" s="92"/>
      <c r="I8" s="92"/>
      <c r="J8" s="92"/>
      <c r="K8" s="92"/>
      <c r="L8" s="92"/>
      <c r="M8" s="92"/>
      <c r="N8" s="92"/>
      <c r="O8" s="92"/>
    </row>
    <row r="9" spans="1:31" ht="12.75" customHeight="1" x14ac:dyDescent="0.2">
      <c r="A9" t="s">
        <v>981</v>
      </c>
      <c r="C9" s="709"/>
      <c r="G9" s="782"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IF(OFFSET($A$24,-1,0)&lt;OFFSET(ORÇAMENTO!$E$71,-1,0),"ERRO: NÚMERO DE LINHAS DO QCI INSUFICIENTE. CLIQUE NO BOTÃO ADICIONAR LINHAS",
  "")))))))</f>
        <v/>
      </c>
      <c r="H9" s="782"/>
      <c r="I9" s="512"/>
      <c r="J9" s="511"/>
      <c r="K9" s="781" t="s">
        <v>815</v>
      </c>
      <c r="L9" s="278" t="str">
        <f>$L$13</f>
        <v>Repasse (R$)</v>
      </c>
      <c r="M9" s="278" t="s">
        <v>741</v>
      </c>
      <c r="AD9" s="779"/>
      <c r="AE9" s="779"/>
    </row>
    <row r="10" spans="1:31" ht="12.75" customHeight="1" x14ac:dyDescent="0.2">
      <c r="A10" s="783" t="s">
        <v>816</v>
      </c>
      <c r="C10" s="709"/>
      <c r="G10" s="782"/>
      <c r="H10" s="782"/>
      <c r="I10" s="512"/>
      <c r="J10" s="511"/>
      <c r="K10" s="781"/>
      <c r="L10" s="279">
        <f ca="1">Import.Repasse-L24</f>
        <v>0</v>
      </c>
      <c r="M10" s="280">
        <f ca="1">Import.Contrapartida-M24</f>
        <v>0</v>
      </c>
      <c r="Z10" s="723" t="s">
        <v>721</v>
      </c>
      <c r="AA10" s="723"/>
      <c r="AB10" s="723"/>
      <c r="AD10" s="779" t="s">
        <v>817</v>
      </c>
      <c r="AE10" s="779"/>
    </row>
    <row r="11" spans="1:31" ht="20.100000000000001" customHeight="1" x14ac:dyDescent="0.25">
      <c r="A11" s="783"/>
      <c r="C11" s="709"/>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IF(NOT(ISBLANK(QCI.DescManual)),IF(QCI.Divisao="Calculado","Manual","SemiAuto"),IF(ISERROR(MATCH($A12,ORÇAMENTO!$E$15:$E$71,0)),"Branco","Automático"))</f>
        <v>Branco</v>
      </c>
      <c r="C12" t="str">
        <f ca="1">IF(O12&gt;0,"F","")</f>
        <v/>
      </c>
      <c r="D12" s="281">
        <f>ROW()-ROW($D$13)</f>
        <v>-1</v>
      </c>
      <c r="E12" s="118"/>
      <c r="F12" s="118"/>
      <c r="G12" s="163" t="str">
        <f ca="1">IF(OR($B12="Manual",$B12="SemiAuto"),QCI.DescManual,IF($B12="Automático",INDEX(ORÇAMENTO!$R$15:$R$71,MATCH($A12,ORÇAMENTO!$E$15:$E$71,0)),""))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IF($B12="Branco",0,IF(OR($B12="Manual",$B12="SemiAuto"),QCI.InvManual,INDEX(ORÇAMENTO!X$15:X$71,MATCH($A12,ORÇAMENTO!$E$15:$E$71,0))))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IF($B12="Branco",0,IF($B12="Manual",QCI.CPManual,IF($B12="SemiAuto",ROUND(QCI!$AA$3*QCI.InvManual,2),INDEX(ORÇAMENTO!$AA$15:$AA$71,MATCH($A12,ORÇAMENTO!$E$15:$E$71,0)))))</f>
        <v>0</v>
      </c>
      <c r="AB12" cm="1">
        <f t="array" aca="1" ref="AB12" ca="1">IF($B12="Branco",0,IF($B12="Manual",QCI.OutrosManual,IF($B12="SemiAuto",0,INDEX(ORÇAMENTO!$AB$15:$AB$71,MATCH($A12,ORÇAMENTO!$E$15:$E$71,0)))))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IF(NOT(ISBLANK(QCI.DescManual)),IF(QCI.Divisao="Calculado","Manual","SemiAuto"),IF(ISERROR(MATCH($A14,ORÇAMENTO!$E$15:$E$71,0)),"Branco","Automático"))</f>
        <v>Automático</v>
      </c>
      <c r="C14" t="str">
        <f t="shared" ref="C14:C22" ca="1" si="1">IF(O14&gt;0,"F","")</f>
        <v/>
      </c>
      <c r="D14" s="281">
        <f t="shared" ref="D14:D22" si="2">ROW()-ROW($D$13)</f>
        <v>1</v>
      </c>
      <c r="E14" s="118"/>
      <c r="F14" s="118"/>
      <c r="G14" s="163" t="str">
        <f ca="1">IF(OR($B14="Manual",$B14="SemiAuto"),QCI.DescManual,IF($B14="Automático",INDEX(ORÇAMENTO!$R$15:$R$71,MATCH($A14,ORÇAMENTO!$E$15:$E$71,0)),""))</f>
        <v>OBRAS COMPLEMENTARES NA EMEF SANTA RITA</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0</v>
      </c>
      <c r="N14" s="285">
        <f t="shared" ref="N14:N22" ca="1" si="5">ROUND($AB14,2)</f>
        <v>0</v>
      </c>
      <c r="O14" s="286" cm="1">
        <f t="array" aca="1" ref="O14" ca="1">IF($B14="Branco",0,IF(OR($B14="Manual",$B14="SemiAuto"),QCI.InvManual,INDEX(ORÇAMENTO!X$15:X$71,MATCH($A14,ORÇAMENTO!$E$15:$E$71,0))))</f>
        <v>0</v>
      </c>
      <c r="P14" s="577" t="str">
        <f t="shared" ref="P14:P22" ca="1" si="6">IF(O14=0,"",
  IF(E14="","ITEM",
  IF(F14="","SUBITEM",
  IF(H14="","SITUAÇÃO",
  IF(I14=0,"QUANT.","")))))</f>
        <v/>
      </c>
      <c r="R14" s="465"/>
      <c r="S14" s="578" t="str">
        <f t="shared" ref="S14:S22" si="7">IF(R14="","",
  IF(T14=0,"► LOTE",
  IF(U14=0,"► INVEST",
  IF(V14=0,"► DIV",
  IF(AND(V14="Calculado",W14=""),"► CP",
  IF(AND(V14="Calculado",X14=""),"► OU",""))))))</f>
        <v/>
      </c>
      <c r="T14" s="466"/>
      <c r="U14" s="579"/>
      <c r="V14" s="467" t="s">
        <v>819</v>
      </c>
      <c r="W14" s="580"/>
      <c r="X14" s="581"/>
      <c r="Z14">
        <f t="shared" ref="Z14:Z22" ca="1" si="8">$O14-$AA14-$AB14</f>
        <v>0</v>
      </c>
      <c r="AA14" cm="1">
        <f t="array" aca="1" ref="AA14" ca="1">IF($B14="Branco",0,IF($B14="Manual",QCI.CPManual,IF($B14="SemiAuto",ROUND(QCI!$AA$3*QCI.InvManual,2),INDEX(ORÇAMENTO!$AA$15:$AA$71,MATCH($A14,ORÇAMENTO!$E$15:$E$71,0)))))</f>
        <v>0</v>
      </c>
      <c r="AB14" cm="1">
        <f t="array" aca="1" ref="AB14" ca="1">IF($B14="Branco",0,IF($B14="Manual",QCI.OutrosManual,IF($B14="SemiAuto",0,INDEX(ORÇAMENTO!$AB$15:$AB$71,MATCH($A14,ORÇAMENTO!$E$15:$E$71,0)))))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IF(NOT(ISBLANK(QCI.DescManual)),IF(QCI.Divisao="Calculado","Manual","SemiAuto"),IF(ISERROR(MATCH($A15,ORÇAMENTO!$E$15:$E$71,0)),"Branco","Automático"))</f>
        <v>Automático</v>
      </c>
      <c r="C15" t="str">
        <f t="shared" ca="1" si="1"/>
        <v/>
      </c>
      <c r="D15" s="281">
        <f t="shared" si="2"/>
        <v>2</v>
      </c>
      <c r="E15" s="118"/>
      <c r="F15" s="118"/>
      <c r="G15" s="163" t="str">
        <f ca="1">IF(OR($B15="Manual",$B15="SemiAuto"),QCI.DescManual,IF($B15="Automático",INDEX(ORÇAMENTO!$R$15:$R$71,MATCH($A15,ORÇAMENTO!$E$15:$E$71,0)),""))</f>
        <v>HALL DE ENTRADA</v>
      </c>
      <c r="H15" s="118"/>
      <c r="I15" s="464"/>
      <c r="J15" s="282" t="str">
        <f ca="1">IF(AND(ISBLANK(E15),ISBLANK(F15)),"",VLOOKUP($F15,OFFSET(DADOS!$A$2,1,MATCH(QCI!$E15,DADOS!$2:$2,0)-1,100,50),2,FALSE))</f>
        <v/>
      </c>
      <c r="K15" s="463" t="str" cm="1">
        <f t="array" aca="1" ref="K15" ca="1">IF(OR($B15="Manual",$B15="SemiAuto"),QCI.LoteManual,IF($B15="Automático",IF(TIPOORCAMENTO="Licitado",Import.CTEF,"LOTE 1"),""))</f>
        <v>LOTE 1</v>
      </c>
      <c r="L15" s="283">
        <f t="shared" ca="1" si="3"/>
        <v>0</v>
      </c>
      <c r="M15" s="284">
        <f t="shared" ca="1" si="4"/>
        <v>0</v>
      </c>
      <c r="N15" s="285">
        <f t="shared" ca="1" si="5"/>
        <v>0</v>
      </c>
      <c r="O15" s="286" cm="1">
        <f t="array" aca="1" ref="O15" ca="1">IF($B15="Branco",0,IF(OR($B15="Manual",$B15="SemiAuto"),QCI.InvManual,INDEX(ORÇAMENTO!X$15:X$71,MATCH($A15,ORÇAMENTO!$E$15:$E$71,0))))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IF($B15="Branco",0,IF($B15="Manual",QCI.CPManual,IF($B15="SemiAuto",ROUND(QCI!$AA$3*QCI.InvManual,2),INDEX(ORÇAMENTO!$AA$15:$AA$71,MATCH($A15,ORÇAMENTO!$E$15:$E$71,0)))))</f>
        <v>0</v>
      </c>
      <c r="AB15" cm="1">
        <f t="array" aca="1" ref="AB15" ca="1">IF($B15="Branco",0,IF($B15="Manual",QCI.OutrosManual,IF($B15="SemiAuto",0,INDEX(ORÇAMENTO!$AB$15:$AB$71,MATCH($A15,ORÇAMENTO!$E$15:$E$71,0)))))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IF(NOT(ISBLANK(QCI.DescManual)),IF(QCI.Divisao="Calculado","Manual","SemiAuto"),IF(ISERROR(MATCH($A16,ORÇAMENTO!$E$15:$E$71,0)),"Branco","Automático"))</f>
        <v>Branco</v>
      </c>
      <c r="C16" t="str">
        <f t="shared" ca="1" si="1"/>
        <v/>
      </c>
      <c r="D16" s="281">
        <f t="shared" si="2"/>
        <v>3</v>
      </c>
      <c r="E16" s="118"/>
      <c r="F16" s="118"/>
      <c r="G16" s="163" t="str">
        <f ca="1">IF(OR($B16="Manual",$B16="SemiAuto"),QCI.DescManual,IF($B16="Automático",INDEX(ORÇAMENTO!$R$15:$R$71,MATCH($A16,ORÇAMENTO!$E$15:$E$71,0)),""))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IF($B16="Branco",0,IF(OR($B16="Manual",$B16="SemiAuto"),QCI.InvManual,INDEX(ORÇAMENTO!X$15:X$71,MATCH($A16,ORÇAMENTO!$E$15:$E$71,0))))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IF($B16="Branco",0,IF($B16="Manual",QCI.CPManual,IF($B16="SemiAuto",ROUND(QCI!$AA$3*QCI.InvManual,2),INDEX(ORÇAMENTO!$AA$15:$AA$71,MATCH($A16,ORÇAMENTO!$E$15:$E$71,0)))))</f>
        <v>0</v>
      </c>
      <c r="AB16" cm="1">
        <f t="array" aca="1" ref="AB16" ca="1">IF($B16="Branco",0,IF($B16="Manual",QCI.OutrosManual,IF($B16="SemiAuto",0,INDEX(ORÇAMENTO!$AB$15:$AB$71,MATCH($A16,ORÇAMENTO!$E$15:$E$71,0)))))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IF(NOT(ISBLANK(QCI.DescManual)),IF(QCI.Divisao="Calculado","Manual","SemiAuto"),IF(ISERROR(MATCH($A17,ORÇAMENTO!$E$15:$E$71,0)),"Branco","Automático"))</f>
        <v>Branco</v>
      </c>
      <c r="C17" t="str">
        <f t="shared" ca="1" si="1"/>
        <v/>
      </c>
      <c r="D17" s="281">
        <f t="shared" si="2"/>
        <v>4</v>
      </c>
      <c r="E17" s="118"/>
      <c r="F17" s="118"/>
      <c r="G17" s="163" t="str">
        <f ca="1">IF(OR($B17="Manual",$B17="SemiAuto"),QCI.DescManual,IF($B17="Automático",INDEX(ORÇAMENTO!$R$15:$R$71,MATCH($A17,ORÇAMENTO!$E$15:$E$71,0)),""))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IF($B17="Branco",0,IF(OR($B17="Manual",$B17="SemiAuto"),QCI.InvManual,INDEX(ORÇAMENTO!X$15:X$71,MATCH($A17,ORÇAMENTO!$E$15:$E$71,0))))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IF($B17="Branco",0,IF($B17="Manual",QCI.CPManual,IF($B17="SemiAuto",ROUND(QCI!$AA$3*QCI.InvManual,2),INDEX(ORÇAMENTO!$AA$15:$AA$71,MATCH($A17,ORÇAMENTO!$E$15:$E$71,0)))))</f>
        <v>0</v>
      </c>
      <c r="AB17" cm="1">
        <f t="array" aca="1" ref="AB17" ca="1">IF($B17="Branco",0,IF($B17="Manual",QCI.OutrosManual,IF($B17="SemiAuto",0,INDEX(ORÇAMENTO!$AB$15:$AB$71,MATCH($A17,ORÇAMENTO!$E$15:$E$71,0)))))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IF(NOT(ISBLANK(QCI.DescManual)),IF(QCI.Divisao="Calculado","Manual","SemiAuto"),IF(ISERROR(MATCH($A18,ORÇAMENTO!$E$15:$E$71,0)),"Branco","Automático"))</f>
        <v>Branco</v>
      </c>
      <c r="C18" t="str">
        <f t="shared" ca="1" si="1"/>
        <v/>
      </c>
      <c r="D18" s="281">
        <f t="shared" si="2"/>
        <v>5</v>
      </c>
      <c r="E18" s="118"/>
      <c r="F18" s="118"/>
      <c r="G18" s="163" t="str">
        <f ca="1">IF(OR($B18="Manual",$B18="SemiAuto"),QCI.DescManual,IF($B18="Automático",INDEX(ORÇAMENTO!$R$15:$R$71,MATCH($A18,ORÇAMENTO!$E$15:$E$71,0)),""))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IF($B18="Branco",0,IF(OR($B18="Manual",$B18="SemiAuto"),QCI.InvManual,INDEX(ORÇAMENTO!X$15:X$71,MATCH($A18,ORÇAMENTO!$E$15:$E$71,0))))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IF($B18="Branco",0,IF($B18="Manual",QCI.CPManual,IF($B18="SemiAuto",ROUND(QCI!$AA$3*QCI.InvManual,2),INDEX(ORÇAMENTO!$AA$15:$AA$71,MATCH($A18,ORÇAMENTO!$E$15:$E$71,0)))))</f>
        <v>0</v>
      </c>
      <c r="AB18" cm="1">
        <f t="array" aca="1" ref="AB18" ca="1">IF($B18="Branco",0,IF($B18="Manual",QCI.OutrosManual,IF($B18="SemiAuto",0,INDEX(ORÇAMENTO!$AB$15:$AB$71,MATCH($A18,ORÇAMENTO!$E$15:$E$71,0)))))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IF(NOT(ISBLANK(QCI.DescManual)),IF(QCI.Divisao="Calculado","Manual","SemiAuto"),IF(ISERROR(MATCH($A19,ORÇAMENTO!$E$15:$E$71,0)),"Branco","Automático"))</f>
        <v>Branco</v>
      </c>
      <c r="C19" t="str">
        <f t="shared" ca="1" si="1"/>
        <v/>
      </c>
      <c r="D19" s="281">
        <f t="shared" si="2"/>
        <v>6</v>
      </c>
      <c r="E19" s="118"/>
      <c r="F19" s="118"/>
      <c r="G19" s="163" t="str">
        <f ca="1">IF(OR($B19="Manual",$B19="SemiAuto"),QCI.DescManual,IF($B19="Automático",INDEX(ORÇAMENTO!$R$15:$R$71,MATCH($A19,ORÇAMENTO!$E$15:$E$71,0)),""))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IF($B19="Branco",0,IF(OR($B19="Manual",$B19="SemiAuto"),QCI.InvManual,INDEX(ORÇAMENTO!X$15:X$71,MATCH($A19,ORÇAMENTO!$E$15:$E$71,0))))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IF($B19="Branco",0,IF($B19="Manual",QCI.CPManual,IF($B19="SemiAuto",ROUND(QCI!$AA$3*QCI.InvManual,2),INDEX(ORÇAMENTO!$AA$15:$AA$71,MATCH($A19,ORÇAMENTO!$E$15:$E$71,0)))))</f>
        <v>0</v>
      </c>
      <c r="AB19" cm="1">
        <f t="array" aca="1" ref="AB19" ca="1">IF($B19="Branco",0,IF($B19="Manual",QCI.OutrosManual,IF($B19="SemiAuto",0,INDEX(ORÇAMENTO!$AB$15:$AB$71,MATCH($A19,ORÇAMENTO!$E$15:$E$71,0)))))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IF(NOT(ISBLANK(QCI.DescManual)),IF(QCI.Divisao="Calculado","Manual","SemiAuto"),IF(ISERROR(MATCH($A20,ORÇAMENTO!$E$15:$E$71,0)),"Branco","Automático"))</f>
        <v>Branco</v>
      </c>
      <c r="C20" t="str">
        <f t="shared" ca="1" si="1"/>
        <v/>
      </c>
      <c r="D20" s="281">
        <f t="shared" si="2"/>
        <v>7</v>
      </c>
      <c r="E20" s="118"/>
      <c r="F20" s="118"/>
      <c r="G20" s="163" t="str">
        <f ca="1">IF(OR($B20="Manual",$B20="SemiAuto"),QCI.DescManual,IF($B20="Automático",INDEX(ORÇAMENTO!$R$15:$R$71,MATCH($A20,ORÇAMENTO!$E$15:$E$71,0)),""))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IF($B20="Branco",0,IF(OR($B20="Manual",$B20="SemiAuto"),QCI.InvManual,INDEX(ORÇAMENTO!X$15:X$71,MATCH($A20,ORÇAMENTO!$E$15:$E$71,0))))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IF($B20="Branco",0,IF($B20="Manual",QCI.CPManual,IF($B20="SemiAuto",ROUND(QCI!$AA$3*QCI.InvManual,2),INDEX(ORÇAMENTO!$AA$15:$AA$71,MATCH($A20,ORÇAMENTO!$E$15:$E$71,0)))))</f>
        <v>0</v>
      </c>
      <c r="AB20" cm="1">
        <f t="array" aca="1" ref="AB20" ca="1">IF($B20="Branco",0,IF($B20="Manual",QCI.OutrosManual,IF($B20="SemiAuto",0,INDEX(ORÇAMENTO!$AB$15:$AB$71,MATCH($A20,ORÇAMENTO!$E$15:$E$71,0)))))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IF(NOT(ISBLANK(QCI.DescManual)),IF(QCI.Divisao="Calculado","Manual","SemiAuto"),IF(ISERROR(MATCH($A21,ORÇAMENTO!$E$15:$E$71,0)),"Branco","Automático"))</f>
        <v>Branco</v>
      </c>
      <c r="C21" t="str">
        <f t="shared" ca="1" si="1"/>
        <v/>
      </c>
      <c r="D21" s="281">
        <f t="shared" si="2"/>
        <v>8</v>
      </c>
      <c r="E21" s="118"/>
      <c r="F21" s="118"/>
      <c r="G21" s="163" t="str">
        <f ca="1">IF(OR($B21="Manual",$B21="SemiAuto"),QCI.DescManual,IF($B21="Automático",INDEX(ORÇAMENTO!$R$15:$R$71,MATCH($A21,ORÇAMENTO!$E$15:$E$71,0)),""))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IF($B21="Branco",0,IF(OR($B21="Manual",$B21="SemiAuto"),QCI.InvManual,INDEX(ORÇAMENTO!X$15:X$71,MATCH($A21,ORÇAMENTO!$E$15:$E$71,0))))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IF($B21="Branco",0,IF($B21="Manual",QCI.CPManual,IF($B21="SemiAuto",ROUND(QCI!$AA$3*QCI.InvManual,2),INDEX(ORÇAMENTO!$AA$15:$AA$71,MATCH($A21,ORÇAMENTO!$E$15:$E$71,0)))))</f>
        <v>0</v>
      </c>
      <c r="AB21" cm="1">
        <f t="array" aca="1" ref="AB21" ca="1">IF($B21="Branco",0,IF($B21="Manual",QCI.OutrosManual,IF($B21="SemiAuto",0,INDEX(ORÇAMENTO!$AB$15:$AB$71,MATCH($A21,ORÇAMENTO!$E$15:$E$71,0)))))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IF(NOT(ISBLANK(QCI.DescManual)),IF(QCI.Divisao="Calculado","Manual","SemiAuto"),IF(ISERROR(MATCH($A22,ORÇAMENTO!$E$15:$E$71,0)),"Branco","Automático"))</f>
        <v>Branco</v>
      </c>
      <c r="C22" t="str">
        <f t="shared" ca="1" si="1"/>
        <v/>
      </c>
      <c r="D22" s="281">
        <f t="shared" si="2"/>
        <v>9</v>
      </c>
      <c r="E22" s="118"/>
      <c r="F22" s="118"/>
      <c r="G22" s="163" t="str">
        <f ca="1">IF(OR($B22="Manual",$B22="SemiAuto"),QCI.DescManual,IF($B22="Automático",INDEX(ORÇAMENTO!$R$15:$R$71,MATCH($A22,ORÇAMENTO!$E$15:$E$71,0)),""))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IF($B22="Branco",0,IF(OR($B22="Manual",$B22="SemiAuto"),QCI.InvManual,INDEX(ORÇAMENTO!X$15:X$71,MATCH($A22,ORÇAMENTO!$E$15:$E$71,0))))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IF($B22="Branco",0,IF($B22="Manual",QCI.CPManual,IF($B22="SemiAuto",ROUND(QCI!$AA$3*QCI.InvManual,2),INDEX(ORÇAMENTO!$AA$15:$AA$71,MATCH($A22,ORÇAMENTO!$E$15:$E$71,0)))))</f>
        <v>0</v>
      </c>
      <c r="AB22" cm="1">
        <f t="array" aca="1" ref="AB22" ca="1">IF($B22="Branco",0,IF($B22="Manual",QCI.OutrosManual,IF($B22="SemiAuto",0,INDEX(ORÇAMENTO!$AB$15:$AB$71,MATCH($A22,ORÇAMENTO!$E$15:$E$71,0)))))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IF(NOT(ISBLANK(QCI.DescManual)),IF(QCI.Divisao="Calculado","Manual","SemiAuto"),IF(ISERROR(MATCH($A23,ORÇAMENTO!$E$15:$E$71,0)),"Branco","Automático"))</f>
        <v>Branco</v>
      </c>
      <c r="C23" t="str">
        <f ca="1">IF(O23&gt;0,"F","")</f>
        <v/>
      </c>
      <c r="D23" s="281">
        <f>ROW()-ROW($D$13)</f>
        <v>10</v>
      </c>
      <c r="E23" s="118"/>
      <c r="F23" s="118"/>
      <c r="G23" s="163" t="str">
        <f ca="1">IF(OR($B23="Manual",$B23="SemiAuto"),QCI.DescManual,IF($B23="Automático",INDEX(ORÇAMENTO!$R$15:$R$71,MATCH($A23,ORÇAMENTO!$E$15:$E$71,0)),""))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IF($B23="Branco",0,IF(OR($B23="Manual",$B23="SemiAuto"),QCI.InvManual,INDEX(ORÇAMENTO!X$15:X$71,MATCH($A23,ORÇAMENTO!$E$15:$E$71,0))))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IF($B23="Branco",0,IF($B23="Manual",QCI.CPManual,IF($B23="SemiAuto",ROUND(QCI!$AA$3*QCI.InvManual,2),INDEX(ORÇAMENTO!$AA$15:$AA$71,MATCH($A23,ORÇAMENTO!$E$15:$E$71,0)))))</f>
        <v>0</v>
      </c>
      <c r="AB23" cm="1">
        <f t="array" aca="1" ref="AB23" ca="1">IF($B23="Branco",0,IF($B23="Manual",QCI.OutrosManual,IF($B23="SemiAuto",0,INDEX(ORÇAMENTO!$AB$15:$AB$71,MATCH($A23,ORÇAMENTO!$E$15:$E$71,0)))))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80" t="s">
        <v>830</v>
      </c>
      <c r="L24" s="296">
        <f ca="1">SUM(L13:OFFSET(L24,-1,0))</f>
        <v>0</v>
      </c>
      <c r="M24" s="297">
        <f ca="1">SUM(M13:OFFSET(M24,-1,0))</f>
        <v>0</v>
      </c>
      <c r="N24" s="298">
        <f ca="1">SUM(N13:OFFSET(N24,-1,0))</f>
        <v>0</v>
      </c>
      <c r="O24" s="299">
        <f ca="1">SUM(O13:OFFSET(O24,-1,0))</f>
        <v>0</v>
      </c>
      <c r="R24" s="300"/>
      <c r="T24" s="301"/>
      <c r="U24" s="302"/>
      <c r="V24" s="303"/>
      <c r="W24" s="304"/>
      <c r="X24" s="305"/>
      <c r="Z24" s="88">
        <f ca="1">SUMPRODUCT(ROUND(Z13:OFFSET(Z24,-1,0),2))</f>
        <v>0</v>
      </c>
      <c r="AA24" s="88">
        <f ca="1">SUMPRODUCT(ROUND(AA13:OFFSET(AA24,-1,0),2))</f>
        <v>0</v>
      </c>
      <c r="AB24" s="88">
        <f ca="1">SUM(AB13:OFFSET(AB24,-1,0))</f>
        <v>0</v>
      </c>
    </row>
    <row r="25" spans="1:31" x14ac:dyDescent="0.2">
      <c r="B25" t="s">
        <v>831</v>
      </c>
      <c r="C25" t="s">
        <v>536</v>
      </c>
      <c r="D25" s="306"/>
      <c r="E25" s="307"/>
      <c r="F25" s="307"/>
      <c r="G25" s="307"/>
      <c r="H25" s="307"/>
      <c r="I25" s="307"/>
      <c r="J25" s="307"/>
      <c r="K25" s="780"/>
      <c r="L25" s="308">
        <f ca="1">IF(ISERROR(L24/$O24),0,ROUND(L24/$O24,4))</f>
        <v>0</v>
      </c>
      <c r="M25" s="309">
        <f ca="1">IF(ISERROR(M24/$O24),0,ROUND(M24/$O24,4))</f>
        <v>0</v>
      </c>
      <c r="N25" s="310">
        <f ca="1">IF(ISERROR(N24/$O24),0,ROUND(N24/$O24,4))</f>
        <v>0</v>
      </c>
      <c r="O25" s="311">
        <f ca="1">IF(ISERROR(O24/$O24),0,ROUND(O24/$O24,4))</f>
        <v>0</v>
      </c>
      <c r="R25" s="312"/>
      <c r="T25" s="313"/>
      <c r="U25" s="314"/>
      <c r="V25" s="315"/>
      <c r="W25" s="316"/>
      <c r="X25" s="317"/>
    </row>
    <row r="27" spans="1:31" ht="14.25" x14ac:dyDescent="0.2">
      <c r="D27" s="135" t="s">
        <v>689</v>
      </c>
    </row>
    <row r="28" spans="1:31" ht="12.75" customHeight="1" x14ac:dyDescent="0.2">
      <c r="D28" s="714"/>
      <c r="E28" s="714"/>
      <c r="F28" s="714"/>
      <c r="G28" s="714"/>
      <c r="H28" s="714"/>
      <c r="I28" s="714"/>
      <c r="J28" s="714"/>
      <c r="K28" s="714"/>
      <c r="L28" s="714"/>
      <c r="M28" s="714"/>
      <c r="N28" s="714"/>
      <c r="O28" s="714"/>
    </row>
    <row r="29" spans="1:31" ht="12.75" customHeight="1" x14ac:dyDescent="0.2">
      <c r="D29" s="714"/>
      <c r="E29" s="714"/>
      <c r="F29" s="714"/>
      <c r="G29" s="714"/>
      <c r="H29" s="714"/>
      <c r="I29" s="714"/>
      <c r="J29" s="714"/>
      <c r="K29" s="714"/>
      <c r="L29" s="714"/>
      <c r="M29" s="714"/>
      <c r="N29" s="714"/>
      <c r="O29" s="714"/>
    </row>
    <row r="30" spans="1:31" ht="12.75" customHeight="1" x14ac:dyDescent="0.2">
      <c r="D30" s="714"/>
      <c r="E30" s="714"/>
      <c r="F30" s="714"/>
      <c r="G30" s="714"/>
      <c r="H30" s="714"/>
      <c r="I30" s="714"/>
      <c r="J30" s="714"/>
      <c r="K30" s="714"/>
      <c r="L30" s="714"/>
      <c r="M30" s="714"/>
      <c r="N30" s="714"/>
      <c r="O30" s="714"/>
    </row>
    <row r="33" spans="4:12" ht="15" x14ac:dyDescent="0.2">
      <c r="D33" s="716" t="str">
        <f>Import.Município</f>
        <v>SÃO LUIZ GONZAGA/RS</v>
      </c>
      <c r="E33" s="716"/>
      <c r="F33" s="716"/>
      <c r="I33" s="139"/>
      <c r="J33" s="139"/>
      <c r="K33" s="180"/>
      <c r="L33" s="180"/>
    </row>
    <row r="34" spans="4:12" x14ac:dyDescent="0.2">
      <c r="D34" s="9" t="s">
        <v>693</v>
      </c>
      <c r="I34" s="181" t="s">
        <v>832</v>
      </c>
      <c r="J34" s="181"/>
    </row>
    <row r="35" spans="4:12" x14ac:dyDescent="0.2">
      <c r="I35" s="77" t="str">
        <f>"Nome:" &amp;  " " &amp; DADOS!C28</f>
        <v>Nome: JOSE ANTONIO FLACH WERLE</v>
      </c>
    </row>
    <row r="36" spans="4:12" x14ac:dyDescent="0.2">
      <c r="D36" s="710">
        <f>DADOS!$C$25</f>
        <v>46237</v>
      </c>
      <c r="E36" s="710"/>
      <c r="F36" s="710"/>
      <c r="I36" s="77" t="str">
        <f>"Cargo:"  &amp; " " &amp; DADOS!C29</f>
        <v>Cargo: PREFEITO MUNICIPAL</v>
      </c>
    </row>
    <row r="37" spans="4:12" x14ac:dyDescent="0.2">
      <c r="D37" s="140" t="s">
        <v>694</v>
      </c>
      <c r="E37" s="1"/>
      <c r="F37" s="1"/>
      <c r="K37" s="77"/>
      <c r="L37" s="78"/>
    </row>
  </sheetData>
  <sheetProtection algorithmName="SHA-512" hashValue="Tgsrux5Lz0TjLKDvWN4Z4mWkHE9gLXiG6zLFKliwirR/L/DLeHHwNytqf9YxcjAZtEGYtLfZfIqD1zXDTHC3AQ==" saltValue="AmIwht6Bi7bblXa09kbD/A==" spinCount="100000" sheet="1" objects="1" scenarios="1" autoFilter="0"/>
  <autoFilter ref="C13:C25"/>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113" priority="961" stopIfTrue="1">
      <formula>OR($B12="Automático",$B12="Branco")</formula>
    </cfRule>
  </conditionalFormatting>
  <conditionalFormatting sqref="L12">
    <cfRule type="expression" dxfId="112"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11" priority="963" stopIfTrue="1">
      <formula>OR($B12="Automático",$B12="Branco",$V12&lt;&gt;"Calculado")</formula>
    </cfRule>
  </conditionalFormatting>
  <conditionalFormatting sqref="M25">
    <cfRule type="expression" dxfId="110" priority="965" stopIfTrue="1">
      <formula>AND($G$9&lt;&gt;"",OR($M$25&lt;Import.CPMinPerc,$M$25&gt;Import.CPMaxPerc))</formula>
    </cfRule>
  </conditionalFormatting>
  <conditionalFormatting sqref="M24">
    <cfRule type="expression" dxfId="109" priority="966" stopIfTrue="1">
      <formula>AND($G$9&lt;&gt;"",$M$24&lt;Import.CPMinAbsoluta)</formula>
    </cfRule>
  </conditionalFormatting>
  <conditionalFormatting sqref="L10:M10">
    <cfRule type="cellIs" dxfId="108" priority="967" stopIfTrue="1" operator="lessThan">
      <formula>0</formula>
    </cfRule>
  </conditionalFormatting>
  <conditionalFormatting sqref="G12">
    <cfRule type="cellIs" dxfId="107" priority="968" stopIfTrue="1" operator="equal">
      <formula>"(digite a descrição aqui)"</formula>
    </cfRule>
  </conditionalFormatting>
  <conditionalFormatting sqref="T14:V22">
    <cfRule type="expression" dxfId="106" priority="5" stopIfTrue="1">
      <formula>OR($B14="Automático",$B14="Branco")</formula>
    </cfRule>
  </conditionalFormatting>
  <conditionalFormatting sqref="L14:L22">
    <cfRule type="expression" dxfId="105"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04" priority="7" stopIfTrue="1">
      <formula>OR($B14="Automático",$B14="Branco",$V14&lt;&gt;"Calculado")</formula>
    </cfRule>
  </conditionalFormatting>
  <conditionalFormatting sqref="G14:G22">
    <cfRule type="cellIs" dxfId="103" priority="8" stopIfTrue="1" operator="equal">
      <formula>"(digite a descrição aqui)"</formula>
    </cfRule>
  </conditionalFormatting>
  <conditionalFormatting sqref="T23:V23">
    <cfRule type="expression" dxfId="102" priority="1" stopIfTrue="1">
      <formula>OR($B23="Automático",$B23="Branco")</formula>
    </cfRule>
  </conditionalFormatting>
  <conditionalFormatting sqref="L23">
    <cfRule type="expression" dxfId="101"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00" priority="3" stopIfTrue="1">
      <formula>OR($B23="Automático",$B23="Branco",$V23&lt;&gt;"Calculado")</formula>
    </cfRule>
  </conditionalFormatting>
  <conditionalFormatting sqref="G23">
    <cfRule type="cellIs" dxfId="99" priority="4" stopIfTrue="1" operator="equal">
      <formula>"(digite a descrição aqui)"</formula>
    </cfRule>
  </conditionalFormatting>
  <dataValidations count="9">
    <dataValidation type="decimal" operator="greaterThan" allowBlank="1" showErrorMessage="1" error="Digite apenas números decimais maiores do que 0." sqref="U12 U14:U23">
      <formula1>0</formula1>
      <formula2>0</formula2>
    </dataValidation>
    <dataValidation type="decimal" operator="greaterThan" allowBlank="1" showErrorMessage="1" errorTitle="Erro" error="Digite valores maiores do que 0." sqref="I12 I14:I23">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formula1>0</formula1>
      <formula2>QCI.MaxOUManual</formula2>
    </dataValidation>
    <dataValidation allowBlank="1" showInputMessage="1" showErrorMessage="1" prompt="Preencha somente se a meta não fizer parte do Orçamento desta Plan. Mult." sqref="R12 R14:R23"/>
    <dataValidation type="list" allowBlank="1" showInputMessage="1" showErrorMessage="1" errorTitle="Erro:" error="Selecione uma opção da lista." prompt="Selecione uma opção da lista." sqref="H12 H14:H23">
      <formula1>QCI.Lista.Situação</formula1>
    </dataValidation>
    <dataValidation type="list" allowBlank="1" showInputMessage="1" showErrorMessage="1" errorTitle="Erro:" error="Selecione uma opção da lista." prompt="Selecione uma opção da lista." sqref="F12 F14:F23">
      <formula1>QCI.SubItemInvestimento</formula1>
    </dataValidation>
    <dataValidation type="list" allowBlank="1" showInputMessage="1" showErrorMessage="1" errorTitle="Erro:" error="Selecione uma opção da lista." prompt="Selecione uma opção da lista." sqref="E12 E14:E23">
      <formula1>QCI.ItemInvestimento</formula1>
    </dataValidation>
    <dataValidation type="list" allowBlank="1" showInputMessage="1" showErrorMessage="1" errorTitle="Erro:" error="Selecione uma opção da lista." prompt="Selecione uma opção da lista." sqref="V12 V14:V23">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84" t="e">
        <f ca="1">IF(AUTOEVENTO="Manual",OFFSET(EVENTOS!$D$15,$B1-$B$15,0),IF(B1&lt;=MAX(CÁLCULO!$M$15:$M$71),VLOOKUP($B1,CÁLCULO!$M$15:$N$71,2,FALSE),0))</f>
        <v>#REF!</v>
      </c>
      <c r="D1" s="784"/>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681" t="s">
        <v>644</v>
      </c>
      <c r="AE3" s="681"/>
      <c r="AF3" s="681"/>
    </row>
    <row r="4" spans="1:33" ht="15.75" x14ac:dyDescent="0.2">
      <c r="B4" s="82"/>
      <c r="C4" s="82"/>
      <c r="H4" s="83" t="str">
        <f>import.recurso</f>
        <v>OGU</v>
      </c>
      <c r="AD4" s="682" t="s">
        <v>647</v>
      </c>
      <c r="AE4" s="682"/>
      <c r="AF4" s="682"/>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3" t="str" cm="1">
        <f t="array" ref="AE6">IF(TIPOORCAMENTO="Licitado","Nº CTEF","")</f>
        <v/>
      </c>
      <c r="AF6" s="793"/>
    </row>
    <row r="7" spans="1:33" x14ac:dyDescent="0.2">
      <c r="B7" s="763" t="str">
        <f>Import.CR</f>
        <v>0</v>
      </c>
      <c r="C7" s="763"/>
      <c r="D7" s="214" t="str">
        <f>Import.TransfereGOV</f>
        <v>0</v>
      </c>
      <c r="E7" s="42"/>
      <c r="H7" s="773" t="str">
        <f>Import.Proponente</f>
        <v>PREFEITURA MUNICIPAL DE SÃO LUIZ GONZAGA</v>
      </c>
      <c r="I7" s="773"/>
      <c r="J7" s="773"/>
      <c r="K7" s="773"/>
      <c r="L7" s="773"/>
      <c r="M7" s="773"/>
      <c r="N7" s="773"/>
      <c r="O7" s="763" t="str">
        <f>Import.Apelido</f>
        <v>OBRAS COMPLEMENTARES NA EMEF SANTA RITA</v>
      </c>
      <c r="P7" s="763"/>
      <c r="Q7" s="763"/>
      <c r="R7" s="763"/>
      <c r="S7" s="763"/>
      <c r="T7" s="763"/>
      <c r="U7" s="763"/>
      <c r="V7" s="763" t="str" cm="1">
        <f t="array" ref="V7">IF(TIPOORCAMENTO="Licitado",Import.empresa,Import.DescLote)</f>
        <v>OBRAS COMPLEMENTARES NA EMEF SANTA RITA</v>
      </c>
      <c r="W7" s="763"/>
      <c r="X7" s="763"/>
      <c r="Y7" s="763"/>
      <c r="Z7" s="763"/>
      <c r="AA7" s="763"/>
      <c r="AB7" s="763"/>
      <c r="AC7" s="763"/>
      <c r="AD7" s="763"/>
      <c r="AE7" s="794" t="str" cm="1">
        <f t="array" ref="AE7">IF(TIPOORCAMENTO="Licitado",Import.CTEF,"")</f>
        <v/>
      </c>
      <c r="AF7" s="794"/>
      <c r="AG7" s="265"/>
    </row>
    <row r="9" spans="1:33" ht="15.75" x14ac:dyDescent="0.25">
      <c r="A9" s="165">
        <v>0</v>
      </c>
      <c r="B9" s="266"/>
      <c r="C9" s="266"/>
      <c r="I9" s="267" t="s">
        <v>834</v>
      </c>
      <c r="J9" s="796">
        <v>1</v>
      </c>
      <c r="K9" s="796"/>
      <c r="M9" s="267" t="s">
        <v>799</v>
      </c>
      <c r="N9" s="797" t="str">
        <f ca="1">TEXT(IF(PLE.Medicao=1,Import.DataInicioObra,OFFSET($H$68,0,1+(PLE.Medicao-$I$69)*2-2)+1),"dd/mm/aaaa")&amp;" a "&amp;TEXT(OFFSET($H$68,0,1+(PLE.Medicao-$I$69)*2),"dd/mm/aaaa")</f>
        <v>00/01/1900 a 00/01/1900</v>
      </c>
      <c r="O9" s="797"/>
      <c r="P9" s="797"/>
      <c r="Q9" s="797"/>
      <c r="R9" s="797"/>
      <c r="S9" s="797"/>
      <c r="T9" s="797"/>
      <c r="U9" s="268"/>
      <c r="X9" s="267" t="s">
        <v>835</v>
      </c>
      <c r="Y9" s="795" t="e">
        <f ca="1">OFFSET($I$69,1+8*(ROUNDUP(($J$9-0)/((COLUMN($AG$14)-COLUMN($G$14)-1)/25*12),0)-1),ROUNDDOWN((($J$9-0)-OFFSET($I$69,8*(ROUNDUP(($J$9-0)/((COLUMN($AG$14)-COLUMN($G$14)-1)/25*12),0)-1),0))*(2+1/12),0))</f>
        <v>#DIV/0!</v>
      </c>
      <c r="Z9" s="795"/>
      <c r="AD9" s="267" t="s">
        <v>836</v>
      </c>
      <c r="AE9" s="795" t="e">
        <f ca="1">OFFSET($I$69,3+8*(ROUNDUP(($J$9-0)/((COLUMN($AG$14)-COLUMN($G$14)-1)/25*12),0)-1),ROUNDDOWN((($J$9-0)-OFFSET($I$69,8*(ROUNDUP(($J$9-0)/((COLUMN($AG$14)-COLUMN($G$14)-1)/25*12),0)-1),0))*(2+1/12),0))</f>
        <v>#DIV/0!</v>
      </c>
      <c r="AF9" s="795"/>
    </row>
    <row r="11" spans="1:33" ht="65.25" customHeight="1" x14ac:dyDescent="0.2">
      <c r="A11" s="250" t="s">
        <v>837</v>
      </c>
      <c r="C11" s="798"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8"/>
      <c r="F11" s="252" cm="1">
        <f t="array" aca="1" ref="F11" ca="1">IF(F$12&gt;CÁLCULO.NúmeroDeFrentes,"",OFFSET(CÁLCULO!$P$12,0,F$12))</f>
        <v>0</v>
      </c>
      <c r="H11" s="252" cm="1">
        <f t="array" aca="1" ref="H11" ca="1">IF(H$12&gt;CÁLCULO.NúmeroDeFrentes,"",OFFSET(CÁLCULO!$P$12,0,H$12))</f>
        <v>0</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59" t="s">
        <v>760</v>
      </c>
      <c r="C12" s="759" t="s">
        <v>778</v>
      </c>
      <c r="D12" s="759"/>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59"/>
      <c r="C13" s="759"/>
      <c r="D13" s="759"/>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792" t="str">
        <f>EVENTOS!$D$15</f>
        <v/>
      </c>
      <c r="D15" s="792"/>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64" ca="1" si="1">IF(C16=0,"","F")</f>
        <v>F</v>
      </c>
      <c r="B16" s="247">
        <f t="shared" ref="B16:B64" ca="1" si="2">OFFSET(B16,-1,0)+1</f>
        <v>1</v>
      </c>
      <c r="C16" s="784" t="str">
        <f ca="1">IF(AUTOEVENTO="Manual",OFFSET(EVENTOS!$D$15,$B16-$B$15,0),IF(B16&lt;=MAX(CÁLCULO!$M$15:$M$71),VLOOKUP($B16,CÁLCULO!$M$15:$N$71,2,FALSE),0))</f>
        <v>ALTERAÇÃO DE POSTE DE ENTRADA DE ENERGIA</v>
      </c>
      <c r="D16" s="784"/>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84" t="str">
        <f ca="1">IF(AUTOEVENTO="Manual",OFFSET(EVENTOS!$D$15,$B17-$B$15,0),IF(B17&lt;=MAX(CÁLCULO!$M$15:$M$71),VLOOKUP($B17,CÁLCULO!$M$15:$N$71,2,FALSE),0))</f>
        <v>CALÇADAS EXTERNAS</v>
      </c>
      <c r="D17" s="784"/>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84" t="str">
        <f ca="1">IF(AUTOEVENTO="Manual",OFFSET(EVENTOS!$D$15,$B18-$B$15,0),IF(B18&lt;=MAX(CÁLCULO!$M$15:$M$71),VLOOKUP($B18,CÁLCULO!$M$15:$N$71,2,FALSE),0))</f>
        <v>RAMPA DE ACESSIBILIDADE</v>
      </c>
      <c r="D18" s="784"/>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84" t="str">
        <f ca="1">IF(AUTOEVENTO="Manual",OFFSET(EVENTOS!$D$15,$B19-$B$15,0),IF(B19&lt;=MAX(CÁLCULO!$M$15:$M$71),VLOOKUP($B19,CÁLCULO!$M$15:$N$71,2,FALSE),0))</f>
        <v>GRADES EM CHAPA EXPANDIDA INCLUSO PORTAS</v>
      </c>
      <c r="D19" s="784"/>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84" t="str">
        <f ca="1">IF(AUTOEVENTO="Manual",OFFSET(EVENTOS!$D$15,$B20-$B$15,0),IF(B20&lt;=MAX(CÁLCULO!$M$15:$M$71),VLOOKUP($B20,CÁLCULO!$M$15:$N$71,2,FALSE),0))</f>
        <v>FUNDAÇÃO</v>
      </c>
      <c r="D20" s="784"/>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F</v>
      </c>
      <c r="B21" s="247">
        <f t="shared" ca="1" si="2"/>
        <v>6</v>
      </c>
      <c r="C21" s="784" t="str">
        <f ca="1">IF(AUTOEVENTO="Manual",OFFSET(EVENTOS!$D$15,$B21-$B$15,0),IF(B21&lt;=MAX(CÁLCULO!$M$15:$M$71),VLOOKUP($B21,CÁLCULO!$M$15:$N$71,2,FALSE),0))</f>
        <v>VIGA BALDRAME</v>
      </c>
      <c r="D21" s="784"/>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F</v>
      </c>
      <c r="B22" s="247">
        <f t="shared" ca="1" si="2"/>
        <v>7</v>
      </c>
      <c r="C22" s="784" t="str">
        <f ca="1">IF(AUTOEVENTO="Manual",OFFSET(EVENTOS!$D$15,$B22-$B$15,0),IF(B22&lt;=MAX(CÁLCULO!$M$15:$M$71),VLOOKUP($B22,CÁLCULO!$M$15:$N$71,2,FALSE),0))</f>
        <v>PILARES</v>
      </c>
      <c r="D22" s="784"/>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F</v>
      </c>
      <c r="B23" s="247">
        <f t="shared" ca="1" si="2"/>
        <v>8</v>
      </c>
      <c r="C23" s="784" t="str">
        <f ca="1">IF(AUTOEVENTO="Manual",OFFSET(EVENTOS!$D$15,$B23-$B$15,0),IF(B23&lt;=MAX(CÁLCULO!$M$15:$M$71),VLOOKUP($B23,CÁLCULO!$M$15:$N$71,2,FALSE),0))</f>
        <v>VIGAS CINTAMENTO - REAPROVEITAMENTO DE FORMA DAS BALDRAMES</v>
      </c>
      <c r="D23" s="784"/>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F</v>
      </c>
      <c r="B24" s="247">
        <f t="shared" ca="1" si="2"/>
        <v>9</v>
      </c>
      <c r="C24" s="784" t="str">
        <f ca="1">IF(AUTOEVENTO="Manual",OFFSET(EVENTOS!$D$15,$B24-$B$15,0),IF(B24&lt;=MAX(CÁLCULO!$M$15:$M$71),VLOOKUP($B24,CÁLCULO!$M$15:$N$71,2,FALSE),0))</f>
        <v>OITÃO EM ALVENARIA</v>
      </c>
      <c r="D24" s="784"/>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t="shared" ca="1" si="1"/>
        <v>F</v>
      </c>
      <c r="B25" s="247">
        <f t="shared" ca="1" si="2"/>
        <v>10</v>
      </c>
      <c r="C25" s="784" t="str">
        <f ca="1">IF(AUTOEVENTO="Manual",OFFSET(EVENTOS!$D$15,$B25-$B$15,0),IF(B25&lt;=MAX(CÁLCULO!$M$15:$M$71),VLOOKUP($B25,CÁLCULO!$M$15:$N$71,2,FALSE),0))</f>
        <v>COBERTURA</v>
      </c>
      <c r="D25" s="784"/>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
      <c r="A26" s="7" t="str">
        <f t="shared" ca="1" si="1"/>
        <v>F</v>
      </c>
      <c r="B26" s="247">
        <f t="shared" ca="1" si="2"/>
        <v>11</v>
      </c>
      <c r="C26" s="784" t="str">
        <f ca="1">IF(AUTOEVENTO="Manual",OFFSET(EVENTOS!$D$15,$B26-$B$15,0),IF(B26&lt;=MAX(CÁLCULO!$M$15:$M$71),VLOOKUP($B26,CÁLCULO!$M$15:$N$71,2,FALSE),0))</f>
        <v>PINTURA DOS PILARES E VIGAS</v>
      </c>
      <c r="D26" s="784"/>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
      <c r="A27" s="7" t="str">
        <f t="shared" ca="1" si="1"/>
        <v/>
      </c>
      <c r="B27" s="247">
        <f t="shared" ca="1" si="2"/>
        <v>12</v>
      </c>
      <c r="C27" s="784">
        <f ca="1">IF(AUTOEVENTO="Manual",OFFSET(EVENTOS!$D$15,$B27-$B$15,0),IF(B27&lt;=MAX(CÁLCULO!$M$15:$M$71),VLOOKUP($B27,CÁLCULO!$M$15:$N$71,2,FALSE),0))</f>
        <v>0</v>
      </c>
      <c r="D27" s="784"/>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
      <c r="A28" s="7" t="str">
        <f t="shared" ca="1" si="1"/>
        <v/>
      </c>
      <c r="B28" s="247">
        <f t="shared" ca="1" si="2"/>
        <v>13</v>
      </c>
      <c r="C28" s="784">
        <f ca="1">IF(AUTOEVENTO="Manual",OFFSET(EVENTOS!$D$15,$B28-$B$15,0),IF(B28&lt;=MAX(CÁLCULO!$M$15:$M$71),VLOOKUP($B28,CÁLCULO!$M$15:$N$71,2,FALSE),0))</f>
        <v>0</v>
      </c>
      <c r="D28" s="784"/>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
      <c r="A29" s="7" t="str">
        <f t="shared" ca="1" si="1"/>
        <v/>
      </c>
      <c r="B29" s="247">
        <f t="shared" ca="1" si="2"/>
        <v>14</v>
      </c>
      <c r="C29" s="784">
        <f ca="1">IF(AUTOEVENTO="Manual",OFFSET(EVENTOS!$D$15,$B29-$B$15,0),IF(B29&lt;=MAX(CÁLCULO!$M$15:$M$71),VLOOKUP($B29,CÁLCULO!$M$15:$N$71,2,FALSE),0))</f>
        <v>0</v>
      </c>
      <c r="D29" s="784"/>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
      <c r="A30" s="7" t="str">
        <f t="shared" ca="1" si="1"/>
        <v/>
      </c>
      <c r="B30" s="247">
        <f t="shared" ca="1" si="2"/>
        <v>15</v>
      </c>
      <c r="C30" s="784">
        <f ca="1">IF(AUTOEVENTO="Manual",OFFSET(EVENTOS!$D$15,$B30-$B$15,0),IF(B30&lt;=MAX(CÁLCULO!$M$15:$M$71),VLOOKUP($B30,CÁLCULO!$M$15:$N$71,2,FALSE),0))</f>
        <v>0</v>
      </c>
      <c r="D30" s="784"/>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
      <c r="A31" s="7" t="str">
        <f t="shared" ca="1" si="1"/>
        <v/>
      </c>
      <c r="B31" s="247">
        <f t="shared" ca="1" si="2"/>
        <v>16</v>
      </c>
      <c r="C31" s="784">
        <f ca="1">IF(AUTOEVENTO="Manual",OFFSET(EVENTOS!$D$15,$B31-$B$15,0),IF(B31&lt;=MAX(CÁLCULO!$M$15:$M$71),VLOOKUP($B31,CÁLCULO!$M$15:$N$71,2,FALSE),0))</f>
        <v>0</v>
      </c>
      <c r="D31" s="784"/>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
      <c r="A32" s="7" t="str">
        <f t="shared" ca="1" si="1"/>
        <v/>
      </c>
      <c r="B32" s="247">
        <f t="shared" ca="1" si="2"/>
        <v>17</v>
      </c>
      <c r="C32" s="784">
        <f ca="1">IF(AUTOEVENTO="Manual",OFFSET(EVENTOS!$D$15,$B32-$B$15,0),IF(B32&lt;=MAX(CÁLCULO!$M$15:$M$71),VLOOKUP($B32,CÁLCULO!$M$15:$N$71,2,FALSE),0))</f>
        <v>0</v>
      </c>
      <c r="D32" s="784"/>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
      <c r="A33" s="7" t="str">
        <f t="shared" ca="1" si="1"/>
        <v/>
      </c>
      <c r="B33" s="247">
        <f t="shared" ca="1" si="2"/>
        <v>18</v>
      </c>
      <c r="C33" s="784">
        <f ca="1">IF(AUTOEVENTO="Manual",OFFSET(EVENTOS!$D$15,$B33-$B$15,0),IF(B33&lt;=MAX(CÁLCULO!$M$15:$M$71),VLOOKUP($B33,CÁLCULO!$M$15:$N$71,2,FALSE),0))</f>
        <v>0</v>
      </c>
      <c r="D33" s="784"/>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
      <c r="A34" s="7" t="str">
        <f t="shared" ca="1" si="1"/>
        <v/>
      </c>
      <c r="B34" s="247">
        <f t="shared" ca="1" si="2"/>
        <v>19</v>
      </c>
      <c r="C34" s="784">
        <f ca="1">IF(AUTOEVENTO="Manual",OFFSET(EVENTOS!$D$15,$B34-$B$15,0),IF(B34&lt;=MAX(CÁLCULO!$M$15:$M$71),VLOOKUP($B34,CÁLCULO!$M$15:$N$71,2,FALSE),0))</f>
        <v>0</v>
      </c>
      <c r="D34" s="784"/>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
      <c r="A35" s="7" t="str">
        <f t="shared" ca="1" si="1"/>
        <v/>
      </c>
      <c r="B35" s="247">
        <f t="shared" ca="1" si="2"/>
        <v>20</v>
      </c>
      <c r="C35" s="784">
        <f ca="1">IF(AUTOEVENTO="Manual",OFFSET(EVENTOS!$D$15,$B35-$B$15,0),IF(B35&lt;=MAX(CÁLCULO!$M$15:$M$71),VLOOKUP($B35,CÁLCULO!$M$15:$N$71,2,FALSE),0))</f>
        <v>0</v>
      </c>
      <c r="D35" s="784"/>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
      <c r="A36" s="7" t="str">
        <f t="shared" ca="1" si="1"/>
        <v/>
      </c>
      <c r="B36" s="247">
        <f t="shared" ca="1" si="2"/>
        <v>21</v>
      </c>
      <c r="C36" s="784">
        <f ca="1">IF(AUTOEVENTO="Manual",OFFSET(EVENTOS!$D$15,$B36-$B$15,0),IF(B36&lt;=MAX(CÁLCULO!$M$15:$M$71),VLOOKUP($B36,CÁLCULO!$M$15:$N$71,2,FALSE),0))</f>
        <v>0</v>
      </c>
      <c r="D36" s="784"/>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
      <c r="A37" s="7" t="str">
        <f t="shared" ca="1" si="1"/>
        <v/>
      </c>
      <c r="B37" s="247">
        <f t="shared" ca="1" si="2"/>
        <v>22</v>
      </c>
      <c r="C37" s="784">
        <f ca="1">IF(AUTOEVENTO="Manual",OFFSET(EVENTOS!$D$15,$B37-$B$15,0),IF(B37&lt;=MAX(CÁLCULO!$M$15:$M$71),VLOOKUP($B37,CÁLCULO!$M$15:$N$71,2,FALSE),0))</f>
        <v>0</v>
      </c>
      <c r="D37" s="784"/>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
      <c r="A38" s="7" t="str">
        <f t="shared" ca="1" si="1"/>
        <v/>
      </c>
      <c r="B38" s="247">
        <f t="shared" ca="1" si="2"/>
        <v>23</v>
      </c>
      <c r="C38" s="784">
        <f ca="1">IF(AUTOEVENTO="Manual",OFFSET(EVENTOS!$D$15,$B38-$B$15,0),IF(B38&lt;=MAX(CÁLCULO!$M$15:$M$71),VLOOKUP($B38,CÁLCULO!$M$15:$N$71,2,FALSE),0))</f>
        <v>0</v>
      </c>
      <c r="D38" s="784"/>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
      <c r="A39" s="7" t="str">
        <f t="shared" ca="1" si="1"/>
        <v/>
      </c>
      <c r="B39" s="247">
        <f t="shared" ca="1" si="2"/>
        <v>24</v>
      </c>
      <c r="C39" s="784">
        <f ca="1">IF(AUTOEVENTO="Manual",OFFSET(EVENTOS!$D$15,$B39-$B$15,0),IF(B39&lt;=MAX(CÁLCULO!$M$15:$M$71),VLOOKUP($B39,CÁLCULO!$M$15:$N$71,2,FALSE),0))</f>
        <v>0</v>
      </c>
      <c r="D39" s="784"/>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
      <c r="A40" s="7" t="str">
        <f t="shared" ca="1" si="1"/>
        <v/>
      </c>
      <c r="B40" s="247">
        <f t="shared" ca="1" si="2"/>
        <v>25</v>
      </c>
      <c r="C40" s="784">
        <f ca="1">IF(AUTOEVENTO="Manual",OFFSET(EVENTOS!$D$15,$B40-$B$15,0),IF(B40&lt;=MAX(CÁLCULO!$M$15:$M$71),VLOOKUP($B40,CÁLCULO!$M$15:$N$71,2,FALSE),0))</f>
        <v>0</v>
      </c>
      <c r="D40" s="784"/>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
      <c r="A41" s="7" t="str">
        <f t="shared" ca="1" si="1"/>
        <v/>
      </c>
      <c r="B41" s="247">
        <f t="shared" ca="1" si="2"/>
        <v>26</v>
      </c>
      <c r="C41" s="784">
        <f ca="1">IF(AUTOEVENTO="Manual",OFFSET(EVENTOS!$D$15,$B41-$B$15,0),IF(B41&lt;=MAX(CÁLCULO!$M$15:$M$71),VLOOKUP($B41,CÁLCULO!$M$15:$N$71,2,FALSE),0))</f>
        <v>0</v>
      </c>
      <c r="D41" s="784"/>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
      <c r="A42" s="7" t="str">
        <f t="shared" ca="1" si="1"/>
        <v/>
      </c>
      <c r="B42" s="247">
        <f t="shared" ca="1" si="2"/>
        <v>27</v>
      </c>
      <c r="C42" s="784">
        <f ca="1">IF(AUTOEVENTO="Manual",OFFSET(EVENTOS!$D$15,$B42-$B$15,0),IF(B42&lt;=MAX(CÁLCULO!$M$15:$M$71),VLOOKUP($B42,CÁLCULO!$M$15:$N$71,2,FALSE),0))</f>
        <v>0</v>
      </c>
      <c r="D42" s="784"/>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
      <c r="A43" s="7" t="str">
        <f t="shared" ca="1" si="1"/>
        <v/>
      </c>
      <c r="B43" s="247">
        <f t="shared" ca="1" si="2"/>
        <v>28</v>
      </c>
      <c r="C43" s="784">
        <f ca="1">IF(AUTOEVENTO="Manual",OFFSET(EVENTOS!$D$15,$B43-$B$15,0),IF(B43&lt;=MAX(CÁLCULO!$M$15:$M$71),VLOOKUP($B43,CÁLCULO!$M$15:$N$71,2,FALSE),0))</f>
        <v>0</v>
      </c>
      <c r="D43" s="784"/>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
      <c r="A44" s="7" t="str">
        <f t="shared" ca="1" si="1"/>
        <v/>
      </c>
      <c r="B44" s="247">
        <f t="shared" ca="1" si="2"/>
        <v>29</v>
      </c>
      <c r="C44" s="784">
        <f ca="1">IF(AUTOEVENTO="Manual",OFFSET(EVENTOS!$D$15,$B44-$B$15,0),IF(B44&lt;=MAX(CÁLCULO!$M$15:$M$71),VLOOKUP($B44,CÁLCULO!$M$15:$N$71,2,FALSE),0))</f>
        <v>0</v>
      </c>
      <c r="D44" s="784"/>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
      <c r="A45" s="7" t="str">
        <f t="shared" ca="1" si="1"/>
        <v/>
      </c>
      <c r="B45" s="247">
        <f t="shared" ca="1" si="2"/>
        <v>30</v>
      </c>
      <c r="C45" s="784">
        <f ca="1">IF(AUTOEVENTO="Manual",OFFSET(EVENTOS!$D$15,$B45-$B$15,0),IF(B45&lt;=MAX(CÁLCULO!$M$15:$M$71),VLOOKUP($B45,CÁLCULO!$M$15:$N$71,2,FALSE),0))</f>
        <v>0</v>
      </c>
      <c r="D45" s="784"/>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
      <c r="A46" s="7" t="str">
        <f t="shared" ca="1" si="1"/>
        <v/>
      </c>
      <c r="B46" s="247">
        <f t="shared" ca="1" si="2"/>
        <v>31</v>
      </c>
      <c r="C46" s="784">
        <f ca="1">IF(AUTOEVENTO="Manual",OFFSET(EVENTOS!$D$15,$B46-$B$15,0),IF(B46&lt;=MAX(CÁLCULO!$M$15:$M$71),VLOOKUP($B46,CÁLCULO!$M$15:$N$71,2,FALSE),0))</f>
        <v>0</v>
      </c>
      <c r="D46" s="784"/>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
      <c r="A47" s="7" t="str">
        <f t="shared" ca="1" si="1"/>
        <v/>
      </c>
      <c r="B47" s="247">
        <f t="shared" ca="1" si="2"/>
        <v>32</v>
      </c>
      <c r="C47" s="784">
        <f ca="1">IF(AUTOEVENTO="Manual",OFFSET(EVENTOS!$D$15,$B47-$B$15,0),IF(B47&lt;=MAX(CÁLCULO!$M$15:$M$71),VLOOKUP($B47,CÁLCULO!$M$15:$N$71,2,FALSE),0))</f>
        <v>0</v>
      </c>
      <c r="D47" s="784"/>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
      <c r="A48" s="7" t="str">
        <f t="shared" ca="1" si="1"/>
        <v/>
      </c>
      <c r="B48" s="247">
        <f t="shared" ca="1" si="2"/>
        <v>33</v>
      </c>
      <c r="C48" s="784">
        <f ca="1">IF(AUTOEVENTO="Manual",OFFSET(EVENTOS!$D$15,$B48-$B$15,0),IF(B48&lt;=MAX(CÁLCULO!$M$15:$M$71),VLOOKUP($B48,CÁLCULO!$M$15:$N$71,2,FALSE),0))</f>
        <v>0</v>
      </c>
      <c r="D48" s="784"/>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
      <c r="A49" s="7" t="str">
        <f t="shared" ca="1" si="1"/>
        <v/>
      </c>
      <c r="B49" s="247">
        <f t="shared" ca="1" si="2"/>
        <v>34</v>
      </c>
      <c r="C49" s="784">
        <f ca="1">IF(AUTOEVENTO="Manual",OFFSET(EVENTOS!$D$15,$B49-$B$15,0),IF(B49&lt;=MAX(CÁLCULO!$M$15:$M$71),VLOOKUP($B49,CÁLCULO!$M$15:$N$71,2,FALSE),0))</f>
        <v>0</v>
      </c>
      <c r="D49" s="784"/>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
      <c r="A50" s="7" t="str">
        <f t="shared" ca="1" si="1"/>
        <v/>
      </c>
      <c r="B50" s="247">
        <f t="shared" ca="1" si="2"/>
        <v>35</v>
      </c>
      <c r="C50" s="784">
        <f ca="1">IF(AUTOEVENTO="Manual",OFFSET(EVENTOS!$D$15,$B50-$B$15,0),IF(B50&lt;=MAX(CÁLCULO!$M$15:$M$71),VLOOKUP($B50,CÁLCULO!$M$15:$N$71,2,FALSE),0))</f>
        <v>0</v>
      </c>
      <c r="D50" s="784"/>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
      <c r="A51" s="7" t="str">
        <f t="shared" ca="1" si="1"/>
        <v/>
      </c>
      <c r="B51" s="247">
        <f t="shared" ca="1" si="2"/>
        <v>36</v>
      </c>
      <c r="C51" s="784">
        <f ca="1">IF(AUTOEVENTO="Manual",OFFSET(EVENTOS!$D$15,$B51-$B$15,0),IF(B51&lt;=MAX(CÁLCULO!$M$15:$M$71),VLOOKUP($B51,CÁLCULO!$M$15:$N$71,2,FALSE),0))</f>
        <v>0</v>
      </c>
      <c r="D51" s="784"/>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
      <c r="A52" s="7" t="str">
        <f t="shared" ca="1" si="1"/>
        <v/>
      </c>
      <c r="B52" s="247">
        <f t="shared" ca="1" si="2"/>
        <v>37</v>
      </c>
      <c r="C52" s="784">
        <f ca="1">IF(AUTOEVENTO="Manual",OFFSET(EVENTOS!$D$15,$B52-$B$15,0),IF(B52&lt;=MAX(CÁLCULO!$M$15:$M$71),VLOOKUP($B52,CÁLCULO!$M$15:$N$71,2,FALSE),0))</f>
        <v>0</v>
      </c>
      <c r="D52" s="784"/>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
      <c r="A53" s="7" t="str">
        <f t="shared" ca="1" si="1"/>
        <v/>
      </c>
      <c r="B53" s="247">
        <f t="shared" ca="1" si="2"/>
        <v>38</v>
      </c>
      <c r="C53" s="784">
        <f ca="1">IF(AUTOEVENTO="Manual",OFFSET(EVENTOS!$D$15,$B53-$B$15,0),IF(B53&lt;=MAX(CÁLCULO!$M$15:$M$71),VLOOKUP($B53,CÁLCULO!$M$15:$N$71,2,FALSE),0))</f>
        <v>0</v>
      </c>
      <c r="D53" s="784"/>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
      <c r="A54" s="7" t="str">
        <f t="shared" ca="1" si="1"/>
        <v/>
      </c>
      <c r="B54" s="247">
        <f t="shared" ca="1" si="2"/>
        <v>39</v>
      </c>
      <c r="C54" s="784">
        <f ca="1">IF(AUTOEVENTO="Manual",OFFSET(EVENTOS!$D$15,$B54-$B$15,0),IF(B54&lt;=MAX(CÁLCULO!$M$15:$M$71),VLOOKUP($B54,CÁLCULO!$M$15:$N$71,2,FALSE),0))</f>
        <v>0</v>
      </c>
      <c r="D54" s="784"/>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
      <c r="A55" s="7" t="str">
        <f t="shared" ca="1" si="1"/>
        <v/>
      </c>
      <c r="B55" s="247">
        <f t="shared" ca="1" si="2"/>
        <v>40</v>
      </c>
      <c r="C55" s="784">
        <f ca="1">IF(AUTOEVENTO="Manual",OFFSET(EVENTOS!$D$15,$B55-$B$15,0),IF(B55&lt;=MAX(CÁLCULO!$M$15:$M$71),VLOOKUP($B55,CÁLCULO!$M$15:$N$71,2,FALSE),0))</f>
        <v>0</v>
      </c>
      <c r="D55" s="784"/>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
      <c r="A56" s="7" t="str">
        <f t="shared" ca="1" si="1"/>
        <v/>
      </c>
      <c r="B56" s="247">
        <f t="shared" ca="1" si="2"/>
        <v>41</v>
      </c>
      <c r="C56" s="784">
        <f ca="1">IF(AUTOEVENTO="Manual",OFFSET(EVENTOS!$D$15,$B56-$B$15,0),IF(B56&lt;=MAX(CÁLCULO!$M$15:$M$71),VLOOKUP($B56,CÁLCULO!$M$15:$N$71,2,FALSE),0))</f>
        <v>0</v>
      </c>
      <c r="D56" s="784"/>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
      <c r="A57" s="7" t="str">
        <f t="shared" ca="1" si="1"/>
        <v/>
      </c>
      <c r="B57" s="247">
        <f t="shared" ca="1" si="2"/>
        <v>42</v>
      </c>
      <c r="C57" s="784">
        <f ca="1">IF(AUTOEVENTO="Manual",OFFSET(EVENTOS!$D$15,$B57-$B$15,0),IF(B57&lt;=MAX(CÁLCULO!$M$15:$M$71),VLOOKUP($B57,CÁLCULO!$M$15:$N$71,2,FALSE),0))</f>
        <v>0</v>
      </c>
      <c r="D57" s="784"/>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
      <c r="A58" s="7" t="str">
        <f t="shared" ca="1" si="1"/>
        <v/>
      </c>
      <c r="B58" s="247">
        <f t="shared" ca="1" si="2"/>
        <v>43</v>
      </c>
      <c r="C58" s="784">
        <f ca="1">IF(AUTOEVENTO="Manual",OFFSET(EVENTOS!$D$15,$B58-$B$15,0),IF(B58&lt;=MAX(CÁLCULO!$M$15:$M$71),VLOOKUP($B58,CÁLCULO!$M$15:$N$71,2,FALSE),0))</f>
        <v>0</v>
      </c>
      <c r="D58" s="784"/>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
      <c r="A59" s="7" t="str">
        <f t="shared" ca="1" si="1"/>
        <v/>
      </c>
      <c r="B59" s="247">
        <f t="shared" ca="1" si="2"/>
        <v>44</v>
      </c>
      <c r="C59" s="784">
        <f ca="1">IF(AUTOEVENTO="Manual",OFFSET(EVENTOS!$D$15,$B59-$B$15,0),IF(B59&lt;=MAX(CÁLCULO!$M$15:$M$71),VLOOKUP($B59,CÁLCULO!$M$15:$N$71,2,FALSE),0))</f>
        <v>0</v>
      </c>
      <c r="D59" s="784"/>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19.5" customHeight="1" x14ac:dyDescent="0.2">
      <c r="A60" s="7" t="str">
        <f t="shared" ca="1" si="1"/>
        <v/>
      </c>
      <c r="B60" s="247">
        <f t="shared" ca="1" si="2"/>
        <v>45</v>
      </c>
      <c r="C60" s="784">
        <f ca="1">IF(AUTOEVENTO="Manual",OFFSET(EVENTOS!$D$15,$B60-$B$15,0),IF(B60&lt;=MAX(CÁLCULO!$M$15:$M$71),VLOOKUP($B60,CÁLCULO!$M$15:$N$71,2,FALSE),0))</f>
        <v>0</v>
      </c>
      <c r="D60" s="784"/>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ht="19.5" customHeight="1" x14ac:dyDescent="0.2">
      <c r="A61" s="7" t="str">
        <f t="shared" ca="1" si="1"/>
        <v/>
      </c>
      <c r="B61" s="247">
        <f t="shared" ca="1" si="2"/>
        <v>46</v>
      </c>
      <c r="C61" s="784">
        <f ca="1">IF(AUTOEVENTO="Manual",OFFSET(EVENTOS!$D$15,$B61-$B$15,0),IF(B61&lt;=MAX(CÁLCULO!$M$15:$M$71),VLOOKUP($B61,CÁLCULO!$M$15:$N$71,2,FALSE),0))</f>
        <v>0</v>
      </c>
      <c r="D61" s="784"/>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ht="19.5" customHeight="1" x14ac:dyDescent="0.2">
      <c r="A62" s="7" t="str">
        <f t="shared" ca="1" si="1"/>
        <v/>
      </c>
      <c r="B62" s="247">
        <f t="shared" ca="1" si="2"/>
        <v>47</v>
      </c>
      <c r="C62" s="784">
        <f ca="1">IF(AUTOEVENTO="Manual",OFFSET(EVENTOS!$D$15,$B62-$B$15,0),IF(B62&lt;=MAX(CÁLCULO!$M$15:$M$71),VLOOKUP($B62,CÁLCULO!$M$15:$N$71,2,FALSE),0))</f>
        <v>0</v>
      </c>
      <c r="D62" s="784"/>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ht="19.5" customHeight="1" x14ac:dyDescent="0.2">
      <c r="A63" s="7" t="str">
        <f t="shared" ca="1" si="1"/>
        <v/>
      </c>
      <c r="B63" s="247">
        <f t="shared" ca="1" si="2"/>
        <v>48</v>
      </c>
      <c r="C63" s="784">
        <f ca="1">IF(AUTOEVENTO="Manual",OFFSET(EVENTOS!$D$15,$B63-$B$15,0),IF(B63&lt;=MAX(CÁLCULO!$M$15:$M$71),VLOOKUP($B63,CÁLCULO!$M$15:$N$71,2,FALSE),0))</f>
        <v>0</v>
      </c>
      <c r="D63" s="784"/>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ht="19.5" customHeight="1" x14ac:dyDescent="0.2">
      <c r="A64" s="7" t="str">
        <f t="shared" ca="1" si="1"/>
        <v/>
      </c>
      <c r="B64" s="247">
        <f t="shared" ca="1" si="2"/>
        <v>49</v>
      </c>
      <c r="C64" s="784">
        <f ca="1">IF(AUTOEVENTO="Manual",OFFSET(EVENTOS!$D$15,$B64-$B$15,0),IF(B64&lt;=MAX(CÁLCULO!$M$15:$M$71),VLOOKUP($B64,CÁLCULO!$M$15:$N$71,2,FALSE),0))</f>
        <v>0</v>
      </c>
      <c r="D64" s="784"/>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787" t="s">
        <v>839</v>
      </c>
      <c r="J67" s="787"/>
      <c r="K67" s="787"/>
      <c r="L67" s="787"/>
      <c r="M67" s="787"/>
      <c r="N67" s="787"/>
      <c r="O67" s="787"/>
      <c r="P67" s="787"/>
      <c r="Q67" s="787"/>
      <c r="R67" s="787"/>
      <c r="S67" s="787"/>
      <c r="T67" s="787"/>
      <c r="U67" s="787"/>
      <c r="V67" s="787"/>
      <c r="W67" s="787"/>
      <c r="X67" s="787"/>
      <c r="Y67" s="787"/>
      <c r="Z67" s="787"/>
      <c r="AA67" s="787"/>
      <c r="AB67" s="787"/>
      <c r="AC67" s="787"/>
      <c r="AD67" s="787"/>
      <c r="AE67" s="787"/>
      <c r="AF67" s="787"/>
    </row>
    <row r="68" spans="1:32" x14ac:dyDescent="0.2">
      <c r="A68" s="7" t="s">
        <v>536</v>
      </c>
      <c r="H68" s="583" t="str">
        <f>IF(INDEX($I$68:$AG$68,MATCH(PLE.Medicao,$I$69:$AG$69,0))="","Preencher a data da medição "&amp;PLE.Medicao,"")</f>
        <v>Preencher a data da medição 1</v>
      </c>
      <c r="I68" s="800"/>
      <c r="J68" s="788"/>
      <c r="K68" s="788"/>
      <c r="L68" s="788"/>
      <c r="M68" s="788"/>
      <c r="N68" s="788"/>
      <c r="O68" s="788"/>
      <c r="P68" s="788"/>
      <c r="Q68" s="788"/>
      <c r="R68" s="788"/>
      <c r="S68" s="788"/>
      <c r="T68" s="788"/>
      <c r="U68" s="788"/>
      <c r="V68" s="788"/>
      <c r="W68" s="788"/>
      <c r="X68" s="788"/>
      <c r="Y68" s="788"/>
      <c r="Z68" s="788"/>
      <c r="AA68" s="788"/>
      <c r="AB68" s="788"/>
      <c r="AC68" s="788"/>
      <c r="AD68" s="788"/>
      <c r="AE68" s="788"/>
      <c r="AF68" s="789"/>
    </row>
    <row r="69" spans="1:32" x14ac:dyDescent="0.2">
      <c r="A69" s="7" t="s">
        <v>536</v>
      </c>
      <c r="D69" s="269" t="s">
        <v>840</v>
      </c>
      <c r="I69" s="791">
        <f>IF(PLE.Medicao&lt;=12,1,TRUNC((PLE.Medicao - 2)/11,0) * 11 + 1)</f>
        <v>1</v>
      </c>
      <c r="J69" s="791"/>
      <c r="K69" s="791">
        <f>I69+1</f>
        <v>2</v>
      </c>
      <c r="L69" s="791"/>
      <c r="M69" s="791">
        <f>K69+1</f>
        <v>3</v>
      </c>
      <c r="N69" s="791"/>
      <c r="O69" s="791">
        <f>M69+1</f>
        <v>4</v>
      </c>
      <c r="P69" s="791"/>
      <c r="Q69" s="791">
        <f>O69+1</f>
        <v>5</v>
      </c>
      <c r="R69" s="791"/>
      <c r="S69" s="791">
        <f>Q69+1</f>
        <v>6</v>
      </c>
      <c r="T69" s="791"/>
      <c r="U69" s="791">
        <f>S69+1</f>
        <v>7</v>
      </c>
      <c r="V69" s="791"/>
      <c r="W69" s="791">
        <f>U69+1</f>
        <v>8</v>
      </c>
      <c r="X69" s="791"/>
      <c r="Y69" s="791">
        <f>W69+1</f>
        <v>9</v>
      </c>
      <c r="Z69" s="791"/>
      <c r="AA69" s="791">
        <f>Y69+1</f>
        <v>10</v>
      </c>
      <c r="AB69" s="791"/>
      <c r="AC69" s="791">
        <f>AA69+1</f>
        <v>11</v>
      </c>
      <c r="AD69" s="791"/>
      <c r="AE69" s="791">
        <f>AC69+1</f>
        <v>12</v>
      </c>
      <c r="AF69" s="791"/>
    </row>
    <row r="70" spans="1:32" x14ac:dyDescent="0.2">
      <c r="A70" s="7" t="s">
        <v>536</v>
      </c>
      <c r="D70" s="799" t="s">
        <v>799</v>
      </c>
      <c r="H70" s="270" t="s">
        <v>781</v>
      </c>
      <c r="I70" s="801" t="e">
        <f ca="1">ROUND(I71,2)/ORÇAMENTO!$X$15</f>
        <v>#DIV/0!</v>
      </c>
      <c r="J70" s="801"/>
      <c r="K70" s="790" t="e">
        <f ca="1">ROUND(K71,2)/ORÇAMENTO!$X$15</f>
        <v>#DIV/0!</v>
      </c>
      <c r="L70" s="790"/>
      <c r="M70" s="790" t="e">
        <f ca="1">ROUND(M71,2)/ORÇAMENTO!$X$15</f>
        <v>#DIV/0!</v>
      </c>
      <c r="N70" s="790"/>
      <c r="O70" s="790" t="e">
        <f ca="1">ROUND(O71,2)/ORÇAMENTO!$X$15</f>
        <v>#DIV/0!</v>
      </c>
      <c r="P70" s="790"/>
      <c r="Q70" s="790" t="e">
        <f ca="1">ROUND(Q71,2)/ORÇAMENTO!$X$15</f>
        <v>#DIV/0!</v>
      </c>
      <c r="R70" s="790"/>
      <c r="S70" s="790" t="e">
        <f ca="1">ROUND(S71,2)/ORÇAMENTO!$X$15</f>
        <v>#DIV/0!</v>
      </c>
      <c r="T70" s="790"/>
      <c r="U70" s="790" t="e">
        <f ca="1">ROUND(U71,2)/ORÇAMENTO!$X$15</f>
        <v>#DIV/0!</v>
      </c>
      <c r="V70" s="790"/>
      <c r="W70" s="790" t="e">
        <f ca="1">ROUND(W71,2)/ORÇAMENTO!$X$15</f>
        <v>#DIV/0!</v>
      </c>
      <c r="X70" s="790"/>
      <c r="Y70" s="790" t="e">
        <f ca="1">ROUND(Y71,2)/ORÇAMENTO!$X$15</f>
        <v>#DIV/0!</v>
      </c>
      <c r="Z70" s="790"/>
      <c r="AA70" s="790" t="e">
        <f ca="1">ROUND(AA71,2)/ORÇAMENTO!$X$15</f>
        <v>#DIV/0!</v>
      </c>
      <c r="AB70" s="790"/>
      <c r="AC70" s="790" t="e">
        <f ca="1">ROUND(AC71,2)/ORÇAMENTO!$X$15</f>
        <v>#DIV/0!</v>
      </c>
      <c r="AD70" s="790"/>
      <c r="AE70" s="790" t="e">
        <f ca="1">ROUND(AE71,2)/ORÇAMENTO!$X$15</f>
        <v>#DIV/0!</v>
      </c>
      <c r="AF70" s="790"/>
    </row>
    <row r="71" spans="1:32" x14ac:dyDescent="0.2">
      <c r="A71" s="7" t="s">
        <v>536</v>
      </c>
      <c r="D71" s="799"/>
      <c r="H71" s="11" t="s">
        <v>782</v>
      </c>
      <c r="I71" s="786" cm="1">
        <f t="array" aca="1" ref="I71" ca="1">IF(I69=1,I73,ROUND(I73,2)-ROUND(SUMIF(CÁLCULO!$AX$15:$BH$71,"&lt;="&amp;PLE!I69-1,CÁLCULO!$AB$15:$AL$71)*IF(AdmLocal="Automática",(1+CÁLCULO.TotalAdmLocal/(ORÇAMENTO!$X$15-CÁLCULO.TotalAdmLocal)),1),2))</f>
        <v>0</v>
      </c>
      <c r="J71" s="786"/>
      <c r="K71" s="786">
        <f ca="1">ROUND(K73,2)-ROUND(I73,2)</f>
        <v>0</v>
      </c>
      <c r="L71" s="786"/>
      <c r="M71" s="786">
        <f t="shared" ref="M71" ca="1" si="3">ROUND(M73,2)-ROUND(K73,2)</f>
        <v>0</v>
      </c>
      <c r="N71" s="786"/>
      <c r="O71" s="786">
        <f t="shared" ref="O71" ca="1" si="4">ROUND(O73,2)-ROUND(M73,2)</f>
        <v>0</v>
      </c>
      <c r="P71" s="786"/>
      <c r="Q71" s="786">
        <f t="shared" ref="Q71" ca="1" si="5">ROUND(Q73,2)-ROUND(O73,2)</f>
        <v>0</v>
      </c>
      <c r="R71" s="786"/>
      <c r="S71" s="786">
        <f t="shared" ref="S71" ca="1" si="6">ROUND(S73,2)-ROUND(Q73,2)</f>
        <v>0</v>
      </c>
      <c r="T71" s="786"/>
      <c r="U71" s="786">
        <f t="shared" ref="U71" ca="1" si="7">ROUND(U73,2)-ROUND(S73,2)</f>
        <v>0</v>
      </c>
      <c r="V71" s="786"/>
      <c r="W71" s="786">
        <f t="shared" ref="W71" ca="1" si="8">ROUND(W73,2)-ROUND(U73,2)</f>
        <v>0</v>
      </c>
      <c r="X71" s="786"/>
      <c r="Y71" s="786">
        <f t="shared" ref="Y71" ca="1" si="9">ROUND(Y73,2)-ROUND(W73,2)</f>
        <v>0</v>
      </c>
      <c r="Z71" s="786"/>
      <c r="AA71" s="786">
        <f t="shared" ref="AA71" ca="1" si="10">ROUND(AA73,2)-ROUND(Y73,2)</f>
        <v>0</v>
      </c>
      <c r="AB71" s="786"/>
      <c r="AC71" s="786">
        <f t="shared" ref="AC71" ca="1" si="11">ROUND(AC73,2)-ROUND(AA73,2)</f>
        <v>0</v>
      </c>
      <c r="AD71" s="786"/>
      <c r="AE71" s="786">
        <f t="shared" ref="AE71" ca="1" si="12">ROUND(AE73,2)-ROUND(AC73,2)</f>
        <v>0</v>
      </c>
      <c r="AF71" s="786"/>
    </row>
    <row r="72" spans="1:32" x14ac:dyDescent="0.2">
      <c r="A72" s="7" t="s">
        <v>536</v>
      </c>
      <c r="D72" s="799" t="s">
        <v>803</v>
      </c>
      <c r="H72" s="270" t="s">
        <v>781</v>
      </c>
      <c r="I72" s="803" t="e">
        <f ca="1">ROUND(I73,2)/ORÇAMENTO!$X$15</f>
        <v>#DIV/0!</v>
      </c>
      <c r="J72" s="803"/>
      <c r="K72" s="785" t="e">
        <f ca="1">ROUND(K73,2)/ORÇAMENTO!$X$15</f>
        <v>#DIV/0!</v>
      </c>
      <c r="L72" s="785"/>
      <c r="M72" s="785" t="e">
        <f ca="1">ROUND(M73,2)/ORÇAMENTO!$X$15</f>
        <v>#DIV/0!</v>
      </c>
      <c r="N72" s="785"/>
      <c r="O72" s="785" t="e">
        <f ca="1">ROUND(O73,2)/ORÇAMENTO!$X$15</f>
        <v>#DIV/0!</v>
      </c>
      <c r="P72" s="785"/>
      <c r="Q72" s="785" t="e">
        <f ca="1">ROUND(Q73,2)/ORÇAMENTO!$X$15</f>
        <v>#DIV/0!</v>
      </c>
      <c r="R72" s="785"/>
      <c r="S72" s="785" t="e">
        <f ca="1">ROUND(S73,2)/ORÇAMENTO!$X$15</f>
        <v>#DIV/0!</v>
      </c>
      <c r="T72" s="785"/>
      <c r="U72" s="785" t="e">
        <f ca="1">ROUND(U73,2)/ORÇAMENTO!$X$15</f>
        <v>#DIV/0!</v>
      </c>
      <c r="V72" s="785"/>
      <c r="W72" s="785" t="e">
        <f ca="1">ROUND(W73,2)/ORÇAMENTO!$X$15</f>
        <v>#DIV/0!</v>
      </c>
      <c r="X72" s="785"/>
      <c r="Y72" s="785" t="e">
        <f ca="1">ROUND(Y73,2)/ORÇAMENTO!$X$15</f>
        <v>#DIV/0!</v>
      </c>
      <c r="Z72" s="785"/>
      <c r="AA72" s="785" t="e">
        <f ca="1">ROUND(AA73,2)/ORÇAMENTO!$X$15</f>
        <v>#DIV/0!</v>
      </c>
      <c r="AB72" s="785"/>
      <c r="AC72" s="785" t="e">
        <f ca="1">ROUND(AC73,2)/ORÇAMENTO!$X$15</f>
        <v>#DIV/0!</v>
      </c>
      <c r="AD72" s="785"/>
      <c r="AE72" s="785" t="e">
        <f ca="1">ROUND(AE73,2)/ORÇAMENTO!$X$15</f>
        <v>#DIV/0!</v>
      </c>
      <c r="AF72" s="785"/>
    </row>
    <row r="73" spans="1:32" x14ac:dyDescent="0.2">
      <c r="A73" s="7" t="s">
        <v>536</v>
      </c>
      <c r="D73" s="799"/>
      <c r="H73" s="11" t="s">
        <v>782</v>
      </c>
      <c r="I73" s="802" cm="1">
        <f t="array" aca="1" ref="I73" ca="1">SUMIF(CÁLCULO!$AX$15:$BH$71,"&lt;="&amp;PLE!I69,CÁLCULO!$AB$15:$AL$71)*IF(AdmLocal="Automática",(1+CÁLCULO.TotalAdmLocal/(ORÇAMENTO!$X$15-CÁLCULO.TotalAdmLocal)),1)</f>
        <v>0</v>
      </c>
      <c r="J73" s="802"/>
      <c r="K73" s="786" cm="1">
        <f t="array" aca="1" ref="K73" ca="1">SUMIF(CÁLCULO!$AX$15:$BH$71,"&lt;="&amp;PLE!K69,CÁLCULO!$AB$15:$AL$71)*IF(AdmLocal="Automática",(1+CÁLCULO.TotalAdmLocal/(ORÇAMENTO!$X$15-CÁLCULO.TotalAdmLocal)),1)</f>
        <v>0</v>
      </c>
      <c r="L73" s="786"/>
      <c r="M73" s="786" cm="1">
        <f t="array" aca="1" ref="M73" ca="1">SUMIF(CÁLCULO!$AX$15:$BH$71,"&lt;="&amp;PLE!M69,CÁLCULO!$AB$15:$AL$71)*IF(AdmLocal="Automática",(1+CÁLCULO.TotalAdmLocal/(ORÇAMENTO!$X$15-CÁLCULO.TotalAdmLocal)),1)</f>
        <v>0</v>
      </c>
      <c r="N73" s="786"/>
      <c r="O73" s="786" cm="1">
        <f t="array" aca="1" ref="O73" ca="1">SUMIF(CÁLCULO!$AX$15:$BH$71,"&lt;="&amp;PLE!O69,CÁLCULO!$AB$15:$AL$71)*IF(AdmLocal="Automática",(1+CÁLCULO.TotalAdmLocal/(ORÇAMENTO!$X$15-CÁLCULO.TotalAdmLocal)),1)</f>
        <v>0</v>
      </c>
      <c r="P73" s="786"/>
      <c r="Q73" s="786" cm="1">
        <f t="array" aca="1" ref="Q73" ca="1">SUMIF(CÁLCULO!$AX$15:$BH$71,"&lt;="&amp;PLE!Q69,CÁLCULO!$AB$15:$AL$71)*IF(AdmLocal="Automática",(1+CÁLCULO.TotalAdmLocal/(ORÇAMENTO!$X$15-CÁLCULO.TotalAdmLocal)),1)</f>
        <v>0</v>
      </c>
      <c r="R73" s="786"/>
      <c r="S73" s="786" cm="1">
        <f t="array" aca="1" ref="S73" ca="1">SUMIF(CÁLCULO!$AX$15:$BH$71,"&lt;="&amp;PLE!S69,CÁLCULO!$AB$15:$AL$71)*IF(AdmLocal="Automática",(1+CÁLCULO.TotalAdmLocal/(ORÇAMENTO!$X$15-CÁLCULO.TotalAdmLocal)),1)</f>
        <v>0</v>
      </c>
      <c r="T73" s="786"/>
      <c r="U73" s="786" cm="1">
        <f t="array" aca="1" ref="U73" ca="1">SUMIF(CÁLCULO!$AX$15:$BH$71,"&lt;="&amp;PLE!U69,CÁLCULO!$AB$15:$AL$71)*IF(AdmLocal="Automática",(1+CÁLCULO.TotalAdmLocal/(ORÇAMENTO!$X$15-CÁLCULO.TotalAdmLocal)),1)</f>
        <v>0</v>
      </c>
      <c r="V73" s="786"/>
      <c r="W73" s="786" cm="1">
        <f t="array" aca="1" ref="W73" ca="1">SUMIF(CÁLCULO!$AX$15:$BH$71,"&lt;="&amp;PLE!W69,CÁLCULO!$AB$15:$AL$71)*IF(AdmLocal="Automática",(1+CÁLCULO.TotalAdmLocal/(ORÇAMENTO!$X$15-CÁLCULO.TotalAdmLocal)),1)</f>
        <v>0</v>
      </c>
      <c r="X73" s="786"/>
      <c r="Y73" s="786" cm="1">
        <f t="array" aca="1" ref="Y73" ca="1">SUMIF(CÁLCULO!$AX$15:$BH$71,"&lt;="&amp;PLE!Y69,CÁLCULO!$AB$15:$AL$71)*IF(AdmLocal="Automática",(1+CÁLCULO.TotalAdmLocal/(ORÇAMENTO!$X$15-CÁLCULO.TotalAdmLocal)),1)</f>
        <v>0</v>
      </c>
      <c r="Z73" s="786"/>
      <c r="AA73" s="786" cm="1">
        <f t="array" aca="1" ref="AA73" ca="1">SUMIF(CÁLCULO!$AX$15:$BH$71,"&lt;="&amp;PLE!AA69,CÁLCULO!$AB$15:$AL$71)*IF(AdmLocal="Automática",(1+CÁLCULO.TotalAdmLocal/(ORÇAMENTO!$X$15-CÁLCULO.TotalAdmLocal)),1)</f>
        <v>0</v>
      </c>
      <c r="AB73" s="786"/>
      <c r="AC73" s="786" cm="1">
        <f t="array" aca="1" ref="AC73" ca="1">SUMIF(CÁLCULO!$AX$15:$BH$71,"&lt;="&amp;PLE!AC69,CÁLCULO!$AB$15:$AL$71)*IF(AdmLocal="Automática",(1+CÁLCULO.TotalAdmLocal/(ORÇAMENTO!$X$15-CÁLCULO.TotalAdmLocal)),1)</f>
        <v>0</v>
      </c>
      <c r="AD73" s="786"/>
      <c r="AE73" s="786" cm="1">
        <f t="array" aca="1" ref="AE73" ca="1">SUMIF(CÁLCULO!$AX$15:$BH$71,"&lt;="&amp;PLE!AE69,CÁLCULO!$AB$15:$AL$71)*IF(AdmLocal="Automática",(1+CÁLCULO.TotalAdmLocal/(ORÇAMENTO!$X$15-CÁLCULO.TotalAdmLocal)),1)</f>
        <v>0</v>
      </c>
      <c r="AF73" s="786"/>
    </row>
    <row r="74" spans="1:32" ht="12.75" customHeight="1" x14ac:dyDescent="0.2">
      <c r="A74" s="7"/>
      <c r="D74" s="552" t="s">
        <v>784</v>
      </c>
      <c r="H74" s="551" t="s">
        <v>781</v>
      </c>
      <c r="I74" s="744">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44"/>
      <c r="K74" s="744">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4"/>
      <c r="M74" s="744">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4"/>
      <c r="O74" s="744">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4"/>
      <c r="Q74" s="744">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4"/>
      <c r="S74" s="744">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4"/>
      <c r="U74" s="744">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4"/>
      <c r="W74" s="744">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4"/>
      <c r="Y74" s="744">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4"/>
      <c r="AA74" s="744">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4"/>
      <c r="AC74" s="744">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4"/>
      <c r="AE74" s="744">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4"/>
    </row>
    <row r="75" spans="1:32" ht="13.5" x14ac:dyDescent="0.25">
      <c r="A75" s="7" t="s">
        <v>536</v>
      </c>
      <c r="D75" s="523"/>
      <c r="H75" s="583" t="str">
        <f ca="1">IF(COUNTIF(I75:AG75,"%Adm&gt;%Global")&gt;0,"Verificar proporcionalidade da Administração Local","")</f>
        <v/>
      </c>
      <c r="I75" s="535" t="e">
        <f ca="1">IF(I74="","",IF(ROUND(I74,4)&gt;ROUND(I72,4),"%Adm&gt;%Global",""))</f>
        <v>#DIV/0!</v>
      </c>
      <c r="J75" s="524"/>
      <c r="K75" s="535" t="e">
        <f t="shared" ref="K75" ca="1" si="13">IF(K74="","",IF(ROUND(K74,4)&gt;ROUND(K72,4),"%Adm&gt;%Global",""))</f>
        <v>#DIV/0!</v>
      </c>
      <c r="L75" s="524"/>
      <c r="M75" s="535" t="e">
        <f t="shared" ref="M75" ca="1" si="14">IF(M74="","",IF(ROUND(M74,4)&gt;ROUND(M72,4),"%Adm&gt;%Global",""))</f>
        <v>#DIV/0!</v>
      </c>
      <c r="N75" s="524"/>
      <c r="O75" s="535" t="e">
        <f t="shared" ref="O75" ca="1" si="15">IF(O74="","",IF(ROUND(O74,4)&gt;ROUND(O72,4),"%Adm&gt;%Global",""))</f>
        <v>#DIV/0!</v>
      </c>
      <c r="P75" s="524"/>
      <c r="Q75" s="535" t="e">
        <f t="shared" ref="Q75" ca="1" si="16">IF(Q74="","",IF(ROUND(Q74,4)&gt;ROUND(Q72,4),"%Adm&gt;%Global",""))</f>
        <v>#DIV/0!</v>
      </c>
      <c r="R75" s="524"/>
      <c r="S75" s="535" t="e">
        <f t="shared" ref="S75" ca="1" si="17">IF(S74="","",IF(ROUND(S74,4)&gt;ROUND(S72,4),"%Adm&gt;%Global",""))</f>
        <v>#DIV/0!</v>
      </c>
      <c r="T75" s="524"/>
      <c r="U75" s="535" t="e">
        <f t="shared" ref="U75" ca="1" si="18">IF(U74="","",IF(ROUND(U74,4)&gt;ROUND(U72,4),"%Adm&gt;%Global",""))</f>
        <v>#DIV/0!</v>
      </c>
      <c r="V75" s="524"/>
      <c r="W75" s="535" t="e">
        <f t="shared" ref="W75" ca="1" si="19">IF(W74="","",IF(ROUND(W74,4)&gt;ROUND(W72,4),"%Adm&gt;%Global",""))</f>
        <v>#DIV/0!</v>
      </c>
      <c r="X75" s="524"/>
      <c r="Y75" s="535" t="e">
        <f t="shared" ref="Y75" ca="1" si="20">IF(Y74="","",IF(ROUND(Y74,4)&gt;ROUND(Y72,4),"%Adm&gt;%Global",""))</f>
        <v>#DIV/0!</v>
      </c>
      <c r="Z75" s="524"/>
      <c r="AA75" s="535" t="e">
        <f t="shared" ref="AA75" ca="1" si="21">IF(AA74="","",IF(ROUND(AA74,4)&gt;ROUND(AA72,4),"%Adm&gt;%Global",""))</f>
        <v>#DIV/0!</v>
      </c>
      <c r="AB75" s="524"/>
      <c r="AC75" s="535" t="e">
        <f t="shared" ref="AC75" ca="1" si="22">IF(AC74="","",IF(ROUND(AC74,4)&gt;ROUND(AC72,4),"%Adm&gt;%Global",""))</f>
        <v>#DIV/0!</v>
      </c>
      <c r="AD75" s="524"/>
      <c r="AE75" s="535" t="e">
        <f t="shared" ref="AE75" ca="1" si="23">IF(AE74="","",IF(ROUND(AE74,4)&gt;ROUND(AE72,4),"%Adm&gt;%Global",""))</f>
        <v>#DIV/0!</v>
      </c>
      <c r="AF75" s="524"/>
    </row>
    <row r="76" spans="1:32" ht="20.25" customHeight="1" x14ac:dyDescent="0.2">
      <c r="A76" s="7" t="s">
        <v>536</v>
      </c>
      <c r="I76" s="804"/>
      <c r="J76" s="804"/>
    </row>
    <row r="77" spans="1:32" ht="15" x14ac:dyDescent="0.25">
      <c r="A77" s="7" t="s">
        <v>536</v>
      </c>
      <c r="B77" s="716" t="str">
        <f>Import.Município</f>
        <v>SÃO LUIZ GONZAGA/RS</v>
      </c>
      <c r="C77" s="716"/>
      <c r="D77" s="716"/>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f t="array" ref="W79:W82">Import.RespFiscalização</f>
        <v>0</v>
      </c>
    </row>
    <row r="80" spans="1:32" x14ac:dyDescent="0.2">
      <c r="A80" s="7" t="s">
        <v>536</v>
      </c>
      <c r="B80" s="710">
        <f>DADOS!$C$48</f>
        <v>0</v>
      </c>
      <c r="C80" s="710"/>
      <c r="D80" s="710"/>
      <c r="I80" s="79"/>
      <c r="U80" s="77" t="s">
        <v>319</v>
      </c>
      <c r="W80" s="271">
        <v>0</v>
      </c>
    </row>
    <row r="81" spans="1:23" x14ac:dyDescent="0.2">
      <c r="A81" s="7" t="s">
        <v>536</v>
      </c>
      <c r="B81" s="140" t="s">
        <v>694</v>
      </c>
      <c r="C81" s="1"/>
      <c r="D81" s="1"/>
      <c r="I81" s="79"/>
      <c r="U81" s="77" t="s">
        <v>243</v>
      </c>
      <c r="W81" s="271">
        <v>0</v>
      </c>
    </row>
    <row r="82" spans="1:23" x14ac:dyDescent="0.2">
      <c r="U82" s="77" t="s">
        <v>246</v>
      </c>
      <c r="W82" s="12">
        <v>0</v>
      </c>
    </row>
  </sheetData>
  <sheetProtection algorithmName="SHA-512" hashValue="u8gOQS6SvuPxBgrmU4fZoBcfbYt1Te6oB/6GQFdGHCGQj2q3lWIZS3JnpC/7a/GqAAdqod6IW+FF6N2bzvFaQA==" saltValue="mwvgy5Mqk96F1ynIUkXtPA==" spinCount="100000" sheet="1" objects="1" scenarios="1" autoFilter="0"/>
  <autoFilter ref="A13:A81"/>
  <mergeCells count="156">
    <mergeCell ref="B80:D80"/>
    <mergeCell ref="B77:D77"/>
    <mergeCell ref="D72:D73"/>
    <mergeCell ref="M72:N72"/>
    <mergeCell ref="M73:N73"/>
    <mergeCell ref="I73:J73"/>
    <mergeCell ref="K73:L73"/>
    <mergeCell ref="K72:L72"/>
    <mergeCell ref="I72:J72"/>
    <mergeCell ref="I76:J76"/>
    <mergeCell ref="I74:J74"/>
    <mergeCell ref="K74:L74"/>
    <mergeCell ref="M74:N74"/>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AD3:AF3"/>
    <mergeCell ref="AD4:AF4"/>
    <mergeCell ref="AE6:AF6"/>
    <mergeCell ref="H7:N7"/>
    <mergeCell ref="O7:U7"/>
    <mergeCell ref="AE7:AF7"/>
    <mergeCell ref="V7:AD7"/>
    <mergeCell ref="Y9:Z9"/>
    <mergeCell ref="AE9:AF9"/>
    <mergeCell ref="J9:K9"/>
    <mergeCell ref="N9:T9"/>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Q73:R73"/>
    <mergeCell ref="M68:N68"/>
    <mergeCell ref="O71:P71"/>
    <mergeCell ref="M71:N71"/>
    <mergeCell ref="K71:L71"/>
    <mergeCell ref="I71:J71"/>
    <mergeCell ref="O70:P70"/>
    <mergeCell ref="M70:N70"/>
    <mergeCell ref="K70:L70"/>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C25:D25"/>
    <mergeCell ref="C26:D26"/>
    <mergeCell ref="C27:D27"/>
    <mergeCell ref="C28:D28"/>
    <mergeCell ref="C34:D34"/>
    <mergeCell ref="C35:D35"/>
    <mergeCell ref="C36:D36"/>
    <mergeCell ref="C37:D37"/>
    <mergeCell ref="C43:D43"/>
    <mergeCell ref="C63:D63"/>
    <mergeCell ref="C64:D64"/>
    <mergeCell ref="C44:D44"/>
    <mergeCell ref="C45:D45"/>
    <mergeCell ref="C46:D46"/>
    <mergeCell ref="C52:D52"/>
    <mergeCell ref="C53:D53"/>
    <mergeCell ref="C54:D54"/>
    <mergeCell ref="C55:D55"/>
    <mergeCell ref="C61:D61"/>
    <mergeCell ref="C62:D62"/>
  </mergeCells>
  <phoneticPr fontId="38" type="noConversion"/>
  <conditionalFormatting sqref="F1:F2">
    <cfRule type="expression" dxfId="98" priority="2721" stopIfTrue="1">
      <formula>IF(OR(ACOMPANHAMENTO="BM",F$12&gt;CÁLCULO.NúmeroDeFrentes),TRUE,PLE.ValorDoEvento=0)</formula>
    </cfRule>
    <cfRule type="cellIs" dxfId="97" priority="2722" stopIfTrue="1" operator="equal">
      <formula>$J$9</formula>
    </cfRule>
  </conditionalFormatting>
  <conditionalFormatting sqref="I70:AF70">
    <cfRule type="expression" dxfId="96" priority="2723" stopIfTrue="1">
      <formula>I69=$J$9</formula>
    </cfRule>
  </conditionalFormatting>
  <conditionalFormatting sqref="I71:AF71">
    <cfRule type="expression" dxfId="95" priority="2724" stopIfTrue="1">
      <formula>I69=$J$9</formula>
    </cfRule>
  </conditionalFormatting>
  <conditionalFormatting sqref="I72:AF72">
    <cfRule type="expression" dxfId="94" priority="2725" stopIfTrue="1">
      <formula>I69=$J$9</formula>
    </cfRule>
  </conditionalFormatting>
  <conditionalFormatting sqref="I73:AF73">
    <cfRule type="expression" dxfId="93" priority="2726" stopIfTrue="1">
      <formula>I69=$J$9</formula>
    </cfRule>
  </conditionalFormatting>
  <conditionalFormatting sqref="I69:J69">
    <cfRule type="cellIs" dxfId="92" priority="2720" stopIfTrue="1" operator="notEqual">
      <formula>1</formula>
    </cfRule>
  </conditionalFormatting>
  <conditionalFormatting sqref="H1:AF1">
    <cfRule type="expression" dxfId="91" priority="2738" stopIfTrue="1">
      <formula>IF(OR(ACOMPANHAMENTO="BM",TIPOORCAMENTO="Proposto",H$12&gt;CÁLCULO.NúmeroDeFrentes),TRUE,PLE.ValorDoEvento=0)</formula>
    </cfRule>
    <cfRule type="cellIs" dxfId="90" priority="2739" stopIfTrue="1" operator="equal">
      <formula>$J$9</formula>
    </cfRule>
  </conditionalFormatting>
  <conditionalFormatting sqref="AE6:AE7">
    <cfRule type="expression" dxfId="89" priority="2727" stopIfTrue="1">
      <formula>TIPOORCAMENTO&lt;&gt;"Licitado"</formula>
    </cfRule>
  </conditionalFormatting>
  <conditionalFormatting sqref="N9:T9">
    <cfRule type="expression" dxfId="88" priority="2728" stopIfTrue="1">
      <formula>COLUMN(N9)&gt;COLUMN($AF$12)</formula>
    </cfRule>
    <cfRule type="expression" dxfId="87" priority="2729" stopIfTrue="1">
      <formula>$N$9="DIGITE A DATA DA MEDIÇÃO"</formula>
    </cfRule>
  </conditionalFormatting>
  <conditionalFormatting sqref="I9:M9 U9:AF9">
    <cfRule type="expression" dxfId="86" priority="2730" stopIfTrue="1">
      <formula>COLUMN(I9)&gt;COLUMN($AF$12)</formula>
    </cfRule>
  </conditionalFormatting>
  <conditionalFormatting sqref="K70:AF73">
    <cfRule type="expression" dxfId="85" priority="1736" stopIfTrue="1">
      <formula>I$72=100%</formula>
    </cfRule>
  </conditionalFormatting>
  <conditionalFormatting sqref="J75 L75 N75 P75 R75 T75 V75 X75 Z75 AB75 AD75 AF75">
    <cfRule type="expression" dxfId="84" priority="14447" stopIfTrue="1">
      <formula>J70=$J$9</formula>
    </cfRule>
  </conditionalFormatting>
  <conditionalFormatting sqref="K74:AF74">
    <cfRule type="expression" dxfId="83" priority="1735">
      <formula>OFFSET(K74,-2,-2)=1</formula>
    </cfRule>
  </conditionalFormatting>
  <conditionalFormatting sqref="I74:AF74">
    <cfRule type="expression" dxfId="82" priority="1734">
      <formula>ROUND(I74,4)&gt;ROUND(I72,4)</formula>
    </cfRule>
  </conditionalFormatting>
  <conditionalFormatting sqref="N13">
    <cfRule type="expression" dxfId="81" priority="1733">
      <formula>$Y$9=0</formula>
    </cfRule>
  </conditionalFormatting>
  <conditionalFormatting sqref="F16:F24">
    <cfRule type="expression" dxfId="80" priority="21" stopIfTrue="1">
      <formula>IF(OR(ACOMPANHAMENTO="BM",F$12&gt;CÁLCULO.NúmeroDeFrentes),TRUE,PLE.ValorDoEvento=0)</formula>
    </cfRule>
    <cfRule type="cellIs" dxfId="79" priority="22" stopIfTrue="1" operator="equal">
      <formula>$J$9</formula>
    </cfRule>
  </conditionalFormatting>
  <conditionalFormatting sqref="H16:AF24">
    <cfRule type="expression" dxfId="78" priority="23" stopIfTrue="1">
      <formula>IF(OR(ACOMPANHAMENTO="BM",TIPOORCAMENTO="Proposto",H$12&gt;CÁLCULO.NúmeroDeFrentes),TRUE,PLE.ValorDoEvento=0)</formula>
    </cfRule>
    <cfRule type="cellIs" dxfId="77" priority="24" stopIfTrue="1" operator="equal">
      <formula>$J$9</formula>
    </cfRule>
  </conditionalFormatting>
  <conditionalFormatting sqref="F25:F33">
    <cfRule type="expression" dxfId="76" priority="17" stopIfTrue="1">
      <formula>IF(OR(ACOMPANHAMENTO="BM",F$12&gt;CÁLCULO.NúmeroDeFrentes),TRUE,PLE.ValorDoEvento=0)</formula>
    </cfRule>
    <cfRule type="cellIs" dxfId="75" priority="18" stopIfTrue="1" operator="equal">
      <formula>$J$9</formula>
    </cfRule>
  </conditionalFormatting>
  <conditionalFormatting sqref="H25:AF33">
    <cfRule type="expression" dxfId="74" priority="19" stopIfTrue="1">
      <formula>IF(OR(ACOMPANHAMENTO="BM",TIPOORCAMENTO="Proposto",H$12&gt;CÁLCULO.NúmeroDeFrentes),TRUE,PLE.ValorDoEvento=0)</formula>
    </cfRule>
    <cfRule type="cellIs" dxfId="73" priority="20" stopIfTrue="1" operator="equal">
      <formula>$J$9</formula>
    </cfRule>
  </conditionalFormatting>
  <conditionalFormatting sqref="F34:F42">
    <cfRule type="expression" dxfId="72" priority="13" stopIfTrue="1">
      <formula>IF(OR(ACOMPANHAMENTO="BM",F$12&gt;CÁLCULO.NúmeroDeFrentes),TRUE,PLE.ValorDoEvento=0)</formula>
    </cfRule>
    <cfRule type="cellIs" dxfId="71" priority="14" stopIfTrue="1" operator="equal">
      <formula>$J$9</formula>
    </cfRule>
  </conditionalFormatting>
  <conditionalFormatting sqref="H34:AF42">
    <cfRule type="expression" dxfId="70" priority="15" stopIfTrue="1">
      <formula>IF(OR(ACOMPANHAMENTO="BM",TIPOORCAMENTO="Proposto",H$12&gt;CÁLCULO.NúmeroDeFrentes),TRUE,PLE.ValorDoEvento=0)</formula>
    </cfRule>
    <cfRule type="cellIs" dxfId="69" priority="16" stopIfTrue="1" operator="equal">
      <formula>$J$9</formula>
    </cfRule>
  </conditionalFormatting>
  <conditionalFormatting sqref="F43:F51">
    <cfRule type="expression" dxfId="68" priority="9" stopIfTrue="1">
      <formula>IF(OR(ACOMPANHAMENTO="BM",F$12&gt;CÁLCULO.NúmeroDeFrentes),TRUE,PLE.ValorDoEvento=0)</formula>
    </cfRule>
    <cfRule type="cellIs" dxfId="67" priority="10" stopIfTrue="1" operator="equal">
      <formula>$J$9</formula>
    </cfRule>
  </conditionalFormatting>
  <conditionalFormatting sqref="H43:AF51">
    <cfRule type="expression" dxfId="66" priority="11" stopIfTrue="1">
      <formula>IF(OR(ACOMPANHAMENTO="BM",TIPOORCAMENTO="Proposto",H$12&gt;CÁLCULO.NúmeroDeFrentes),TRUE,PLE.ValorDoEvento=0)</formula>
    </cfRule>
    <cfRule type="cellIs" dxfId="65" priority="12" stopIfTrue="1" operator="equal">
      <formula>$J$9</formula>
    </cfRule>
  </conditionalFormatting>
  <conditionalFormatting sqref="F52:F60">
    <cfRule type="expression" dxfId="64" priority="5" stopIfTrue="1">
      <formula>IF(OR(ACOMPANHAMENTO="BM",F$12&gt;CÁLCULO.NúmeroDeFrentes),TRUE,PLE.ValorDoEvento=0)</formula>
    </cfRule>
    <cfRule type="cellIs" dxfId="63" priority="6" stopIfTrue="1" operator="equal">
      <formula>$J$9</formula>
    </cfRule>
  </conditionalFormatting>
  <conditionalFormatting sqref="H52:AF60">
    <cfRule type="expression" dxfId="62" priority="7" stopIfTrue="1">
      <formula>IF(OR(ACOMPANHAMENTO="BM",TIPOORCAMENTO="Proposto",H$12&gt;CÁLCULO.NúmeroDeFrentes),TRUE,PLE.ValorDoEvento=0)</formula>
    </cfRule>
    <cfRule type="cellIs" dxfId="61" priority="8" stopIfTrue="1" operator="equal">
      <formula>$J$9</formula>
    </cfRule>
  </conditionalFormatting>
  <conditionalFormatting sqref="F61:F64">
    <cfRule type="expression" dxfId="60" priority="1" stopIfTrue="1">
      <formula>IF(OR(ACOMPANHAMENTO="BM",F$12&gt;CÁLCULO.NúmeroDeFrentes),TRUE,PLE.ValorDoEvento=0)</formula>
    </cfRule>
    <cfRule type="cellIs" dxfId="59" priority="2" stopIfTrue="1" operator="equal">
      <formula>$J$9</formula>
    </cfRule>
  </conditionalFormatting>
  <conditionalFormatting sqref="H61:AF64">
    <cfRule type="expression" dxfId="58" priority="3" stopIfTrue="1">
      <formula>IF(OR(ACOMPANHAMENTO="BM",TIPOORCAMENTO="Proposto",H$12&gt;CÁLCULO.NúmeroDeFrentes),TRUE,PLE.ValorDoEvento=0)</formula>
    </cfRule>
    <cfRule type="cellIs" dxfId="57" priority="4" stopIfTrue="1" operator="equal">
      <formula>$J$9</formula>
    </cfRule>
  </conditionalFormatting>
  <dataValidations count="3">
    <dataValidation type="whole" operator="greaterThan" allowBlank="1" showErrorMessage="1" sqref="I3:AC4 J9:K9 F1:F4 F16:F64">
      <formula1>0</formula1>
      <formula2>0</formula2>
    </dataValidation>
    <dataValidation allowBlank="1" showInputMessage="1" showErrorMessage="1" prompt="Digite a data de medição abaixo dos eventos." sqref="N9:T9">
      <formula1>0</formula1>
      <formula2>0</formula2>
    </dataValidation>
    <dataValidation type="whole" operator="equal" allowBlank="1" showErrorMessage="1" errorTitle="Errp de entrada" error="Preencha somente com o número da medição atual." sqref="H1:AF1 H16:AF64">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3">
    <pageSetUpPr fitToPage="1"/>
  </sheetPr>
  <dimension ref="A1:AO86"/>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05" t="b">
        <v>0</v>
      </c>
      <c r="B3" s="805"/>
      <c r="E3" s="86"/>
    </row>
    <row r="4" spans="1:41" x14ac:dyDescent="0.2">
      <c r="D4" s="683" t="s">
        <v>652</v>
      </c>
      <c r="E4" s="683"/>
      <c r="F4" s="721" t="s">
        <v>650</v>
      </c>
      <c r="G4" s="721"/>
      <c r="H4" s="721"/>
      <c r="I4" s="145" t="s">
        <v>707</v>
      </c>
      <c r="J4" s="683" t="s">
        <v>708</v>
      </c>
      <c r="K4" s="683"/>
      <c r="L4" s="683"/>
      <c r="M4" s="683"/>
      <c r="N4" s="683"/>
      <c r="O4" s="147" t="s">
        <v>843</v>
      </c>
    </row>
    <row r="5" spans="1:41" ht="12.75" customHeight="1" x14ac:dyDescent="0.2">
      <c r="A5" t="s">
        <v>844</v>
      </c>
      <c r="D5" s="680" t="str">
        <f>Import.Proponente</f>
        <v>PREFEITURA MUNICIPAL DE SÃO LUIZ GONZAGA</v>
      </c>
      <c r="E5" s="680"/>
      <c r="F5" s="719" t="str">
        <f>Import.CR</f>
        <v>0</v>
      </c>
      <c r="G5" s="719"/>
      <c r="H5" s="719"/>
      <c r="I5" s="322" t="str">
        <f>Import.TransfereGOV</f>
        <v>0</v>
      </c>
      <c r="J5" s="680" t="str">
        <f>Import.Apelido</f>
        <v>OBRAS COMPLEMENTARES NA EMEF SANTA RITA</v>
      </c>
      <c r="K5" s="680"/>
      <c r="L5" s="680"/>
      <c r="M5" s="680"/>
      <c r="N5" s="680"/>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683" t="s">
        <v>848</v>
      </c>
      <c r="G7" s="683"/>
      <c r="H7" s="683"/>
      <c r="I7" s="683" t="str" cm="1">
        <f t="array" ref="I7">IF(TIPOORCAMENTO="Licitado","REGIME DE EXECUÇÃO","MUNICÍPIO / UF")</f>
        <v>MUNICÍPIO / UF</v>
      </c>
      <c r="J7" s="683"/>
      <c r="K7" s="683"/>
      <c r="L7" s="683"/>
      <c r="M7" s="683" t="s">
        <v>849</v>
      </c>
      <c r="N7" s="683"/>
      <c r="O7" s="87" t="s">
        <v>850</v>
      </c>
      <c r="AO7" s="275" cm="1">
        <f t="array" aca="1" ref="AO7" ca="1">BM.MEDAcumulado</f>
        <v>0</v>
      </c>
    </row>
    <row r="8" spans="1:41" ht="12.75" customHeight="1" x14ac:dyDescent="0.2">
      <c r="A8" s="320" t="s">
        <v>851</v>
      </c>
      <c r="B8" s="2"/>
      <c r="C8" s="709" t="s">
        <v>655</v>
      </c>
      <c r="D8" s="326">
        <f>Import.CTEF</f>
        <v>0</v>
      </c>
      <c r="E8" s="56">
        <f>Import.empresa</f>
        <v>0</v>
      </c>
      <c r="F8" s="680">
        <f>Import.CNPJ</f>
        <v>0</v>
      </c>
      <c r="G8" s="680"/>
      <c r="H8" s="680"/>
      <c r="I8" s="680" t="str" cm="1">
        <f t="array" ref="I8">IF(TIPOORCAMENTO="Licitado",Import.RegimeExecução,Import.Município)</f>
        <v>SÃO LUIZ GONZAGA/RS</v>
      </c>
      <c r="J8" s="680"/>
      <c r="K8" s="680"/>
      <c r="L8" s="680"/>
      <c r="M8" s="680" t="str" cm="1">
        <f t="array" aca="1" ref="M8" ca="1">TEXT(IF(BM.medicao=1,Import.DataInicioObra,OFFSET($AB$12,0,BM.medicao-1-$AB$13)+1),"dd/mm/aaaa")&amp;" a "&amp;TEXT(OFFSET($AB$12,0,BM.medicao-$AB$13),"dd/mm/aaaa")</f>
        <v>00/01/1900 a 00/01/1900</v>
      </c>
      <c r="N8" s="680"/>
      <c r="O8" s="422">
        <v>1</v>
      </c>
    </row>
    <row r="9" spans="1:41" ht="12.75" customHeight="1" x14ac:dyDescent="0.2">
      <c r="A9" s="559" t="b">
        <v>1</v>
      </c>
      <c r="B9" s="4"/>
      <c r="C9" s="709"/>
    </row>
    <row r="10" spans="1:41" ht="13.35" customHeight="1" x14ac:dyDescent="0.2">
      <c r="A10" s="410" t="s">
        <v>852</v>
      </c>
      <c r="B10" s="411"/>
      <c r="C10" s="709"/>
      <c r="E10" s="556"/>
      <c r="F10" s="806"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IF($J$81&lt;&gt;"",UPPER($J$81),
 "")))))))</f>
        <v>Altere na aba 'MENU' o tipo de orçamento para 'Licitado'.</v>
      </c>
      <c r="G10" s="806"/>
      <c r="H10" s="806"/>
      <c r="I10" s="806"/>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e">
        <f ca="1">OFFSET(CRONO!$F$13,CRONO!$F$64,0)</f>
        <v>#VALUE!</v>
      </c>
      <c r="B11" s="418"/>
      <c r="C11" s="709"/>
      <c r="E11" s="556"/>
      <c r="F11" s="806"/>
      <c r="G11" s="806"/>
      <c r="H11" s="806"/>
      <c r="I11" s="806"/>
      <c r="N11" s="557"/>
      <c r="O11" s="558" t="str">
        <f ca="1">IF(ISERROR(P11),"","Administração Local Acumulada: "&amp;TEXT(P11,"0,00%"))</f>
        <v/>
      </c>
      <c r="P11" s="561" t="e">
        <f ca="1">OFFSET($O$15,$A$11,0)/OFFSET($I$15,$A$11,0)</f>
        <v>#VALUE!</v>
      </c>
      <c r="T11" s="807" t="s">
        <v>853</v>
      </c>
      <c r="U11" s="807"/>
      <c r="Z11" s="4"/>
      <c r="AB11" s="787" t="s">
        <v>854</v>
      </c>
      <c r="AC11" s="787"/>
      <c r="AD11" s="787"/>
      <c r="AE11" s="787"/>
      <c r="AF11" s="787"/>
      <c r="AG11" s="787"/>
      <c r="AH11" s="787"/>
      <c r="AI11" s="787"/>
      <c r="AJ11" s="787"/>
      <c r="AK11" s="787"/>
      <c r="AL11" s="787"/>
      <c r="AM11" s="787"/>
    </row>
    <row r="12" spans="1:41" ht="15" customHeight="1" x14ac:dyDescent="0.25">
      <c r="C12" s="709"/>
      <c r="E12" s="84" t="s">
        <v>855</v>
      </c>
      <c r="J12" s="682" t="str" cm="1">
        <f t="array" aca="1" ref="J12" ca="1">"Evolução Física "&amp;CHOOSE(MATCH(RegimeExecucao,{"Unitário","Global"},0),"(Qtde.)","(%)")</f>
        <v>Evolução Física (Qtde.)</v>
      </c>
      <c r="K12" s="682"/>
      <c r="L12" s="682"/>
      <c r="M12" s="682" t="s">
        <v>856</v>
      </c>
      <c r="N12" s="682"/>
      <c r="O12" s="682"/>
      <c r="Q12" s="682" t="str" cm="1">
        <f t="array" aca="1" ref="Q12" ca="1">"Aferido (CAIXA) "&amp;CHOOSE(MATCH(RegimeExecucao,{"Unitário","Global"},0),"(Qtde.)","(%)")</f>
        <v>Aferido (CAIXA) (Qtde.)</v>
      </c>
      <c r="R12" s="682"/>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3" t="str">
        <f>"Objeto do CTEF: "&amp;Import.DescLote</f>
        <v>Objeto do CTEF: OBRAS COMPLEMENTARES NA EMEF SANTA RITA</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IF(OR(ACOMPANHAMENTO="PLE",TIPOORCAMENTO="Proposto"),0,SUMIF(OFFSET($A15,1,0):$A$71,"S",OFFSET(M15,1,0):M$71))</f>
        <v>0</v>
      </c>
      <c r="N15" s="341">
        <f ca="1">O15-M15</f>
        <v>0</v>
      </c>
      <c r="O15" s="341" cm="1">
        <f t="array" aca="1" ref="O15" ca="1">IF(OR(ACOMPANHAMENTO="PLE",TIPOORCAMENTO="Proposto"),0,SUMIF(OFFSET($A15,1,0):$A$71,"S",OFFSET(O15,1,0):O$71))</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QUANTIDADE executada no PERÍODO</v>
      </c>
      <c r="AC15" s="809"/>
      <c r="AD15" s="809"/>
      <c r="AE15" s="809"/>
      <c r="AF15" s="809"/>
      <c r="AG15" s="809"/>
      <c r="AH15" s="809"/>
      <c r="AI15" s="809"/>
      <c r="AJ15" s="809"/>
      <c r="AK15" s="809"/>
      <c r="AL15" s="809"/>
      <c r="AM15" s="809"/>
    </row>
    <row r="16" spans="1:41" x14ac:dyDescent="0.2">
      <c r="A16">
        <f ca="1">ORÇAMENTO!C16</f>
        <v>1</v>
      </c>
      <c r="B16">
        <f ca="1">ORÇAMENTO!D16</f>
        <v>24</v>
      </c>
      <c r="C16" s="114" t="str">
        <f t="shared" ref="C16:C70" ca="1" si="1">IF(OR($I16&gt;0,$A16=1,$A16=2,$A16=3,$A16=4),"F","")</f>
        <v>F</v>
      </c>
      <c r="D16" s="117" t="str">
        <f ca="1">ORÇAMENTO!O16</f>
        <v>1.</v>
      </c>
      <c r="E16" s="163" t="str">
        <f t="shared" ref="E16:E70" si="2">ORÇAMENTO.Descricao</f>
        <v>OBRAS COMPLEMENTARES NA EMEF SANTA RITA</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0</v>
      </c>
      <c r="J16" s="333" cm="1">
        <f t="array" aca="1" ref="J16" ca="1">IF($A16="S",IF(CAIXA.Modo,BM.AFAnterior,BM.MEDAnterior),IF(AND(RegimeExecucao="Global",$I16&gt;0,COUNTIF($AB$13:$AM$13,BM.medicao-1)&gt;0),M16/$I16*100,0))</f>
        <v>0</v>
      </c>
      <c r="K16" s="122">
        <f t="shared" ref="K16:K70"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70" ca="1" si="4">O16-M16</f>
        <v>0</v>
      </c>
      <c r="O16" s="125" cm="1">
        <f t="array" aca="1" ref="O16" ca="1">IF($A16="S",VTOTALBM,IF($A16=0,0,ROUND(SomaAgrupBM,15-13*ORÇAMENTO!$AF$11)))</f>
        <v>0</v>
      </c>
      <c r="Q16" s="337"/>
      <c r="R16" s="338"/>
      <c r="T16" s="117" t="str">
        <f t="shared" ref="T16:T70" ca="1" si="5">IF($W16&gt;0,$D16,"")</f>
        <v/>
      </c>
      <c r="U16" s="163" t="str">
        <f t="shared" ref="U16:U70"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70"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7</v>
      </c>
      <c r="C17" s="114" t="str">
        <f t="shared" ca="1" si="1"/>
        <v>F</v>
      </c>
      <c r="D17" s="117" t="str">
        <f ca="1">ORÇAMENTO!O17</f>
        <v>1.1.</v>
      </c>
      <c r="E17" s="163" t="str">
        <f t="shared" si="2"/>
        <v>ALTERAÇÃO DE POSTE DE ENTRADA DE ENERGIA</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0</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x14ac:dyDescent="0.2">
      <c r="A18" t="str">
        <f ca="1">ORÇAMENTO!C18</f>
        <v>S</v>
      </c>
      <c r="B18">
        <f ca="1">ORÇAMENTO!D18</f>
        <v>0</v>
      </c>
      <c r="C18" s="114" t="str">
        <f t="shared" ca="1" si="1"/>
        <v/>
      </c>
      <c r="D18" s="117" t="str">
        <f ca="1">ORÇAMENTO!O18</f>
        <v>-</v>
      </c>
      <c r="E18" s="163" t="str">
        <f t="shared" ca="1" si="2"/>
        <v>(Código não identificado nas referências)</v>
      </c>
      <c r="F18" s="164" t="str" cm="1">
        <f t="array" aca="1" ref="F18" ca="1">IF(RegimeExecucao="Global","",ORÇAMENTO.Unidade)</f>
        <v>-</v>
      </c>
      <c r="G18" s="122" cm="1">
        <f t="array" aca="1" ref="G18" ca="1">IF(RegimeExecucao="Global","",ORÇAMENTO!T18)</f>
        <v>1</v>
      </c>
      <c r="H18" s="122" cm="1">
        <f t="array" aca="1" ref="H18" ca="1">IF(RegimeExecucao="Global","",ORÇAMENTO!W18)</f>
        <v>0</v>
      </c>
      <c r="I18" s="125">
        <f ca="1">ORÇAMENTO!X18</f>
        <v>0</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ht="25.5" x14ac:dyDescent="0.2">
      <c r="A19" t="str">
        <f ca="1">ORÇAMENTO!C19</f>
        <v>S</v>
      </c>
      <c r="B19">
        <f ca="1">ORÇAMENTO!D19</f>
        <v>0</v>
      </c>
      <c r="C19" s="114" t="str">
        <f ca="1">IF(OR($I19&gt;0,$A19=1,$A19=2,$A19=3,$A19=4),"F","")</f>
        <v/>
      </c>
      <c r="D19" s="117" t="str">
        <f ca="1">ORÇAMENTO!O19</f>
        <v>-</v>
      </c>
      <c r="E19" s="163" t="str">
        <f ca="1">ORÇAMENTO.Descricao</f>
        <v>(Código não identificado nas referências)</v>
      </c>
      <c r="F19" s="164" t="str" cm="1">
        <f t="array" aca="1" ref="F19" ca="1">IF(RegimeExecucao="Global","",ORÇAMENTO.Unidade)</f>
        <v>-</v>
      </c>
      <c r="G19" s="122" cm="1">
        <f t="array" aca="1" ref="G19" ca="1">IF(RegimeExecucao="Global","",ORÇAMENTO!T19)</f>
        <v>1</v>
      </c>
      <c r="H19" s="122" cm="1">
        <f t="array" aca="1" ref="H19" ca="1">IF(RegimeExecucao="Global","",ORÇAMENTO!W19)</f>
        <v>0</v>
      </c>
      <c r="I19" s="125">
        <f ca="1">ORÇAMENTO!X19</f>
        <v>0</v>
      </c>
      <c r="J19" s="333" cm="1">
        <f t="array" aca="1" ref="J19" ca="1">IF($A19="S",IF(CAIXA.Modo,BM.AFAnterior,BM.MEDAnterior),IF(AND(RegimeExecucao="Global",$I19&gt;0,COUNTIF($AB$13:$AM$13,BM.medicao-1)&gt;0),M19/$I19*100,0))</f>
        <v>0</v>
      </c>
      <c r="K19" s="122">
        <f ca="1">L19-J19</f>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ca="1">O19-M19</f>
        <v>0</v>
      </c>
      <c r="O19" s="125" cm="1">
        <f t="array" aca="1" ref="O19" ca="1">IF($A19="S",VTOTALBM,IF($A19=0,0,ROUND(SomaAgrupBM,15-13*ORÇAMENTO!$AF$11)))</f>
        <v>0</v>
      </c>
      <c r="Q19" s="337"/>
      <c r="R19" s="338"/>
      <c r="T19" s="117" t="str">
        <f ca="1">IF($W19&gt;0,$D19,"")</f>
        <v/>
      </c>
      <c r="U19" s="163" t="str">
        <f ca="1">IF($W19&gt;0,$E19,"")</f>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ca="1">AO19-O19</f>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51" x14ac:dyDescent="0.2">
      <c r="A20" t="str">
        <f ca="1">ORÇAMENTO!C20</f>
        <v>S</v>
      </c>
      <c r="B20">
        <f ca="1">ORÇAMENTO!D20</f>
        <v>0</v>
      </c>
      <c r="C20" s="114" t="str">
        <f t="shared" ca="1" si="1"/>
        <v/>
      </c>
      <c r="D20" s="117" t="str">
        <f ca="1">ORÇAMENTO!O20</f>
        <v>-</v>
      </c>
      <c r="E20" s="163" t="str">
        <f t="shared" ca="1" si="2"/>
        <v>(Código não identificado nas referências)</v>
      </c>
      <c r="F20" s="164" t="str" cm="1">
        <f t="array" aca="1" ref="F20" ca="1">IF(RegimeExecucao="Global","",ORÇAMENTO.Unidade)</f>
        <v>-</v>
      </c>
      <c r="G20" s="122" cm="1">
        <f t="array" aca="1" ref="G20" ca="1">IF(RegimeExecucao="Global","",ORÇAMENTO!T20)</f>
        <v>1</v>
      </c>
      <c r="H20" s="122" cm="1">
        <f t="array" aca="1" ref="H20" ca="1">IF(RegimeExecucao="Global","",ORÇAMENTO!W20)</f>
        <v>0</v>
      </c>
      <c r="I20" s="125">
        <f ca="1">ORÇAMENTO!X20</f>
        <v>0</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ht="38.25" x14ac:dyDescent="0.2">
      <c r="A21" t="str">
        <f ca="1">ORÇAMENTO!C21</f>
        <v>S</v>
      </c>
      <c r="B21">
        <f ca="1">ORÇAMENTO!D21</f>
        <v>0</v>
      </c>
      <c r="C21" s="114" t="str">
        <f t="shared" ca="1" si="1"/>
        <v/>
      </c>
      <c r="D21" s="117" t="str">
        <f ca="1">ORÇAMENTO!O21</f>
        <v>-</v>
      </c>
      <c r="E21" s="163" t="str">
        <f t="shared" ca="1" si="2"/>
        <v>(Código não identificado nas referências)</v>
      </c>
      <c r="F21" s="164" t="str" cm="1">
        <f t="array" aca="1" ref="F21" ca="1">IF(RegimeExecucao="Global","",ORÇAMENTO.Unidade)</f>
        <v>-</v>
      </c>
      <c r="G21" s="122" cm="1">
        <f t="array" aca="1" ref="G21" ca="1">IF(RegimeExecucao="Global","",ORÇAMENTO!T21)</f>
        <v>1.2</v>
      </c>
      <c r="H21" s="122" cm="1">
        <f t="array" aca="1" ref="H21" ca="1">IF(RegimeExecucao="Global","",ORÇAMENTO!W21)</f>
        <v>0</v>
      </c>
      <c r="I21" s="125">
        <f ca="1">ORÇAMENTO!X21</f>
        <v>0</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38.25" x14ac:dyDescent="0.2">
      <c r="A22" t="str">
        <f ca="1">ORÇAMENTO!C22</f>
        <v>S</v>
      </c>
      <c r="B22">
        <f ca="1">ORÇAMENTO!D22</f>
        <v>0</v>
      </c>
      <c r="C22" s="114" t="str">
        <f t="shared" ca="1" si="1"/>
        <v/>
      </c>
      <c r="D22" s="117" t="str">
        <f ca="1">ORÇAMENTO!O22</f>
        <v>-</v>
      </c>
      <c r="E22" s="163" t="str">
        <f t="shared" ca="1" si="2"/>
        <v>(Código não identificado nas referências)</v>
      </c>
      <c r="F22" s="164" t="str" cm="1">
        <f t="array" aca="1" ref="F22" ca="1">IF(RegimeExecucao="Global","",ORÇAMENTO.Unidade)</f>
        <v>-</v>
      </c>
      <c r="G22" s="122" cm="1">
        <f t="array" aca="1" ref="G22" ca="1">IF(RegimeExecucao="Global","",ORÇAMENTO!T22)</f>
        <v>1</v>
      </c>
      <c r="H22" s="122" cm="1">
        <f t="array" aca="1" ref="H22" ca="1">IF(RegimeExecucao="Global","",ORÇAMENTO!W22)</f>
        <v>0</v>
      </c>
      <c r="I22" s="125">
        <f ca="1">ORÇAMENTO!X22</f>
        <v>0</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38.25" x14ac:dyDescent="0.2">
      <c r="A23" t="str">
        <f ca="1">ORÇAMENTO!C23</f>
        <v>S</v>
      </c>
      <c r="B23">
        <f ca="1">ORÇAMENTO!D23</f>
        <v>0</v>
      </c>
      <c r="C23" s="114" t="str">
        <f t="shared" ca="1" si="1"/>
        <v/>
      </c>
      <c r="D23" s="117" t="str">
        <f ca="1">ORÇAMENTO!O23</f>
        <v>-</v>
      </c>
      <c r="E23" s="163" t="str">
        <f t="shared" ca="1" si="2"/>
        <v>(Código não identificado nas referências)</v>
      </c>
      <c r="F23" s="164" t="str" cm="1">
        <f t="array" aca="1" ref="F23" ca="1">IF(RegimeExecucao="Global","",ORÇAMENTO.Unidade)</f>
        <v>-</v>
      </c>
      <c r="G23" s="122" cm="1">
        <f t="array" aca="1" ref="G23" ca="1">IF(RegimeExecucao="Global","",ORÇAMENTO!T23)</f>
        <v>8</v>
      </c>
      <c r="H23" s="122" cm="1">
        <f t="array" aca="1" ref="H23" ca="1">IF(RegimeExecucao="Global","",ORÇAMENTO!W23)</f>
        <v>0</v>
      </c>
      <c r="I23" s="125">
        <f ca="1">ORÇAMENTO!X23</f>
        <v>0</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x14ac:dyDescent="0.2">
      <c r="A24">
        <f ca="1">ORÇAMENTO!C24</f>
        <v>2</v>
      </c>
      <c r="B24">
        <f ca="1">ORÇAMENTO!D24</f>
        <v>6</v>
      </c>
      <c r="C24" s="114" t="str">
        <f t="shared" ca="1" si="1"/>
        <v>F</v>
      </c>
      <c r="D24" s="117" t="str">
        <f ca="1">ORÇAMENTO!O24</f>
        <v>1.2.</v>
      </c>
      <c r="E24" s="163" t="str">
        <f t="shared" si="2"/>
        <v>CALÇADAS EXTERNAS</v>
      </c>
      <c r="F24" s="164" t="str" cm="1">
        <f t="array" aca="1" ref="F24" ca="1">IF(RegimeExecucao="Global","",ORÇAMENTO.Unidade)</f>
        <v>-</v>
      </c>
      <c r="G24" s="122" cm="1">
        <f t="array" aca="1" ref="G24" ca="1">IF(RegimeExecucao="Global","",ORÇAMENTO!T24)</f>
        <v>0</v>
      </c>
      <c r="H24" s="122" cm="1">
        <f t="array" aca="1" ref="H24" ca="1">IF(RegimeExecucao="Global","",ORÇAMENTO!W24)</f>
        <v>0</v>
      </c>
      <c r="I24" s="125">
        <f ca="1">ORÇAMENTO!X24</f>
        <v>0</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x14ac:dyDescent="0.2">
      <c r="A25" t="str">
        <f ca="1">ORÇAMENTO!C25</f>
        <v>S</v>
      </c>
      <c r="B25">
        <f ca="1">ORÇAMENTO!D25</f>
        <v>0</v>
      </c>
      <c r="C25" s="114" t="str">
        <f t="shared" ca="1" si="1"/>
        <v/>
      </c>
      <c r="D25" s="117" t="str">
        <f ca="1">ORÇAMENTO!O25</f>
        <v>-</v>
      </c>
      <c r="E25" s="163" t="str">
        <f t="shared" ca="1" si="2"/>
        <v>(Código não identificado nas referências)</v>
      </c>
      <c r="F25" s="164" t="str" cm="1">
        <f t="array" aca="1" ref="F25" ca="1">IF(RegimeExecucao="Global","",ORÇAMENTO.Unidade)</f>
        <v>-</v>
      </c>
      <c r="G25" s="122" cm="1">
        <f t="array" aca="1" ref="G25" ca="1">IF(RegimeExecucao="Global","",ORÇAMENTO!T25)</f>
        <v>33.42</v>
      </c>
      <c r="H25" s="122" cm="1">
        <f t="array" aca="1" ref="H25" ca="1">IF(RegimeExecucao="Global","",ORÇAMENTO!W25)</f>
        <v>0</v>
      </c>
      <c r="I25" s="125">
        <f ca="1">ORÇAMENTO!X25</f>
        <v>0</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25.5" x14ac:dyDescent="0.2">
      <c r="A26" t="str">
        <f ca="1">ORÇAMENTO!C26</f>
        <v>S</v>
      </c>
      <c r="B26">
        <f ca="1">ORÇAMENTO!D26</f>
        <v>0</v>
      </c>
      <c r="C26" s="114" t="str">
        <f t="shared" ca="1" si="1"/>
        <v/>
      </c>
      <c r="D26" s="117" t="str">
        <f ca="1">ORÇAMENTO!O26</f>
        <v>-</v>
      </c>
      <c r="E26" s="163" t="str">
        <f t="shared" ca="1" si="2"/>
        <v>(Código não identificado nas referências)</v>
      </c>
      <c r="F26" s="164" t="str" cm="1">
        <f t="array" aca="1" ref="F26" ca="1">IF(RegimeExecucao="Global","",ORÇAMENTO.Unidade)</f>
        <v>-</v>
      </c>
      <c r="G26" s="122" cm="1">
        <f t="array" aca="1" ref="G26" ca="1">IF(RegimeExecucao="Global","",ORÇAMENTO!T26)</f>
        <v>11.14</v>
      </c>
      <c r="H26" s="122" cm="1">
        <f t="array" aca="1" ref="H26" ca="1">IF(RegimeExecucao="Global","",ORÇAMENTO!W26)</f>
        <v>0</v>
      </c>
      <c r="I26" s="125">
        <f ca="1">ORÇAMENTO!X26</f>
        <v>0</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38.25" x14ac:dyDescent="0.2">
      <c r="A27" t="str">
        <f ca="1">ORÇAMENTO!C27</f>
        <v>S</v>
      </c>
      <c r="B27">
        <f ca="1">ORÇAMENTO!D27</f>
        <v>0</v>
      </c>
      <c r="C27" s="114" t="str">
        <f t="shared" ca="1" si="1"/>
        <v/>
      </c>
      <c r="D27" s="117" t="str">
        <f ca="1">ORÇAMENTO!O27</f>
        <v>-</v>
      </c>
      <c r="E27" s="163" t="str">
        <f t="shared" ca="1" si="2"/>
        <v>(Código não identificado nas referências)</v>
      </c>
      <c r="F27" s="164" t="str" cm="1">
        <f t="array" aca="1" ref="F27" ca="1">IF(RegimeExecucao="Global","",ORÇAMENTO.Unidade)</f>
        <v>-</v>
      </c>
      <c r="G27" s="122" cm="1">
        <f t="array" aca="1" ref="G27" ca="1">IF(RegimeExecucao="Global","",ORÇAMENTO!T27)</f>
        <v>5.57</v>
      </c>
      <c r="H27" s="122" cm="1">
        <f t="array" aca="1" ref="H27" ca="1">IF(RegimeExecucao="Global","",ORÇAMENTO!W27)</f>
        <v>0</v>
      </c>
      <c r="I27" s="125">
        <f ca="1">ORÇAMENTO!X27</f>
        <v>0</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51" x14ac:dyDescent="0.2">
      <c r="A28" t="str">
        <f ca="1">ORÇAMENTO!C28</f>
        <v>S</v>
      </c>
      <c r="B28">
        <f ca="1">ORÇAMENTO!D28</f>
        <v>0</v>
      </c>
      <c r="C28" s="114" t="str">
        <f t="shared" ca="1" si="1"/>
        <v/>
      </c>
      <c r="D28" s="117" t="str">
        <f ca="1">ORÇAMENTO!O28</f>
        <v>-</v>
      </c>
      <c r="E28" s="163" t="str">
        <f t="shared" ca="1" si="2"/>
        <v>(Código não identificado nas referências)</v>
      </c>
      <c r="F28" s="164" t="str" cm="1">
        <f t="array" aca="1" ref="F28" ca="1">IF(RegimeExecucao="Global","",ORÇAMENTO.Unidade)</f>
        <v>-</v>
      </c>
      <c r="G28" s="122" cm="1">
        <f t="array" aca="1" ref="G28" ca="1">IF(RegimeExecucao="Global","",ORÇAMENTO!T28)</f>
        <v>98</v>
      </c>
      <c r="H28" s="122" cm="1">
        <f t="array" aca="1" ref="H28" ca="1">IF(RegimeExecucao="Global","",ORÇAMENTO!W28)</f>
        <v>0</v>
      </c>
      <c r="I28" s="125">
        <f ca="1">ORÇAMENTO!X28</f>
        <v>0</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38.25" x14ac:dyDescent="0.2">
      <c r="A29" t="str">
        <f ca="1">ORÇAMENTO!C29</f>
        <v>S</v>
      </c>
      <c r="B29">
        <f ca="1">ORÇAMENTO!D29</f>
        <v>0</v>
      </c>
      <c r="C29" s="114" t="str">
        <f t="shared" ca="1" si="1"/>
        <v/>
      </c>
      <c r="D29" s="117" t="str">
        <f ca="1">ORÇAMENTO!O29</f>
        <v>-</v>
      </c>
      <c r="E29" s="163" t="str">
        <f t="shared" ca="1" si="2"/>
        <v>(Código não identificado nas referências)</v>
      </c>
      <c r="F29" s="164" t="str" cm="1">
        <f t="array" aca="1" ref="F29" ca="1">IF(RegimeExecucao="Global","",ORÇAMENTO.Unidade)</f>
        <v>-</v>
      </c>
      <c r="G29" s="122" cm="1">
        <f t="array" aca="1" ref="G29" ca="1">IF(RegimeExecucao="Global","",ORÇAMENTO!T29)</f>
        <v>111.4</v>
      </c>
      <c r="H29" s="122" cm="1">
        <f t="array" aca="1" ref="H29" ca="1">IF(RegimeExecucao="Global","",ORÇAMENTO!W29)</f>
        <v>0</v>
      </c>
      <c r="I29" s="125">
        <f ca="1">ORÇAMENTO!X29</f>
        <v>0</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f ca="1">ORÇAMENTO!C30</f>
        <v>2</v>
      </c>
      <c r="B30">
        <f ca="1">ORÇAMENTO!D30</f>
        <v>3</v>
      </c>
      <c r="C30" s="114" t="str">
        <f t="shared" ca="1" si="1"/>
        <v>F</v>
      </c>
      <c r="D30" s="117" t="str">
        <f ca="1">ORÇAMENTO!O30</f>
        <v>1.3.</v>
      </c>
      <c r="E30" s="163" t="str">
        <f t="shared" si="2"/>
        <v>RAMPA DE ACESSIBILIDADE</v>
      </c>
      <c r="F30" s="164" t="str" cm="1">
        <f t="array" aca="1" ref="F30" ca="1">IF(RegimeExecucao="Global","",ORÇAMENTO.Unidade)</f>
        <v>-</v>
      </c>
      <c r="G30" s="122" cm="1">
        <f t="array" aca="1" ref="G30" ca="1">IF(RegimeExecucao="Global","",ORÇAMENTO!T30)</f>
        <v>0</v>
      </c>
      <c r="H30" s="122" cm="1">
        <f t="array" aca="1" ref="H30" ca="1">IF(RegimeExecucao="Global","",ORÇAMENTO!W30)</f>
        <v>0</v>
      </c>
      <c r="I30" s="125">
        <f ca="1">ORÇAMENTO!X30</f>
        <v>0</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38.25" x14ac:dyDescent="0.2">
      <c r="A31" t="str">
        <f ca="1">ORÇAMENTO!C31</f>
        <v>S</v>
      </c>
      <c r="B31">
        <f ca="1">ORÇAMENTO!D31</f>
        <v>0</v>
      </c>
      <c r="C31" s="114" t="str">
        <f t="shared" ca="1" si="1"/>
        <v/>
      </c>
      <c r="D31" s="117" t="str">
        <f ca="1">ORÇAMENTO!O31</f>
        <v>-</v>
      </c>
      <c r="E31" s="163" t="str">
        <f t="shared" ca="1" si="2"/>
        <v>(Código não identificado nas referências)</v>
      </c>
      <c r="F31" s="164" t="str" cm="1">
        <f t="array" aca="1" ref="F31" ca="1">IF(RegimeExecucao="Global","",ORÇAMENTO.Unidade)</f>
        <v>-</v>
      </c>
      <c r="G31" s="122" cm="1">
        <f t="array" aca="1" ref="G31" ca="1">IF(RegimeExecucao="Global","",ORÇAMENTO!T31)</f>
        <v>5.75</v>
      </c>
      <c r="H31" s="122" cm="1">
        <f t="array" aca="1" ref="H31" ca="1">IF(RegimeExecucao="Global","",ORÇAMENTO!W31)</f>
        <v>0</v>
      </c>
      <c r="I31" s="125">
        <f ca="1">ORÇAMENTO!X31</f>
        <v>0</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25.5" x14ac:dyDescent="0.2">
      <c r="A32" t="str">
        <f ca="1">ORÇAMENTO!C32</f>
        <v>S</v>
      </c>
      <c r="B32">
        <f ca="1">ORÇAMENTO!D32</f>
        <v>0</v>
      </c>
      <c r="C32" s="114" t="str">
        <f t="shared" ca="1" si="1"/>
        <v/>
      </c>
      <c r="D32" s="117" t="str">
        <f ca="1">ORÇAMENTO!O32</f>
        <v>-</v>
      </c>
      <c r="E32" s="163" t="str">
        <f t="shared" ca="1" si="2"/>
        <v>(Código não identificado nas referências)</v>
      </c>
      <c r="F32" s="164" t="str" cm="1">
        <f t="array" aca="1" ref="F32" ca="1">IF(RegimeExecucao="Global","",ORÇAMENTO.Unidade)</f>
        <v>-</v>
      </c>
      <c r="G32" s="122" cm="1">
        <f t="array" aca="1" ref="G32" ca="1">IF(RegimeExecucao="Global","",ORÇAMENTO!T32)</f>
        <v>5.99</v>
      </c>
      <c r="H32" s="122" cm="1">
        <f t="array" aca="1" ref="H32" ca="1">IF(RegimeExecucao="Global","",ORÇAMENTO!W32)</f>
        <v>0</v>
      </c>
      <c r="I32" s="125">
        <f ca="1">ORÇAMENTO!X32</f>
        <v>0</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x14ac:dyDescent="0.2">
      <c r="A33">
        <f ca="1">ORÇAMENTO!C33</f>
        <v>2</v>
      </c>
      <c r="B33">
        <f ca="1">ORÇAMENTO!D33</f>
        <v>7</v>
      </c>
      <c r="C33" s="114" t="str">
        <f t="shared" ca="1" si="1"/>
        <v>F</v>
      </c>
      <c r="D33" s="117" t="str">
        <f ca="1">ORÇAMENTO!O33</f>
        <v>1.4.</v>
      </c>
      <c r="E33" s="163" t="str">
        <f t="shared" si="2"/>
        <v>GRADES EM CHAPA EXPANDIDA INCLUSO PORTAS</v>
      </c>
      <c r="F33" s="164" t="str" cm="1">
        <f t="array" aca="1" ref="F33" ca="1">IF(RegimeExecucao="Global","",ORÇAMENTO.Unidade)</f>
        <v>-</v>
      </c>
      <c r="G33" s="122" cm="1">
        <f t="array" aca="1" ref="G33" ca="1">IF(RegimeExecucao="Global","",ORÇAMENTO!T33)</f>
        <v>0</v>
      </c>
      <c r="H33" s="122" cm="1">
        <f t="array" aca="1" ref="H33" ca="1">IF(RegimeExecucao="Global","",ORÇAMENTO!W33)</f>
        <v>0</v>
      </c>
      <c r="I33" s="125">
        <f ca="1">ORÇAMENTO!X33</f>
        <v>0</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38.25" x14ac:dyDescent="0.2">
      <c r="A34" t="str">
        <f ca="1">ORÇAMENTO!C34</f>
        <v>S</v>
      </c>
      <c r="B34">
        <f ca="1">ORÇAMENTO!D34</f>
        <v>0</v>
      </c>
      <c r="C34" s="114" t="str">
        <f t="shared" ca="1" si="1"/>
        <v/>
      </c>
      <c r="D34" s="117" t="str">
        <f ca="1">ORÇAMENTO!O34</f>
        <v>-</v>
      </c>
      <c r="E34" s="163" t="str">
        <f t="shared" ca="1" si="2"/>
        <v>(Código não identificado nas referências)</v>
      </c>
      <c r="F34" s="164" t="str" cm="1">
        <f t="array" aca="1" ref="F34" ca="1">IF(RegimeExecucao="Global","",ORÇAMENTO.Unidade)</f>
        <v>-</v>
      </c>
      <c r="G34" s="122" cm="1">
        <f t="array" aca="1" ref="G34" ca="1">IF(RegimeExecucao="Global","",ORÇAMENTO!T34)</f>
        <v>36</v>
      </c>
      <c r="H34" s="122" cm="1">
        <f t="array" aca="1" ref="H34" ca="1">IF(RegimeExecucao="Global","",ORÇAMENTO!W34)</f>
        <v>0</v>
      </c>
      <c r="I34" s="125">
        <f ca="1">ORÇAMENTO!X34</f>
        <v>0</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63.75" x14ac:dyDescent="0.2">
      <c r="A35" t="str">
        <f ca="1">ORÇAMENTO!C35</f>
        <v>S</v>
      </c>
      <c r="B35">
        <f ca="1">ORÇAMENTO!D35</f>
        <v>0</v>
      </c>
      <c r="C35" s="114" t="str">
        <f ca="1">IF(OR($I35&gt;0,$A35=1,$A35=2,$A35=3,$A35=4),"F","")</f>
        <v/>
      </c>
      <c r="D35" s="117" t="str">
        <f ca="1">ORÇAMENTO!O35</f>
        <v>-</v>
      </c>
      <c r="E35" s="163" t="str">
        <f ca="1">ORÇAMENTO.Descricao</f>
        <v>(Código não identificado nas referências)</v>
      </c>
      <c r="F35" s="164" t="str" cm="1">
        <f t="array" aca="1" ref="F35" ca="1">IF(RegimeExecucao="Global","",ORÇAMENTO.Unidade)</f>
        <v>-</v>
      </c>
      <c r="G35" s="122" cm="1">
        <f t="array" aca="1" ref="G35" ca="1">IF(RegimeExecucao="Global","",ORÇAMENTO!T35)</f>
        <v>25.2</v>
      </c>
      <c r="H35" s="122" cm="1">
        <f t="array" aca="1" ref="H35" ca="1">IF(RegimeExecucao="Global","",ORÇAMENTO!W35)</f>
        <v>0</v>
      </c>
      <c r="I35" s="125">
        <f ca="1">ORÇAMENTO!X35</f>
        <v>0</v>
      </c>
      <c r="J35" s="333" cm="1">
        <f t="array" aca="1" ref="J35" ca="1">IF($A35="S",IF(CAIXA.Modo,BM.AFAnterior,BM.MEDAnterior),IF(AND(RegimeExecucao="Global",$I35&gt;0,COUNTIF($AB$13:$AM$13,BM.medicao-1)&gt;0),M35/$I35*100,0))</f>
        <v>0</v>
      </c>
      <c r="K35" s="122">
        <f ca="1">L35-J35</f>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ca="1">O35-M35</f>
        <v>0</v>
      </c>
      <c r="O35" s="125" cm="1">
        <f t="array" aca="1" ref="O35" ca="1">IF($A35="S",VTOTALBM,IF($A35=0,0,ROUND(SomaAgrupBM,15-13*ORÇAMENTO!$AF$11)))</f>
        <v>0</v>
      </c>
      <c r="Q35" s="337"/>
      <c r="R35" s="338"/>
      <c r="T35" s="117" t="str">
        <f ca="1">IF($W35&gt;0,$D35,"")</f>
        <v/>
      </c>
      <c r="U35" s="163" t="str">
        <f ca="1">IF($W35&gt;0,$E35,"")</f>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ca="1">AO35-O35</f>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38.25" x14ac:dyDescent="0.2">
      <c r="A36" t="str">
        <f ca="1">ORÇAMENTO!C36</f>
        <v>S</v>
      </c>
      <c r="B36">
        <f ca="1">ORÇAMENTO!D36</f>
        <v>0</v>
      </c>
      <c r="C36" s="114" t="str">
        <f t="shared" ca="1" si="1"/>
        <v/>
      </c>
      <c r="D36" s="117" t="str">
        <f ca="1">ORÇAMENTO!O36</f>
        <v>-</v>
      </c>
      <c r="E36" s="163" t="str">
        <f t="shared" ca="1" si="2"/>
        <v>(Código não identificado nas referências)</v>
      </c>
      <c r="F36" s="164" t="str" cm="1">
        <f t="array" aca="1" ref="F36" ca="1">IF(RegimeExecucao="Global","",ORÇAMENTO.Unidade)</f>
        <v>-</v>
      </c>
      <c r="G36" s="122" cm="1">
        <f t="array" aca="1" ref="G36" ca="1">IF(RegimeExecucao="Global","",ORÇAMENTO!T36)</f>
        <v>120</v>
      </c>
      <c r="H36" s="122" cm="1">
        <f t="array" aca="1" ref="H36" ca="1">IF(RegimeExecucao="Global","",ORÇAMENTO!W36)</f>
        <v>0</v>
      </c>
      <c r="I36" s="125">
        <f ca="1">ORÇAMENTO!X36</f>
        <v>0</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38.25" x14ac:dyDescent="0.2">
      <c r="A37" t="str">
        <f ca="1">ORÇAMENTO!C37</f>
        <v>S</v>
      </c>
      <c r="B37">
        <f ca="1">ORÇAMENTO!D37</f>
        <v>0</v>
      </c>
      <c r="C37" s="114" t="str">
        <f t="shared" ca="1" si="1"/>
        <v/>
      </c>
      <c r="D37" s="117" t="str">
        <f ca="1">ORÇAMENTO!O37</f>
        <v>-</v>
      </c>
      <c r="E37" s="163" t="str">
        <f t="shared" ca="1" si="2"/>
        <v>(Código não identificado nas referências)</v>
      </c>
      <c r="F37" s="164" t="str" cm="1">
        <f t="array" aca="1" ref="F37" ca="1">IF(RegimeExecucao="Global","",ORÇAMENTO.Unidade)</f>
        <v>-</v>
      </c>
      <c r="G37" s="122" cm="1">
        <f t="array" aca="1" ref="G37" ca="1">IF(RegimeExecucao="Global","",ORÇAMENTO!T37)</f>
        <v>206.12</v>
      </c>
      <c r="H37" s="122" cm="1">
        <f t="array" aca="1" ref="H37" ca="1">IF(RegimeExecucao="Global","",ORÇAMENTO!W37)</f>
        <v>0</v>
      </c>
      <c r="I37" s="125">
        <f ca="1">ORÇAMENTO!X37</f>
        <v>0</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38.25" x14ac:dyDescent="0.2">
      <c r="A38" t="str">
        <f ca="1">ORÇAMENTO!C38</f>
        <v>S</v>
      </c>
      <c r="B38">
        <f ca="1">ORÇAMENTO!D38</f>
        <v>0</v>
      </c>
      <c r="C38" s="114" t="str">
        <f t="shared" ca="1" si="1"/>
        <v/>
      </c>
      <c r="D38" s="117" t="str">
        <f ca="1">ORÇAMENTO!O38</f>
        <v>-</v>
      </c>
      <c r="E38" s="163" t="str">
        <f t="shared" ca="1" si="2"/>
        <v>(Código não identificado nas referências)</v>
      </c>
      <c r="F38" s="164" t="str" cm="1">
        <f t="array" aca="1" ref="F38" ca="1">IF(RegimeExecucao="Global","",ORÇAMENTO.Unidade)</f>
        <v>-</v>
      </c>
      <c r="G38" s="122" cm="1">
        <f t="array" aca="1" ref="G38" ca="1">IF(RegimeExecucao="Global","",ORÇAMENTO!T38)</f>
        <v>4</v>
      </c>
      <c r="H38" s="122" cm="1">
        <f t="array" aca="1" ref="H38" ca="1">IF(RegimeExecucao="Global","",ORÇAMENTO!W38)</f>
        <v>0</v>
      </c>
      <c r="I38" s="125">
        <f ca="1">ORÇAMENTO!X38</f>
        <v>0</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38.25" x14ac:dyDescent="0.2">
      <c r="A39" t="str">
        <f ca="1">ORÇAMENTO!C39</f>
        <v>S</v>
      </c>
      <c r="B39">
        <f ca="1">ORÇAMENTO!D39</f>
        <v>0</v>
      </c>
      <c r="C39" s="114" t="str">
        <f t="shared" ca="1" si="1"/>
        <v/>
      </c>
      <c r="D39" s="117" t="str">
        <f ca="1">ORÇAMENTO!O39</f>
        <v>-</v>
      </c>
      <c r="E39" s="163" t="str">
        <f t="shared" ca="1" si="2"/>
        <v>(Código não identificado nas referências)</v>
      </c>
      <c r="F39" s="164" t="str" cm="1">
        <f t="array" aca="1" ref="F39" ca="1">IF(RegimeExecucao="Global","",ORÇAMENTO.Unidade)</f>
        <v>-</v>
      </c>
      <c r="G39" s="122" cm="1">
        <f t="array" aca="1" ref="G39" ca="1">IF(RegimeExecucao="Global","",ORÇAMENTO!T39)</f>
        <v>10</v>
      </c>
      <c r="H39" s="122" cm="1">
        <f t="array" aca="1" ref="H39" ca="1">IF(RegimeExecucao="Global","",ORÇAMENTO!W39)</f>
        <v>0</v>
      </c>
      <c r="I39" s="125">
        <f ca="1">ORÇAMENTO!X39</f>
        <v>0</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x14ac:dyDescent="0.2">
      <c r="A40">
        <f ca="1">ORÇAMENTO!C40</f>
        <v>1</v>
      </c>
      <c r="B40">
        <f ca="1">ORÇAMENTO!D40</f>
        <v>31</v>
      </c>
      <c r="C40" s="114" t="str">
        <f t="shared" ca="1" si="1"/>
        <v>F</v>
      </c>
      <c r="D40" s="117" t="str">
        <f ca="1">ORÇAMENTO!O40</f>
        <v>2.</v>
      </c>
      <c r="E40" s="163" t="str">
        <f t="shared" si="2"/>
        <v>HALL DE ENTRADA</v>
      </c>
      <c r="F40" s="164" t="str" cm="1">
        <f t="array" aca="1" ref="F40" ca="1">IF(RegimeExecucao="Global","",ORÇAMENTO.Unidade)</f>
        <v>-</v>
      </c>
      <c r="G40" s="122" cm="1">
        <f t="array" aca="1" ref="G40" ca="1">IF(RegimeExecucao="Global","",ORÇAMENTO!T40)</f>
        <v>0</v>
      </c>
      <c r="H40" s="122" cm="1">
        <f t="array" aca="1" ref="H40" ca="1">IF(RegimeExecucao="Global","",ORÇAMENTO!W40)</f>
        <v>0</v>
      </c>
      <c r="I40" s="125">
        <f ca="1">ORÇAMENTO!X40</f>
        <v>0</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x14ac:dyDescent="0.2">
      <c r="A41">
        <f ca="1">ORÇAMENTO!C41</f>
        <v>2</v>
      </c>
      <c r="B41">
        <f ca="1">ORÇAMENTO!D41</f>
        <v>2</v>
      </c>
      <c r="C41" s="114" t="str">
        <f t="shared" ca="1" si="1"/>
        <v>F</v>
      </c>
      <c r="D41" s="117" t="str">
        <f ca="1">ORÇAMENTO!O41</f>
        <v>2.1.</v>
      </c>
      <c r="E41" s="163" t="str">
        <f t="shared" si="2"/>
        <v>FUNDAÇÃO</v>
      </c>
      <c r="F41" s="164" t="str" cm="1">
        <f t="array" aca="1" ref="F41" ca="1">IF(RegimeExecucao="Global","",ORÇAMENTO.Unidade)</f>
        <v>-</v>
      </c>
      <c r="G41" s="122" cm="1">
        <f t="array" aca="1" ref="G41" ca="1">IF(RegimeExecucao="Global","",ORÇAMENTO!T41)</f>
        <v>0</v>
      </c>
      <c r="H41" s="122" cm="1">
        <f t="array" aca="1" ref="H41" ca="1">IF(RegimeExecucao="Global","",ORÇAMENTO!W41)</f>
        <v>0</v>
      </c>
      <c r="I41" s="125">
        <f ca="1">ORÇAMENTO!X41</f>
        <v>0</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63.75" x14ac:dyDescent="0.2">
      <c r="A42" t="str">
        <f ca="1">ORÇAMENTO!C42</f>
        <v>S</v>
      </c>
      <c r="B42">
        <f ca="1">ORÇAMENTO!D42</f>
        <v>0</v>
      </c>
      <c r="C42" s="114" t="str">
        <f t="shared" ca="1" si="1"/>
        <v/>
      </c>
      <c r="D42" s="117" t="str">
        <f ca="1">ORÇAMENTO!O42</f>
        <v>-</v>
      </c>
      <c r="E42" s="163" t="str">
        <f t="shared" ca="1" si="2"/>
        <v>(Código não identificado nas referências)</v>
      </c>
      <c r="F42" s="164" t="str" cm="1">
        <f t="array" aca="1" ref="F42" ca="1">IF(RegimeExecucao="Global","",ORÇAMENTO.Unidade)</f>
        <v>-</v>
      </c>
      <c r="G42" s="122" cm="1">
        <f t="array" aca="1" ref="G42" ca="1">IF(RegimeExecucao="Global","",ORÇAMENTO!T42)</f>
        <v>2</v>
      </c>
      <c r="H42" s="122" cm="1">
        <f t="array" aca="1" ref="H42" ca="1">IF(RegimeExecucao="Global","",ORÇAMENTO!W42)</f>
        <v>0</v>
      </c>
      <c r="I42" s="125">
        <f ca="1">ORÇAMENTO!X42</f>
        <v>0</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x14ac:dyDescent="0.2">
      <c r="A43">
        <f ca="1">ORÇAMENTO!C43</f>
        <v>2</v>
      </c>
      <c r="B43">
        <f ca="1">ORÇAMENTO!D43</f>
        <v>5</v>
      </c>
      <c r="C43" s="114" t="str">
        <f t="shared" ca="1" si="1"/>
        <v>F</v>
      </c>
      <c r="D43" s="117" t="str">
        <f ca="1">ORÇAMENTO!O43</f>
        <v>2.2.</v>
      </c>
      <c r="E43" s="163" t="str">
        <f t="shared" si="2"/>
        <v>VIGA BALDRAME</v>
      </c>
      <c r="F43" s="164" t="str" cm="1">
        <f t="array" aca="1" ref="F43" ca="1">IF(RegimeExecucao="Global","",ORÇAMENTO.Unidade)</f>
        <v>-</v>
      </c>
      <c r="G43" s="122" cm="1">
        <f t="array" aca="1" ref="G43" ca="1">IF(RegimeExecucao="Global","",ORÇAMENTO!T43)</f>
        <v>0</v>
      </c>
      <c r="H43" s="122" cm="1">
        <f t="array" aca="1" ref="H43" ca="1">IF(RegimeExecucao="Global","",ORÇAMENTO!W43)</f>
        <v>0</v>
      </c>
      <c r="I43" s="125">
        <f ca="1">ORÇAMENTO!X43</f>
        <v>0</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38.25" x14ac:dyDescent="0.2">
      <c r="A44" t="str">
        <f ca="1">ORÇAMENTO!C44</f>
        <v>S</v>
      </c>
      <c r="B44">
        <f ca="1">ORÇAMENTO!D44</f>
        <v>0</v>
      </c>
      <c r="C44" s="114" t="str">
        <f t="shared" ca="1" si="1"/>
        <v/>
      </c>
      <c r="D44" s="117" t="str">
        <f ca="1">ORÇAMENTO!O44</f>
        <v>-</v>
      </c>
      <c r="E44" s="163" t="str">
        <f t="shared" ca="1" si="2"/>
        <v>(Código não identificado nas referências)</v>
      </c>
      <c r="F44" s="164" t="str" cm="1">
        <f t="array" aca="1" ref="F44" ca="1">IF(RegimeExecucao="Global","",ORÇAMENTO.Unidade)</f>
        <v>-</v>
      </c>
      <c r="G44" s="122" cm="1">
        <f t="array" aca="1" ref="G44" ca="1">IF(RegimeExecucao="Global","",ORÇAMENTO!T44)</f>
        <v>5.08</v>
      </c>
      <c r="H44" s="122" cm="1">
        <f t="array" aca="1" ref="H44" ca="1">IF(RegimeExecucao="Global","",ORÇAMENTO!W44)</f>
        <v>0</v>
      </c>
      <c r="I44" s="125">
        <f ca="1">ORÇAMENTO!X44</f>
        <v>0</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ht="38.25" x14ac:dyDescent="0.2">
      <c r="A45" t="str">
        <f ca="1">ORÇAMENTO!C45</f>
        <v>S</v>
      </c>
      <c r="B45">
        <f ca="1">ORÇAMENTO!D45</f>
        <v>0</v>
      </c>
      <c r="C45" s="114" t="str">
        <f t="shared" ca="1" si="1"/>
        <v/>
      </c>
      <c r="D45" s="117" t="str">
        <f ca="1">ORÇAMENTO!O45</f>
        <v>-</v>
      </c>
      <c r="E45" s="163" t="str">
        <f t="shared" ca="1" si="2"/>
        <v>(Código não identificado nas referências)</v>
      </c>
      <c r="F45" s="164" t="str" cm="1">
        <f t="array" aca="1" ref="F45" ca="1">IF(RegimeExecucao="Global","",ORÇAMENTO.Unidade)</f>
        <v>-</v>
      </c>
      <c r="G45" s="122" cm="1">
        <f t="array" aca="1" ref="G45" ca="1">IF(RegimeExecucao="Global","",ORÇAMENTO!T45)</f>
        <v>6.81</v>
      </c>
      <c r="H45" s="122" cm="1">
        <f t="array" aca="1" ref="H45" ca="1">IF(RegimeExecucao="Global","",ORÇAMENTO!W45)</f>
        <v>0</v>
      </c>
      <c r="I45" s="125">
        <f ca="1">ORÇAMENTO!X45</f>
        <v>0</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ht="25.5" x14ac:dyDescent="0.2">
      <c r="A46" t="str">
        <f ca="1">ORÇAMENTO!C46</f>
        <v>S</v>
      </c>
      <c r="B46">
        <f ca="1">ORÇAMENTO!D46</f>
        <v>0</v>
      </c>
      <c r="C46" s="114" t="str">
        <f t="shared" ca="1" si="1"/>
        <v/>
      </c>
      <c r="D46" s="117" t="str">
        <f ca="1">ORÇAMENTO!O46</f>
        <v>-</v>
      </c>
      <c r="E46" s="163" t="str">
        <f t="shared" ca="1" si="2"/>
        <v>(Código não identificado nas referências)</v>
      </c>
      <c r="F46" s="164" t="str" cm="1">
        <f t="array" aca="1" ref="F46" ca="1">IF(RegimeExecucao="Global","",ORÇAMENTO.Unidade)</f>
        <v>-</v>
      </c>
      <c r="G46" s="122" cm="1">
        <f t="array" aca="1" ref="G46" ca="1">IF(RegimeExecucao="Global","",ORÇAMENTO!T46)</f>
        <v>3.48</v>
      </c>
      <c r="H46" s="122" cm="1">
        <f t="array" aca="1" ref="H46" ca="1">IF(RegimeExecucao="Global","",ORÇAMENTO!W46)</f>
        <v>0</v>
      </c>
      <c r="I46" s="125">
        <f ca="1">ORÇAMENTO!X46</f>
        <v>0</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38.25" x14ac:dyDescent="0.2">
      <c r="A47" t="str">
        <f ca="1">ORÇAMENTO!C47</f>
        <v>S</v>
      </c>
      <c r="B47">
        <f ca="1">ORÇAMENTO!D47</f>
        <v>0</v>
      </c>
      <c r="C47" s="114" t="str">
        <f t="shared" ca="1" si="1"/>
        <v/>
      </c>
      <c r="D47" s="117" t="str">
        <f ca="1">ORÇAMENTO!O47</f>
        <v>-</v>
      </c>
      <c r="E47" s="163" t="str">
        <f t="shared" ca="1" si="2"/>
        <v>(Código não identificado nas referências)</v>
      </c>
      <c r="F47" s="164" t="str" cm="1">
        <f t="array" aca="1" ref="F47" ca="1">IF(RegimeExecucao="Global","",ORÇAMENTO.Unidade)</f>
        <v>-</v>
      </c>
      <c r="G47" s="122" cm="1">
        <f t="array" aca="1" ref="G47" ca="1">IF(RegimeExecucao="Global","",ORÇAMENTO!T47)</f>
        <v>0.26</v>
      </c>
      <c r="H47" s="122" cm="1">
        <f t="array" aca="1" ref="H47" ca="1">IF(RegimeExecucao="Global","",ORÇAMENTO!W47)</f>
        <v>0</v>
      </c>
      <c r="I47" s="125">
        <f ca="1">ORÇAMENTO!X47</f>
        <v>0</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x14ac:dyDescent="0.2">
      <c r="A48">
        <f ca="1">ORÇAMENTO!C48</f>
        <v>2</v>
      </c>
      <c r="B48">
        <f ca="1">ORÇAMENTO!D48</f>
        <v>5</v>
      </c>
      <c r="C48" s="114" t="str">
        <f t="shared" ca="1" si="1"/>
        <v>F</v>
      </c>
      <c r="D48" s="117" t="str">
        <f ca="1">ORÇAMENTO!O48</f>
        <v>2.3.</v>
      </c>
      <c r="E48" s="163" t="str">
        <f t="shared" si="2"/>
        <v>PILARES</v>
      </c>
      <c r="F48" s="164" t="str" cm="1">
        <f t="array" aca="1" ref="F48" ca="1">IF(RegimeExecucao="Global","",ORÇAMENTO.Unidade)</f>
        <v>-</v>
      </c>
      <c r="G48" s="122" cm="1">
        <f t="array" aca="1" ref="G48" ca="1">IF(RegimeExecucao="Global","",ORÇAMENTO!T48)</f>
        <v>0</v>
      </c>
      <c r="H48" s="122" cm="1">
        <f t="array" aca="1" ref="H48" ca="1">IF(RegimeExecucao="Global","",ORÇAMENTO!W48)</f>
        <v>0</v>
      </c>
      <c r="I48" s="125">
        <f ca="1">ORÇAMENTO!X48</f>
        <v>0</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ht="38.25" x14ac:dyDescent="0.2">
      <c r="A49" t="str">
        <f ca="1">ORÇAMENTO!C49</f>
        <v>S</v>
      </c>
      <c r="B49">
        <f ca="1">ORÇAMENTO!D49</f>
        <v>0</v>
      </c>
      <c r="C49" s="114" t="str">
        <f t="shared" ca="1" si="1"/>
        <v/>
      </c>
      <c r="D49" s="117" t="str">
        <f ca="1">ORÇAMENTO!O49</f>
        <v>-</v>
      </c>
      <c r="E49" s="163" t="str">
        <f t="shared" ca="1" si="2"/>
        <v>(Código não identificado nas referências)</v>
      </c>
      <c r="F49" s="164" t="str" cm="1">
        <f t="array" aca="1" ref="F49" ca="1">IF(RegimeExecucao="Global","",ORÇAMENTO.Unidade)</f>
        <v>-</v>
      </c>
      <c r="G49" s="122" cm="1">
        <f t="array" aca="1" ref="G49" ca="1">IF(RegimeExecucao="Global","",ORÇAMENTO!T49)</f>
        <v>5.01</v>
      </c>
      <c r="H49" s="122" cm="1">
        <f t="array" aca="1" ref="H49" ca="1">IF(RegimeExecucao="Global","",ORÇAMENTO!W49)</f>
        <v>0</v>
      </c>
      <c r="I49" s="125">
        <f ca="1">ORÇAMENTO!X49</f>
        <v>0</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ht="38.25" x14ac:dyDescent="0.2">
      <c r="A50" t="str">
        <f ca="1">ORÇAMENTO!C50</f>
        <v>S</v>
      </c>
      <c r="B50">
        <f ca="1">ORÇAMENTO!D50</f>
        <v>0</v>
      </c>
      <c r="C50" s="114" t="str">
        <f t="shared" ca="1" si="1"/>
        <v/>
      </c>
      <c r="D50" s="117" t="str">
        <f ca="1">ORÇAMENTO!O50</f>
        <v>-</v>
      </c>
      <c r="E50" s="163" t="str">
        <f t="shared" ca="1" si="2"/>
        <v>(Código não identificado nas referências)</v>
      </c>
      <c r="F50" s="164" t="str" cm="1">
        <f t="array" aca="1" ref="F50" ca="1">IF(RegimeExecucao="Global","",ORÇAMENTO.Unidade)</f>
        <v>-</v>
      </c>
      <c r="G50" s="122" cm="1">
        <f t="array" aca="1" ref="G50" ca="1">IF(RegimeExecucao="Global","",ORÇAMENTO!T50)</f>
        <v>14.81</v>
      </c>
      <c r="H50" s="122" cm="1">
        <f t="array" aca="1" ref="H50" ca="1">IF(RegimeExecucao="Global","",ORÇAMENTO!W50)</f>
        <v>0</v>
      </c>
      <c r="I50" s="125">
        <f ca="1">ORÇAMENTO!X50</f>
        <v>0</v>
      </c>
      <c r="J50" s="333" cm="1">
        <f t="array" aca="1" ref="J50" ca="1">IF($A50="S",IF(CAIXA.Modo,BM.AFAnterior,BM.MEDAnterior),IF(AND(RegimeExecucao="Global",$I50&gt;0,COUNTIF($AB$13:$AM$13,BM.medicao-1)&gt;0),M50/$I50*100,0))</f>
        <v>0</v>
      </c>
      <c r="K50" s="122">
        <f t="shared" ca="1" si="3"/>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4"/>
        <v>0</v>
      </c>
      <c r="O50" s="125" cm="1">
        <f t="array" aca="1" ref="O50" ca="1">IF($A50="S",VTOTALBM,IF($A50=0,0,ROUND(SomaAgrupBM,15-13*ORÇAMENTO!$AF$11)))</f>
        <v>0</v>
      </c>
      <c r="Q50" s="337"/>
      <c r="R50" s="338"/>
      <c r="T50" s="117" t="str">
        <f t="shared" ca="1" si="5"/>
        <v/>
      </c>
      <c r="U50" s="163" t="str">
        <f t="shared" ca="1" si="6"/>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ht="25.5" x14ac:dyDescent="0.2">
      <c r="A51" t="str">
        <f ca="1">ORÇAMENTO!C51</f>
        <v>S</v>
      </c>
      <c r="B51">
        <f ca="1">ORÇAMENTO!D51</f>
        <v>0</v>
      </c>
      <c r="C51" s="114" t="str">
        <f t="shared" ca="1" si="1"/>
        <v/>
      </c>
      <c r="D51" s="117" t="str">
        <f ca="1">ORÇAMENTO!O51</f>
        <v>-</v>
      </c>
      <c r="E51" s="163" t="str">
        <f t="shared" ca="1" si="2"/>
        <v>(Código não identificado nas referências)</v>
      </c>
      <c r="F51" s="164" t="str" cm="1">
        <f t="array" aca="1" ref="F51" ca="1">IF(RegimeExecucao="Global","",ORÇAMENTO.Unidade)</f>
        <v>-</v>
      </c>
      <c r="G51" s="122" cm="1">
        <f t="array" aca="1" ref="G51" ca="1">IF(RegimeExecucao="Global","",ORÇAMENTO!T51)</f>
        <v>6</v>
      </c>
      <c r="H51" s="122" cm="1">
        <f t="array" aca="1" ref="H51" ca="1">IF(RegimeExecucao="Global","",ORÇAMENTO!W51)</f>
        <v>0</v>
      </c>
      <c r="I51" s="125">
        <f ca="1">ORÇAMENTO!X51</f>
        <v>0</v>
      </c>
      <c r="J51" s="333" cm="1">
        <f t="array" aca="1" ref="J51" ca="1">IF($A51="S",IF(CAIXA.Modo,BM.AFAnterior,BM.MEDAnterior),IF(AND(RegimeExecucao="Global",$I51&gt;0,COUNTIF($AB$13:$AM$13,BM.medicao-1)&gt;0),M51/$I51*100,0))</f>
        <v>0</v>
      </c>
      <c r="K51" s="122">
        <f t="shared" ca="1" si="3"/>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4"/>
        <v>0</v>
      </c>
      <c r="O51" s="125" cm="1">
        <f t="array" aca="1" ref="O51" ca="1">IF($A51="S",VTOTALBM,IF($A51=0,0,ROUND(SomaAgrupBM,15-13*ORÇAMENTO!$AF$11)))</f>
        <v>0</v>
      </c>
      <c r="Q51" s="337"/>
      <c r="R51" s="338"/>
      <c r="T51" s="117" t="str">
        <f t="shared" ca="1" si="5"/>
        <v/>
      </c>
      <c r="U51" s="163" t="str">
        <f t="shared" ca="1" si="6"/>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ht="25.5" x14ac:dyDescent="0.2">
      <c r="A52" t="str">
        <f ca="1">ORÇAMENTO!C52</f>
        <v>S</v>
      </c>
      <c r="B52">
        <f ca="1">ORÇAMENTO!D52</f>
        <v>0</v>
      </c>
      <c r="C52" s="114" t="str">
        <f t="shared" ca="1" si="1"/>
        <v/>
      </c>
      <c r="D52" s="117" t="str">
        <f ca="1">ORÇAMENTO!O52</f>
        <v>-</v>
      </c>
      <c r="E52" s="163" t="str">
        <f t="shared" ca="1" si="2"/>
        <v>(Código não identificado nas referências)</v>
      </c>
      <c r="F52" s="164" t="str" cm="1">
        <f t="array" aca="1" ref="F52" ca="1">IF(RegimeExecucao="Global","",ORÇAMENTO.Unidade)</f>
        <v>-</v>
      </c>
      <c r="G52" s="122" cm="1">
        <f t="array" aca="1" ref="G52" ca="1">IF(RegimeExecucao="Global","",ORÇAMENTO!T52)</f>
        <v>0.38</v>
      </c>
      <c r="H52" s="122" cm="1">
        <f t="array" aca="1" ref="H52" ca="1">IF(RegimeExecucao="Global","",ORÇAMENTO!W52)</f>
        <v>0</v>
      </c>
      <c r="I52" s="125">
        <f ca="1">ORÇAMENTO!X52</f>
        <v>0</v>
      </c>
      <c r="J52" s="333" cm="1">
        <f t="array" aca="1" ref="J52" ca="1">IF($A52="S",IF(CAIXA.Modo,BM.AFAnterior,BM.MEDAnterior),IF(AND(RegimeExecucao="Global",$I52&gt;0,COUNTIF($AB$13:$AM$13,BM.medicao-1)&gt;0),M52/$I52*100,0))</f>
        <v>0</v>
      </c>
      <c r="K52" s="122">
        <f t="shared" ca="1" si="3"/>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4"/>
        <v>0</v>
      </c>
      <c r="O52" s="125" cm="1">
        <f t="array" aca="1" ref="O52" ca="1">IF($A52="S",VTOTALBM,IF($A52=0,0,ROUND(SomaAgrupBM,15-13*ORÇAMENTO!$AF$11)))</f>
        <v>0</v>
      </c>
      <c r="Q52" s="337"/>
      <c r="R52" s="338"/>
      <c r="T52" s="117" t="str">
        <f t="shared" ca="1" si="5"/>
        <v/>
      </c>
      <c r="U52" s="163" t="str">
        <f t="shared" ca="1" si="6"/>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25.5" x14ac:dyDescent="0.2">
      <c r="A53">
        <f ca="1">ORÇAMENTO!C53</f>
        <v>2</v>
      </c>
      <c r="B53">
        <f ca="1">ORÇAMENTO!D53</f>
        <v>4</v>
      </c>
      <c r="C53" s="114" t="str">
        <f t="shared" ca="1" si="1"/>
        <v>F</v>
      </c>
      <c r="D53" s="117" t="str">
        <f ca="1">ORÇAMENTO!O53</f>
        <v>2.4.</v>
      </c>
      <c r="E53" s="163" t="str">
        <f t="shared" si="2"/>
        <v>VIGAS CINTAMENTO - REAPROVEITAMENTO DE FORMA DAS BALDRAMES</v>
      </c>
      <c r="F53" s="164" t="str" cm="1">
        <f t="array" aca="1" ref="F53" ca="1">IF(RegimeExecucao="Global","",ORÇAMENTO.Unidade)</f>
        <v>-</v>
      </c>
      <c r="G53" s="122" cm="1">
        <f t="array" aca="1" ref="G53" ca="1">IF(RegimeExecucao="Global","",ORÇAMENTO!T53)</f>
        <v>0</v>
      </c>
      <c r="H53" s="122" cm="1">
        <f t="array" aca="1" ref="H53" ca="1">IF(RegimeExecucao="Global","",ORÇAMENTO!W53)</f>
        <v>0</v>
      </c>
      <c r="I53" s="125">
        <f ca="1">ORÇAMENTO!X53</f>
        <v>0</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ht="38.25" x14ac:dyDescent="0.2">
      <c r="A54" t="str">
        <f ca="1">ORÇAMENTO!C54</f>
        <v>S</v>
      </c>
      <c r="B54">
        <f ca="1">ORÇAMENTO!D54</f>
        <v>0</v>
      </c>
      <c r="C54" s="114" t="str">
        <f t="shared" ca="1" si="1"/>
        <v/>
      </c>
      <c r="D54" s="117" t="str">
        <f ca="1">ORÇAMENTO!O54</f>
        <v>-</v>
      </c>
      <c r="E54" s="163" t="str">
        <f t="shared" ca="1" si="2"/>
        <v>(Código não identificado nas referências)</v>
      </c>
      <c r="F54" s="164" t="str" cm="1">
        <f t="array" aca="1" ref="F54" ca="1">IF(RegimeExecucao="Global","",ORÇAMENTO.Unidade)</f>
        <v>-</v>
      </c>
      <c r="G54" s="122" cm="1">
        <f t="array" aca="1" ref="G54" ca="1">IF(RegimeExecucao="Global","",ORÇAMENTO!T54)</f>
        <v>5.08</v>
      </c>
      <c r="H54" s="122" cm="1">
        <f t="array" aca="1" ref="H54" ca="1">IF(RegimeExecucao="Global","",ORÇAMENTO!W54)</f>
        <v>0</v>
      </c>
      <c r="I54" s="125">
        <f ca="1">ORÇAMENTO!X54</f>
        <v>0</v>
      </c>
      <c r="J54" s="333" cm="1">
        <f t="array" aca="1" ref="J54" ca="1">IF($A54="S",IF(CAIXA.Modo,BM.AFAnterior,BM.MEDAnterior),IF(AND(RegimeExecucao="Global",$I54&gt;0,COUNTIF($AB$13:$AM$13,BM.medicao-1)&gt;0),M54/$I54*100,0))</f>
        <v>0</v>
      </c>
      <c r="K54" s="122">
        <f t="shared" ca="1" si="3"/>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4"/>
        <v>0</v>
      </c>
      <c r="O54" s="125" cm="1">
        <f t="array" aca="1" ref="O54" ca="1">IF($A54="S",VTOTALBM,IF($A54=0,0,ROUND(SomaAgrupBM,15-13*ORÇAMENTO!$AF$11)))</f>
        <v>0</v>
      </c>
      <c r="Q54" s="337"/>
      <c r="R54" s="338"/>
      <c r="T54" s="117" t="str">
        <f t="shared" ca="1" si="5"/>
        <v/>
      </c>
      <c r="U54" s="163" t="str">
        <f t="shared" ca="1" si="6"/>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ht="38.25" x14ac:dyDescent="0.2">
      <c r="A55" t="str">
        <f ca="1">ORÇAMENTO!C55</f>
        <v>S</v>
      </c>
      <c r="B55">
        <f ca="1">ORÇAMENTO!D55</f>
        <v>0</v>
      </c>
      <c r="C55" s="114" t="str">
        <f t="shared" ca="1" si="1"/>
        <v/>
      </c>
      <c r="D55" s="117" t="str">
        <f ca="1">ORÇAMENTO!O55</f>
        <v>-</v>
      </c>
      <c r="E55" s="163" t="str">
        <f t="shared" ca="1" si="2"/>
        <v>(Código não identificado nas referências)</v>
      </c>
      <c r="F55" s="164" t="str" cm="1">
        <f t="array" aca="1" ref="F55" ca="1">IF(RegimeExecucao="Global","",ORÇAMENTO.Unidade)</f>
        <v>-</v>
      </c>
      <c r="G55" s="122" cm="1">
        <f t="array" aca="1" ref="G55" ca="1">IF(RegimeExecucao="Global","",ORÇAMENTO!T55)</f>
        <v>6.81</v>
      </c>
      <c r="H55" s="122" cm="1">
        <f t="array" aca="1" ref="H55" ca="1">IF(RegimeExecucao="Global","",ORÇAMENTO!W55)</f>
        <v>0</v>
      </c>
      <c r="I55" s="125">
        <f ca="1">ORÇAMENTO!X55</f>
        <v>0</v>
      </c>
      <c r="J55" s="333" cm="1">
        <f t="array" aca="1" ref="J55" ca="1">IF($A55="S",IF(CAIXA.Modo,BM.AFAnterior,BM.MEDAnterior),IF(AND(RegimeExecucao="Global",$I55&gt;0,COUNTIF($AB$13:$AM$13,BM.medicao-1)&gt;0),M55/$I55*100,0))</f>
        <v>0</v>
      </c>
      <c r="K55" s="122">
        <f t="shared" ca="1" si="3"/>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4"/>
        <v>0</v>
      </c>
      <c r="O55" s="125" cm="1">
        <f t="array" aca="1" ref="O55" ca="1">IF($A55="S",VTOTALBM,IF($A55=0,0,ROUND(SomaAgrupBM,15-13*ORÇAMENTO!$AF$11)))</f>
        <v>0</v>
      </c>
      <c r="Q55" s="337"/>
      <c r="R55" s="338"/>
      <c r="T55" s="117" t="str">
        <f t="shared" ca="1" si="5"/>
        <v/>
      </c>
      <c r="U55" s="163" t="str">
        <f t="shared" ca="1" si="6"/>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ht="38.25" x14ac:dyDescent="0.2">
      <c r="A56" t="str">
        <f ca="1">ORÇAMENTO!C56</f>
        <v>S</v>
      </c>
      <c r="B56">
        <f ca="1">ORÇAMENTO!D56</f>
        <v>0</v>
      </c>
      <c r="C56" s="114" t="str">
        <f t="shared" ca="1" si="1"/>
        <v/>
      </c>
      <c r="D56" s="117" t="str">
        <f ca="1">ORÇAMENTO!O56</f>
        <v>-</v>
      </c>
      <c r="E56" s="163" t="str">
        <f t="shared" ca="1" si="2"/>
        <v>(Código não identificado nas referências)</v>
      </c>
      <c r="F56" s="164" t="str" cm="1">
        <f t="array" aca="1" ref="F56" ca="1">IF(RegimeExecucao="Global","",ORÇAMENTO.Unidade)</f>
        <v>-</v>
      </c>
      <c r="G56" s="122" cm="1">
        <f t="array" aca="1" ref="G56" ca="1">IF(RegimeExecucao="Global","",ORÇAMENTO!T56)</f>
        <v>0.26</v>
      </c>
      <c r="H56" s="122" cm="1">
        <f t="array" aca="1" ref="H56" ca="1">IF(RegimeExecucao="Global","",ORÇAMENTO!W56)</f>
        <v>0</v>
      </c>
      <c r="I56" s="125">
        <f ca="1">ORÇAMENTO!X56</f>
        <v>0</v>
      </c>
      <c r="J56" s="333" cm="1">
        <f t="array" aca="1" ref="J56" ca="1">IF($A56="S",IF(CAIXA.Modo,BM.AFAnterior,BM.MEDAnterior),IF(AND(RegimeExecucao="Global",$I56&gt;0,COUNTIF($AB$13:$AM$13,BM.medicao-1)&gt;0),M56/$I56*100,0))</f>
        <v>0</v>
      </c>
      <c r="K56" s="122">
        <f t="shared" ca="1" si="3"/>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t="shared" ca="1" si="4"/>
        <v>0</v>
      </c>
      <c r="O56" s="125" cm="1">
        <f t="array" aca="1" ref="O56" ca="1">IF($A56="S",VTOTALBM,IF($A56=0,0,ROUND(SomaAgrupBM,15-13*ORÇAMENTO!$AF$11)))</f>
        <v>0</v>
      </c>
      <c r="Q56" s="337"/>
      <c r="R56" s="338"/>
      <c r="T56" s="117" t="str">
        <f t="shared" ca="1" si="5"/>
        <v/>
      </c>
      <c r="U56" s="163" t="str">
        <f t="shared" ca="1" si="6"/>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x14ac:dyDescent="0.2">
      <c r="A57">
        <f ca="1">ORÇAMENTO!C57</f>
        <v>2</v>
      </c>
      <c r="B57">
        <f ca="1">ORÇAMENTO!D57</f>
        <v>6</v>
      </c>
      <c r="C57" s="114" t="str">
        <f t="shared" ca="1" si="1"/>
        <v>F</v>
      </c>
      <c r="D57" s="117" t="str">
        <f ca="1">ORÇAMENTO!O57</f>
        <v>2.5.</v>
      </c>
      <c r="E57" s="163" t="str">
        <f t="shared" si="2"/>
        <v>OITÃO EM ALVENARIA</v>
      </c>
      <c r="F57" s="164" t="str" cm="1">
        <f t="array" aca="1" ref="F57" ca="1">IF(RegimeExecucao="Global","",ORÇAMENTO.Unidade)</f>
        <v>-</v>
      </c>
      <c r="G57" s="122" cm="1">
        <f t="array" aca="1" ref="G57" ca="1">IF(RegimeExecucao="Global","",ORÇAMENTO!T57)</f>
        <v>0</v>
      </c>
      <c r="H57" s="122" cm="1">
        <f t="array" aca="1" ref="H57" ca="1">IF(RegimeExecucao="Global","",ORÇAMENTO!W57)</f>
        <v>0</v>
      </c>
      <c r="I57" s="125">
        <f ca="1">ORÇAMENTO!X57</f>
        <v>0</v>
      </c>
      <c r="J57" s="333" cm="1">
        <f t="array" aca="1" ref="J57" ca="1">IF($A57="S",IF(CAIXA.Modo,BM.AFAnterior,BM.MEDAnterior),IF(AND(RegimeExecucao="Global",$I57&gt;0,COUNTIF($AB$13:$AM$13,BM.medicao-1)&gt;0),M57/$I57*100,0))</f>
        <v>0</v>
      </c>
      <c r="K57" s="122">
        <f t="shared" ca="1" si="3"/>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t="shared" ca="1" si="4"/>
        <v>0</v>
      </c>
      <c r="O57" s="125" cm="1">
        <f t="array" aca="1" ref="O57" ca="1">IF($A57="S",VTOTALBM,IF($A57=0,0,ROUND(SomaAgrupBM,15-13*ORÇAMENTO!$AF$11)))</f>
        <v>0</v>
      </c>
      <c r="Q57" s="337"/>
      <c r="R57" s="338"/>
      <c r="T57" s="117" t="str">
        <f t="shared" ca="1" si="5"/>
        <v/>
      </c>
      <c r="U57" s="163" t="str">
        <f t="shared" ca="1" si="6"/>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ht="51" x14ac:dyDescent="0.2">
      <c r="A58" t="str">
        <f ca="1">ORÇAMENTO!C58</f>
        <v>S</v>
      </c>
      <c r="B58">
        <f ca="1">ORÇAMENTO!D58</f>
        <v>0</v>
      </c>
      <c r="C58" s="114" t="str">
        <f t="shared" ca="1" si="1"/>
        <v/>
      </c>
      <c r="D58" s="117" t="str">
        <f ca="1">ORÇAMENTO!O58</f>
        <v>-</v>
      </c>
      <c r="E58" s="163" t="str">
        <f t="shared" ca="1" si="2"/>
        <v>(Código não identificado nas referências)</v>
      </c>
      <c r="F58" s="164" t="str" cm="1">
        <f t="array" aca="1" ref="F58" ca="1">IF(RegimeExecucao="Global","",ORÇAMENTO.Unidade)</f>
        <v>-</v>
      </c>
      <c r="G58" s="122" cm="1">
        <f t="array" aca="1" ref="G58" ca="1">IF(RegimeExecucao="Global","",ORÇAMENTO!T58)</f>
        <v>1</v>
      </c>
      <c r="H58" s="122" cm="1">
        <f t="array" aca="1" ref="H58" ca="1">IF(RegimeExecucao="Global","",ORÇAMENTO!W58)</f>
        <v>0</v>
      </c>
      <c r="I58" s="125">
        <f ca="1">ORÇAMENTO!X58</f>
        <v>0</v>
      </c>
      <c r="J58" s="333" cm="1">
        <f t="array" aca="1" ref="J58" ca="1">IF($A58="S",IF(CAIXA.Modo,BM.AFAnterior,BM.MEDAnterior),IF(AND(RegimeExecucao="Global",$I58&gt;0,COUNTIF($AB$13:$AM$13,BM.medicao-1)&gt;0),M58/$I58*100,0))</f>
        <v>0</v>
      </c>
      <c r="K58" s="122">
        <f t="shared" ca="1" si="3"/>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4"/>
        <v>0</v>
      </c>
      <c r="O58" s="125" cm="1">
        <f t="array" aca="1" ref="O58" ca="1">IF($A58="S",VTOTALBM,IF($A58=0,0,ROUND(SomaAgrupBM,15-13*ORÇAMENTO!$AF$11)))</f>
        <v>0</v>
      </c>
      <c r="Q58" s="337"/>
      <c r="R58" s="338"/>
      <c r="T58" s="117" t="str">
        <f t="shared" ca="1" si="5"/>
        <v/>
      </c>
      <c r="U58" s="163" t="str">
        <f t="shared" ca="1" si="6"/>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ht="51" x14ac:dyDescent="0.2">
      <c r="A59" t="str">
        <f ca="1">ORÇAMENTO!C59</f>
        <v>S</v>
      </c>
      <c r="B59">
        <f ca="1">ORÇAMENTO!D59</f>
        <v>0</v>
      </c>
      <c r="C59" s="114" t="str">
        <f t="shared" ca="1" si="1"/>
        <v/>
      </c>
      <c r="D59" s="117" t="str">
        <f ca="1">ORÇAMENTO!O59</f>
        <v>-</v>
      </c>
      <c r="E59" s="163" t="str">
        <f t="shared" ca="1" si="2"/>
        <v>(Código não identificado nas referências)</v>
      </c>
      <c r="F59" s="164" t="str" cm="1">
        <f t="array" aca="1" ref="F59" ca="1">IF(RegimeExecucao="Global","",ORÇAMENTO.Unidade)</f>
        <v>-</v>
      </c>
      <c r="G59" s="122" cm="1">
        <f t="array" aca="1" ref="G59" ca="1">IF(RegimeExecucao="Global","",ORÇAMENTO!T59)</f>
        <v>2</v>
      </c>
      <c r="H59" s="122" cm="1">
        <f t="array" aca="1" ref="H59" ca="1">IF(RegimeExecucao="Global","",ORÇAMENTO!W59)</f>
        <v>0</v>
      </c>
      <c r="I59" s="125">
        <f ca="1">ORÇAMENTO!X59</f>
        <v>0</v>
      </c>
      <c r="J59" s="333" cm="1">
        <f t="array" aca="1" ref="J59" ca="1">IF($A59="S",IF(CAIXA.Modo,BM.AFAnterior,BM.MEDAnterior),IF(AND(RegimeExecucao="Global",$I59&gt;0,COUNTIF($AB$13:$AM$13,BM.medicao-1)&gt;0),M59/$I59*100,0))</f>
        <v>0</v>
      </c>
      <c r="K59" s="122">
        <f t="shared" ca="1" si="3"/>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t="shared" ca="1" si="4"/>
        <v>0</v>
      </c>
      <c r="O59" s="125" cm="1">
        <f t="array" aca="1" ref="O59" ca="1">IF($A59="S",VTOTALBM,IF($A59=0,0,ROUND(SomaAgrupBM,15-13*ORÇAMENTO!$AF$11)))</f>
        <v>0</v>
      </c>
      <c r="Q59" s="337"/>
      <c r="R59" s="338"/>
      <c r="T59" s="117" t="str">
        <f t="shared" ca="1" si="5"/>
        <v/>
      </c>
      <c r="U59" s="163" t="str">
        <f t="shared" ca="1" si="6"/>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t="shared" ca="1" si="7"/>
        <v>0</v>
      </c>
      <c r="Z59" s="473"/>
      <c r="AB59" s="337"/>
      <c r="AC59" s="437"/>
      <c r="AD59" s="437"/>
      <c r="AE59" s="437"/>
      <c r="AF59" s="437"/>
      <c r="AG59" s="437"/>
      <c r="AH59" s="437"/>
      <c r="AI59" s="437"/>
      <c r="AJ59" s="437"/>
      <c r="AK59" s="437"/>
      <c r="AL59" s="437"/>
      <c r="AM59" s="338"/>
      <c r="AO59"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ht="51" x14ac:dyDescent="0.2">
      <c r="A60" t="str">
        <f ca="1">ORÇAMENTO!C60</f>
        <v>S</v>
      </c>
      <c r="B60">
        <f ca="1">ORÇAMENTO!D60</f>
        <v>0</v>
      </c>
      <c r="C60" s="114" t="str">
        <f t="shared" ca="1" si="1"/>
        <v/>
      </c>
      <c r="D60" s="117" t="str">
        <f ca="1">ORÇAMENTO!O60</f>
        <v>-</v>
      </c>
      <c r="E60" s="163" t="str">
        <f t="shared" ca="1" si="2"/>
        <v>(Código não identificado nas referências)</v>
      </c>
      <c r="F60" s="164" t="str" cm="1">
        <f t="array" aca="1" ref="F60" ca="1">IF(RegimeExecucao="Global","",ORÇAMENTO.Unidade)</f>
        <v>-</v>
      </c>
      <c r="G60" s="122" cm="1">
        <f t="array" aca="1" ref="G60" ca="1">IF(RegimeExecucao="Global","",ORÇAMENTO!T60)</f>
        <v>2</v>
      </c>
      <c r="H60" s="122" cm="1">
        <f t="array" aca="1" ref="H60" ca="1">IF(RegimeExecucao="Global","",ORÇAMENTO!W60)</f>
        <v>0</v>
      </c>
      <c r="I60" s="125">
        <f ca="1">ORÇAMENTO!X60</f>
        <v>0</v>
      </c>
      <c r="J60" s="333" cm="1">
        <f t="array" aca="1" ref="J60" ca="1">IF($A60="S",IF(CAIXA.Modo,BM.AFAnterior,BM.MEDAnterior),IF(AND(RegimeExecucao="Global",$I60&gt;0,COUNTIF($AB$13:$AM$13,BM.medicao-1)&gt;0),M60/$I60*100,0))</f>
        <v>0</v>
      </c>
      <c r="K60" s="122">
        <f t="shared" ca="1" si="3"/>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t="shared" ca="1" si="4"/>
        <v>0</v>
      </c>
      <c r="O60" s="125" cm="1">
        <f t="array" aca="1" ref="O60" ca="1">IF($A60="S",VTOTALBM,IF($A60=0,0,ROUND(SomaAgrupBM,15-13*ORÇAMENTO!$AF$11)))</f>
        <v>0</v>
      </c>
      <c r="Q60" s="337"/>
      <c r="R60" s="338"/>
      <c r="T60" s="117" t="str">
        <f t="shared" ca="1" si="5"/>
        <v/>
      </c>
      <c r="U60" s="163" t="str">
        <f t="shared" ca="1" si="6"/>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t="shared" ca="1" si="7"/>
        <v>0</v>
      </c>
      <c r="Z60" s="473"/>
      <c r="AB60" s="337"/>
      <c r="AC60" s="437"/>
      <c r="AD60" s="437"/>
      <c r="AE60" s="437"/>
      <c r="AF60" s="437"/>
      <c r="AG60" s="437"/>
      <c r="AH60" s="437"/>
      <c r="AI60" s="437"/>
      <c r="AJ60" s="437"/>
      <c r="AK60" s="437"/>
      <c r="AL60" s="437"/>
      <c r="AM60" s="338"/>
      <c r="AO60"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ht="25.5" x14ac:dyDescent="0.2">
      <c r="A61" t="str">
        <f ca="1">ORÇAMENTO!C61</f>
        <v>S</v>
      </c>
      <c r="B61">
        <f ca="1">ORÇAMENTO!D61</f>
        <v>0</v>
      </c>
      <c r="C61" s="114" t="str">
        <f t="shared" ca="1" si="1"/>
        <v/>
      </c>
      <c r="D61" s="117" t="str">
        <f ca="1">ORÇAMENTO!O61</f>
        <v>-</v>
      </c>
      <c r="E61" s="163" t="str">
        <f t="shared" ca="1" si="2"/>
        <v>(Código não identificado nas referências)</v>
      </c>
      <c r="F61" s="164" t="str" cm="1">
        <f t="array" aca="1" ref="F61" ca="1">IF(RegimeExecucao="Global","",ORÇAMENTO.Unidade)</f>
        <v>-</v>
      </c>
      <c r="G61" s="122" cm="1">
        <f t="array" aca="1" ref="G61" ca="1">IF(RegimeExecucao="Global","",ORÇAMENTO!T61)</f>
        <v>2</v>
      </c>
      <c r="H61" s="122" cm="1">
        <f t="array" aca="1" ref="H61" ca="1">IF(RegimeExecucao="Global","",ORÇAMENTO!W61)</f>
        <v>0</v>
      </c>
      <c r="I61" s="125">
        <f ca="1">ORÇAMENTO!X61</f>
        <v>0</v>
      </c>
      <c r="J61" s="333" cm="1">
        <f t="array" aca="1" ref="J61" ca="1">IF($A61="S",IF(CAIXA.Modo,BM.AFAnterior,BM.MEDAnterior),IF(AND(RegimeExecucao="Global",$I61&gt;0,COUNTIF($AB$13:$AM$13,BM.medicao-1)&gt;0),M61/$I61*100,0))</f>
        <v>0</v>
      </c>
      <c r="K61" s="122">
        <f t="shared" ca="1" si="3"/>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t="shared" ca="1" si="4"/>
        <v>0</v>
      </c>
      <c r="O61" s="125" cm="1">
        <f t="array" aca="1" ref="O61" ca="1">IF($A61="S",VTOTALBM,IF($A61=0,0,ROUND(SomaAgrupBM,15-13*ORÇAMENTO!$AF$11)))</f>
        <v>0</v>
      </c>
      <c r="Q61" s="337"/>
      <c r="R61" s="338"/>
      <c r="T61" s="117" t="str">
        <f t="shared" ca="1" si="5"/>
        <v/>
      </c>
      <c r="U61" s="163" t="str">
        <f t="shared" ca="1" si="6"/>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t="shared" ca="1" si="7"/>
        <v>0</v>
      </c>
      <c r="Z61" s="473"/>
      <c r="AB61" s="337"/>
      <c r="AC61" s="437"/>
      <c r="AD61" s="437"/>
      <c r="AE61" s="437"/>
      <c r="AF61" s="437"/>
      <c r="AG61" s="437"/>
      <c r="AH61" s="437"/>
      <c r="AI61" s="437"/>
      <c r="AJ61" s="437"/>
      <c r="AK61" s="437"/>
      <c r="AL61" s="437"/>
      <c r="AM61" s="338"/>
      <c r="AO61"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ht="25.5" x14ac:dyDescent="0.2">
      <c r="A62" t="str">
        <f ca="1">ORÇAMENTO!C62</f>
        <v>S</v>
      </c>
      <c r="B62">
        <f ca="1">ORÇAMENTO!D62</f>
        <v>0</v>
      </c>
      <c r="C62" s="114" t="str">
        <f t="shared" ca="1" si="1"/>
        <v/>
      </c>
      <c r="D62" s="117" t="str">
        <f ca="1">ORÇAMENTO!O62</f>
        <v>-</v>
      </c>
      <c r="E62" s="163" t="str">
        <f t="shared" ca="1" si="2"/>
        <v>(Código não identificado nas referências)</v>
      </c>
      <c r="F62" s="164" t="str" cm="1">
        <f t="array" aca="1" ref="F62" ca="1">IF(RegimeExecucao="Global","",ORÇAMENTO.Unidade)</f>
        <v>-</v>
      </c>
      <c r="G62" s="122" cm="1">
        <f t="array" aca="1" ref="G62" ca="1">IF(RegimeExecucao="Global","",ORÇAMENTO!T62)</f>
        <v>2</v>
      </c>
      <c r="H62" s="122" cm="1">
        <f t="array" aca="1" ref="H62" ca="1">IF(RegimeExecucao="Global","",ORÇAMENTO!W62)</f>
        <v>0</v>
      </c>
      <c r="I62" s="125">
        <f ca="1">ORÇAMENTO!X62</f>
        <v>0</v>
      </c>
      <c r="J62" s="333" cm="1">
        <f t="array" aca="1" ref="J62" ca="1">IF($A62="S",IF(CAIXA.Modo,BM.AFAnterior,BM.MEDAnterior),IF(AND(RegimeExecucao="Global",$I62&gt;0,COUNTIF($AB$13:$AM$13,BM.medicao-1)&gt;0),M62/$I62*100,0))</f>
        <v>0</v>
      </c>
      <c r="K62" s="122">
        <f t="shared" ca="1" si="3"/>
        <v>0</v>
      </c>
      <c r="L62" s="334" cm="1">
        <f t="array" aca="1" ref="L62" ca="1">IF($A62="S",IF(CAIXA.Modo,BM.AFAcumulado,BM.MEDAcumulado),IF(AND(RegimeExecucao="Global",$I62&gt;0,COUNTIF($AB$13:$AM$13,BM.medicao)&gt;0),O62/$I62*100,0))</f>
        <v>0</v>
      </c>
      <c r="M62" s="335" cm="1">
        <f t="array" aca="1" ref="M62" ca="1">IF($A62="S",VTOTALBM,IF($A62=0,0,ROUND(SomaAgrupBM,15-13*ORÇAMENTO!$AF$11)))</f>
        <v>0</v>
      </c>
      <c r="N62" s="336">
        <f t="shared" ca="1" si="4"/>
        <v>0</v>
      </c>
      <c r="O62" s="125" cm="1">
        <f t="array" aca="1" ref="O62" ca="1">IF($A62="S",VTOTALBM,IF($A62=0,0,ROUND(SomaAgrupBM,15-13*ORÇAMENTO!$AF$11)))</f>
        <v>0</v>
      </c>
      <c r="Q62" s="337"/>
      <c r="R62" s="338"/>
      <c r="T62" s="117" t="str">
        <f t="shared" ca="1" si="5"/>
        <v/>
      </c>
      <c r="U62" s="163" t="str">
        <f t="shared" ca="1" si="6"/>
        <v/>
      </c>
      <c r="V62" s="164" t="str" cm="1">
        <f t="array" aca="1" ref="V62" ca="1">IF(AND($W62&gt;0,RegimeExecucao="Unitário"),$F62,"")</f>
        <v/>
      </c>
      <c r="W62" s="454" cm="1">
        <f t="array" aca="1" ref="W62" ca="1">IF($Y62&gt;0,CHOOSE(MATCH(RegimeExecucao,{"Unitário","Global"},0),IF($A62="S",$Y62/$X62,""),($Y62/$X62)*100),0)</f>
        <v>0</v>
      </c>
      <c r="X62" s="339" t="str" cm="1">
        <f t="array" aca="1" ref="X62" ca="1">IF($Y62&gt;0,CHOOSE(MATCH(RegimeExecucao,{"Unitário","Global"},0),IF($A62="S",ROUND($H62,ORÇAMENTO!$AF$10),""),ROUND($I62,ORÇAMENTO!$AF$11)),"")</f>
        <v/>
      </c>
      <c r="Y62" s="339">
        <f t="shared" ca="1" si="7"/>
        <v>0</v>
      </c>
      <c r="Z62" s="473"/>
      <c r="AB62" s="337"/>
      <c r="AC62" s="437"/>
      <c r="AD62" s="437"/>
      <c r="AE62" s="437"/>
      <c r="AF62" s="437"/>
      <c r="AG62" s="437"/>
      <c r="AH62" s="437"/>
      <c r="AI62" s="437"/>
      <c r="AJ62" s="437"/>
      <c r="AK62" s="437"/>
      <c r="AL62" s="437"/>
      <c r="AM62" s="338"/>
      <c r="AO62"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x14ac:dyDescent="0.2">
      <c r="A63">
        <f ca="1">ORÇAMENTO!C63</f>
        <v>2</v>
      </c>
      <c r="B63">
        <f ca="1">ORÇAMENTO!D63</f>
        <v>5</v>
      </c>
      <c r="C63" s="114" t="str">
        <f t="shared" ca="1" si="1"/>
        <v>F</v>
      </c>
      <c r="D63" s="117" t="str">
        <f ca="1">ORÇAMENTO!O63</f>
        <v>2.6.</v>
      </c>
      <c r="E63" s="163" t="str">
        <f t="shared" si="2"/>
        <v>COBERTURA</v>
      </c>
      <c r="F63" s="164" t="str" cm="1">
        <f t="array" aca="1" ref="F63" ca="1">IF(RegimeExecucao="Global","",ORÇAMENTO.Unidade)</f>
        <v>-</v>
      </c>
      <c r="G63" s="122" cm="1">
        <f t="array" aca="1" ref="G63" ca="1">IF(RegimeExecucao="Global","",ORÇAMENTO!T63)</f>
        <v>0</v>
      </c>
      <c r="H63" s="122" cm="1">
        <f t="array" aca="1" ref="H63" ca="1">IF(RegimeExecucao="Global","",ORÇAMENTO!W63)</f>
        <v>0</v>
      </c>
      <c r="I63" s="125">
        <f ca="1">ORÇAMENTO!X63</f>
        <v>0</v>
      </c>
      <c r="J63" s="333" cm="1">
        <f t="array" aca="1" ref="J63" ca="1">IF($A63="S",IF(CAIXA.Modo,BM.AFAnterior,BM.MEDAnterior),IF(AND(RegimeExecucao="Global",$I63&gt;0,COUNTIF($AB$13:$AM$13,BM.medicao-1)&gt;0),M63/$I63*100,0))</f>
        <v>0</v>
      </c>
      <c r="K63" s="122">
        <f t="shared" ca="1" si="3"/>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t="shared" ca="1" si="4"/>
        <v>0</v>
      </c>
      <c r="O63" s="125" cm="1">
        <f t="array" aca="1" ref="O63" ca="1">IF($A63="S",VTOTALBM,IF($A63=0,0,ROUND(SomaAgrupBM,15-13*ORÇAMENTO!$AF$11)))</f>
        <v>0</v>
      </c>
      <c r="Q63" s="337"/>
      <c r="R63" s="338"/>
      <c r="T63" s="117" t="str">
        <f t="shared" ca="1" si="5"/>
        <v/>
      </c>
      <c r="U63" s="163" t="str">
        <f t="shared" ca="1" si="6"/>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t="shared" ca="1" si="7"/>
        <v>0</v>
      </c>
      <c r="Z63" s="473"/>
      <c r="AB63" s="337"/>
      <c r="AC63" s="437"/>
      <c r="AD63" s="437"/>
      <c r="AE63" s="437"/>
      <c r="AF63" s="437"/>
      <c r="AG63" s="437"/>
      <c r="AH63" s="437"/>
      <c r="AI63" s="437"/>
      <c r="AJ63" s="437"/>
      <c r="AK63" s="437"/>
      <c r="AL63" s="437"/>
      <c r="AM63" s="338"/>
      <c r="AO63"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ht="51" x14ac:dyDescent="0.2">
      <c r="A64" t="str">
        <f ca="1">ORÇAMENTO!C64</f>
        <v>S</v>
      </c>
      <c r="B64">
        <f ca="1">ORÇAMENTO!D64</f>
        <v>0</v>
      </c>
      <c r="C64" s="114" t="str">
        <f t="shared" ca="1" si="1"/>
        <v/>
      </c>
      <c r="D64" s="117" t="str">
        <f ca="1">ORÇAMENTO!O64</f>
        <v>-</v>
      </c>
      <c r="E64" s="163" t="str">
        <f t="shared" ca="1" si="2"/>
        <v>(Código não identificado nas referências)</v>
      </c>
      <c r="F64" s="164" t="str" cm="1">
        <f t="array" aca="1" ref="F64" ca="1">IF(RegimeExecucao="Global","",ORÇAMENTO.Unidade)</f>
        <v>-</v>
      </c>
      <c r="G64" s="122" cm="1">
        <f t="array" aca="1" ref="G64" ca="1">IF(RegimeExecucao="Global","",ORÇAMENTO!T64)</f>
        <v>2</v>
      </c>
      <c r="H64" s="122" cm="1">
        <f t="array" aca="1" ref="H64" ca="1">IF(RegimeExecucao="Global","",ORÇAMENTO!W64)</f>
        <v>0</v>
      </c>
      <c r="I64" s="125">
        <f ca="1">ORÇAMENTO!X64</f>
        <v>0</v>
      </c>
      <c r="J64" s="333" cm="1">
        <f t="array" aca="1" ref="J64" ca="1">IF($A64="S",IF(CAIXA.Modo,BM.AFAnterior,BM.MEDAnterior),IF(AND(RegimeExecucao="Global",$I64&gt;0,COUNTIF($AB$13:$AM$13,BM.medicao-1)&gt;0),M64/$I64*100,0))</f>
        <v>0</v>
      </c>
      <c r="K64" s="122">
        <f t="shared" ca="1" si="3"/>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4"/>
        <v>0</v>
      </c>
      <c r="O64" s="125" cm="1">
        <f t="array" aca="1" ref="O64" ca="1">IF($A64="S",VTOTALBM,IF($A64=0,0,ROUND(SomaAgrupBM,15-13*ORÇAMENTO!$AF$11)))</f>
        <v>0</v>
      </c>
      <c r="Q64" s="337"/>
      <c r="R64" s="338"/>
      <c r="T64" s="117" t="str">
        <f t="shared" ca="1" si="5"/>
        <v/>
      </c>
      <c r="U64" s="163" t="str">
        <f t="shared" ca="1" si="6"/>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ht="51" x14ac:dyDescent="0.2">
      <c r="A65" t="str">
        <f ca="1">ORÇAMENTO!C65</f>
        <v>S</v>
      </c>
      <c r="B65">
        <f ca="1">ORÇAMENTO!D65</f>
        <v>0</v>
      </c>
      <c r="C65" s="114" t="str">
        <f t="shared" ca="1" si="1"/>
        <v/>
      </c>
      <c r="D65" s="117" t="str">
        <f ca="1">ORÇAMENTO!O65</f>
        <v>-</v>
      </c>
      <c r="E65" s="163" t="str">
        <f t="shared" ca="1" si="2"/>
        <v>(Código não identificado nas referências)</v>
      </c>
      <c r="F65" s="164" t="str" cm="1">
        <f t="array" aca="1" ref="F65" ca="1">IF(RegimeExecucao="Global","",ORÇAMENTO.Unidade)</f>
        <v>-</v>
      </c>
      <c r="G65" s="122" cm="1">
        <f t="array" aca="1" ref="G65" ca="1">IF(RegimeExecucao="Global","",ORÇAMENTO!T65)</f>
        <v>9.92</v>
      </c>
      <c r="H65" s="122" cm="1">
        <f t="array" aca="1" ref="H65" ca="1">IF(RegimeExecucao="Global","",ORÇAMENTO!W65)</f>
        <v>0</v>
      </c>
      <c r="I65" s="125">
        <f ca="1">ORÇAMENTO!X65</f>
        <v>0</v>
      </c>
      <c r="J65" s="333" cm="1">
        <f t="array" aca="1" ref="J65" ca="1">IF($A65="S",IF(CAIXA.Modo,BM.AFAnterior,BM.MEDAnterior),IF(AND(RegimeExecucao="Global",$I65&gt;0,COUNTIF($AB$13:$AM$13,BM.medicao-1)&gt;0),M65/$I65*100,0))</f>
        <v>0</v>
      </c>
      <c r="K65" s="122">
        <f t="shared" ca="1" si="3"/>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4"/>
        <v>0</v>
      </c>
      <c r="O65" s="125" cm="1">
        <f t="array" aca="1" ref="O65" ca="1">IF($A65="S",VTOTALBM,IF($A65=0,0,ROUND(SomaAgrupBM,15-13*ORÇAMENTO!$AF$11)))</f>
        <v>0</v>
      </c>
      <c r="Q65" s="337"/>
      <c r="R65" s="338"/>
      <c r="T65" s="117" t="str">
        <f t="shared" ca="1" si="5"/>
        <v/>
      </c>
      <c r="U65" s="163" t="str">
        <f t="shared" ca="1" si="6"/>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ht="25.5" x14ac:dyDescent="0.2">
      <c r="A66" t="str">
        <f ca="1">ORÇAMENTO!C66</f>
        <v>S</v>
      </c>
      <c r="B66">
        <f ca="1">ORÇAMENTO!D66</f>
        <v>0</v>
      </c>
      <c r="C66" s="114" t="str">
        <f t="shared" ca="1" si="1"/>
        <v/>
      </c>
      <c r="D66" s="117" t="str">
        <f ca="1">ORÇAMENTO!O66</f>
        <v>-</v>
      </c>
      <c r="E66" s="163" t="str">
        <f t="shared" ca="1" si="2"/>
        <v>(Código não identificado nas referências)</v>
      </c>
      <c r="F66" s="164" t="str" cm="1">
        <f t="array" aca="1" ref="F66" ca="1">IF(RegimeExecucao="Global","",ORÇAMENTO.Unidade)</f>
        <v>-</v>
      </c>
      <c r="G66" s="122" cm="1">
        <f t="array" aca="1" ref="G66" ca="1">IF(RegimeExecucao="Global","",ORÇAMENTO!T66)</f>
        <v>9.92</v>
      </c>
      <c r="H66" s="122" cm="1">
        <f t="array" aca="1" ref="H66" ca="1">IF(RegimeExecucao="Global","",ORÇAMENTO!W66)</f>
        <v>0</v>
      </c>
      <c r="I66" s="125">
        <f ca="1">ORÇAMENTO!X66</f>
        <v>0</v>
      </c>
      <c r="J66" s="333" cm="1">
        <f t="array" aca="1" ref="J66" ca="1">IF($A66="S",IF(CAIXA.Modo,BM.AFAnterior,BM.MEDAnterior),IF(AND(RegimeExecucao="Global",$I66&gt;0,COUNTIF($AB$13:$AM$13,BM.medicao-1)&gt;0),M66/$I66*100,0))</f>
        <v>0</v>
      </c>
      <c r="K66" s="122">
        <f t="shared" ca="1" si="3"/>
        <v>0</v>
      </c>
      <c r="L66" s="334" cm="1">
        <f t="array" aca="1" ref="L66" ca="1">IF($A66="S",IF(CAIXA.Modo,BM.AFAcumulado,BM.MEDAcumulado),IF(AND(RegimeExecucao="Global",$I66&gt;0,COUNTIF($AB$13:$AM$13,BM.medicao)&gt;0),O66/$I66*100,0))</f>
        <v>0</v>
      </c>
      <c r="M66" s="335" cm="1">
        <f t="array" aca="1" ref="M66" ca="1">IF($A66="S",VTOTALBM,IF($A66=0,0,ROUND(SomaAgrupBM,15-13*ORÇAMENTO!$AF$11)))</f>
        <v>0</v>
      </c>
      <c r="N66" s="336">
        <f t="shared" ca="1" si="4"/>
        <v>0</v>
      </c>
      <c r="O66" s="125" cm="1">
        <f t="array" aca="1" ref="O66" ca="1">IF($A66="S",VTOTALBM,IF($A66=0,0,ROUND(SomaAgrupBM,15-13*ORÇAMENTO!$AF$11)))</f>
        <v>0</v>
      </c>
      <c r="Q66" s="337"/>
      <c r="R66" s="338"/>
      <c r="T66" s="117" t="str">
        <f t="shared" ca="1" si="5"/>
        <v/>
      </c>
      <c r="U66" s="163" t="str">
        <f t="shared" ca="1" si="6"/>
        <v/>
      </c>
      <c r="V66" s="164" t="str" cm="1">
        <f t="array" aca="1" ref="V66" ca="1">IF(AND($W66&gt;0,RegimeExecucao="Unitário"),$F66,"")</f>
        <v/>
      </c>
      <c r="W66" s="454" cm="1">
        <f t="array" aca="1" ref="W66" ca="1">IF($Y66&gt;0,CHOOSE(MATCH(RegimeExecucao,{"Unitário","Global"},0),IF($A66="S",$Y66/$X66,""),($Y66/$X66)*100),0)</f>
        <v>0</v>
      </c>
      <c r="X66" s="339" t="str" cm="1">
        <f t="array" aca="1" ref="X66" ca="1">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ht="51" x14ac:dyDescent="0.2">
      <c r="A67" t="str">
        <f ca="1">ORÇAMENTO!C67</f>
        <v>S</v>
      </c>
      <c r="B67">
        <f ca="1">ORÇAMENTO!D67</f>
        <v>0</v>
      </c>
      <c r="C67" s="114" t="str">
        <f t="shared" ca="1" si="1"/>
        <v/>
      </c>
      <c r="D67" s="117" t="str">
        <f ca="1">ORÇAMENTO!O67</f>
        <v>-</v>
      </c>
      <c r="E67" s="163" t="str">
        <f t="shared" ca="1" si="2"/>
        <v>(Código não identificado nas referências)</v>
      </c>
      <c r="F67" s="164" t="str" cm="1">
        <f t="array" aca="1" ref="F67" ca="1">IF(RegimeExecucao="Global","",ORÇAMENTO.Unidade)</f>
        <v>-</v>
      </c>
      <c r="G67" s="122" cm="1">
        <f t="array" aca="1" ref="G67" ca="1">IF(RegimeExecucao="Global","",ORÇAMENTO!T67)</f>
        <v>10</v>
      </c>
      <c r="H67" s="122" cm="1">
        <f t="array" aca="1" ref="H67" ca="1">IF(RegimeExecucao="Global","",ORÇAMENTO!W67)</f>
        <v>0</v>
      </c>
      <c r="I67" s="125">
        <f ca="1">ORÇAMENTO!X67</f>
        <v>0</v>
      </c>
      <c r="J67" s="333" cm="1">
        <f t="array" aca="1" ref="J67" ca="1">IF($A67="S",IF(CAIXA.Modo,BM.AFAnterior,BM.MEDAnterior),IF(AND(RegimeExecucao="Global",$I67&gt;0,COUNTIF($AB$13:$AM$13,BM.medicao-1)&gt;0),M67/$I67*100,0))</f>
        <v>0</v>
      </c>
      <c r="K67" s="122">
        <f t="shared" ca="1" si="3"/>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4"/>
        <v>0</v>
      </c>
      <c r="O67" s="125" cm="1">
        <f t="array" aca="1" ref="O67" ca="1">IF($A67="S",VTOTALBM,IF($A67=0,0,ROUND(SomaAgrupBM,15-13*ORÇAMENTO!$AF$11)))</f>
        <v>0</v>
      </c>
      <c r="Q67" s="337"/>
      <c r="R67" s="338"/>
      <c r="T67" s="117" t="str">
        <f t="shared" ca="1" si="5"/>
        <v/>
      </c>
      <c r="U67" s="163" t="str">
        <f t="shared" ca="1" si="6"/>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x14ac:dyDescent="0.2">
      <c r="A68">
        <f ca="1">ORÇAMENTO!C68</f>
        <v>2</v>
      </c>
      <c r="B68">
        <f ca="1">ORÇAMENTO!D68</f>
        <v>3</v>
      </c>
      <c r="C68" s="114" t="str">
        <f t="shared" ca="1" si="1"/>
        <v>F</v>
      </c>
      <c r="D68" s="117" t="str">
        <f ca="1">ORÇAMENTO!O68</f>
        <v>2.7.</v>
      </c>
      <c r="E68" s="163" t="str">
        <f t="shared" si="2"/>
        <v>PINTURA DOS PILARES E VIGAS</v>
      </c>
      <c r="F68" s="164" t="str" cm="1">
        <f t="array" aca="1" ref="F68" ca="1">IF(RegimeExecucao="Global","",ORÇAMENTO.Unidade)</f>
        <v>-</v>
      </c>
      <c r="G68" s="122" cm="1">
        <f t="array" aca="1" ref="G68" ca="1">IF(RegimeExecucao="Global","",ORÇAMENTO!T68)</f>
        <v>0</v>
      </c>
      <c r="H68" s="122" cm="1">
        <f t="array" aca="1" ref="H68" ca="1">IF(RegimeExecucao="Global","",ORÇAMENTO!W68)</f>
        <v>0</v>
      </c>
      <c r="I68" s="125">
        <f ca="1">ORÇAMENTO!X68</f>
        <v>0</v>
      </c>
      <c r="J68" s="333" cm="1">
        <f t="array" aca="1" ref="J68" ca="1">IF($A68="S",IF(CAIXA.Modo,BM.AFAnterior,BM.MEDAnterior),IF(AND(RegimeExecucao="Global",$I68&gt;0,COUNTIF($AB$13:$AM$13,BM.medicao-1)&gt;0),M68/$I68*100,0))</f>
        <v>0</v>
      </c>
      <c r="K68" s="122">
        <f t="shared" ca="1" si="3"/>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t="shared" ca="1" si="4"/>
        <v>0</v>
      </c>
      <c r="O68" s="125" cm="1">
        <f t="array" aca="1" ref="O68" ca="1">IF($A68="S",VTOTALBM,IF($A68=0,0,ROUND(SomaAgrupBM,15-13*ORÇAMENTO!$AF$11)))</f>
        <v>0</v>
      </c>
      <c r="Q68" s="337"/>
      <c r="R68" s="338"/>
      <c r="T68" s="117" t="str">
        <f t="shared" ca="1" si="5"/>
        <v/>
      </c>
      <c r="U68" s="163" t="str">
        <f t="shared" ca="1" si="6"/>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t="shared" ca="1" si="7"/>
        <v>0</v>
      </c>
      <c r="Z68" s="473"/>
      <c r="AB68" s="337"/>
      <c r="AC68" s="437"/>
      <c r="AD68" s="437"/>
      <c r="AE68" s="437"/>
      <c r="AF68" s="437"/>
      <c r="AG68" s="437"/>
      <c r="AH68" s="437"/>
      <c r="AI68" s="437"/>
      <c r="AJ68" s="437"/>
      <c r="AK68" s="437"/>
      <c r="AL68" s="437"/>
      <c r="AM68" s="338"/>
      <c r="AO6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ht="25.5" x14ac:dyDescent="0.2">
      <c r="A69" t="str">
        <f ca="1">ORÇAMENTO!C69</f>
        <v>S</v>
      </c>
      <c r="B69">
        <f ca="1">ORÇAMENTO!D69</f>
        <v>0</v>
      </c>
      <c r="C69" s="114" t="str">
        <f t="shared" ca="1" si="1"/>
        <v/>
      </c>
      <c r="D69" s="117" t="str">
        <f ca="1">ORÇAMENTO!O69</f>
        <v>-</v>
      </c>
      <c r="E69" s="163" t="str">
        <f t="shared" ca="1" si="2"/>
        <v>(Código não identificado nas referências)</v>
      </c>
      <c r="F69" s="164" t="str" cm="1">
        <f t="array" aca="1" ref="F69" ca="1">IF(RegimeExecucao="Global","",ORÇAMENTO.Unidade)</f>
        <v>-</v>
      </c>
      <c r="G69" s="122" cm="1">
        <f t="array" aca="1" ref="G69" ca="1">IF(RegimeExecucao="Global","",ORÇAMENTO!T69)</f>
        <v>11.56</v>
      </c>
      <c r="H69" s="122" cm="1">
        <f t="array" aca="1" ref="H69" ca="1">IF(RegimeExecucao="Global","",ORÇAMENTO!W69)</f>
        <v>0</v>
      </c>
      <c r="I69" s="125">
        <f ca="1">ORÇAMENTO!X69</f>
        <v>0</v>
      </c>
      <c r="J69" s="333" cm="1">
        <f t="array" aca="1" ref="J69" ca="1">IF($A69="S",IF(CAIXA.Modo,BM.AFAnterior,BM.MEDAnterior),IF(AND(RegimeExecucao="Global",$I69&gt;0,COUNTIF($AB$13:$AM$13,BM.medicao-1)&gt;0),M69/$I69*100,0))</f>
        <v>0</v>
      </c>
      <c r="K69" s="122">
        <f t="shared" ca="1" si="3"/>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t="shared" ca="1" si="4"/>
        <v>0</v>
      </c>
      <c r="O69" s="125" cm="1">
        <f t="array" aca="1" ref="O69" ca="1">IF($A69="S",VTOTALBM,IF($A69=0,0,ROUND(SomaAgrupBM,15-13*ORÇAMENTO!$AF$11)))</f>
        <v>0</v>
      </c>
      <c r="Q69" s="337"/>
      <c r="R69" s="338"/>
      <c r="T69" s="117" t="str">
        <f t="shared" ca="1" si="5"/>
        <v/>
      </c>
      <c r="U69" s="163" t="str">
        <f t="shared" ca="1" si="6"/>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t="shared" ca="1" si="7"/>
        <v>0</v>
      </c>
      <c r="Z69" s="473"/>
      <c r="AB69" s="337"/>
      <c r="AC69" s="437"/>
      <c r="AD69" s="437"/>
      <c r="AE69" s="437"/>
      <c r="AF69" s="437"/>
      <c r="AG69" s="437"/>
      <c r="AH69" s="437"/>
      <c r="AI69" s="437"/>
      <c r="AJ69" s="437"/>
      <c r="AK69" s="437"/>
      <c r="AL69" s="437"/>
      <c r="AM69" s="338"/>
      <c r="AO69"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ht="25.5" x14ac:dyDescent="0.2">
      <c r="A70" t="str">
        <f ca="1">ORÇAMENTO!C70</f>
        <v>S</v>
      </c>
      <c r="B70">
        <f ca="1">ORÇAMENTO!D70</f>
        <v>0</v>
      </c>
      <c r="C70" s="114" t="str">
        <f t="shared" ca="1" si="1"/>
        <v/>
      </c>
      <c r="D70" s="117" t="str">
        <f ca="1">ORÇAMENTO!O70</f>
        <v>-</v>
      </c>
      <c r="E70" s="163" t="str">
        <f t="shared" ca="1" si="2"/>
        <v>(Código não identificado nas referências)</v>
      </c>
      <c r="F70" s="164" t="str" cm="1">
        <f t="array" aca="1" ref="F70" ca="1">IF(RegimeExecucao="Global","",ORÇAMENTO.Unidade)</f>
        <v>-</v>
      </c>
      <c r="G70" s="122" cm="1">
        <f t="array" aca="1" ref="G70" ca="1">IF(RegimeExecucao="Global","",ORÇAMENTO!T70)</f>
        <v>11.56</v>
      </c>
      <c r="H70" s="122" cm="1">
        <f t="array" aca="1" ref="H70" ca="1">IF(RegimeExecucao="Global","",ORÇAMENTO!W70)</f>
        <v>0</v>
      </c>
      <c r="I70" s="125">
        <f ca="1">ORÇAMENTO!X70</f>
        <v>0</v>
      </c>
      <c r="J70" s="333" cm="1">
        <f t="array" aca="1" ref="J70" ca="1">IF($A70="S",IF(CAIXA.Modo,BM.AFAnterior,BM.MEDAnterior),IF(AND(RegimeExecucao="Global",$I70&gt;0,COUNTIF($AB$13:$AM$13,BM.medicao-1)&gt;0),M70/$I70*100,0))</f>
        <v>0</v>
      </c>
      <c r="K70" s="122">
        <f t="shared" ca="1" si="3"/>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t="shared" ca="1" si="4"/>
        <v>0</v>
      </c>
      <c r="O70" s="125" cm="1">
        <f t="array" aca="1" ref="O70" ca="1">IF($A70="S",VTOTALBM,IF($A70=0,0,ROUND(SomaAgrupBM,15-13*ORÇAMENTO!$AF$11)))</f>
        <v>0</v>
      </c>
      <c r="Q70" s="337"/>
      <c r="R70" s="338"/>
      <c r="T70" s="117" t="str">
        <f t="shared" ca="1" si="5"/>
        <v/>
      </c>
      <c r="U70" s="163" t="str">
        <f t="shared" ca="1" si="6"/>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t="shared" ca="1" si="7"/>
        <v>0</v>
      </c>
      <c r="Z70" s="473"/>
      <c r="AB70" s="337"/>
      <c r="AC70" s="437"/>
      <c r="AD70" s="437"/>
      <c r="AE70" s="437"/>
      <c r="AF70" s="437"/>
      <c r="AG70" s="437"/>
      <c r="AH70" s="437"/>
      <c r="AI70" s="437"/>
      <c r="AJ70" s="437"/>
      <c r="AK70" s="437"/>
      <c r="AL70" s="437"/>
      <c r="AM70" s="338"/>
      <c r="AO70"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ht="5.0999999999999996" customHeight="1" x14ac:dyDescent="0.2">
      <c r="C71" s="114" t="s">
        <v>536</v>
      </c>
      <c r="D71" s="618"/>
      <c r="E71" s="619"/>
      <c r="F71" s="619"/>
      <c r="G71" s="619"/>
      <c r="H71" s="619"/>
      <c r="I71" s="419"/>
      <c r="J71" s="618"/>
      <c r="K71" s="619"/>
      <c r="L71" s="419"/>
      <c r="M71" s="434"/>
      <c r="N71" s="435"/>
      <c r="O71" s="436"/>
      <c r="Q71" s="618"/>
      <c r="R71" s="419"/>
      <c r="T71" s="618"/>
      <c r="U71" s="619"/>
      <c r="V71" s="619"/>
      <c r="W71" s="619"/>
      <c r="X71" s="619"/>
      <c r="Y71" s="619"/>
      <c r="Z71" s="419"/>
      <c r="AB71" s="618"/>
      <c r="AC71" s="619"/>
      <c r="AD71" s="619"/>
      <c r="AE71" s="619"/>
      <c r="AF71" s="619"/>
      <c r="AG71" s="619"/>
      <c r="AH71" s="619"/>
      <c r="AI71" s="619"/>
      <c r="AJ71" s="619"/>
      <c r="AK71" s="619"/>
      <c r="AL71" s="619"/>
      <c r="AM71" s="419"/>
    </row>
    <row r="73" spans="1:41" ht="14.25" x14ac:dyDescent="0.2">
      <c r="D73" s="810" t="s">
        <v>689</v>
      </c>
      <c r="E73" s="810"/>
      <c r="F73" s="810"/>
      <c r="G73" s="810"/>
      <c r="H73" s="810"/>
      <c r="I73" s="810"/>
      <c r="J73" s="810"/>
      <c r="K73" s="810"/>
      <c r="L73" s="810"/>
      <c r="M73" s="810"/>
      <c r="N73" s="810"/>
      <c r="O73" s="810"/>
      <c r="T73" s="811" t="s">
        <v>865</v>
      </c>
      <c r="U73" s="811"/>
      <c r="V73" s="811"/>
      <c r="W73" s="811"/>
      <c r="X73" s="811"/>
      <c r="Y73" s="811"/>
      <c r="Z73" s="811"/>
    </row>
    <row r="74" spans="1:41" ht="12.75" customHeight="1" x14ac:dyDescent="0.2">
      <c r="D74" s="714"/>
      <c r="E74" s="714"/>
      <c r="F74" s="714"/>
      <c r="G74" s="714"/>
      <c r="H74" s="714"/>
      <c r="I74" s="714"/>
      <c r="J74" s="714"/>
      <c r="K74" s="714"/>
      <c r="L74" s="714"/>
      <c r="M74" s="714"/>
      <c r="N74" s="714"/>
      <c r="O74" s="714"/>
      <c r="T74" s="812"/>
      <c r="U74" s="812"/>
      <c r="V74" s="812"/>
      <c r="W74" s="812"/>
      <c r="X74" s="812"/>
      <c r="Y74" s="812"/>
      <c r="Z74" s="812"/>
    </row>
    <row r="75" spans="1:41" ht="12.75" customHeight="1" x14ac:dyDescent="0.2">
      <c r="D75" s="714"/>
      <c r="E75" s="714"/>
      <c r="F75" s="714"/>
      <c r="G75" s="714"/>
      <c r="H75" s="714"/>
      <c r="I75" s="714"/>
      <c r="J75" s="714"/>
      <c r="K75" s="714"/>
      <c r="L75" s="714"/>
      <c r="M75" s="714"/>
      <c r="N75" s="714"/>
      <c r="O75" s="714"/>
      <c r="T75" s="812"/>
      <c r="U75" s="812"/>
      <c r="V75" s="812"/>
      <c r="W75" s="812"/>
      <c r="X75" s="812"/>
      <c r="Y75" s="812"/>
      <c r="Z75" s="812"/>
    </row>
    <row r="76" spans="1:41" ht="12.75" customHeight="1" x14ac:dyDescent="0.2">
      <c r="D76" s="714"/>
      <c r="E76" s="714"/>
      <c r="F76" s="714"/>
      <c r="G76" s="714"/>
      <c r="H76" s="714"/>
      <c r="I76" s="714"/>
      <c r="J76" s="714"/>
      <c r="K76" s="714"/>
      <c r="L76" s="714"/>
      <c r="M76" s="714"/>
      <c r="N76" s="714"/>
      <c r="O76" s="714"/>
      <c r="T76" s="812"/>
      <c r="U76" s="812"/>
      <c r="V76" s="812"/>
      <c r="W76" s="812"/>
      <c r="X76" s="812"/>
      <c r="Y76" s="812"/>
      <c r="Z76" s="812"/>
    </row>
    <row r="77" spans="1:41" ht="14.25" x14ac:dyDescent="0.2">
      <c r="D77" s="443"/>
      <c r="E77" s="443"/>
      <c r="F77" s="443"/>
      <c r="G77" s="443"/>
      <c r="H77" s="443"/>
      <c r="I77" s="443"/>
      <c r="J77" s="443"/>
      <c r="K77" s="443"/>
      <c r="L77" s="443"/>
      <c r="M77" s="443"/>
      <c r="N77" s="443"/>
      <c r="O77" s="443"/>
    </row>
    <row r="78" spans="1:41" ht="15" customHeight="1" x14ac:dyDescent="0.25">
      <c r="D78" s="715" t="str" cm="1">
        <f t="array" aca="1" ref="D78"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78" s="715"/>
      <c r="F78" s="715"/>
      <c r="G78" s="715"/>
      <c r="H78" s="715"/>
      <c r="I78" s="715"/>
      <c r="J78" s="715"/>
      <c r="K78" s="715"/>
      <c r="L78" s="715"/>
    </row>
    <row r="79" spans="1:41" x14ac:dyDescent="0.2">
      <c r="D79" s="808"/>
      <c r="E79" s="808"/>
      <c r="F79" s="808"/>
      <c r="G79" s="808"/>
      <c r="H79" s="808"/>
      <c r="I79" s="808"/>
    </row>
    <row r="80" spans="1:41" x14ac:dyDescent="0.2">
      <c r="D80" s="815"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80" s="815"/>
      <c r="F80" s="815"/>
      <c r="G80" s="815"/>
      <c r="H80" s="815"/>
      <c r="I80" s="815"/>
      <c r="J80" s="815"/>
      <c r="K80" s="815"/>
      <c r="L80" s="815"/>
      <c r="M80" s="815"/>
      <c r="N80" s="815"/>
      <c r="O80" s="815"/>
    </row>
    <row r="81" spans="5:26" ht="39.950000000000003" customHeight="1" x14ac:dyDescent="0.25">
      <c r="E81" s="138" t="str">
        <f>Import.Município</f>
        <v>SÃO LUIZ GONZAGA/RS</v>
      </c>
      <c r="J81" s="585" t="str">
        <f ca="1">IF(DADOS!$D$50&lt;&gt;"","Preencher os Dados do Responsável pela Fiscalização, na aba DADOS.","")</f>
        <v/>
      </c>
      <c r="K81" s="585"/>
      <c r="L81" s="585"/>
      <c r="M81" s="585"/>
      <c r="W81" s="816"/>
      <c r="X81" s="816"/>
      <c r="Y81" s="816"/>
      <c r="Z81" s="816"/>
    </row>
    <row r="82" spans="5:26" x14ac:dyDescent="0.2">
      <c r="E82" s="9" t="s">
        <v>693</v>
      </c>
      <c r="J82" s="181" t="s">
        <v>841</v>
      </c>
      <c r="W82" s="181" t="s">
        <v>866</v>
      </c>
    </row>
    <row r="83" spans="5:26" x14ac:dyDescent="0.2">
      <c r="J83" s="77" t="s">
        <v>240</v>
      </c>
      <c r="K83" s="271">
        <f t="array" ref="K83:K86">Import.RespFiscalização</f>
        <v>0</v>
      </c>
      <c r="L83" s="78"/>
      <c r="W83" s="77" t="s">
        <v>240</v>
      </c>
      <c r="X83" s="814"/>
      <c r="Y83" s="814"/>
      <c r="Z83" s="814"/>
    </row>
    <row r="84" spans="5:26" x14ac:dyDescent="0.2">
      <c r="E84" s="459">
        <f>DADOS!$C$48</f>
        <v>0</v>
      </c>
      <c r="J84" s="77" t="s">
        <v>319</v>
      </c>
      <c r="K84" s="271">
        <v>0</v>
      </c>
      <c r="L84" s="78"/>
      <c r="W84" s="77" t="s">
        <v>867</v>
      </c>
      <c r="X84" s="814"/>
      <c r="Y84" s="814"/>
      <c r="Z84" s="814"/>
    </row>
    <row r="85" spans="5:26" x14ac:dyDescent="0.2">
      <c r="E85" s="140" t="s">
        <v>694</v>
      </c>
      <c r="J85" s="77" t="s">
        <v>243</v>
      </c>
      <c r="K85" s="271">
        <v>0</v>
      </c>
      <c r="L85" s="78"/>
      <c r="W85" s="77" t="s">
        <v>243</v>
      </c>
      <c r="X85" s="814"/>
      <c r="Y85" s="814"/>
      <c r="Z85" s="814"/>
    </row>
    <row r="86" spans="5:26" x14ac:dyDescent="0.2">
      <c r="J86" s="77" t="s">
        <v>246</v>
      </c>
      <c r="K86" s="12">
        <v>0</v>
      </c>
      <c r="W86" s="77"/>
      <c r="X86" s="12"/>
    </row>
  </sheetData>
  <sheetProtection algorithmName="SHA-512" hashValue="58Uj29bhy06AEiRV8Rg7BYs3Vut9CX3PWqoUo7z6vuwSxg75pc4XT/PE4lTPXUJAmkOSuJni3P9WdNaNaPCjZw==" saltValue="oBR+7EBizpnb2jOP6J9prw==" spinCount="100000" sheet="1" objects="1" scenarios="1" autoFilter="0"/>
  <autoFilter ref="C15:C71"/>
  <mergeCells count="33">
    <mergeCell ref="X85:Z85"/>
    <mergeCell ref="D80:O80"/>
    <mergeCell ref="W81:Z81"/>
    <mergeCell ref="X83:Z83"/>
    <mergeCell ref="X84:Z84"/>
    <mergeCell ref="D78:L78"/>
    <mergeCell ref="D79:I79"/>
    <mergeCell ref="AB15:AM15"/>
    <mergeCell ref="D73:O73"/>
    <mergeCell ref="T73:Z73"/>
    <mergeCell ref="D74:O76"/>
    <mergeCell ref="T74:Z76"/>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16:O70 T16:Z70">
    <cfRule type="expression" dxfId="56" priority="18667" stopIfTrue="1">
      <formula>OR(ACOMPANHAMENTO="PLE",TIPOORCAMENTO="Proposto",$L14&lt;0,AND($L14&gt;100,RegimeExecucao="Global"),$O14&gt;$I14,$O14&lt;0)</formula>
    </cfRule>
    <cfRule type="expression" dxfId="55" priority="18668" stopIfTrue="1">
      <formula>$A14=1</formula>
    </cfRule>
    <cfRule type="expression" dxfId="54" priority="18669" stopIfTrue="1">
      <formula>$A14&lt;&gt;"S"</formula>
    </cfRule>
  </conditionalFormatting>
  <conditionalFormatting sqref="Q14:R14 AB14:AM14 Q16:R70 AB16:AM70">
    <cfRule type="expression" dxfId="53" priority="18670" stopIfTrue="1">
      <formula>$A14=1</formula>
    </cfRule>
    <cfRule type="expression" dxfId="52" priority="18671" stopIfTrue="1">
      <formula>$A14&lt;&gt;"S"</formula>
    </cfRule>
  </conditionalFormatting>
  <conditionalFormatting sqref="E2">
    <cfRule type="expression" dxfId="51" priority="18672" stopIfTrue="1">
      <formula>Import.RegimeExecução="(SELECIONAR)"</formula>
    </cfRule>
  </conditionalFormatting>
  <conditionalFormatting sqref="F13:H13">
    <cfRule type="expression" dxfId="50" priority="18673" stopIfTrue="1">
      <formula>RegimeExecucao="Global"</formula>
    </cfRule>
  </conditionalFormatting>
  <conditionalFormatting sqref="D15:O15">
    <cfRule type="expression" dxfId="49" priority="18674" stopIfTrue="1">
      <formula>OR(ACOMPANHAMENTO="PLE",TIPOORCAMENTO="Proposto")</formula>
    </cfRule>
  </conditionalFormatting>
  <conditionalFormatting sqref="AB13">
    <cfRule type="cellIs" dxfId="48" priority="18675" stopIfTrue="1" operator="notEqual">
      <formula>1</formula>
    </cfRule>
  </conditionalFormatting>
  <conditionalFormatting sqref="O11">
    <cfRule type="expression" dxfId="47" priority="13534">
      <formula>ROUND($P$11,4)&gt;ROUND($P$10,4)</formula>
    </cfRule>
  </conditionalFormatting>
  <dataValidations count="4">
    <dataValidation type="list" allowBlank="1" showErrorMessage="1" sqref="Z14 Z16:Z7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70">
      <formula1>0</formula1>
      <formula2>BM.MEDAcumulado</formula2>
    </dataValidation>
    <dataValidation type="whole" operator="greaterThan" allowBlank="1" showInputMessage="1" showErrorMessage="1" sqref="O8">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7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21" t="s">
        <v>652</v>
      </c>
      <c r="F3" s="721"/>
      <c r="G3" s="721"/>
      <c r="H3" s="721"/>
      <c r="I3" s="683" t="s">
        <v>650</v>
      </c>
      <c r="J3" s="683"/>
      <c r="K3" s="683"/>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19" t="str">
        <f>Import.Proponente</f>
        <v>PREFEITURA MUNICIPAL DE SÃO LUIZ GONZAGA</v>
      </c>
      <c r="F4" s="719"/>
      <c r="G4" s="719"/>
      <c r="H4" s="719"/>
      <c r="I4" s="680" t="str">
        <f>Import.CR</f>
        <v>0</v>
      </c>
      <c r="J4" s="680"/>
      <c r="K4" s="680"/>
      <c r="L4" s="56" t="str">
        <f>Import.TransfereGOV</f>
        <v>0</v>
      </c>
      <c r="M4" s="829" t="s">
        <v>809</v>
      </c>
      <c r="N4" s="830"/>
      <c r="O4" s="831"/>
      <c r="P4" s="351" t="str">
        <f>import.recurso</f>
        <v>OGU</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683" t="s">
        <v>708</v>
      </c>
      <c r="F6" s="683"/>
      <c r="G6" s="683"/>
      <c r="H6" s="683"/>
      <c r="I6" s="817" t="s">
        <v>808</v>
      </c>
      <c r="J6" s="817"/>
      <c r="K6" s="817"/>
      <c r="L6" s="817"/>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709" t="s">
        <v>655</v>
      </c>
      <c r="E7" s="680" t="str">
        <f>Import.Apelido</f>
        <v>OBRAS COMPLEMENTARES NA EMEF SANTA RITA</v>
      </c>
      <c r="F7" s="680"/>
      <c r="G7" s="680"/>
      <c r="H7" s="680"/>
      <c r="I7" s="818" t="str">
        <f>Import.Município</f>
        <v>SÃO LUIZ GONZAGA/RS</v>
      </c>
      <c r="J7" s="818"/>
      <c r="K7" s="818"/>
      <c r="L7" s="818"/>
      <c r="M7" s="353">
        <f>Import.Repasse</f>
        <v>0</v>
      </c>
      <c r="N7" s="354">
        <f>Import.Contrapartida</f>
        <v>0</v>
      </c>
      <c r="O7" s="353">
        <f>M7+N7</f>
        <v>0</v>
      </c>
      <c r="P7" s="423">
        <f ca="1">IF(ACOMPANHAMENTO="PLE",PLE.Medicao,BM.medicao)</f>
        <v>1</v>
      </c>
      <c r="R7" s="146"/>
      <c r="S7" s="146"/>
      <c r="T7" s="146"/>
      <c r="U7" s="146"/>
    </row>
    <row r="8" spans="1:41" x14ac:dyDescent="0.2">
      <c r="D8" s="709"/>
      <c r="E8" s="92"/>
      <c r="F8" s="92"/>
      <c r="G8" s="92"/>
      <c r="H8" s="92"/>
      <c r="I8" s="92"/>
      <c r="J8" s="92"/>
      <c r="K8" s="92"/>
      <c r="L8" s="92"/>
      <c r="M8" s="92"/>
      <c r="N8" s="92"/>
      <c r="O8" s="92"/>
      <c r="P8" s="92"/>
      <c r="R8" s="146"/>
      <c r="S8" s="146"/>
      <c r="T8" s="146"/>
      <c r="U8" s="146"/>
    </row>
    <row r="9" spans="1:41" ht="12.75" customHeight="1" x14ac:dyDescent="0.2">
      <c r="D9" s="709"/>
      <c r="G9" s="819" t="s">
        <v>874</v>
      </c>
      <c r="H9" s="819"/>
      <c r="I9" s="819" t="s">
        <v>875</v>
      </c>
      <c r="J9" s="819"/>
      <c r="K9" s="355"/>
      <c r="L9" s="820" t="s">
        <v>815</v>
      </c>
      <c r="M9" s="356" t="s">
        <v>818</v>
      </c>
      <c r="N9" s="278" t="s">
        <v>741</v>
      </c>
      <c r="P9" s="357"/>
      <c r="R9" s="146"/>
      <c r="S9" s="146"/>
      <c r="T9" s="146"/>
      <c r="U9" s="146"/>
      <c r="V9" s="7" t="s">
        <v>876</v>
      </c>
    </row>
    <row r="10" spans="1:41" ht="12.75" customHeight="1" x14ac:dyDescent="0.2">
      <c r="D10" s="709"/>
      <c r="G10" s="682" t="str">
        <f ca="1">IF(J10="-","-",IF($P$24&lt;J10,"Atrasada",IF($P$24&gt;J10,"Adiantada","Normal")))</f>
        <v>Normal</v>
      </c>
      <c r="H10" s="682"/>
      <c r="I10" s="358">
        <f>DATE(YEAR($L$35),MONTH($L$35),1)</f>
        <v>1</v>
      </c>
      <c r="J10" s="359">
        <f ca="1">IF($I$10&lt;DATE(YEAR(CRONO!$U$13),MONTH(CRONO!$U$13),1),0,IF($I$10&gt;OFFSET(CRONO!$AG$13,0,-1),1,INDEX(CRONO!$T$59:$AH$59,MATCH(RRE!$I$10,CRONO!$T$13:$AG$13,0))))</f>
        <v>0</v>
      </c>
      <c r="K10" s="355"/>
      <c r="L10" s="820"/>
      <c r="M10" s="360">
        <f ca="1">QCI!L10</f>
        <v>0</v>
      </c>
      <c r="N10" s="280">
        <f ca="1">QCI!M10</f>
        <v>0</v>
      </c>
      <c r="P10" s="357"/>
      <c r="R10" s="146"/>
      <c r="S10" s="146"/>
      <c r="T10" s="146"/>
      <c r="U10" s="146"/>
      <c r="AC10" s="821" t="s">
        <v>76</v>
      </c>
      <c r="AD10" s="821"/>
      <c r="AE10" s="821"/>
      <c r="AF10" s="821"/>
      <c r="AG10" s="821"/>
      <c r="AH10" s="821"/>
      <c r="AJ10" s="821" t="s">
        <v>78</v>
      </c>
      <c r="AK10" s="821"/>
      <c r="AL10" s="821"/>
      <c r="AM10" s="821"/>
      <c r="AN10" s="821"/>
      <c r="AO10" s="821"/>
    </row>
    <row r="11" spans="1:41" ht="20.100000000000001" customHeight="1" x14ac:dyDescent="0.2">
      <c r="D11" s="709"/>
      <c r="M11" s="451" t="str">
        <f>IF(CAIXA.Modo,"Valores Aferidos (R$)","Valores Medidos (R$)")</f>
        <v>Valores Medidos (R$)</v>
      </c>
      <c r="N11" s="451"/>
      <c r="O11" s="451"/>
      <c r="R11" s="361"/>
      <c r="S11" s="361"/>
      <c r="T11" s="451"/>
      <c r="U11" s="451"/>
      <c r="V11" s="448" t="s">
        <v>877</v>
      </c>
      <c r="Y11" s="822" t="str">
        <f>IF(CAIXA.Modo,"Valores Aferidos (R$)","Valores Medidos (R$)")</f>
        <v>Valores Medidos (R$)</v>
      </c>
      <c r="Z11" s="822"/>
      <c r="AC11" s="823" t="s">
        <v>878</v>
      </c>
      <c r="AD11" s="823"/>
      <c r="AE11" s="823"/>
      <c r="AF11" s="823" t="s">
        <v>879</v>
      </c>
      <c r="AG11" s="823"/>
      <c r="AH11" s="823"/>
      <c r="AJ11" s="823" t="s">
        <v>878</v>
      </c>
      <c r="AK11" s="823"/>
      <c r="AL11" s="823"/>
      <c r="AM11" s="823" t="s">
        <v>879</v>
      </c>
      <c r="AN11" s="823"/>
      <c r="AO11" s="823"/>
    </row>
    <row r="12" spans="1:41" ht="30" hidden="1" customHeight="1" x14ac:dyDescent="0.2">
      <c r="A12" t="e">
        <f ca="1">MATCH(E12,ORÇAMENTO!$E$15:$E$71,0)-1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3"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3">
        <f ca="1">ROUND(
            IF(ACOMPANHAMENTO&lt;&gt;"PLE",0,
                      SUMIF(OFFSET(CÁLCULO!$AX$15:$BH$15,$A12,0,$B12),"&lt;="&amp;(PLE.Medicao-1),OFFSET(CÁLCULO!$AB$15:$AL$15,$A12,0,$B12))
                      +IF(AdmLocal="Automática",
                              SUMIF(OFFSET(CÁLCULO!$M$15,$A12,0,$B12),1,OFFSET(ORÇAMENTO!$X$15,$A12,0,$B12))*(PLE!$AE$9-PLE!$Y$9),
                              0)),
            2)</f>
        <v>0</v>
      </c>
      <c r="AF12" s="183"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3"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3">
        <f ca="1">ROUND(IF(ACOMPANHAMENTO&lt;&gt;"PLE",0,SUMIF(OFFSET(CÁLCULO!$AX$15:$BH$15,$A12,0,$B12),"&lt;="&amp;PLE.Medicao,OFFSET(CÁLCULO!$AB$15:$AL$15,$A12,0,$B12))+IF(AdmLocal="Automática",SUMIF(OFFSET(CÁLCULO!$M$15,$A12,0,$B12),1,OFFSET(ORÇAMENTO!$X$15,$A12,0,$B12))*PLE!$AE$9,0)),2)</f>
        <v>0</v>
      </c>
      <c r="AJ12" s="183" t="e" cm="1">
        <f t="array" aca="1" ref="AJ12" ca="1">IF(ACOMPANHAMENTO&lt;&gt;"BM",0,SUMPRODUCT(OFFSET(BM!$M$15,$A12,0,$B12)*(OFFSET(BM!$A$15,$A12,0,$B12)="S")*OFFSET(ORÇAMENTO!AA$15,$A12,0,$B12)/(OFFSET(ORÇAMENTO!$X$15,$A12,0,$B12)+10^-12)))</f>
        <v>#N/A</v>
      </c>
      <c r="AK12" s="183" t="e" cm="1">
        <f t="array" aca="1" ref="AK12" ca="1">IF(ACOMPANHAMENTO&lt;&gt;"BM",0,SUMPRODUCT(OFFSET(BM!$M$15,$A12,0,$B12)*(OFFSET(BM!$A$15,$A12,0,$B12)="S")*OFFSET(ORÇAMENTO!AB$15,$A12,0,$B12)/(OFFSET(ORÇAMENTO!$X$15,$A12,0,$B12)+10^-12)))</f>
        <v>#N/A</v>
      </c>
      <c r="AL12" s="183" t="e">
        <f ca="1">IF(ACOMPANHAMENTO&lt;&gt;"BM",0,OFFSET(BM!$M$15,$A12,0))</f>
        <v>#N/A</v>
      </c>
      <c r="AM12" s="183" t="e" cm="1">
        <f t="array" aca="1" ref="AM12" ca="1">IF(ACOMPANHAMENTO&lt;&gt;"BM",0,SUMPRODUCT(OFFSET(BM!$O$15,$A12,0,$B12)*(OFFSET(BM!$A$15,$A12,0,$B12)="S")*OFFSET(ORÇAMENTO!AA$15,$A12,0,$B12)/(OFFSET(ORÇAMENTO!$X$15,$A12,0,$B12)+10^-12)))</f>
        <v>#N/A</v>
      </c>
      <c r="AN12" s="183" t="e" cm="1">
        <f t="array" aca="1" ref="AN12" ca="1">IF(ACOMPANHAMENTO&lt;&gt;"BM",0,SUMPRODUCT(OFFSET(BM!$O$15,$A12,0,$B12)*(OFFSET(BM!$A$15,$A12,0,$B12)="S")*OFFSET(ORÇAMENTO!AB$15,$A12,0,$B12)/(OFFSET(ORÇAMENTO!$X$15,$A12,0,$B12)+10^-12)))</f>
        <v>#N/A</v>
      </c>
      <c r="AO12" s="183" t="e">
        <f ca="1">IF(ACOMPANHAMENTO&lt;&gt;"BM",0,OFFSET(BM!$O$15,$A12,0))</f>
        <v>#N/A</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MATCH(E14,ORÇAMENTO!$E$15:$E$71,0)-1</f>
        <v>1</v>
      </c>
      <c r="B14">
        <f ca="1">IF(ISERROR($A14),NA(),OFFSET(ORÇAMENTO!$D$15,$A14,0))</f>
        <v>24</v>
      </c>
      <c r="C14" t="str">
        <f ca="1">QCI!B14</f>
        <v>Automático</v>
      </c>
      <c r="D14" t="str">
        <f t="shared" ref="D14:D22" ca="1" si="0">IF(L14&gt;0,"F","")</f>
        <v/>
      </c>
      <c r="E14" s="281">
        <f>QCI!D14</f>
        <v>1</v>
      </c>
      <c r="F14" s="362" t="str">
        <f ca="1">QCI!G14</f>
        <v>OBRAS COMPLEMENTARES NA EMEF SANTA RITA</v>
      </c>
      <c r="G14" s="363">
        <f>QCI!H14</f>
        <v>0</v>
      </c>
      <c r="H14" s="282">
        <f>QCI!I14</f>
        <v>0</v>
      </c>
      <c r="I14" s="282" t="str">
        <f ca="1">QCI!J14</f>
        <v/>
      </c>
      <c r="J14" s="364" t="str">
        <f ca="1">QCI!K14</f>
        <v>LOTE 1</v>
      </c>
      <c r="K14" s="365" cm="1">
        <f t="array" aca="1" ref="K14" ca="1">IF($C14="Automático",IF(ACOMPANHAMENTO="BM",BM.medicao,PLE.Medicao),IF(ISBLANK($X14),"",$X14))</f>
        <v>1</v>
      </c>
      <c r="L14" s="286">
        <f ca="1">QCI!$O14</f>
        <v>0</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0</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f ca="1">MATCH(E15,ORÇAMENTO!$E$15:$E$71,0)-1</f>
        <v>25</v>
      </c>
      <c r="B15">
        <f ca="1">IF(ISERROR($A15),NA(),OFFSET(ORÇAMENTO!$D$15,$A15,0))</f>
        <v>31</v>
      </c>
      <c r="C15" t="str">
        <f ca="1">QCI!B15</f>
        <v>Automático</v>
      </c>
      <c r="D15" t="str">
        <f t="shared" ca="1" si="0"/>
        <v/>
      </c>
      <c r="E15" s="281">
        <f>QCI!D15</f>
        <v>2</v>
      </c>
      <c r="F15" s="362" t="str">
        <f ca="1">QCI!G15</f>
        <v>HALL DE ENTRADA</v>
      </c>
      <c r="G15" s="363">
        <f>QCI!H15</f>
        <v>0</v>
      </c>
      <c r="H15" s="282">
        <f>QCI!I15</f>
        <v>0</v>
      </c>
      <c r="I15" s="282" t="str">
        <f ca="1">QCI!J15</f>
        <v/>
      </c>
      <c r="J15" s="364" t="str">
        <f ca="1">QCI!K15</f>
        <v>LOTE 1</v>
      </c>
      <c r="K15" s="365" cm="1">
        <f t="array" aca="1" ref="K15" ca="1">IF($C15="Automático",IF(ACOMPANHAMENTO="BM",BM.medicao,PLE.Medicao),IF(ISBLANK($X15),"",$X15))</f>
        <v>1</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0</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cm="1">
        <f t="array" aca="1" ref="AJ15" ca="1">IF(ACOMPANHAMENTO&lt;&gt;"BM",0,SUMPRODUCT(OFFSET(BM!$M$15,$A15,0,$B15)*(OFFSET(BM!$A$15,$A15,0,$B15)="S")*OFFSET(ORÇAMENTO!AA$15,$A15,0,$B15)/(OFFSET(ORÇAMENTO!$X$15,$A15,0,$B15)+10^-12)))</f>
        <v>0</v>
      </c>
      <c r="AK15" s="183" cm="1">
        <f t="array" aca="1" ref="AK15" ca="1">IF(ACOMPANHAMENTO&lt;&gt;"BM",0,SUMPRODUCT(OFFSET(BM!$M$15,$A15,0,$B15)*(OFFSET(BM!$A$15,$A15,0,$B15)="S")*OFFSET(ORÇAMENTO!AB$15,$A15,0,$B15)/(OFFSET(ORÇAMENTO!$X$15,$A15,0,$B15)+10^-12)))</f>
        <v>0</v>
      </c>
      <c r="AL15" s="183">
        <f ca="1">IF(ACOMPANHAMENTO&lt;&gt;"BM",0,OFFSET(BM!$M$15,$A15,0))</f>
        <v>0</v>
      </c>
      <c r="AM15" s="183" cm="1">
        <f t="array" aca="1" ref="AM15" ca="1">IF(ACOMPANHAMENTO&lt;&gt;"BM",0,SUMPRODUCT(OFFSET(BM!$O$15,$A15,0,$B15)*(OFFSET(BM!$A$15,$A15,0,$B15)="S")*OFFSET(ORÇAMENTO!AA$15,$A15,0,$B15)/(OFFSET(ORÇAMENTO!$X$15,$A15,0,$B15)+10^-12)))</f>
        <v>0</v>
      </c>
      <c r="AN15" s="183" cm="1">
        <f t="array" aca="1" ref="AN15" ca="1">IF(ACOMPANHAMENTO&lt;&gt;"BM",0,SUMPRODUCT(OFFSET(BM!$O$15,$A15,0,$B15)*(OFFSET(BM!$A$15,$A15,0,$B15)="S")*OFFSET(ORÇAMENTO!AB$15,$A15,0,$B15)/(OFFSET(ORÇAMENTO!$X$15,$A15,0,$B15)+10^-12)))</f>
        <v>0</v>
      </c>
      <c r="AO15" s="183">
        <f ca="1">IF(ACOMPANHAMENTO&lt;&gt;"BM",0,OFFSET(BM!$O$15,$A15,0))</f>
        <v>0</v>
      </c>
    </row>
    <row r="16" spans="1:41" ht="30" customHeight="1" x14ac:dyDescent="0.2">
      <c r="A16" t="e">
        <f ca="1">MATCH(E16,ORÇAMENTO!$E$15:$E$71,0)-1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0</v>
      </c>
      <c r="X16" s="513"/>
      <c r="Y16" s="287"/>
      <c r="Z16" s="288"/>
      <c r="AC16" s="183"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3"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3">
        <f ca="1">ROUND(
            IF(ACOMPANHAMENTO&lt;&gt;"PLE",0,
                      SUMIF(OFFSET(CÁLCULO!$AX$15:$BH$15,$A16,0,$B16),"&lt;="&amp;(PLE.Medicao-1),OFFSET(CÁLCULO!$AB$15:$AL$15,$A16,0,$B16))
                      +IF(AdmLocal="Automática",
                              SUMIF(OFFSET(CÁLCULO!$M$15,$A16,0,$B16),1,OFFSET(ORÇAMENTO!$X$15,$A16,0,$B16))*(PLE!$AE$9-PLE!$Y$9),
                              0)),
            2)</f>
        <v>0</v>
      </c>
      <c r="AF16" s="183"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3"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3">
        <f ca="1">ROUND(IF(ACOMPANHAMENTO&lt;&gt;"PLE",0,SUMIF(OFFSET(CÁLCULO!$AX$15:$BH$15,$A16,0,$B16),"&lt;="&amp;PLE.Medicao,OFFSET(CÁLCULO!$AB$15:$AL$15,$A16,0,$B16))+IF(AdmLocal="Automática",SUMIF(OFFSET(CÁLCULO!$M$15,$A16,0,$B16),1,OFFSET(ORÇAMENTO!$X$15,$A16,0,$B16))*PLE!$AE$9,0)),2)</f>
        <v>0</v>
      </c>
      <c r="AJ16" s="183" t="e" cm="1">
        <f t="array" aca="1" ref="AJ16" ca="1">IF(ACOMPANHAMENTO&lt;&gt;"BM",0,SUMPRODUCT(OFFSET(BM!$M$15,$A16,0,$B16)*(OFFSET(BM!$A$15,$A16,0,$B16)="S")*OFFSET(ORÇAMENTO!AA$15,$A16,0,$B16)/(OFFSET(ORÇAMENTO!$X$15,$A16,0,$B16)+10^-12)))</f>
        <v>#N/A</v>
      </c>
      <c r="AK16" s="183" t="e" cm="1">
        <f t="array" aca="1" ref="AK16" ca="1">IF(ACOMPANHAMENTO&lt;&gt;"BM",0,SUMPRODUCT(OFFSET(BM!$M$15,$A16,0,$B16)*(OFFSET(BM!$A$15,$A16,0,$B16)="S")*OFFSET(ORÇAMENTO!AB$15,$A16,0,$B16)/(OFFSET(ORÇAMENTO!$X$15,$A16,0,$B16)+10^-12)))</f>
        <v>#N/A</v>
      </c>
      <c r="AL16" s="183" t="e">
        <f ca="1">IF(ACOMPANHAMENTO&lt;&gt;"BM",0,OFFSET(BM!$M$15,$A16,0))</f>
        <v>#N/A</v>
      </c>
      <c r="AM16" s="183" t="e" cm="1">
        <f t="array" aca="1" ref="AM16" ca="1">IF(ACOMPANHAMENTO&lt;&gt;"BM",0,SUMPRODUCT(OFFSET(BM!$O$15,$A16,0,$B16)*(OFFSET(BM!$A$15,$A16,0,$B16)="S")*OFFSET(ORÇAMENTO!AA$15,$A16,0,$B16)/(OFFSET(ORÇAMENTO!$X$15,$A16,0,$B16)+10^-12)))</f>
        <v>#N/A</v>
      </c>
      <c r="AN16" s="183" t="e" cm="1">
        <f t="array" aca="1" ref="AN16" ca="1">IF(ACOMPANHAMENTO&lt;&gt;"BM",0,SUMPRODUCT(OFFSET(BM!$O$15,$A16,0,$B16)*(OFFSET(BM!$A$15,$A16,0,$B16)="S")*OFFSET(ORÇAMENTO!AB$15,$A16,0,$B16)/(OFFSET(ORÇAMENTO!$X$15,$A16,0,$B16)+10^-12)))</f>
        <v>#N/A</v>
      </c>
      <c r="AO16" s="183" t="e">
        <f ca="1">IF(ACOMPANHAMENTO&lt;&gt;"BM",0,OFFSET(BM!$O$15,$A16,0))</f>
        <v>#N/A</v>
      </c>
    </row>
    <row r="17" spans="1:41" ht="30" customHeight="1" x14ac:dyDescent="0.2">
      <c r="A17" t="e">
        <f ca="1">MATCH(E17,ORÇAMENTO!$E$15:$E$71,0)-1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0</v>
      </c>
      <c r="X17" s="513"/>
      <c r="Y17" s="287"/>
      <c r="Z17" s="288"/>
      <c r="AC17" s="183"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3"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3">
        <f ca="1">ROUND(
            IF(ACOMPANHAMENTO&lt;&gt;"PLE",0,
                      SUMIF(OFFSET(CÁLCULO!$AX$15:$BH$15,$A17,0,$B17),"&lt;="&amp;(PLE.Medicao-1),OFFSET(CÁLCULO!$AB$15:$AL$15,$A17,0,$B17))
                      +IF(AdmLocal="Automática",
                              SUMIF(OFFSET(CÁLCULO!$M$15,$A17,0,$B17),1,OFFSET(ORÇAMENTO!$X$15,$A17,0,$B17))*(PLE!$AE$9-PLE!$Y$9),
                              0)),
            2)</f>
        <v>0</v>
      </c>
      <c r="AF17" s="183"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3"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3">
        <f ca="1">ROUND(IF(ACOMPANHAMENTO&lt;&gt;"PLE",0,SUMIF(OFFSET(CÁLCULO!$AX$15:$BH$15,$A17,0,$B17),"&lt;="&amp;PLE.Medicao,OFFSET(CÁLCULO!$AB$15:$AL$15,$A17,0,$B17))+IF(AdmLocal="Automática",SUMIF(OFFSET(CÁLCULO!$M$15,$A17,0,$B17),1,OFFSET(ORÇAMENTO!$X$15,$A17,0,$B17))*PLE!$AE$9,0)),2)</f>
        <v>0</v>
      </c>
      <c r="AJ17" s="183" t="e" cm="1">
        <f t="array" aca="1" ref="AJ17" ca="1">IF(ACOMPANHAMENTO&lt;&gt;"BM",0,SUMPRODUCT(OFFSET(BM!$M$15,$A17,0,$B17)*(OFFSET(BM!$A$15,$A17,0,$B17)="S")*OFFSET(ORÇAMENTO!AA$15,$A17,0,$B17)/(OFFSET(ORÇAMENTO!$X$15,$A17,0,$B17)+10^-12)))</f>
        <v>#N/A</v>
      </c>
      <c r="AK17" s="183" t="e" cm="1">
        <f t="array" aca="1" ref="AK17" ca="1">IF(ACOMPANHAMENTO&lt;&gt;"BM",0,SUMPRODUCT(OFFSET(BM!$M$15,$A17,0,$B17)*(OFFSET(BM!$A$15,$A17,0,$B17)="S")*OFFSET(ORÇAMENTO!AB$15,$A17,0,$B17)/(OFFSET(ORÇAMENTO!$X$15,$A17,0,$B17)+10^-12)))</f>
        <v>#N/A</v>
      </c>
      <c r="AL17" s="183" t="e">
        <f ca="1">IF(ACOMPANHAMENTO&lt;&gt;"BM",0,OFFSET(BM!$M$15,$A17,0))</f>
        <v>#N/A</v>
      </c>
      <c r="AM17" s="183" t="e" cm="1">
        <f t="array" aca="1" ref="AM17" ca="1">IF(ACOMPANHAMENTO&lt;&gt;"BM",0,SUMPRODUCT(OFFSET(BM!$O$15,$A17,0,$B17)*(OFFSET(BM!$A$15,$A17,0,$B17)="S")*OFFSET(ORÇAMENTO!AA$15,$A17,0,$B17)/(OFFSET(ORÇAMENTO!$X$15,$A17,0,$B17)+10^-12)))</f>
        <v>#N/A</v>
      </c>
      <c r="AN17" s="183" t="e" cm="1">
        <f t="array" aca="1" ref="AN17" ca="1">IF(ACOMPANHAMENTO&lt;&gt;"BM",0,SUMPRODUCT(OFFSET(BM!$O$15,$A17,0,$B17)*(OFFSET(BM!$A$15,$A17,0,$B17)="S")*OFFSET(ORÇAMENTO!AB$15,$A17,0,$B17)/(OFFSET(ORÇAMENTO!$X$15,$A17,0,$B17)+10^-12)))</f>
        <v>#N/A</v>
      </c>
      <c r="AO17" s="183" t="e">
        <f ca="1">IF(ACOMPANHAMENTO&lt;&gt;"BM",0,OFFSET(BM!$O$15,$A17,0))</f>
        <v>#N/A</v>
      </c>
    </row>
    <row r="18" spans="1:41" ht="30" customHeight="1" x14ac:dyDescent="0.2">
      <c r="A18" t="e">
        <f ca="1">MATCH(E18,ORÇAMENTO!$E$15:$E$71,0)-1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0</v>
      </c>
      <c r="X18" s="513"/>
      <c r="Y18" s="287"/>
      <c r="Z18" s="288"/>
      <c r="AC18" s="183"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3"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3">
        <f ca="1">ROUND(
            IF(ACOMPANHAMENTO&lt;&gt;"PLE",0,
                      SUMIF(OFFSET(CÁLCULO!$AX$15:$BH$15,$A18,0,$B18),"&lt;="&amp;(PLE.Medicao-1),OFFSET(CÁLCULO!$AB$15:$AL$15,$A18,0,$B18))
                      +IF(AdmLocal="Automática",
                              SUMIF(OFFSET(CÁLCULO!$M$15,$A18,0,$B18),1,OFFSET(ORÇAMENTO!$X$15,$A18,0,$B18))*(PLE!$AE$9-PLE!$Y$9),
                              0)),
            2)</f>
        <v>0</v>
      </c>
      <c r="AF18" s="183"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3"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3">
        <f ca="1">ROUND(IF(ACOMPANHAMENTO&lt;&gt;"PLE",0,SUMIF(OFFSET(CÁLCULO!$AX$15:$BH$15,$A18,0,$B18),"&lt;="&amp;PLE.Medicao,OFFSET(CÁLCULO!$AB$15:$AL$15,$A18,0,$B18))+IF(AdmLocal="Automática",SUMIF(OFFSET(CÁLCULO!$M$15,$A18,0,$B18),1,OFFSET(ORÇAMENTO!$X$15,$A18,0,$B18))*PLE!$AE$9,0)),2)</f>
        <v>0</v>
      </c>
      <c r="AJ18" s="183" t="e" cm="1">
        <f t="array" aca="1" ref="AJ18" ca="1">IF(ACOMPANHAMENTO&lt;&gt;"BM",0,SUMPRODUCT(OFFSET(BM!$M$15,$A18,0,$B18)*(OFFSET(BM!$A$15,$A18,0,$B18)="S")*OFFSET(ORÇAMENTO!AA$15,$A18,0,$B18)/(OFFSET(ORÇAMENTO!$X$15,$A18,0,$B18)+10^-12)))</f>
        <v>#N/A</v>
      </c>
      <c r="AK18" s="183" t="e" cm="1">
        <f t="array" aca="1" ref="AK18" ca="1">IF(ACOMPANHAMENTO&lt;&gt;"BM",0,SUMPRODUCT(OFFSET(BM!$M$15,$A18,0,$B18)*(OFFSET(BM!$A$15,$A18,0,$B18)="S")*OFFSET(ORÇAMENTO!AB$15,$A18,0,$B18)/(OFFSET(ORÇAMENTO!$X$15,$A18,0,$B18)+10^-12)))</f>
        <v>#N/A</v>
      </c>
      <c r="AL18" s="183" t="e">
        <f ca="1">IF(ACOMPANHAMENTO&lt;&gt;"BM",0,OFFSET(BM!$M$15,$A18,0))</f>
        <v>#N/A</v>
      </c>
      <c r="AM18" s="183" t="e" cm="1">
        <f t="array" aca="1" ref="AM18" ca="1">IF(ACOMPANHAMENTO&lt;&gt;"BM",0,SUMPRODUCT(OFFSET(BM!$O$15,$A18,0,$B18)*(OFFSET(BM!$A$15,$A18,0,$B18)="S")*OFFSET(ORÇAMENTO!AA$15,$A18,0,$B18)/(OFFSET(ORÇAMENTO!$X$15,$A18,0,$B18)+10^-12)))</f>
        <v>#N/A</v>
      </c>
      <c r="AN18" s="183" t="e" cm="1">
        <f t="array" aca="1" ref="AN18" ca="1">IF(ACOMPANHAMENTO&lt;&gt;"BM",0,SUMPRODUCT(OFFSET(BM!$O$15,$A18,0,$B18)*(OFFSET(BM!$A$15,$A18,0,$B18)="S")*OFFSET(ORÇAMENTO!AB$15,$A18,0,$B18)/(OFFSET(ORÇAMENTO!$X$15,$A18,0,$B18)+10^-12)))</f>
        <v>#N/A</v>
      </c>
      <c r="AO18" s="183" t="e">
        <f ca="1">IF(ACOMPANHAMENTO&lt;&gt;"BM",0,OFFSET(BM!$O$15,$A18,0))</f>
        <v>#N/A</v>
      </c>
    </row>
    <row r="19" spans="1:41" ht="30" customHeight="1" x14ac:dyDescent="0.2">
      <c r="A19" t="e">
        <f ca="1">MATCH(E19,ORÇAMENTO!$E$15:$E$71,0)-1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0</v>
      </c>
      <c r="X19" s="513"/>
      <c r="Y19" s="287"/>
      <c r="Z19" s="288"/>
      <c r="AC19" s="183"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3"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3">
        <f ca="1">ROUND(
            IF(ACOMPANHAMENTO&lt;&gt;"PLE",0,
                      SUMIF(OFFSET(CÁLCULO!$AX$15:$BH$15,$A19,0,$B19),"&lt;="&amp;(PLE.Medicao-1),OFFSET(CÁLCULO!$AB$15:$AL$15,$A19,0,$B19))
                      +IF(AdmLocal="Automática",
                              SUMIF(OFFSET(CÁLCULO!$M$15,$A19,0,$B19),1,OFFSET(ORÇAMENTO!$X$15,$A19,0,$B19))*(PLE!$AE$9-PLE!$Y$9),
                              0)),
            2)</f>
        <v>0</v>
      </c>
      <c r="AF19" s="183"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3"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3">
        <f ca="1">ROUND(IF(ACOMPANHAMENTO&lt;&gt;"PLE",0,SUMIF(OFFSET(CÁLCULO!$AX$15:$BH$15,$A19,0,$B19),"&lt;="&amp;PLE.Medicao,OFFSET(CÁLCULO!$AB$15:$AL$15,$A19,0,$B19))+IF(AdmLocal="Automática",SUMIF(OFFSET(CÁLCULO!$M$15,$A19,0,$B19),1,OFFSET(ORÇAMENTO!$X$15,$A19,0,$B19))*PLE!$AE$9,0)),2)</f>
        <v>0</v>
      </c>
      <c r="AJ19" s="183" t="e" cm="1">
        <f t="array" aca="1" ref="AJ19" ca="1">IF(ACOMPANHAMENTO&lt;&gt;"BM",0,SUMPRODUCT(OFFSET(BM!$M$15,$A19,0,$B19)*(OFFSET(BM!$A$15,$A19,0,$B19)="S")*OFFSET(ORÇAMENTO!AA$15,$A19,0,$B19)/(OFFSET(ORÇAMENTO!$X$15,$A19,0,$B19)+10^-12)))</f>
        <v>#N/A</v>
      </c>
      <c r="AK19" s="183" t="e" cm="1">
        <f t="array" aca="1" ref="AK19" ca="1">IF(ACOMPANHAMENTO&lt;&gt;"BM",0,SUMPRODUCT(OFFSET(BM!$M$15,$A19,0,$B19)*(OFFSET(BM!$A$15,$A19,0,$B19)="S")*OFFSET(ORÇAMENTO!AB$15,$A19,0,$B19)/(OFFSET(ORÇAMENTO!$X$15,$A19,0,$B19)+10^-12)))</f>
        <v>#N/A</v>
      </c>
      <c r="AL19" s="183" t="e">
        <f ca="1">IF(ACOMPANHAMENTO&lt;&gt;"BM",0,OFFSET(BM!$M$15,$A19,0))</f>
        <v>#N/A</v>
      </c>
      <c r="AM19" s="183" t="e" cm="1">
        <f t="array" aca="1" ref="AM19" ca="1">IF(ACOMPANHAMENTO&lt;&gt;"BM",0,SUMPRODUCT(OFFSET(BM!$O$15,$A19,0,$B19)*(OFFSET(BM!$A$15,$A19,0,$B19)="S")*OFFSET(ORÇAMENTO!AA$15,$A19,0,$B19)/(OFFSET(ORÇAMENTO!$X$15,$A19,0,$B19)+10^-12)))</f>
        <v>#N/A</v>
      </c>
      <c r="AN19" s="183" t="e" cm="1">
        <f t="array" aca="1" ref="AN19" ca="1">IF(ACOMPANHAMENTO&lt;&gt;"BM",0,SUMPRODUCT(OFFSET(BM!$O$15,$A19,0,$B19)*(OFFSET(BM!$A$15,$A19,0,$B19)="S")*OFFSET(ORÇAMENTO!AB$15,$A19,0,$B19)/(OFFSET(ORÇAMENTO!$X$15,$A19,0,$B19)+10^-12)))</f>
        <v>#N/A</v>
      </c>
      <c r="AO19" s="183" t="e">
        <f ca="1">IF(ACOMPANHAMENTO&lt;&gt;"BM",0,OFFSET(BM!$O$15,$A19,0))</f>
        <v>#N/A</v>
      </c>
    </row>
    <row r="20" spans="1:41" ht="30" customHeight="1" x14ac:dyDescent="0.2">
      <c r="A20" t="e">
        <f ca="1">MATCH(E20,ORÇAMENTO!$E$15:$E$71,0)-1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0</v>
      </c>
      <c r="X20" s="513"/>
      <c r="Y20" s="287"/>
      <c r="Z20" s="288"/>
      <c r="AC20" s="183"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3"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3">
        <f ca="1">ROUND(
            IF(ACOMPANHAMENTO&lt;&gt;"PLE",0,
                      SUMIF(OFFSET(CÁLCULO!$AX$15:$BH$15,$A20,0,$B20),"&lt;="&amp;(PLE.Medicao-1),OFFSET(CÁLCULO!$AB$15:$AL$15,$A20,0,$B20))
                      +IF(AdmLocal="Automática",
                              SUMIF(OFFSET(CÁLCULO!$M$15,$A20,0,$B20),1,OFFSET(ORÇAMENTO!$X$15,$A20,0,$B20))*(PLE!$AE$9-PLE!$Y$9),
                              0)),
            2)</f>
        <v>0</v>
      </c>
      <c r="AF20" s="183"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3"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3">
        <f ca="1">ROUND(IF(ACOMPANHAMENTO&lt;&gt;"PLE",0,SUMIF(OFFSET(CÁLCULO!$AX$15:$BH$15,$A20,0,$B20),"&lt;="&amp;PLE.Medicao,OFFSET(CÁLCULO!$AB$15:$AL$15,$A20,0,$B20))+IF(AdmLocal="Automática",SUMIF(OFFSET(CÁLCULO!$M$15,$A20,0,$B20),1,OFFSET(ORÇAMENTO!$X$15,$A20,0,$B20))*PLE!$AE$9,0)),2)</f>
        <v>0</v>
      </c>
      <c r="AJ20" s="183" t="e" cm="1">
        <f t="array" aca="1" ref="AJ20" ca="1">IF(ACOMPANHAMENTO&lt;&gt;"BM",0,SUMPRODUCT(OFFSET(BM!$M$15,$A20,0,$B20)*(OFFSET(BM!$A$15,$A20,0,$B20)="S")*OFFSET(ORÇAMENTO!AA$15,$A20,0,$B20)/(OFFSET(ORÇAMENTO!$X$15,$A20,0,$B20)+10^-12)))</f>
        <v>#N/A</v>
      </c>
      <c r="AK20" s="183" t="e" cm="1">
        <f t="array" aca="1" ref="AK20" ca="1">IF(ACOMPANHAMENTO&lt;&gt;"BM",0,SUMPRODUCT(OFFSET(BM!$M$15,$A20,0,$B20)*(OFFSET(BM!$A$15,$A20,0,$B20)="S")*OFFSET(ORÇAMENTO!AB$15,$A20,0,$B20)/(OFFSET(ORÇAMENTO!$X$15,$A20,0,$B20)+10^-12)))</f>
        <v>#N/A</v>
      </c>
      <c r="AL20" s="183" t="e">
        <f ca="1">IF(ACOMPANHAMENTO&lt;&gt;"BM",0,OFFSET(BM!$M$15,$A20,0))</f>
        <v>#N/A</v>
      </c>
      <c r="AM20" s="183" t="e" cm="1">
        <f t="array" aca="1" ref="AM20" ca="1">IF(ACOMPANHAMENTO&lt;&gt;"BM",0,SUMPRODUCT(OFFSET(BM!$O$15,$A20,0,$B20)*(OFFSET(BM!$A$15,$A20,0,$B20)="S")*OFFSET(ORÇAMENTO!AA$15,$A20,0,$B20)/(OFFSET(ORÇAMENTO!$X$15,$A20,0,$B20)+10^-12)))</f>
        <v>#N/A</v>
      </c>
      <c r="AN20" s="183" t="e" cm="1">
        <f t="array" aca="1" ref="AN20" ca="1">IF(ACOMPANHAMENTO&lt;&gt;"BM",0,SUMPRODUCT(OFFSET(BM!$O$15,$A20,0,$B20)*(OFFSET(BM!$A$15,$A20,0,$B20)="S")*OFFSET(ORÇAMENTO!AB$15,$A20,0,$B20)/(OFFSET(ORÇAMENTO!$X$15,$A20,0,$B20)+10^-12)))</f>
        <v>#N/A</v>
      </c>
      <c r="AO20" s="183" t="e">
        <f ca="1">IF(ACOMPANHAMENTO&lt;&gt;"BM",0,OFFSET(BM!$O$15,$A20,0))</f>
        <v>#N/A</v>
      </c>
    </row>
    <row r="21" spans="1:41" ht="30" customHeight="1" x14ac:dyDescent="0.2">
      <c r="A21" t="e">
        <f ca="1">MATCH(E21,ORÇAMENTO!$E$15:$E$71,0)-1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0</v>
      </c>
      <c r="X21" s="513"/>
      <c r="Y21" s="287"/>
      <c r="Z21" s="288"/>
      <c r="AC21" s="183"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3"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3">
        <f ca="1">ROUND(
            IF(ACOMPANHAMENTO&lt;&gt;"PLE",0,
                      SUMIF(OFFSET(CÁLCULO!$AX$15:$BH$15,$A21,0,$B21),"&lt;="&amp;(PLE.Medicao-1),OFFSET(CÁLCULO!$AB$15:$AL$15,$A21,0,$B21))
                      +IF(AdmLocal="Automática",
                              SUMIF(OFFSET(CÁLCULO!$M$15,$A21,0,$B21),1,OFFSET(ORÇAMENTO!$X$15,$A21,0,$B21))*(PLE!$AE$9-PLE!$Y$9),
                              0)),
            2)</f>
        <v>0</v>
      </c>
      <c r="AF21" s="183"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3"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3">
        <f ca="1">ROUND(IF(ACOMPANHAMENTO&lt;&gt;"PLE",0,SUMIF(OFFSET(CÁLCULO!$AX$15:$BH$15,$A21,0,$B21),"&lt;="&amp;PLE.Medicao,OFFSET(CÁLCULO!$AB$15:$AL$15,$A21,0,$B21))+IF(AdmLocal="Automática",SUMIF(OFFSET(CÁLCULO!$M$15,$A21,0,$B21),1,OFFSET(ORÇAMENTO!$X$15,$A21,0,$B21))*PLE!$AE$9,0)),2)</f>
        <v>0</v>
      </c>
      <c r="AJ21" s="183" t="e" cm="1">
        <f t="array" aca="1" ref="AJ21" ca="1">IF(ACOMPANHAMENTO&lt;&gt;"BM",0,SUMPRODUCT(OFFSET(BM!$M$15,$A21,0,$B21)*(OFFSET(BM!$A$15,$A21,0,$B21)="S")*OFFSET(ORÇAMENTO!AA$15,$A21,0,$B21)/(OFFSET(ORÇAMENTO!$X$15,$A21,0,$B21)+10^-12)))</f>
        <v>#N/A</v>
      </c>
      <c r="AK21" s="183" t="e" cm="1">
        <f t="array" aca="1" ref="AK21" ca="1">IF(ACOMPANHAMENTO&lt;&gt;"BM",0,SUMPRODUCT(OFFSET(BM!$M$15,$A21,0,$B21)*(OFFSET(BM!$A$15,$A21,0,$B21)="S")*OFFSET(ORÇAMENTO!AB$15,$A21,0,$B21)/(OFFSET(ORÇAMENTO!$X$15,$A21,0,$B21)+10^-12)))</f>
        <v>#N/A</v>
      </c>
      <c r="AL21" s="183" t="e">
        <f ca="1">IF(ACOMPANHAMENTO&lt;&gt;"BM",0,OFFSET(BM!$M$15,$A21,0))</f>
        <v>#N/A</v>
      </c>
      <c r="AM21" s="183" t="e" cm="1">
        <f t="array" aca="1" ref="AM21" ca="1">IF(ACOMPANHAMENTO&lt;&gt;"BM",0,SUMPRODUCT(OFFSET(BM!$O$15,$A21,0,$B21)*(OFFSET(BM!$A$15,$A21,0,$B21)="S")*OFFSET(ORÇAMENTO!AA$15,$A21,0,$B21)/(OFFSET(ORÇAMENTO!$X$15,$A21,0,$B21)+10^-12)))</f>
        <v>#N/A</v>
      </c>
      <c r="AN21" s="183" t="e" cm="1">
        <f t="array" aca="1" ref="AN21" ca="1">IF(ACOMPANHAMENTO&lt;&gt;"BM",0,SUMPRODUCT(OFFSET(BM!$O$15,$A21,0,$B21)*(OFFSET(BM!$A$15,$A21,0,$B21)="S")*OFFSET(ORÇAMENTO!AB$15,$A21,0,$B21)/(OFFSET(ORÇAMENTO!$X$15,$A21,0,$B21)+10^-12)))</f>
        <v>#N/A</v>
      </c>
      <c r="AO21" s="183" t="e">
        <f ca="1">IF(ACOMPANHAMENTO&lt;&gt;"BM",0,OFFSET(BM!$O$15,$A21,0))</f>
        <v>#N/A</v>
      </c>
    </row>
    <row r="22" spans="1:41" ht="30" customHeight="1" x14ac:dyDescent="0.2">
      <c r="A22" t="e">
        <f ca="1">MATCH(E22,ORÇAMENTO!$E$15:$E$71,0)-1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0</v>
      </c>
      <c r="X22" s="513"/>
      <c r="Y22" s="287"/>
      <c r="Z22" s="288"/>
      <c r="AC22" s="183"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3"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3">
        <f ca="1">ROUND(
            IF(ACOMPANHAMENTO&lt;&gt;"PLE",0,
                      SUMIF(OFFSET(CÁLCULO!$AX$15:$BH$15,$A22,0,$B22),"&lt;="&amp;(PLE.Medicao-1),OFFSET(CÁLCULO!$AB$15:$AL$15,$A22,0,$B22))
                      +IF(AdmLocal="Automática",
                              SUMIF(OFFSET(CÁLCULO!$M$15,$A22,0,$B22),1,OFFSET(ORÇAMENTO!$X$15,$A22,0,$B22))*(PLE!$AE$9-PLE!$Y$9),
                              0)),
            2)</f>
        <v>0</v>
      </c>
      <c r="AF22" s="183"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3"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3">
        <f ca="1">ROUND(IF(ACOMPANHAMENTO&lt;&gt;"PLE",0,SUMIF(OFFSET(CÁLCULO!$AX$15:$BH$15,$A22,0,$B22),"&lt;="&amp;PLE.Medicao,OFFSET(CÁLCULO!$AB$15:$AL$15,$A22,0,$B22))+IF(AdmLocal="Automática",SUMIF(OFFSET(CÁLCULO!$M$15,$A22,0,$B22),1,OFFSET(ORÇAMENTO!$X$15,$A22,0,$B22))*PLE!$AE$9,0)),2)</f>
        <v>0</v>
      </c>
      <c r="AJ22" s="183" t="e" cm="1">
        <f t="array" aca="1" ref="AJ22" ca="1">IF(ACOMPANHAMENTO&lt;&gt;"BM",0,SUMPRODUCT(OFFSET(BM!$M$15,$A22,0,$B22)*(OFFSET(BM!$A$15,$A22,0,$B22)="S")*OFFSET(ORÇAMENTO!AA$15,$A22,0,$B22)/(OFFSET(ORÇAMENTO!$X$15,$A22,0,$B22)+10^-12)))</f>
        <v>#N/A</v>
      </c>
      <c r="AK22" s="183" t="e" cm="1">
        <f t="array" aca="1" ref="AK22" ca="1">IF(ACOMPANHAMENTO&lt;&gt;"BM",0,SUMPRODUCT(OFFSET(BM!$M$15,$A22,0,$B22)*(OFFSET(BM!$A$15,$A22,0,$B22)="S")*OFFSET(ORÇAMENTO!AB$15,$A22,0,$B22)/(OFFSET(ORÇAMENTO!$X$15,$A22,0,$B22)+10^-12)))</f>
        <v>#N/A</v>
      </c>
      <c r="AL22" s="183" t="e">
        <f ca="1">IF(ACOMPANHAMENTO&lt;&gt;"BM",0,OFFSET(BM!$M$15,$A22,0))</f>
        <v>#N/A</v>
      </c>
      <c r="AM22" s="183" t="e" cm="1">
        <f t="array" aca="1" ref="AM22" ca="1">IF(ACOMPANHAMENTO&lt;&gt;"BM",0,SUMPRODUCT(OFFSET(BM!$O$15,$A22,0,$B22)*(OFFSET(BM!$A$15,$A22,0,$B22)="S")*OFFSET(ORÇAMENTO!AA$15,$A22,0,$B22)/(OFFSET(ORÇAMENTO!$X$15,$A22,0,$B22)+10^-12)))</f>
        <v>#N/A</v>
      </c>
      <c r="AN22" s="183" t="e" cm="1">
        <f t="array" aca="1" ref="AN22" ca="1">IF(ACOMPANHAMENTO&lt;&gt;"BM",0,SUMPRODUCT(OFFSET(BM!$O$15,$A22,0,$B22)*(OFFSET(BM!$A$15,$A22,0,$B22)="S")*OFFSET(ORÇAMENTO!AB$15,$A22,0,$B22)/(OFFSET(ORÇAMENTO!$X$15,$A22,0,$B22)+10^-12)))</f>
        <v>#N/A</v>
      </c>
      <c r="AO22" s="183" t="e">
        <f ca="1">IF(ACOMPANHAMENTO&lt;&gt;"BM",0,OFFSET(BM!$O$15,$A22,0))</f>
        <v>#N/A</v>
      </c>
    </row>
    <row r="23" spans="1:41" ht="30" customHeight="1" x14ac:dyDescent="0.2">
      <c r="A23" t="e">
        <f ca="1">MATCH(E23,ORÇAMENTO!$E$15:$E$71,0)-1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0</v>
      </c>
      <c r="X23" s="513"/>
      <c r="Y23" s="287"/>
      <c r="Z23" s="288"/>
      <c r="AC23" s="183"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3"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3">
        <f ca="1">ROUND(
            IF(ACOMPANHAMENTO&lt;&gt;"PLE",0,
                      SUMIF(OFFSET(CÁLCULO!$AX$15:$BH$15,$A23,0,$B23),"&lt;="&amp;(PLE.Medicao-1),OFFSET(CÁLCULO!$AB$15:$AL$15,$A23,0,$B23))
                      +IF(AdmLocal="Automática",
                              SUMIF(OFFSET(CÁLCULO!$M$15,$A23,0,$B23),1,OFFSET(ORÇAMENTO!$X$15,$A23,0,$B23))*(PLE!$AE$9-PLE!$Y$9),
                              0)),
            2)</f>
        <v>0</v>
      </c>
      <c r="AF23" s="183"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3"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3">
        <f ca="1">ROUND(IF(ACOMPANHAMENTO&lt;&gt;"PLE",0,SUMIF(OFFSET(CÁLCULO!$AX$15:$BH$15,$A23,0,$B23),"&lt;="&amp;PLE.Medicao,OFFSET(CÁLCULO!$AB$15:$AL$15,$A23,0,$B23))+IF(AdmLocal="Automática",SUMIF(OFFSET(CÁLCULO!$M$15,$A23,0,$B23),1,OFFSET(ORÇAMENTO!$X$15,$A23,0,$B23))*PLE!$AE$9,0)),2)</f>
        <v>0</v>
      </c>
      <c r="AJ23" s="183" t="e" cm="1">
        <f t="array" aca="1" ref="AJ23" ca="1">IF(ACOMPANHAMENTO&lt;&gt;"BM",0,SUMPRODUCT(OFFSET(BM!$M$15,$A23,0,$B23)*(OFFSET(BM!$A$15,$A23,0,$B23)="S")*OFFSET(ORÇAMENTO!AA$15,$A23,0,$B23)/(OFFSET(ORÇAMENTO!$X$15,$A23,0,$B23)+10^-12)))</f>
        <v>#N/A</v>
      </c>
      <c r="AK23" s="183" t="e" cm="1">
        <f t="array" aca="1" ref="AK23" ca="1">IF(ACOMPANHAMENTO&lt;&gt;"BM",0,SUMPRODUCT(OFFSET(BM!$M$15,$A23,0,$B23)*(OFFSET(BM!$A$15,$A23,0,$B23)="S")*OFFSET(ORÇAMENTO!AB$15,$A23,0,$B23)/(OFFSET(ORÇAMENTO!$X$15,$A23,0,$B23)+10^-12)))</f>
        <v>#N/A</v>
      </c>
      <c r="AL23" s="183" t="e">
        <f ca="1">IF(ACOMPANHAMENTO&lt;&gt;"BM",0,OFFSET(BM!$M$15,$A23,0))</f>
        <v>#N/A</v>
      </c>
      <c r="AM23" s="183" t="e" cm="1">
        <f t="array" aca="1" ref="AM23" ca="1">IF(ACOMPANHAMENTO&lt;&gt;"BM",0,SUMPRODUCT(OFFSET(BM!$O$15,$A23,0,$B23)*(OFFSET(BM!$A$15,$A23,0,$B23)="S")*OFFSET(ORÇAMENTO!AA$15,$A23,0,$B23)/(OFFSET(ORÇAMENTO!$X$15,$A23,0,$B23)+10^-12)))</f>
        <v>#N/A</v>
      </c>
      <c r="AN23" s="183" t="e" cm="1">
        <f t="array" aca="1" ref="AN23" ca="1">IF(ACOMPANHAMENTO&lt;&gt;"BM",0,SUMPRODUCT(OFFSET(BM!$O$15,$A23,0,$B23)*(OFFSET(BM!$A$15,$A23,0,$B23)="S")*OFFSET(ORÇAMENTO!AB$15,$A23,0,$B23)/(OFFSET(ORÇAMENTO!$X$15,$A23,0,$B23)+10^-12)))</f>
        <v>#N/A</v>
      </c>
      <c r="AO23" s="183" t="e">
        <f ca="1">IF(ACOMPANHAMENTO&lt;&gt;"BM",0,OFFSET(BM!$O$15,$A23,0))</f>
        <v>#N/A</v>
      </c>
    </row>
    <row r="24" spans="1:41" ht="12.95" customHeight="1" x14ac:dyDescent="0.2">
      <c r="D24" t="s">
        <v>536</v>
      </c>
      <c r="E24" s="1"/>
      <c r="F24" s="1"/>
      <c r="G24" s="1"/>
      <c r="H24" s="1"/>
      <c r="I24" s="2"/>
      <c r="J24" s="838" t="s">
        <v>889</v>
      </c>
      <c r="K24" s="839"/>
      <c r="L24" s="369">
        <f ca="1">IF(ISERROR(L28/$L28),0,ROUND(L28/$L28,4))</f>
        <v>0</v>
      </c>
      <c r="M24" s="371">
        <f ca="1">IF(ISERROR(M28/$L28),0,ROUND(M28/$L28,4))</f>
        <v>0</v>
      </c>
      <c r="N24" s="370">
        <f ca="1">IF(ISERROR(N28/$L28),0,ROUND(N28/$L28,4))</f>
        <v>0</v>
      </c>
      <c r="O24" s="372">
        <f ca="1">IF(ISERROR(O28/$L28),0,ROUND(O28/$L28,4))</f>
        <v>0</v>
      </c>
      <c r="P24" s="840">
        <f ca="1">O28/(L28+10^-12)</f>
        <v>0</v>
      </c>
      <c r="X24" s="302"/>
      <c r="Y24" s="304"/>
      <c r="Z24" s="305"/>
    </row>
    <row r="25" spans="1:41" ht="12.95" customHeight="1" x14ac:dyDescent="0.2">
      <c r="D25" t="s">
        <v>536</v>
      </c>
      <c r="I25" s="4"/>
      <c r="J25" s="841" t="str">
        <f>IF(import.recurso="FGTS","Financiamento","Repasse")</f>
        <v>Repasse</v>
      </c>
      <c r="K25" s="842"/>
      <c r="L25" s="286">
        <f ca="1">QCI!L24</f>
        <v>0</v>
      </c>
      <c r="M25" s="283">
        <f ca="1">M28-M27-M26</f>
        <v>0</v>
      </c>
      <c r="N25" s="284">
        <f ca="1">O25-M25</f>
        <v>0</v>
      </c>
      <c r="O25" s="285">
        <f ca="1">O28-O27-O26</f>
        <v>0</v>
      </c>
      <c r="P25" s="840"/>
      <c r="X25" s="373"/>
      <c r="Y25" s="374" t="s">
        <v>890</v>
      </c>
      <c r="Z25" s="375" t="s">
        <v>891</v>
      </c>
      <c r="AC25" s="376" t="s">
        <v>892</v>
      </c>
      <c r="AD25" s="376" t="s">
        <v>893</v>
      </c>
    </row>
    <row r="26" spans="1:41" ht="12.95" customHeight="1" x14ac:dyDescent="0.2">
      <c r="D26" t="s">
        <v>536</v>
      </c>
      <c r="I26" s="4"/>
      <c r="J26" s="843" t="s">
        <v>894</v>
      </c>
      <c r="K26" s="844"/>
      <c r="L26" s="377">
        <f ca="1">QCI!M24</f>
        <v>0</v>
      </c>
      <c r="M26" s="378">
        <f ca="1">ROUND(IF(OFFSET($X$26,0,1)&lt;&gt;"",OFFSET($X$26,0,1),SUM(R13:OFFSET(R24,-1,0))),2)</f>
        <v>0</v>
      </c>
      <c r="N26" s="379">
        <f ca="1">O26-M26</f>
        <v>0</v>
      </c>
      <c r="O26" s="380">
        <f ca="1">IF(OFFSET($X$26,0,2)&lt;&gt;"",OFFSET($X$26,0,2),$AE$3)</f>
        <v>0</v>
      </c>
      <c r="P26" s="840"/>
      <c r="X26" s="381" t="s">
        <v>456</v>
      </c>
      <c r="Y26" s="444"/>
      <c r="Z26" s="445"/>
      <c r="AC26" s="382">
        <f ca="1">MIN($L26,$O$28-OFFSET($X$27,0,1))</f>
        <v>0</v>
      </c>
      <c r="AD26" s="382">
        <f ca="1">MIN($L26,$O$28-OFFSET($X$27,0,2))</f>
        <v>0</v>
      </c>
    </row>
    <row r="27" spans="1:41" ht="12.95" customHeight="1" x14ac:dyDescent="0.2">
      <c r="D27" t="s">
        <v>536</v>
      </c>
      <c r="I27" s="4"/>
      <c r="J27" s="824" t="s">
        <v>871</v>
      </c>
      <c r="K27" s="825"/>
      <c r="L27" s="383">
        <f ca="1">QCI!N24</f>
        <v>0</v>
      </c>
      <c r="M27" s="384">
        <f ca="1">ROUND(IF(OFFSET($X$27,0,1)&lt;&gt;"",OFFSET($X$27,0,1),SUM(S13:OFFSET(S24,-1,0))),2)</f>
        <v>0</v>
      </c>
      <c r="N27" s="385">
        <f ca="1">O27-M27</f>
        <v>0</v>
      </c>
      <c r="O27" s="386">
        <f ca="1">IF(OFFSET($X$27,0,2)&lt;&gt;"",OFFSET($X$27,0,2),$AE$4)</f>
        <v>0</v>
      </c>
      <c r="P27" s="840"/>
      <c r="X27" s="387" t="s">
        <v>794</v>
      </c>
      <c r="Y27" s="446"/>
      <c r="Z27" s="447"/>
      <c r="AC27" s="382">
        <f ca="1">MIN($L27,$O$28-OFFSET($X$26,0,1))</f>
        <v>0</v>
      </c>
      <c r="AD27" s="382">
        <f ca="1">MIN($L27,$O$28-OFFSET($X$26,0,2))</f>
        <v>0</v>
      </c>
    </row>
    <row r="28" spans="1:41" ht="15" x14ac:dyDescent="0.2">
      <c r="D28" t="s">
        <v>536</v>
      </c>
      <c r="I28" s="4"/>
      <c r="J28" s="826" t="s">
        <v>873</v>
      </c>
      <c r="K28" s="827"/>
      <c r="L28" s="388">
        <f ca="1">SUM(L13:OFFSET(L24,-1,0))</f>
        <v>0</v>
      </c>
      <c r="M28" s="648">
        <f ca="1">ROUND(SUM(M13:OFFSET(M24,-1,0)),2)</f>
        <v>0</v>
      </c>
      <c r="N28" s="649">
        <f ca="1">O28-M28</f>
        <v>0</v>
      </c>
      <c r="O28" s="389">
        <f ca="1">SUM(O13:OFFSET(O24,-1,0))</f>
        <v>0</v>
      </c>
      <c r="P28" s="840"/>
      <c r="X28" s="314"/>
      <c r="Y28" s="316"/>
      <c r="Z28" s="317"/>
    </row>
    <row r="29" spans="1:41" x14ac:dyDescent="0.2">
      <c r="O29" s="828" t="str">
        <f ca="1">"Acumulado Anterior:  "&amp;TEXT($M$28/($L$28+10^-12),"0,00%")</f>
        <v>Acumulado Anterior:  0,00%</v>
      </c>
      <c r="P29" s="828"/>
    </row>
    <row r="30" spans="1:41" ht="14.25" x14ac:dyDescent="0.2">
      <c r="E30" s="135" t="s">
        <v>689</v>
      </c>
      <c r="P30" s="414"/>
    </row>
    <row r="31" spans="1:41" ht="12.75" customHeight="1" x14ac:dyDescent="0.2">
      <c r="E31" s="832"/>
      <c r="F31" s="833"/>
      <c r="G31" s="833"/>
      <c r="H31" s="833"/>
      <c r="I31" s="833"/>
      <c r="J31" s="833"/>
      <c r="K31" s="833"/>
      <c r="L31" s="833"/>
      <c r="M31" s="833"/>
      <c r="N31" s="833"/>
      <c r="O31" s="833"/>
      <c r="P31" s="834"/>
    </row>
    <row r="32" spans="1:41" ht="12.75" customHeight="1" x14ac:dyDescent="0.2">
      <c r="E32" s="832"/>
      <c r="F32" s="833"/>
      <c r="G32" s="833"/>
      <c r="H32" s="833"/>
      <c r="I32" s="833"/>
      <c r="J32" s="833"/>
      <c r="K32" s="833"/>
      <c r="L32" s="833"/>
      <c r="M32" s="833"/>
      <c r="N32" s="833"/>
      <c r="O32" s="833"/>
      <c r="P32" s="834"/>
      <c r="Y32" s="390"/>
      <c r="Z32" s="390"/>
    </row>
    <row r="33" spans="5:16" ht="12.75" customHeight="1" x14ac:dyDescent="0.2">
      <c r="E33" s="835"/>
      <c r="F33" s="836"/>
      <c r="G33" s="836"/>
      <c r="H33" s="836"/>
      <c r="I33" s="836"/>
      <c r="J33" s="836"/>
      <c r="K33" s="836"/>
      <c r="L33" s="836"/>
      <c r="M33" s="836"/>
      <c r="N33" s="836"/>
      <c r="O33" s="836"/>
      <c r="P33" s="837"/>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16" t="str">
        <f>Import.Município</f>
        <v>SÃO LUIZ GONZAGA/RS</v>
      </c>
      <c r="F35" s="716"/>
      <c r="G35" s="716"/>
      <c r="I35" s="391"/>
      <c r="K35" s="584"/>
      <c r="L35" s="769">
        <f>DADOS!$C$48</f>
        <v>0</v>
      </c>
      <c r="M35" s="769"/>
      <c r="N35" s="769"/>
      <c r="O35" s="769"/>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JOSE ANTONIO FLACH WERLE</v>
      </c>
      <c r="L40" s="77" t="s">
        <v>240</v>
      </c>
      <c r="M40" s="815">
        <f>IF(CAIXA.Modo,BM!X83,DADOS!C51)</f>
        <v>0</v>
      </c>
      <c r="N40" s="815"/>
      <c r="O40" s="815"/>
    </row>
    <row r="41" spans="5:16" x14ac:dyDescent="0.2">
      <c r="E41" s="77" t="str">
        <f>IF(CAIXA.Modo,"Função:","Cargo:")</f>
        <v>Cargo:</v>
      </c>
      <c r="F41" s="271" t="str">
        <f>IF(CAIXA.Modo,DADOS!C61,DADOS!C29)</f>
        <v>PREFEITO MUNICIPAL</v>
      </c>
      <c r="L41" s="77" t="str">
        <f>IF(CAIXA.Modo,"Matrícula:","Profissão:")</f>
        <v>Profissão:</v>
      </c>
      <c r="M41" s="815">
        <f>IF(CAIXA.Modo,BM!X84,DADOS!C52)</f>
        <v>0</v>
      </c>
      <c r="N41" s="815"/>
      <c r="O41" s="815"/>
    </row>
    <row r="42" spans="5:16" x14ac:dyDescent="0.2">
      <c r="L42" s="77" t="s">
        <v>243</v>
      </c>
      <c r="M42" s="815">
        <f>IF(CAIXA.Modo,BM!X85,DADOS!C53)</f>
        <v>0</v>
      </c>
      <c r="N42" s="815"/>
      <c r="O42" s="815"/>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14"/>
      <c r="G47" s="814"/>
      <c r="L47" s="77" t="s">
        <v>240</v>
      </c>
      <c r="M47" s="814"/>
      <c r="N47" s="814"/>
      <c r="O47" s="814"/>
    </row>
    <row r="48" spans="5:16" x14ac:dyDescent="0.2">
      <c r="E48" s="77" t="str">
        <f>IF(CAIXA.Modo,"Função:","Cargo:")</f>
        <v>Cargo:</v>
      </c>
      <c r="F48" s="814"/>
      <c r="G48" s="814"/>
      <c r="L48" s="77" t="str">
        <f>IF(CAIXA.Modo,"Função:","Cargo:")</f>
        <v>Cargo:</v>
      </c>
      <c r="M48" s="814"/>
      <c r="N48" s="814"/>
      <c r="O48" s="814"/>
    </row>
    <row r="49" spans="5:15" x14ac:dyDescent="0.2">
      <c r="E49" s="77" t="str">
        <f>IF(CAIXA.Modo,"Matr:","")</f>
        <v/>
      </c>
      <c r="F49" s="814"/>
      <c r="G49" s="814"/>
      <c r="L49" s="77" t="str">
        <f>IF(CAIXA.Modo,"Matrícula:","")</f>
        <v/>
      </c>
      <c r="M49" s="814"/>
      <c r="N49" s="814"/>
      <c r="O49" s="814"/>
    </row>
  </sheetData>
  <sheetProtection algorithmName="SHA-512" hashValue="AXmnCDpJOk0Kn15Q+DFSxn6+WG2uwcl6GlgeSyE0Pv1PRgzzYDgmdfC2W5Y3iXTrdxB76DHNclHGFL1v4o3fFA==" saltValue="A1dlDSIe7zsF7fA52eCXaA==" spinCount="100000" sheet="1" objects="1" scenarios="1" autoFilter="0"/>
  <autoFilter ref="D13:D3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formula1>0</formula1>
      <formula2>RRE.MaxOUAcum</formula2>
    </dataValidation>
    <dataValidation type="decimal" allowBlank="1" showInputMessage="1" showErrorMessage="1" sqref="Y12:Z12 Y14:Z23">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48"/>
      <c r="C1" s="848"/>
      <c r="D1" s="49"/>
      <c r="E1" s="49"/>
      <c r="F1" s="49"/>
      <c r="G1" s="52" t="s">
        <v>644</v>
      </c>
    </row>
    <row r="2" spans="2:13" x14ac:dyDescent="0.2">
      <c r="B2" s="848"/>
      <c r="C2" s="848"/>
      <c r="D2" s="49"/>
      <c r="E2" s="49"/>
      <c r="F2" s="49"/>
      <c r="G2" s="11" t="s">
        <v>895</v>
      </c>
    </row>
    <row r="3" spans="2:13" ht="26.1" customHeight="1" x14ac:dyDescent="0.2">
      <c r="B3" s="848"/>
      <c r="C3" s="848"/>
      <c r="D3" s="49"/>
      <c r="E3" s="49"/>
      <c r="F3" s="49"/>
      <c r="G3" s="393"/>
    </row>
    <row r="4" spans="2:13" ht="12.75" customHeight="1" x14ac:dyDescent="0.2">
      <c r="B4" s="848"/>
      <c r="C4" s="848"/>
      <c r="D4" s="49"/>
      <c r="E4" s="49"/>
      <c r="F4" s="49"/>
      <c r="G4" s="49"/>
    </row>
    <row r="5" spans="2:13" x14ac:dyDescent="0.2">
      <c r="C5" s="571" t="str">
        <f>IF(Import.Ofício.Num=0,"Preencher o número do Ofício","")</f>
        <v>Preencher o número do Ofício</v>
      </c>
    </row>
    <row r="6" spans="2:13" x14ac:dyDescent="0.2">
      <c r="B6" s="394" t="s">
        <v>896</v>
      </c>
      <c r="C6" s="845"/>
      <c r="D6" s="845"/>
      <c r="E6" s="394"/>
      <c r="F6" s="394"/>
      <c r="G6" s="49"/>
      <c r="J6" s="9"/>
    </row>
    <row r="7" spans="2:13" x14ac:dyDescent="0.2">
      <c r="B7" s="49"/>
      <c r="C7" s="49"/>
      <c r="D7" s="49"/>
      <c r="E7" s="49"/>
      <c r="F7" s="49"/>
      <c r="G7" s="49"/>
    </row>
    <row r="8" spans="2:13" x14ac:dyDescent="0.2">
      <c r="B8" s="846" t="str">
        <f>CONCATENATE(RRE!$E$35,", ",TEXT(RRE!$L$35,"dd"" de ""mmmm"" de ""aaaa"))</f>
        <v>SÃO LUIZ GONZAGA/RS, 00 de janeiro de 1900</v>
      </c>
      <c r="C8" s="846"/>
      <c r="D8" s="846"/>
      <c r="E8" s="846"/>
      <c r="F8" s="846"/>
      <c r="G8" s="846"/>
      <c r="H8" s="395"/>
      <c r="J8" s="395"/>
      <c r="K8" s="395"/>
      <c r="L8" s="395"/>
      <c r="M8" s="395"/>
    </row>
    <row r="9" spans="2:13" x14ac:dyDescent="0.2">
      <c r="B9" s="396" t="s">
        <v>897</v>
      </c>
      <c r="C9" s="49"/>
      <c r="D9" s="49"/>
      <c r="G9" s="49"/>
      <c r="H9" s="395"/>
      <c r="J9" s="395"/>
      <c r="K9" s="395"/>
      <c r="L9" s="395"/>
      <c r="M9" s="395"/>
    </row>
    <row r="10" spans="2:13" x14ac:dyDescent="0.2">
      <c r="B10" s="847" t="s">
        <v>898</v>
      </c>
      <c r="C10" s="847"/>
      <c r="D10" s="847"/>
      <c r="G10" s="49"/>
      <c r="H10" s="395"/>
      <c r="J10" s="395"/>
      <c r="K10" s="395"/>
      <c r="L10" s="395"/>
      <c r="M10" s="395"/>
    </row>
    <row r="11" spans="2:13" x14ac:dyDescent="0.2">
      <c r="B11" s="397" t="s">
        <v>899</v>
      </c>
      <c r="C11" s="814"/>
      <c r="D11" s="814"/>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47" t="str" cm="1">
        <f t="array" aca="1" ref="C14" ca="1">CONCATENATE(RRE.Numero,"ª"," Solicitação de ",IF(import.recurso="OGU","Desbloqueio","Desembolso")," de Recursos.")</f>
        <v>1ª Solicitação de Desbloqueio de Recursos.</v>
      </c>
      <c r="D14" s="847"/>
      <c r="E14" s="847"/>
      <c r="F14" s="847"/>
      <c r="G14" s="847"/>
    </row>
    <row r="15" spans="2:13" ht="12.75" customHeight="1" x14ac:dyDescent="0.2">
      <c r="B15" s="396" t="s">
        <v>901</v>
      </c>
      <c r="C15" s="853" t="str">
        <f>CONCATENATE("Contrato de ",IF(import.recurso="OGU","Repasse","Financiamento")," - Operação nº ",Import.CR,IF(Import.TransfereGOV="","",CONCATENATE(" - TransfereGOV nº ",Import.TransfereGOV)))</f>
        <v>Contrato de Repasse - Operação nº 0 - TransfereGOV nº 0</v>
      </c>
      <c r="D15" s="853"/>
      <c r="E15" s="853"/>
      <c r="F15" s="853"/>
      <c r="G15" s="853"/>
    </row>
    <row r="16" spans="2:13" x14ac:dyDescent="0.2">
      <c r="B16" s="396"/>
      <c r="C16" s="853"/>
      <c r="D16" s="853"/>
      <c r="E16" s="853"/>
      <c r="F16" s="853"/>
      <c r="G16" s="853"/>
    </row>
    <row r="17" spans="2:7" x14ac:dyDescent="0.2">
      <c r="B17" s="49"/>
      <c r="C17" s="49"/>
      <c r="D17" s="49"/>
      <c r="E17" s="49"/>
      <c r="F17" s="49"/>
      <c r="G17" s="49"/>
    </row>
    <row r="18" spans="2:7" ht="12.75" customHeight="1" x14ac:dyDescent="0.2">
      <c r="B18" s="271" t="s">
        <v>902</v>
      </c>
      <c r="C18" s="849" t="str">
        <f>Import.DescLote</f>
        <v>OBRAS COMPLEMENTARES NA EMEF SANTA RITA</v>
      </c>
      <c r="D18" s="849"/>
      <c r="E18" s="849"/>
      <c r="F18" s="849"/>
      <c r="G18" s="849"/>
    </row>
    <row r="19" spans="2:7" ht="12.75" customHeight="1" x14ac:dyDescent="0.2">
      <c r="B19" s="851" t="s">
        <v>903</v>
      </c>
      <c r="C19" s="852" t="str">
        <f>Import.Proponente</f>
        <v>PREFEITURA MUNICIPAL DE SÃO LUIZ GONZAGA</v>
      </c>
      <c r="D19" s="852"/>
      <c r="E19" s="852"/>
      <c r="F19" s="852"/>
      <c r="G19" s="852"/>
    </row>
    <row r="20" spans="2:7" x14ac:dyDescent="0.2">
      <c r="B20" s="851"/>
      <c r="C20" s="852"/>
      <c r="D20" s="852"/>
      <c r="E20" s="852"/>
      <c r="F20" s="852"/>
      <c r="G20" s="852"/>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49"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49"/>
      <c r="D24" s="849"/>
      <c r="E24" s="849"/>
      <c r="F24" s="849"/>
      <c r="G24" s="849"/>
    </row>
    <row r="25" spans="2:7" x14ac:dyDescent="0.2">
      <c r="B25" s="849"/>
      <c r="C25" s="849"/>
      <c r="D25" s="849"/>
      <c r="E25" s="849"/>
      <c r="F25" s="849"/>
      <c r="G25" s="849"/>
    </row>
    <row r="26" spans="2:7" x14ac:dyDescent="0.2">
      <c r="B26" s="849"/>
      <c r="C26" s="849"/>
      <c r="D26" s="849"/>
      <c r="E26" s="849"/>
      <c r="F26" s="849"/>
      <c r="G26" s="849"/>
    </row>
    <row r="27" spans="2:7" x14ac:dyDescent="0.2">
      <c r="B27" s="49"/>
      <c r="C27" s="49"/>
      <c r="D27" s="49"/>
      <c r="E27" s="49"/>
      <c r="F27" s="49"/>
      <c r="G27" s="49"/>
    </row>
    <row r="28" spans="2:7" ht="12.75" customHeight="1" x14ac:dyDescent="0.2">
      <c r="B28" s="850"/>
      <c r="C28" s="850"/>
      <c r="D28" s="854" t="s">
        <v>904</v>
      </c>
      <c r="E28" s="854" t="str" cm="1">
        <f t="array" aca="1" ref="E28" ca="1">"Evolução da "&amp;RRE.Numero&amp;"ª Medição"</f>
        <v>Evolução da 1ª Medição</v>
      </c>
      <c r="F28" s="855" t="s">
        <v>905</v>
      </c>
      <c r="G28" s="855"/>
    </row>
    <row r="29" spans="2:7" x14ac:dyDescent="0.2">
      <c r="B29" s="850"/>
      <c r="C29" s="850"/>
      <c r="D29" s="854"/>
      <c r="E29" s="854"/>
      <c r="F29" s="855"/>
      <c r="G29" s="855"/>
    </row>
    <row r="30" spans="2:7" x14ac:dyDescent="0.2">
      <c r="B30" s="856" t="str">
        <f>IF(import.recurso="FGTS","Financiamento:","Repasse:")</f>
        <v>Repasse:</v>
      </c>
      <c r="C30" s="856"/>
      <c r="D30" s="399">
        <f ca="1">RRE!L25</f>
        <v>0</v>
      </c>
      <c r="E30" s="399">
        <f ca="1">RRE!N25</f>
        <v>0</v>
      </c>
      <c r="F30" s="857">
        <f ca="1">RRE!O25</f>
        <v>0</v>
      </c>
      <c r="G30" s="857"/>
    </row>
    <row r="31" spans="2:7" x14ac:dyDescent="0.2">
      <c r="B31" s="856" t="s">
        <v>906</v>
      </c>
      <c r="C31" s="856"/>
      <c r="D31" s="399">
        <f ca="1">RRE!L26</f>
        <v>0</v>
      </c>
      <c r="E31" s="399">
        <f ca="1">RRE!N26</f>
        <v>0</v>
      </c>
      <c r="F31" s="857">
        <f ca="1">RRE!O26</f>
        <v>0</v>
      </c>
      <c r="G31" s="857"/>
    </row>
    <row r="32" spans="2:7" x14ac:dyDescent="0.2">
      <c r="B32" s="856" t="s">
        <v>801</v>
      </c>
      <c r="C32" s="856"/>
      <c r="D32" s="399">
        <f ca="1">RRE!L27</f>
        <v>0</v>
      </c>
      <c r="E32" s="399">
        <f ca="1">RRE!N27</f>
        <v>0</v>
      </c>
      <c r="F32" s="857">
        <f ca="1">RRE!O27</f>
        <v>0</v>
      </c>
      <c r="G32" s="857"/>
    </row>
    <row r="33" spans="2:7" x14ac:dyDescent="0.2">
      <c r="B33" s="856" t="s">
        <v>802</v>
      </c>
      <c r="C33" s="856"/>
      <c r="D33" s="399">
        <f ca="1">RRE!L28</f>
        <v>0</v>
      </c>
      <c r="E33" s="399">
        <f ca="1">RRE!N28</f>
        <v>0</v>
      </c>
      <c r="F33" s="857">
        <f ca="1">RRE!O28</f>
        <v>0</v>
      </c>
      <c r="G33" s="857"/>
    </row>
    <row r="34" spans="2:7" x14ac:dyDescent="0.2">
      <c r="B34" s="860" t="s">
        <v>907</v>
      </c>
      <c r="C34" s="860"/>
      <c r="D34" s="400" t="s">
        <v>688</v>
      </c>
      <c r="E34" s="401">
        <f ca="1">RRE!$N$28/(RRE!$L$28+10^-12)</f>
        <v>0</v>
      </c>
      <c r="F34" s="861">
        <f ca="1">RRE!P24</f>
        <v>0</v>
      </c>
      <c r="G34" s="861"/>
    </row>
    <row r="35" spans="2:7" x14ac:dyDescent="0.2">
      <c r="B35" s="181"/>
      <c r="C35" s="49"/>
      <c r="D35" s="49"/>
      <c r="E35" s="49"/>
      <c r="F35" s="49"/>
      <c r="G35" s="49"/>
    </row>
    <row r="36" spans="2:7" x14ac:dyDescent="0.2">
      <c r="B36" s="181"/>
      <c r="C36" s="181"/>
      <c r="D36" s="181"/>
      <c r="E36" s="181"/>
      <c r="F36" s="181"/>
      <c r="G36" s="49"/>
    </row>
    <row r="37" spans="2:7" x14ac:dyDescent="0.2">
      <c r="B37" s="862" t="str" cm="1">
        <f t="array" aca="1" ref="B37" ca="1">IF(RRE.Numero&gt;1,"2. Encaminhamos ainda a documentação relativa à prestação de contas da etapa físico-financeira anterior.","")</f>
        <v/>
      </c>
      <c r="C37" s="862"/>
      <c r="D37" s="862"/>
      <c r="E37" s="862"/>
      <c r="F37" s="862"/>
      <c r="G37" s="862"/>
    </row>
    <row r="38" spans="2:7" x14ac:dyDescent="0.2">
      <c r="B38" s="862"/>
      <c r="C38" s="862"/>
      <c r="D38" s="862"/>
      <c r="E38" s="862"/>
      <c r="F38" s="862"/>
      <c r="G38" s="862"/>
    </row>
    <row r="39" spans="2:7" ht="12.75" customHeight="1" x14ac:dyDescent="0.2">
      <c r="B39" s="862" t="str" cm="1">
        <f t="array" aca="1" ref="B39" ca="1">IF(AND(RRE.Numero&gt;1,NOT(ISBLANK(Import.TransfereGOV))),"3. Na oportunidade, informamos que a execução financeira da parcela anterior está devidamente comprovada no TransfereGOV.","")</f>
        <v/>
      </c>
      <c r="C39" s="862"/>
      <c r="D39" s="862"/>
      <c r="E39" s="862"/>
      <c r="F39" s="862"/>
      <c r="G39" s="862"/>
    </row>
    <row r="40" spans="2:7" x14ac:dyDescent="0.2">
      <c r="B40" s="862"/>
      <c r="C40" s="862"/>
      <c r="D40" s="862"/>
      <c r="E40" s="862"/>
      <c r="F40" s="862"/>
      <c r="G40" s="862"/>
    </row>
    <row r="41" spans="2:7" x14ac:dyDescent="0.2">
      <c r="B41" s="402"/>
      <c r="C41" s="397"/>
      <c r="D41" s="397"/>
      <c r="E41" s="397"/>
      <c r="F41" s="397"/>
      <c r="G41" s="397"/>
    </row>
    <row r="42" spans="2:7" ht="12.75" customHeight="1" x14ac:dyDescent="0.2">
      <c r="B42" s="862"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62"/>
      <c r="D42" s="862"/>
      <c r="E42" s="862"/>
      <c r="F42" s="862"/>
      <c r="G42" s="862"/>
    </row>
    <row r="43" spans="2:7" x14ac:dyDescent="0.2">
      <c r="B43" s="862"/>
      <c r="C43" s="862"/>
      <c r="D43" s="862"/>
      <c r="E43" s="862"/>
      <c r="F43" s="862"/>
      <c r="G43" s="862"/>
    </row>
    <row r="44" spans="2:7" x14ac:dyDescent="0.2">
      <c r="B44" s="862"/>
      <c r="C44" s="862"/>
      <c r="D44" s="862"/>
      <c r="E44" s="862"/>
      <c r="F44" s="862"/>
      <c r="G44" s="862"/>
    </row>
    <row r="45" spans="2:7" x14ac:dyDescent="0.2">
      <c r="B45" s="862"/>
      <c r="C45" s="862"/>
      <c r="D45" s="862"/>
      <c r="E45" s="862"/>
      <c r="F45" s="862"/>
      <c r="G45" s="862"/>
    </row>
    <row r="46" spans="2:7" x14ac:dyDescent="0.2">
      <c r="B46" s="862"/>
      <c r="C46" s="862"/>
      <c r="D46" s="862"/>
      <c r="E46" s="862"/>
      <c r="F46" s="862"/>
      <c r="G46" s="862"/>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58" t="str">
        <f>DADOS!$C$28</f>
        <v>JOSE ANTONIO FLACH WERLE</v>
      </c>
      <c r="C54" s="858"/>
      <c r="D54" s="858"/>
      <c r="E54" s="858"/>
      <c r="F54" s="858"/>
      <c r="G54" s="858"/>
    </row>
    <row r="55" spans="2:7" x14ac:dyDescent="0.2">
      <c r="B55" s="858" t="str">
        <f>DADOS!$C$29</f>
        <v>PREFEITO MUNICIPAL</v>
      </c>
      <c r="C55" s="858"/>
      <c r="D55" s="858"/>
      <c r="E55" s="858"/>
      <c r="F55" s="858"/>
      <c r="G55" s="858"/>
    </row>
    <row r="56" spans="2:7" x14ac:dyDescent="0.2">
      <c r="B56" s="859"/>
      <c r="C56" s="859"/>
      <c r="D56" s="859"/>
      <c r="E56" s="859"/>
      <c r="F56" s="859"/>
      <c r="G56" s="859"/>
    </row>
  </sheetData>
  <sheetProtection algorithmName="SHA-512" hashValue="LIRTGDvBwVMJM4kCl3qrfYF7JtvSTMHEIp9Ex/+T19X68Jjq94HMShOl2/jSp+5Js4FpnCjyAMPkCBibmQ39AQ==" saltValue="VePIkllkIWfJDKT/WJgRaA=="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Usuário</cp:lastModifiedBy>
  <cp:revision>5</cp:revision>
  <cp:lastPrinted>2026-08-17T17:09:18Z</cp:lastPrinted>
  <dcterms:created xsi:type="dcterms:W3CDTF">1997-01-10T22:22:50Z</dcterms:created>
  <dcterms:modified xsi:type="dcterms:W3CDTF">2026-09-04T17:48:57Z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